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AS\Po Tarybos\"/>
    </mc:Choice>
  </mc:AlternateContent>
  <bookViews>
    <workbookView xWindow="-120" yWindow="-120" windowWidth="29040" windowHeight="15840" firstSheet="1" activeTab="1"/>
  </bookViews>
  <sheets>
    <sheet name="Aiškinamoji lentelė" sheetId="11" state="hidden" r:id="rId1"/>
    <sheet name="6 programa" sheetId="12" r:id="rId2"/>
    <sheet name="Lyginamasis variantas" sheetId="13" state="hidden" r:id="rId3"/>
  </sheets>
  <definedNames>
    <definedName name="_xlnm.Print_Area" localSheetId="1">'6 programa'!$A$1:$M$297</definedName>
    <definedName name="_xlnm.Print_Area" localSheetId="0">'Aiškinamoji lentelė'!$A$1:$Q$343</definedName>
    <definedName name="_xlnm.Print_Area" localSheetId="2">'Lyginamasis variantas'!$A$1:$M$297</definedName>
    <definedName name="_xlnm.Print_Titles" localSheetId="1">'6 programa'!$9:$11</definedName>
    <definedName name="_xlnm.Print_Titles" localSheetId="0">'Aiškinamoji lentelė'!$8:$10</definedName>
    <definedName name="_xlnm.Print_Titles" localSheetId="2">'Lyginamasis variantas'!$9:$11</definedName>
  </definedNames>
  <calcPr calcId="162913" fullPrecision="0"/>
</workbook>
</file>

<file path=xl/calcChain.xml><?xml version="1.0" encoding="utf-8"?>
<calcChain xmlns="http://schemas.openxmlformats.org/spreadsheetml/2006/main">
  <c r="R251" i="13" l="1"/>
  <c r="I294" i="13"/>
  <c r="H294" i="13"/>
  <c r="G294" i="13"/>
  <c r="I293" i="13"/>
  <c r="H293" i="13"/>
  <c r="G293" i="13"/>
  <c r="I292" i="13"/>
  <c r="H292" i="13"/>
  <c r="G292" i="13"/>
  <c r="I291" i="13"/>
  <c r="H291" i="13"/>
  <c r="G291" i="13"/>
  <c r="I289" i="13"/>
  <c r="H289" i="13"/>
  <c r="G289" i="13"/>
  <c r="I288" i="13"/>
  <c r="H288" i="13"/>
  <c r="G288" i="13"/>
  <c r="I287" i="13"/>
  <c r="H287" i="13"/>
  <c r="G287" i="13"/>
  <c r="I286" i="13"/>
  <c r="H286" i="13"/>
  <c r="G286" i="13"/>
  <c r="I285" i="13"/>
  <c r="H285" i="13"/>
  <c r="G285" i="13"/>
  <c r="I284" i="13"/>
  <c r="H284" i="13"/>
  <c r="G284" i="13"/>
  <c r="I283" i="13"/>
  <c r="H283" i="13"/>
  <c r="G283" i="13"/>
  <c r="I273" i="13"/>
  <c r="H273" i="13"/>
  <c r="G273" i="13"/>
  <c r="G254" i="13"/>
  <c r="P248" i="13" s="1"/>
  <c r="Q251" i="13"/>
  <c r="P251" i="13"/>
  <c r="R250" i="13"/>
  <c r="Q250" i="13"/>
  <c r="P250" i="13"/>
  <c r="R249" i="13"/>
  <c r="Q249" i="13"/>
  <c r="P249" i="13"/>
  <c r="R248" i="13"/>
  <c r="Q248" i="13"/>
  <c r="R247" i="13"/>
  <c r="Q247" i="13"/>
  <c r="P247" i="13"/>
  <c r="I246" i="13"/>
  <c r="H246" i="13"/>
  <c r="G246" i="13"/>
  <c r="G231" i="13"/>
  <c r="I222" i="13"/>
  <c r="R215" i="13" s="1"/>
  <c r="H222" i="13"/>
  <c r="Q215" i="13" s="1"/>
  <c r="G222" i="13"/>
  <c r="P215" i="13" s="1"/>
  <c r="R219" i="13"/>
  <c r="Q219" i="13"/>
  <c r="P219" i="13"/>
  <c r="R218" i="13"/>
  <c r="Q218" i="13"/>
  <c r="P218" i="13"/>
  <c r="R217" i="13"/>
  <c r="Q217" i="13"/>
  <c r="P217" i="13"/>
  <c r="R216" i="13"/>
  <c r="Q216" i="13"/>
  <c r="P216" i="13"/>
  <c r="I212" i="13"/>
  <c r="I213" i="13" s="1"/>
  <c r="H212" i="13"/>
  <c r="H213" i="13" s="1"/>
  <c r="G212" i="13"/>
  <c r="G213" i="13" s="1"/>
  <c r="I189" i="13"/>
  <c r="H189" i="13"/>
  <c r="G189" i="13"/>
  <c r="I187" i="13"/>
  <c r="R172" i="13" s="1"/>
  <c r="R177" i="13" s="1"/>
  <c r="R178" i="13" s="1"/>
  <c r="H187" i="13"/>
  <c r="G187" i="13"/>
  <c r="L185" i="13"/>
  <c r="K185" i="13"/>
  <c r="G184" i="13"/>
  <c r="M181" i="13"/>
  <c r="L181" i="13"/>
  <c r="K181" i="13"/>
  <c r="G178" i="13"/>
  <c r="R176" i="13"/>
  <c r="Q176" i="13"/>
  <c r="P176" i="13"/>
  <c r="R175" i="13"/>
  <c r="Q175" i="13"/>
  <c r="P175" i="13"/>
  <c r="R174" i="13"/>
  <c r="Q174" i="13"/>
  <c r="P174" i="13"/>
  <c r="R173" i="13"/>
  <c r="Q173" i="13"/>
  <c r="P173" i="13"/>
  <c r="I170" i="13"/>
  <c r="I169" i="13"/>
  <c r="H169" i="13"/>
  <c r="H170" i="13" s="1"/>
  <c r="G169" i="13"/>
  <c r="G170" i="13" s="1"/>
  <c r="H134" i="13"/>
  <c r="Q16" i="13" s="1"/>
  <c r="G122" i="13"/>
  <c r="P16" i="13" s="1"/>
  <c r="H121" i="13"/>
  <c r="I96" i="13"/>
  <c r="I94" i="13"/>
  <c r="H94" i="13"/>
  <c r="G94" i="13"/>
  <c r="I89" i="13"/>
  <c r="R20" i="13" s="1"/>
  <c r="H89" i="13"/>
  <c r="G89" i="13"/>
  <c r="P20" i="13" s="1"/>
  <c r="G76" i="13"/>
  <c r="P18" i="13" s="1"/>
  <c r="R25" i="13"/>
  <c r="Q25" i="13"/>
  <c r="P25" i="13"/>
  <c r="R24" i="13"/>
  <c r="Q24" i="13"/>
  <c r="P24" i="13"/>
  <c r="R23" i="13"/>
  <c r="Q23" i="13"/>
  <c r="P23" i="13"/>
  <c r="R22" i="13"/>
  <c r="Q22" i="13"/>
  <c r="P22" i="13"/>
  <c r="R21" i="13"/>
  <c r="Q21" i="13"/>
  <c r="P21" i="13"/>
  <c r="R19" i="13"/>
  <c r="Q19" i="13"/>
  <c r="P19" i="13"/>
  <c r="R18" i="13"/>
  <c r="Q18" i="13"/>
  <c r="R17" i="13"/>
  <c r="Q17" i="13"/>
  <c r="P17" i="13"/>
  <c r="R16" i="13"/>
  <c r="P252" i="13" l="1"/>
  <c r="P253" i="13" s="1"/>
  <c r="Q172" i="13"/>
  <c r="P172" i="13"/>
  <c r="Q20" i="13"/>
  <c r="P26" i="13"/>
  <c r="P27" i="13" s="1"/>
  <c r="Q252" i="13"/>
  <c r="Q253" i="13" s="1"/>
  <c r="P220" i="13"/>
  <c r="P221" i="13" s="1"/>
  <c r="H274" i="13"/>
  <c r="H275" i="13" s="1"/>
  <c r="H276" i="13" s="1"/>
  <c r="R26" i="13"/>
  <c r="R27" i="13" s="1"/>
  <c r="P177" i="13"/>
  <c r="P178" i="13" s="1"/>
  <c r="G274" i="13"/>
  <c r="I274" i="13"/>
  <c r="I275" i="13" s="1"/>
  <c r="I276" i="13" s="1"/>
  <c r="Q220" i="13"/>
  <c r="Q221" i="13" s="1"/>
  <c r="R252" i="13"/>
  <c r="R253" i="13" s="1"/>
  <c r="Q177" i="13"/>
  <c r="Q178" i="13" s="1"/>
  <c r="R220" i="13"/>
  <c r="R221" i="13" s="1"/>
  <c r="I290" i="13"/>
  <c r="I282" i="13"/>
  <c r="I281" i="13" s="1"/>
  <c r="G282" i="13"/>
  <c r="G281" i="13" s="1"/>
  <c r="H282" i="13"/>
  <c r="H281" i="13" s="1"/>
  <c r="G290" i="13"/>
  <c r="H290" i="13"/>
  <c r="Q26" i="13"/>
  <c r="Q27" i="13" s="1"/>
  <c r="G275" i="13"/>
  <c r="G276" i="13" s="1"/>
  <c r="G295" i="13" l="1"/>
  <c r="I295" i="13"/>
  <c r="H295" i="13"/>
  <c r="L314" i="11" l="1"/>
  <c r="R247" i="12"/>
  <c r="I169" i="12"/>
  <c r="H169" i="12"/>
  <c r="G169" i="12"/>
  <c r="G76" i="12"/>
  <c r="P18" i="12"/>
  <c r="J68" i="11"/>
  <c r="J182" i="11" s="1"/>
  <c r="J183" i="11" s="1"/>
  <c r="I294" i="12"/>
  <c r="I293" i="12"/>
  <c r="I292" i="12"/>
  <c r="I291" i="12"/>
  <c r="I289" i="12"/>
  <c r="I288" i="12"/>
  <c r="I287" i="12"/>
  <c r="I286" i="12"/>
  <c r="I285" i="12"/>
  <c r="I284" i="12"/>
  <c r="I283" i="12"/>
  <c r="H294" i="12"/>
  <c r="H293" i="12"/>
  <c r="H292" i="12"/>
  <c r="H291" i="12"/>
  <c r="H289" i="12"/>
  <c r="H288" i="12"/>
  <c r="H287" i="12"/>
  <c r="H286" i="12"/>
  <c r="H285" i="12"/>
  <c r="H284" i="12"/>
  <c r="H283" i="12"/>
  <c r="G294" i="12"/>
  <c r="G293" i="12"/>
  <c r="G292" i="12"/>
  <c r="G291" i="12"/>
  <c r="G289" i="12"/>
  <c r="G288" i="12"/>
  <c r="G287" i="12"/>
  <c r="G286" i="12"/>
  <c r="G285" i="12"/>
  <c r="G284" i="12"/>
  <c r="G283" i="12"/>
  <c r="H273" i="12"/>
  <c r="I273" i="12"/>
  <c r="G273" i="12"/>
  <c r="G274" i="12" s="1"/>
  <c r="G275" i="12" s="1"/>
  <c r="G276" i="12" s="1"/>
  <c r="Q251" i="12"/>
  <c r="R251" i="12"/>
  <c r="P251" i="12"/>
  <c r="Q250" i="12"/>
  <c r="R250" i="12"/>
  <c r="P250" i="12"/>
  <c r="Q249" i="12"/>
  <c r="R249" i="12"/>
  <c r="P249" i="12"/>
  <c r="Q248" i="12"/>
  <c r="R248" i="12"/>
  <c r="R252" i="12" s="1"/>
  <c r="R253" i="12" s="1"/>
  <c r="Q247" i="12"/>
  <c r="P247" i="12"/>
  <c r="I246" i="12"/>
  <c r="H246" i="12"/>
  <c r="G246" i="12"/>
  <c r="Q219" i="12"/>
  <c r="R219" i="12"/>
  <c r="P219" i="12"/>
  <c r="Q218" i="12"/>
  <c r="R218" i="12"/>
  <c r="P218" i="12"/>
  <c r="Q217" i="12"/>
  <c r="R217" i="12"/>
  <c r="P217" i="12"/>
  <c r="Q216" i="12"/>
  <c r="R216" i="12"/>
  <c r="P216" i="12"/>
  <c r="H212" i="12"/>
  <c r="H213" i="12" s="1"/>
  <c r="I212" i="12"/>
  <c r="G212" i="12"/>
  <c r="Q176" i="12"/>
  <c r="R176" i="12"/>
  <c r="P176" i="12"/>
  <c r="Q175" i="12"/>
  <c r="R175" i="12"/>
  <c r="Q174" i="12"/>
  <c r="R174" i="12"/>
  <c r="P174" i="12"/>
  <c r="Q173" i="12"/>
  <c r="R173" i="12"/>
  <c r="P173" i="12"/>
  <c r="Q25" i="12"/>
  <c r="R25" i="12"/>
  <c r="P25" i="12"/>
  <c r="Q24" i="12"/>
  <c r="R24" i="12"/>
  <c r="P24" i="12"/>
  <c r="Q23" i="12"/>
  <c r="R23" i="12"/>
  <c r="P23" i="12"/>
  <c r="Q22" i="12"/>
  <c r="R22" i="12"/>
  <c r="P22" i="12"/>
  <c r="Q21" i="12"/>
  <c r="R21" i="12"/>
  <c r="P21" i="12"/>
  <c r="Q19" i="12"/>
  <c r="R19" i="12"/>
  <c r="P19" i="12"/>
  <c r="Q18" i="12"/>
  <c r="R18" i="12"/>
  <c r="Q17" i="12"/>
  <c r="R17" i="12"/>
  <c r="P17" i="12"/>
  <c r="Q252" i="12"/>
  <c r="Q253" i="12" s="1"/>
  <c r="G254" i="12"/>
  <c r="P248" i="12" s="1"/>
  <c r="G231" i="12"/>
  <c r="I222" i="12"/>
  <c r="R215" i="12"/>
  <c r="R220" i="12" s="1"/>
  <c r="R221" i="12" s="1"/>
  <c r="H222" i="12"/>
  <c r="Q215" i="12" s="1"/>
  <c r="Q220" i="12" s="1"/>
  <c r="Q221" i="12" s="1"/>
  <c r="G222" i="12"/>
  <c r="P215" i="12" s="1"/>
  <c r="P220" i="12" s="1"/>
  <c r="P221" i="12" s="1"/>
  <c r="I189" i="12"/>
  <c r="R172" i="12" s="1"/>
  <c r="R177" i="12" s="1"/>
  <c r="R178" i="12" s="1"/>
  <c r="H189" i="12"/>
  <c r="Q172" i="12" s="1"/>
  <c r="Q177" i="12" s="1"/>
  <c r="Q178" i="12" s="1"/>
  <c r="G189" i="12"/>
  <c r="I187" i="12"/>
  <c r="H187" i="12"/>
  <c r="G187" i="12"/>
  <c r="L185" i="12"/>
  <c r="K185" i="12"/>
  <c r="G184" i="12"/>
  <c r="P175" i="12" s="1"/>
  <c r="M181" i="12"/>
  <c r="L181" i="12"/>
  <c r="K181" i="12"/>
  <c r="G178" i="12"/>
  <c r="H134" i="12"/>
  <c r="G122" i="12"/>
  <c r="P16" i="12" s="1"/>
  <c r="P26" i="12" s="1"/>
  <c r="P27" i="12" s="1"/>
  <c r="H121" i="12"/>
  <c r="I96" i="12"/>
  <c r="R16" i="12" s="1"/>
  <c r="R26" i="12" s="1"/>
  <c r="R27" i="12" s="1"/>
  <c r="I94" i="12"/>
  <c r="H94" i="12"/>
  <c r="Q16" i="12" s="1"/>
  <c r="Q26" i="12" s="1"/>
  <c r="Q27" i="12" s="1"/>
  <c r="G94" i="12"/>
  <c r="I89" i="12"/>
  <c r="R20" i="12" s="1"/>
  <c r="H89" i="12"/>
  <c r="G89" i="12"/>
  <c r="P20" i="12"/>
  <c r="P172" i="12"/>
  <c r="P177" i="12" s="1"/>
  <c r="P178" i="12" s="1"/>
  <c r="Q20" i="12"/>
  <c r="H290" i="12"/>
  <c r="I290" i="12"/>
  <c r="I213" i="12"/>
  <c r="G170" i="12"/>
  <c r="I170" i="12"/>
  <c r="H274" i="12"/>
  <c r="H275" i="12" s="1"/>
  <c r="H276" i="12" s="1"/>
  <c r="G213" i="12"/>
  <c r="I274" i="12"/>
  <c r="I275" i="12" s="1"/>
  <c r="I276" i="12" s="1"/>
  <c r="H170" i="12"/>
  <c r="I18" i="11"/>
  <c r="H282" i="12"/>
  <c r="H281" i="12" s="1"/>
  <c r="H295" i="12" s="1"/>
  <c r="I287" i="11"/>
  <c r="I279" i="11"/>
  <c r="I198" i="11"/>
  <c r="I230" i="11" s="1"/>
  <c r="I231" i="11" s="1"/>
  <c r="I186" i="11"/>
  <c r="I109" i="11"/>
  <c r="I99" i="11"/>
  <c r="I91" i="11"/>
  <c r="I85" i="11"/>
  <c r="I74" i="11"/>
  <c r="I53" i="11"/>
  <c r="L89" i="11"/>
  <c r="K89" i="11"/>
  <c r="J89" i="11"/>
  <c r="J325" i="11" s="1"/>
  <c r="L83" i="11"/>
  <c r="L182" i="11" s="1"/>
  <c r="L183" i="11" s="1"/>
  <c r="L316" i="11" s="1"/>
  <c r="L317" i="11" s="1"/>
  <c r="K83" i="11"/>
  <c r="K182" i="11" s="1"/>
  <c r="K183" i="11" s="1"/>
  <c r="K316" i="11" s="1"/>
  <c r="K317" i="11" s="1"/>
  <c r="J83" i="11"/>
  <c r="L238" i="11"/>
  <c r="K238" i="11"/>
  <c r="J238" i="11"/>
  <c r="J268" i="11" s="1"/>
  <c r="J315" i="11" s="1"/>
  <c r="J316" i="11" s="1"/>
  <c r="J317" i="11" s="1"/>
  <c r="K134" i="11"/>
  <c r="J119" i="11"/>
  <c r="J199" i="11"/>
  <c r="J187" i="11"/>
  <c r="J230" i="11" s="1"/>
  <c r="J231" i="11" s="1"/>
  <c r="K118" i="11"/>
  <c r="K314" i="11"/>
  <c r="J250" i="11"/>
  <c r="I254" i="11"/>
  <c r="I305" i="11"/>
  <c r="I299" i="11"/>
  <c r="I170" i="11"/>
  <c r="I166" i="11"/>
  <c r="L268" i="11"/>
  <c r="K268" i="11"/>
  <c r="I265" i="11"/>
  <c r="I235" i="11"/>
  <c r="Q196" i="11"/>
  <c r="P196" i="11"/>
  <c r="O196" i="11"/>
  <c r="J204" i="11"/>
  <c r="I256" i="11"/>
  <c r="I289" i="11"/>
  <c r="I280" i="11"/>
  <c r="I278" i="11"/>
  <c r="I263" i="11"/>
  <c r="I246" i="11"/>
  <c r="I221" i="11"/>
  <c r="I213" i="11"/>
  <c r="I206" i="11"/>
  <c r="I202" i="11"/>
  <c r="I200" i="11"/>
  <c r="I199" i="11"/>
  <c r="I114" i="11"/>
  <c r="I102" i="11"/>
  <c r="I70" i="11"/>
  <c r="I52" i="11"/>
  <c r="I51" i="11"/>
  <c r="I49" i="11"/>
  <c r="I43" i="11"/>
  <c r="I334" i="11" s="1"/>
  <c r="I42" i="11"/>
  <c r="I41" i="11"/>
  <c r="I35" i="11"/>
  <c r="I33" i="11"/>
  <c r="I32" i="11"/>
  <c r="I30" i="11"/>
  <c r="I29" i="11"/>
  <c r="I17" i="11"/>
  <c r="I335" i="11" s="1"/>
  <c r="I16" i="11"/>
  <c r="L91" i="11"/>
  <c r="P202" i="11"/>
  <c r="O202" i="11"/>
  <c r="J275" i="11"/>
  <c r="J314" i="11"/>
  <c r="L204" i="11"/>
  <c r="K204" i="11"/>
  <c r="J206" i="11"/>
  <c r="L206" i="11"/>
  <c r="K206" i="11"/>
  <c r="L340" i="11"/>
  <c r="L339" i="11"/>
  <c r="L336" i="11" s="1"/>
  <c r="L338" i="11"/>
  <c r="L337" i="11"/>
  <c r="L335" i="11"/>
  <c r="L334" i="11"/>
  <c r="L333" i="11"/>
  <c r="L332" i="11"/>
  <c r="L331" i="11"/>
  <c r="L330" i="11"/>
  <c r="L329" i="11"/>
  <c r="L328" i="11"/>
  <c r="L327" i="11"/>
  <c r="L326" i="11"/>
  <c r="K340" i="11"/>
  <c r="K339" i="11"/>
  <c r="K338" i="11"/>
  <c r="K337" i="11"/>
  <c r="K336" i="11" s="1"/>
  <c r="K335" i="11"/>
  <c r="K334" i="11"/>
  <c r="K333" i="11"/>
  <c r="K332" i="11"/>
  <c r="K331" i="11"/>
  <c r="K330" i="11"/>
  <c r="K329" i="11"/>
  <c r="K328" i="11"/>
  <c r="K324" i="11" s="1"/>
  <c r="K323" i="11" s="1"/>
  <c r="K341" i="11" s="1"/>
  <c r="K327" i="11"/>
  <c r="K326" i="11"/>
  <c r="J340" i="11"/>
  <c r="J339" i="11"/>
  <c r="J338" i="11"/>
  <c r="J337" i="11"/>
  <c r="J335" i="11"/>
  <c r="J334" i="11"/>
  <c r="J333" i="11"/>
  <c r="J332" i="11"/>
  <c r="J331" i="11"/>
  <c r="J330" i="11"/>
  <c r="J327" i="11"/>
  <c r="J326" i="11"/>
  <c r="J329" i="11"/>
  <c r="I328" i="11"/>
  <c r="I340" i="11"/>
  <c r="I339" i="11"/>
  <c r="I338" i="11"/>
  <c r="I336" i="11" s="1"/>
  <c r="I337" i="11"/>
  <c r="I332" i="11"/>
  <c r="I331" i="11"/>
  <c r="I329" i="11"/>
  <c r="I326" i="11"/>
  <c r="L325" i="11"/>
  <c r="K325" i="11"/>
  <c r="L324" i="11"/>
  <c r="L323" i="11" s="1"/>
  <c r="J336" i="11"/>
  <c r="K315" i="11"/>
  <c r="K230" i="11"/>
  <c r="K231" i="11"/>
  <c r="L230" i="11"/>
  <c r="L231" i="11"/>
  <c r="L315" i="11"/>
  <c r="I67" i="11"/>
  <c r="I325" i="11" s="1"/>
  <c r="I324" i="11" s="1"/>
  <c r="I83" i="11"/>
  <c r="I90" i="11"/>
  <c r="I272" i="11"/>
  <c r="I314" i="11"/>
  <c r="I260" i="11"/>
  <c r="I268" i="11" s="1"/>
  <c r="I257" i="11"/>
  <c r="I333" i="11"/>
  <c r="I327" i="11"/>
  <c r="I242" i="11"/>
  <c r="I75" i="11"/>
  <c r="I330" i="11"/>
  <c r="G282" i="12" l="1"/>
  <c r="G281" i="12" s="1"/>
  <c r="G295" i="12" s="1"/>
  <c r="G290" i="12"/>
  <c r="I282" i="12"/>
  <c r="I281" i="12" s="1"/>
  <c r="I295" i="12" s="1"/>
  <c r="I315" i="11"/>
  <c r="I323" i="11"/>
  <c r="I341" i="11" s="1"/>
  <c r="L341" i="11"/>
  <c r="P252" i="12"/>
  <c r="P253" i="12" s="1"/>
  <c r="I182" i="11"/>
  <c r="I183" i="11" s="1"/>
  <c r="J328" i="11"/>
  <c r="J324" i="11" s="1"/>
  <c r="J323" i="11" s="1"/>
  <c r="J341" i="11" s="1"/>
  <c r="I316" i="11" l="1"/>
  <c r="I317" i="11" s="1"/>
</calcChain>
</file>

<file path=xl/comments1.xml><?xml version="1.0" encoding="utf-8"?>
<comments xmlns="http://schemas.openxmlformats.org/spreadsheetml/2006/main">
  <authors>
    <author>Audra Cepiene</author>
    <author>Inga Mikalauskienė</author>
    <author>Rima Alisauskaite</author>
    <author>Indrė Butenienė</author>
    <author>Saulina Paulauskiene</author>
    <author>Snieguole Kacerauskaite</author>
    <author>Rima Ališauskė</author>
    <author>Snieguolė Kačerauskaitė</author>
  </authors>
  <commentList>
    <comment ref="F16" authorId="0" shapeId="0">
      <text>
        <r>
          <rPr>
            <b/>
            <sz val="9"/>
            <color indexed="81"/>
            <rFont val="Tahoma"/>
            <family val="2"/>
            <charset val="186"/>
          </rPr>
          <t xml:space="preserve">P1, </t>
        </r>
        <r>
          <rPr>
            <sz val="9"/>
            <color indexed="81"/>
            <rFont val="Tahoma"/>
            <family val="2"/>
            <charset val="186"/>
          </rPr>
          <t>2.2. Miestui, uostui ir verslui aktualių investicijų projektų įgyvendinimas (1) Baltijos-Šilutės pl. sankryžos rekonstrukcija; 2) Statybininkų pr. pratęsimas iki 141 kelio; 3) Pietinio aplinkkelio įrengimas)</t>
        </r>
      </text>
    </comment>
    <comment ref="F17" authorId="0" shapeId="0">
      <text>
        <r>
          <rPr>
            <b/>
            <sz val="9"/>
            <color indexed="81"/>
            <rFont val="Tahoma"/>
            <family val="2"/>
            <charset val="186"/>
          </rPr>
          <t xml:space="preserve">P6, </t>
        </r>
        <r>
          <rPr>
            <sz val="9"/>
            <color indexed="81"/>
            <rFont val="Tahoma"/>
            <family val="2"/>
            <charset val="186"/>
          </rPr>
          <t xml:space="preserve">Klaipėdos miesto ekonominės plėtros strategija ir įgyvendinimo veiksmų planas iki 2030 metų, 3.3.2. priemonė 
</t>
        </r>
        <r>
          <rPr>
            <b/>
            <sz val="9"/>
            <color indexed="81"/>
            <rFont val="Tahoma"/>
            <family val="2"/>
            <charset val="186"/>
          </rPr>
          <t xml:space="preserve">
</t>
        </r>
      </text>
    </comment>
    <comment ref="F20"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F23" authorId="1" shapeId="0">
      <text>
        <r>
          <rPr>
            <sz val="9"/>
            <color indexed="81"/>
            <rFont val="Tahoma"/>
            <family val="2"/>
            <charset val="186"/>
          </rPr>
          <t>P-3.1.3.1.</t>
        </r>
        <r>
          <rPr>
            <sz val="9"/>
            <color indexed="81"/>
            <rFont val="Tahoma"/>
            <family val="2"/>
            <charset val="186"/>
          </rPr>
          <t xml:space="preserve">
</t>
        </r>
      </text>
    </comment>
    <comment ref="F24" authorId="1" shapeId="0">
      <text>
        <r>
          <rPr>
            <sz val="9"/>
            <color indexed="81"/>
            <rFont val="Tahoma"/>
            <family val="2"/>
            <charset val="186"/>
          </rPr>
          <t>P-3.1.3.1.</t>
        </r>
        <r>
          <rPr>
            <sz val="9"/>
            <color indexed="81"/>
            <rFont val="Tahoma"/>
            <family val="2"/>
            <charset val="186"/>
          </rPr>
          <t xml:space="preserve">
</t>
        </r>
      </text>
    </comment>
    <comment ref="F27"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F28" authorId="0" shapeId="0">
      <text>
        <r>
          <rPr>
            <b/>
            <sz val="9"/>
            <color indexed="81"/>
            <rFont val="Tahoma"/>
            <family val="2"/>
            <charset val="186"/>
          </rPr>
          <t>P6 KEPS</t>
        </r>
        <r>
          <rPr>
            <sz val="9"/>
            <color indexed="81"/>
            <rFont val="Tahoma"/>
            <family val="2"/>
            <charset val="186"/>
          </rPr>
          <t xml:space="preserve"> 3.3.2. priemonė - modernizuoti centrinį transporto įvadą
(Baltijos prospekto sankryžos)
</t>
        </r>
        <r>
          <rPr>
            <b/>
            <sz val="9"/>
            <color indexed="81"/>
            <rFont val="Tahoma"/>
            <family val="2"/>
            <charset val="186"/>
          </rPr>
          <t xml:space="preserve">
</t>
        </r>
      </text>
    </comment>
    <comment ref="F29" authorId="0" shapeId="0">
      <text>
        <r>
          <rPr>
            <b/>
            <sz val="9"/>
            <color indexed="81"/>
            <rFont val="Tahoma"/>
            <family val="2"/>
            <charset val="186"/>
          </rPr>
          <t>P1, 4.1.1.</t>
        </r>
        <r>
          <rPr>
            <sz val="9"/>
            <color indexed="81"/>
            <rFont val="Tahoma"/>
            <family val="2"/>
            <charset val="186"/>
          </rPr>
          <t xml:space="preserve"> Pagal universalaus dizaino principus pritaikyta senamiesčio gatvių </t>
        </r>
      </text>
    </comment>
    <comment ref="O29" authorId="1" shapeId="0">
      <text>
        <r>
          <rPr>
            <sz val="9"/>
            <color indexed="81"/>
            <rFont val="Tahoma"/>
            <family val="2"/>
            <charset val="186"/>
          </rPr>
          <t xml:space="preserve">2023 m. planuojama Žvejų g., D. Vandens g., Vežėjų g., Daržų g.
</t>
        </r>
      </text>
    </comment>
    <comment ref="N30" authorId="1" shapeId="0">
      <text>
        <r>
          <rPr>
            <sz val="9"/>
            <color indexed="81"/>
            <rFont val="Tahoma"/>
            <family val="2"/>
            <charset val="186"/>
          </rPr>
          <t>Mogiliovo, Autobusų stoties, Savivaldybės, Malūno tvenkinio</t>
        </r>
      </text>
    </comment>
    <comment ref="F31"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F33" authorId="0" shapeId="0">
      <text>
        <r>
          <rPr>
            <b/>
            <sz val="9"/>
            <color indexed="81"/>
            <rFont val="Tahoma"/>
            <family val="2"/>
            <charset val="186"/>
          </rPr>
          <t>P2,</t>
        </r>
        <r>
          <rPr>
            <sz val="9"/>
            <color indexed="81"/>
            <rFont val="Tahoma"/>
            <family val="2"/>
            <charset val="186"/>
          </rPr>
          <t xml:space="preserve"> Klaipėdos miesto darnaus judumo planas (2018-09-13, T2-185) 
</t>
        </r>
      </text>
    </comment>
    <comment ref="F34" authorId="1" shapeId="0">
      <text>
        <r>
          <rPr>
            <sz val="9"/>
            <color indexed="81"/>
            <rFont val="Tahoma"/>
            <family val="2"/>
            <charset val="186"/>
          </rPr>
          <t xml:space="preserve">P-3.2.2.3., 3.1.2.2
</t>
        </r>
      </text>
    </comment>
    <comment ref="F35" authorId="0" shapeId="0">
      <text>
        <r>
          <rPr>
            <b/>
            <sz val="9"/>
            <color indexed="81"/>
            <rFont val="Tahoma"/>
            <family val="2"/>
            <charset val="186"/>
          </rPr>
          <t xml:space="preserve">P1, 4.1.1. </t>
        </r>
        <r>
          <rPr>
            <sz val="9"/>
            <color indexed="81"/>
            <rFont val="Tahoma"/>
            <family val="2"/>
            <charset val="186"/>
          </rPr>
          <t>Pagal universalaus dizaino principus pritaikyta senamiesčio gatvių</t>
        </r>
      </text>
    </comment>
    <comment ref="F37"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F39" authorId="2" shapeId="0">
      <text>
        <r>
          <rPr>
            <sz val="9"/>
            <color indexed="81"/>
            <rFont val="Tahoma"/>
            <family val="2"/>
            <charset val="186"/>
          </rPr>
          <t>P-3.2.2.3.</t>
        </r>
      </text>
    </comment>
    <comment ref="F41" authorId="3" shapeId="0">
      <text>
        <r>
          <rPr>
            <sz val="9"/>
            <color indexed="81"/>
            <rFont val="Tahoma"/>
            <family val="2"/>
            <charset val="186"/>
          </rPr>
          <t>P1, 1.1.2. Parengtas ir įgyvendintas žvyruotų kelių asfaltavimo priemonių planas siekiant asfaltuoti ne mažiau kaip 10 km žvyruotų kelių</t>
        </r>
      </text>
    </comment>
    <comment ref="M41" authorId="1" shapeId="0">
      <text>
        <r>
          <rPr>
            <sz val="9"/>
            <color indexed="81"/>
            <rFont val="Tahoma"/>
            <family val="2"/>
            <charset val="186"/>
          </rPr>
          <t xml:space="preserve">Slengių g., Lietaus g., Vaivorykštės g., Griaustinio g. , Arimų g., Vėjo g. (II dalies), Žvaigždžių g. rekonstravimas
</t>
        </r>
      </text>
    </comment>
    <comment ref="F43"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F44" authorId="2" shapeId="0">
      <text>
        <r>
          <rPr>
            <sz val="9"/>
            <color indexed="81"/>
            <rFont val="Tahoma"/>
            <family val="2"/>
            <charset val="186"/>
          </rPr>
          <t>P-3.1.3.4.</t>
        </r>
      </text>
    </comment>
    <comment ref="O46" authorId="1" shapeId="0">
      <text>
        <r>
          <rPr>
            <sz val="9"/>
            <color indexed="81"/>
            <rFont val="Tahoma"/>
            <family val="2"/>
            <charset val="186"/>
          </rPr>
          <t xml:space="preserve">2 projektai - Danės g. atkarpos nuo Laivų skg. iki Artojo g. ir pėsčiųjų ir dviračių tako nuo Atgimimo a. iki Laivų skg.
</t>
        </r>
      </text>
    </comment>
    <comment ref="F48" authorId="2" shapeId="0">
      <text>
        <r>
          <rPr>
            <sz val="9"/>
            <color indexed="81"/>
            <rFont val="Tahoma"/>
            <family val="2"/>
            <charset val="186"/>
          </rPr>
          <t>P-3.1.3.5.</t>
        </r>
      </text>
    </comment>
    <comment ref="F49" authorId="3" shapeId="0">
      <text>
        <r>
          <rPr>
            <sz val="9"/>
            <color indexed="81"/>
            <rFont val="Tahoma"/>
            <family val="2"/>
            <charset val="186"/>
          </rPr>
          <t>P1, 1.1.2. Parengtas ir įgyvendintas žvyruotų kelių asfaltavimo priemonių planas siekiant asfaltuoti ne mažiau kaip 10 km žvyruotų kelių</t>
        </r>
      </text>
    </comment>
    <comment ref="F51" authorId="2" shapeId="0">
      <text>
        <r>
          <rPr>
            <sz val="9"/>
            <color indexed="81"/>
            <rFont val="Tahoma"/>
            <family val="2"/>
            <charset val="186"/>
          </rPr>
          <t>P-3.1.3.4.</t>
        </r>
      </text>
    </comment>
    <comment ref="F53" authorId="2" shapeId="0">
      <text>
        <r>
          <rPr>
            <sz val="9"/>
            <color indexed="81"/>
            <rFont val="Tahoma"/>
            <family val="2"/>
            <charset val="186"/>
          </rPr>
          <t>P-3.1.3.4.</t>
        </r>
      </text>
    </comment>
    <comment ref="F54" authorId="0" shapeId="0">
      <text>
        <r>
          <rPr>
            <sz val="9"/>
            <color indexed="81"/>
            <rFont val="Tahoma"/>
            <family val="2"/>
            <charset val="186"/>
          </rPr>
          <t>P1, 3.6. Miesto susisiekimo sistemos tobulinimas užtikrinant didesnį gatvių tinklo pralaidumą</t>
        </r>
      </text>
    </comment>
    <comment ref="F61" authorId="0" shapeId="0">
      <text>
        <r>
          <rPr>
            <sz val="9"/>
            <color indexed="81"/>
            <rFont val="Tahoma"/>
            <family val="2"/>
            <charset val="186"/>
          </rPr>
          <t>P1, 3.6. Miesto susisiekimo sistemos tobulinimas užtikrinant didesnį gatvių tinklo pralaidumą</t>
        </r>
      </text>
    </comment>
    <comment ref="F63" authorId="2" shapeId="0">
      <text>
        <r>
          <rPr>
            <sz val="9"/>
            <color indexed="81"/>
            <rFont val="Tahoma"/>
            <family val="2"/>
            <charset val="186"/>
          </rPr>
          <t>P-3.1.3.5.</t>
        </r>
      </text>
    </comment>
    <comment ref="M64" authorId="1" shapeId="0">
      <text>
        <r>
          <rPr>
            <sz val="9"/>
            <color indexed="81"/>
            <rFont val="Tahoma"/>
            <family val="2"/>
            <charset val="186"/>
          </rPr>
          <t xml:space="preserve">Įrengtas naujas žvejų laivams skirtas slipas (aikštelė, skirta valtims nuleisti ir ištraukti iš vandens)
</t>
        </r>
      </text>
    </comment>
    <comment ref="F65" authorId="2" shapeId="0">
      <text>
        <r>
          <rPr>
            <sz val="9"/>
            <color indexed="81"/>
            <rFont val="Tahoma"/>
            <family val="2"/>
            <charset val="186"/>
          </rPr>
          <t>P-1.1.2.3.</t>
        </r>
      </text>
    </comment>
    <comment ref="G67" authorId="4" shapeId="0">
      <text>
        <r>
          <rPr>
            <sz val="9"/>
            <color indexed="81"/>
            <rFont val="Tahoma"/>
            <family val="2"/>
            <charset val="186"/>
          </rPr>
          <t>Vykdytojas - BĮ Klaipėdos paplūdimiai</t>
        </r>
      </text>
    </comment>
    <comment ref="F69" authorId="2" shapeId="0">
      <text>
        <r>
          <rPr>
            <sz val="9"/>
            <color indexed="81"/>
            <rFont val="Tahoma"/>
            <family val="2"/>
            <charset val="186"/>
          </rPr>
          <t>P-1.1.2.3.</t>
        </r>
      </text>
    </comment>
    <comment ref="F73"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F75" authorId="4" shapeId="0">
      <text>
        <r>
          <rPr>
            <sz val="9"/>
            <color indexed="81"/>
            <rFont val="Tahoma"/>
            <family val="2"/>
            <charset val="186"/>
          </rPr>
          <t>P-3.1.3.4.</t>
        </r>
      </text>
    </comment>
    <comment ref="F83"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I83" authorId="5" shapeId="0">
      <text>
        <r>
          <rPr>
            <sz val="9"/>
            <color indexed="81"/>
            <rFont val="Tahoma"/>
            <family val="2"/>
            <charset val="186"/>
          </rPr>
          <t xml:space="preserve">Žvyruotų gatvių dangų priežiūra - 140 t. €;
Akmens grindinio priežiūros darbai - 50,3 t. €;
Miesto gatvių asfaltbetonio dangų priežiūra - 831,5 t. €
</t>
        </r>
        <r>
          <rPr>
            <sz val="9"/>
            <color indexed="81"/>
            <rFont val="Tahoma"/>
            <family val="2"/>
            <charset val="186"/>
          </rPr>
          <t xml:space="preserve">
</t>
        </r>
      </text>
    </comment>
    <comment ref="F85" authorId="4" shapeId="0">
      <text>
        <r>
          <rPr>
            <sz val="9"/>
            <color indexed="81"/>
            <rFont val="Tahoma"/>
            <family val="2"/>
            <charset val="186"/>
          </rPr>
          <t>P-3.1.3.4.</t>
        </r>
      </text>
    </comment>
    <comment ref="F90"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F92" authorId="1" shapeId="0">
      <text>
        <r>
          <rPr>
            <sz val="9"/>
            <color indexed="81"/>
            <rFont val="Tahoma"/>
            <family val="2"/>
            <charset val="186"/>
          </rPr>
          <t xml:space="preserve">P-3.1.1.3.; 3.1.1.2.
</t>
        </r>
      </text>
    </comment>
    <comment ref="O93" authorId="4" shapeId="0">
      <text>
        <r>
          <rPr>
            <sz val="9"/>
            <color indexed="81"/>
            <rFont val="Tahoma"/>
            <family val="2"/>
            <charset val="186"/>
          </rPr>
          <t>1 Danės g. šaligatvių (atkarpoje nuo Muzikinio teatro iki Nr. 45 šiaurinėje pusėje) atnaujinimas pagal darbų aprašą
2 Taikos pr. šaligatvių su dviračių takais (atkarpoje nuo Sausio 15-osios g. iki Tiltų g. (abi pusės)) atnaujinimas pagal darbų aprašą</t>
        </r>
      </text>
    </comment>
    <comment ref="O95" authorId="4" shapeId="0">
      <text>
        <r>
          <rPr>
            <sz val="9"/>
            <color indexed="81"/>
            <rFont val="Tahoma"/>
            <family val="2"/>
            <charset val="186"/>
          </rPr>
          <t>Krantinės tarp Biržos tilto ir naujai įrengto dviračių-pėsčiųjų tako sutvarkymas (šalia Meridiano)</t>
        </r>
      </text>
    </comment>
    <comment ref="P96" authorId="4" shapeId="0">
      <text>
        <r>
          <rPr>
            <sz val="9"/>
            <color indexed="81"/>
            <rFont val="Tahoma"/>
            <family val="2"/>
            <charset val="186"/>
          </rPr>
          <t>Krantinės tarp Biržos tilto ir naujai įrengto dviračių-pėsčiųjų tako sutvarkymas (šalia Meridiano)</t>
        </r>
      </text>
    </comment>
    <comment ref="O97" authorId="4" shapeId="0">
      <text>
        <r>
          <rPr>
            <sz val="9"/>
            <color indexed="81"/>
            <rFont val="Tahoma"/>
            <family val="2"/>
            <charset val="186"/>
          </rPr>
          <t>Sportininkų gatvės šaligatvių kapitalinis remontas</t>
        </r>
      </text>
    </comment>
    <comment ref="P98" authorId="4" shapeId="0">
      <text>
        <r>
          <rPr>
            <sz val="9"/>
            <color indexed="81"/>
            <rFont val="Tahoma"/>
            <family val="2"/>
            <charset val="186"/>
          </rPr>
          <t>Sportininkų gatvės šaligatvių kapitalinis remontas</t>
        </r>
      </text>
    </comment>
    <comment ref="N99" authorId="4" shapeId="0">
      <text>
        <r>
          <rPr>
            <sz val="9"/>
            <color indexed="81"/>
            <rFont val="Tahoma"/>
            <family val="2"/>
            <charset val="186"/>
          </rPr>
          <t>Vyturio progimnazija; l/d „Eglutė“, Gabijos progimnazija</t>
        </r>
      </text>
    </comment>
    <comment ref="O99" authorId="4" shapeId="0">
      <text>
        <r>
          <rPr>
            <sz val="9"/>
            <color indexed="81"/>
            <rFont val="Tahoma"/>
            <family val="2"/>
            <charset val="186"/>
          </rPr>
          <t>Gilijos pradinė mokykla ir l/d Saulutė</t>
        </r>
      </text>
    </comment>
    <comment ref="F100" authorId="4" shapeId="0">
      <text>
        <r>
          <rPr>
            <sz val="9"/>
            <color indexed="81"/>
            <rFont val="Tahoma"/>
            <family val="2"/>
            <charset val="186"/>
          </rPr>
          <t>P-3.1.3.6.</t>
        </r>
      </text>
    </comment>
    <comment ref="N101" authorId="4" shapeId="0">
      <text>
        <r>
          <rPr>
            <sz val="9"/>
            <color indexed="81"/>
            <rFont val="Tahoma"/>
            <family val="2"/>
            <charset val="186"/>
          </rPr>
          <t>1. Tiltas per Smeltalę Marių gatvėje;
2. Tiltas per Smeltalę Minijos gatvėje;
3. Tiltas per Smeltalę Jūrininkų pr.
4. Viadukas per geležinkelį Taikos pr.
5. Viadukas Liepų gatvėje;
6. Viadukas H.Manto gatvėje;
7. Viadukas per geležinkelį P. Lideikio gatvėje;
8. Tiltas per Dangę Tauralaukyje;
9. Tiltas per Dangę Mokyklos gatvėje;
10. Pakeliamas tiltas per Dangę Tiltų gatvėje – Biržos tiltas;
11. Pakeliamas tiltas per Dangę Pilies gatvėje - Pilies tiltas;   
12. Tiltas per Dangę Liepų gatvėje;
13. Tiltas Pylimo g. prie Jono kalnelio Nr. 1;
14. Tiltas Pylimo g. prie Jono kalnelio Nr. 2.
15. Tiltas Priestočio gatvėje per geležinkelį
16. Tiltas Pylimo g. per fosą prie Jono kalnelio Nr. 3</t>
        </r>
        <r>
          <rPr>
            <b/>
            <sz val="9"/>
            <color indexed="81"/>
            <rFont val="Tahoma"/>
            <family val="2"/>
            <charset val="186"/>
          </rPr>
          <t xml:space="preserve">
</t>
        </r>
      </text>
    </comment>
    <comment ref="O101" authorId="4" shapeId="0">
      <text>
        <r>
          <rPr>
            <sz val="9"/>
            <color indexed="81"/>
            <rFont val="Tahoma"/>
            <family val="2"/>
            <charset val="186"/>
          </rPr>
          <t>1. Tiltas per Smeltalę Marių gatvėje;
2. Tiltas per Smeltalę Minijos gatvėje;
3. Tiltas per Smeltalę Jūrininkų pr.
4. Viadukas per geležinkelį Taikos pr.
5. Viadukas Liepų gatvėje;
6. Viadukas H.Manto gatvėje;
7. Viadukas per geležinkelį P. Lideikio gatvėje;
8. Tiltas per Dangę Tauralaukyje;
9. Tiltas per Dangę Mokyklos gatvėje;
10. Pakeliamas tiltas per Dangę Tiltų gatvėje – Biržos tiltas;
11. Pakeliamas tiltas per Dangę Pilies gatvėje - Pilies tiltas;   
12. Tiltas per Dangę Liepų gatvėje;
13. Tiltas Pylimo g. prie Jono kalnelio Nr. 1;
14. Tiltas Pylimo g. prie Jono kalnelio Nr. 2.
15. Tiltas Priestočio gatvėje per geležinkelį
16. Tiltas Pylimo g. per fosą prie Jono kalnelio Nr. 3</t>
        </r>
        <r>
          <rPr>
            <b/>
            <sz val="9"/>
            <color indexed="81"/>
            <rFont val="Tahoma"/>
            <family val="2"/>
            <charset val="186"/>
          </rPr>
          <t xml:space="preserve">
</t>
        </r>
      </text>
    </comment>
    <comment ref="M103" authorId="1" shapeId="0">
      <text>
        <r>
          <rPr>
            <sz val="9"/>
            <color indexed="81"/>
            <rFont val="Tahoma"/>
            <family val="2"/>
            <charset val="186"/>
          </rPr>
          <t xml:space="preserve">Atlikti Biržos tilto tvarkymo darbai
</t>
        </r>
      </text>
    </comment>
    <comment ref="F107" authorId="2" shapeId="0">
      <text>
        <r>
          <rPr>
            <sz val="9"/>
            <color indexed="81"/>
            <rFont val="Tahoma"/>
            <family val="2"/>
            <charset val="186"/>
          </rPr>
          <t>P-3.1.3.5.</t>
        </r>
      </text>
    </comment>
    <comment ref="N109" authorId="5" shapeId="0">
      <text>
        <r>
          <rPr>
            <sz val="9"/>
            <color indexed="81"/>
            <rFont val="Tahoma"/>
            <family val="2"/>
            <charset val="186"/>
          </rPr>
          <t>1. Projekto parengimas I etapas (Nidos g. atkarpa nuo Nidos g. 17 iki Nidos g. 13; Gilijos g. atkarpa nuo Nidos g. iki Rambyno g.; Rasos g.; Saulėlydžio g. atkarpa nuo Spindulio g. iki Saulėlydžio g. 8; Saulės g. atkarpa nuo Spindulio g. iki Rūko g.; Spindulio g.; Naktigonės g. kapitalinis remontas);
2. Projekto parengimas II etapas (Pravažiavimai tarp Molo g. ir Pamario g. (gatvės pagal pridedamą schemą); Serviso g. (gatvės atkarpos pagal pridedamą schemą); Šilo g. ir pravažiavimo kelias tarp Šilo g. ir Druskininkų g. kapitalinis remontas)</t>
        </r>
        <r>
          <rPr>
            <sz val="9"/>
            <color indexed="81"/>
            <rFont val="Tahoma"/>
            <family val="2"/>
            <charset val="186"/>
          </rPr>
          <t xml:space="preserve">
</t>
        </r>
      </text>
    </comment>
    <comment ref="F111" authorId="2" shapeId="0">
      <text>
        <r>
          <rPr>
            <sz val="9"/>
            <color indexed="81"/>
            <rFont val="Tahoma"/>
            <family val="2"/>
            <charset val="186"/>
          </rPr>
          <t>P-3.1.3.4.</t>
        </r>
      </text>
    </comment>
    <comment ref="N111" authorId="1" shapeId="0">
      <text>
        <r>
          <rPr>
            <sz val="9"/>
            <color indexed="81"/>
            <rFont val="Tahoma"/>
            <family val="2"/>
            <charset val="186"/>
          </rPr>
          <t>1. Pravažiavimai tarp Molo g. ir Pamario g. (Girulių pl.);
2. Serviso g.;
3. Šilo g.;
4. Pravažiavimo kelias tarp Šilo g. ir Druskininkų g.;
5. Nidos g. atkarpa nuo Nidos g. 17 iki Nidos g. 13;
6. Gilijos g. atkarpa nuo Nidos g. iki Rambyno g.;
7. Rasos g.;
8. Saulėlydžio atkarpa nuo Spindulio g. iki Saulėlydžio g. 8;
9. Saulės g. atkarpa nuo Spindulio g. iki Rūko g.;
10. Naktigonės g.;
11. Spindulio g.</t>
        </r>
        <r>
          <rPr>
            <b/>
            <sz val="9"/>
            <color indexed="81"/>
            <rFont val="Tahoma"/>
            <family val="2"/>
            <charset val="186"/>
          </rPr>
          <t xml:space="preserve">
</t>
        </r>
        <r>
          <rPr>
            <sz val="9"/>
            <color indexed="81"/>
            <rFont val="Tahoma"/>
            <family val="2"/>
            <charset val="186"/>
          </rPr>
          <t xml:space="preserve">
</t>
        </r>
      </text>
    </comment>
    <comment ref="O111" authorId="1" shapeId="0">
      <text>
        <r>
          <rPr>
            <sz val="9"/>
            <color indexed="81"/>
            <rFont val="Tahoma"/>
            <family val="2"/>
            <charset val="186"/>
          </rPr>
          <t xml:space="preserve">1. Rasos g., Saulėlydžio g., Saulės g., Naktigonės g., Spindulio g. 
2. Pravažiavimai tarp Molo g. ir Pamario g., Serviso g., Šilo g. ir pravažiavimo kelias tarp Šilo g.
3. Nidos g. ir Gilijos g. kapitalinio remonto. 
</t>
        </r>
      </text>
    </comment>
    <comment ref="P111" authorId="1" shapeId="0">
      <text>
        <r>
          <rPr>
            <sz val="9"/>
            <color indexed="81"/>
            <rFont val="Tahoma"/>
            <family val="2"/>
            <charset val="186"/>
          </rPr>
          <t xml:space="preserve">1. Rasos g., Saulėlydžio g., Saulės g., Naktigonės g., Spindulio g.
2. Pravažiavimai tarp Molo g. ir Pamario g., Serviso g., Šilo g. ir pravažiavimo kelias tarp Šilo g. </t>
        </r>
      </text>
    </comment>
    <comment ref="Q111" authorId="1" shapeId="0">
      <text>
        <r>
          <rPr>
            <sz val="9"/>
            <color indexed="81"/>
            <rFont val="Tahoma"/>
            <family val="2"/>
            <charset val="186"/>
          </rPr>
          <t xml:space="preserve">1. Rasos g., Saulėlydžio g., Saulės g., Naktigonės g., Spindulio g.
2. Pravažiavimai tarp Molo g. ir Pamario g., Serviso g., Šilo g. ir pravažiavimo kelias tarp Šilo g.
</t>
        </r>
      </text>
    </comment>
    <comment ref="F113" authorId="4" shapeId="0">
      <text>
        <r>
          <rPr>
            <sz val="9"/>
            <color indexed="81"/>
            <rFont val="Tahoma"/>
            <family val="2"/>
            <charset val="186"/>
          </rPr>
          <t>P-3.2.2.2.</t>
        </r>
      </text>
    </comment>
    <comment ref="E114" authorId="1" shapeId="0">
      <text>
        <r>
          <rPr>
            <sz val="9"/>
            <color indexed="81"/>
            <rFont val="Tahoma"/>
            <family val="2"/>
            <charset val="186"/>
          </rPr>
          <t>P-3.1.3.5.
2023-2025 m.</t>
        </r>
      </text>
    </comment>
    <comment ref="F121" authorId="2" shapeId="0">
      <text>
        <r>
          <rPr>
            <sz val="9"/>
            <color indexed="81"/>
            <rFont val="Tahoma"/>
            <family val="2"/>
            <charset val="186"/>
          </rPr>
          <t>P-3.1.3.6.</t>
        </r>
      </text>
    </comment>
    <comment ref="N122" authorId="1" shapeId="0">
      <text>
        <r>
          <rPr>
            <sz val="9"/>
            <color indexed="81"/>
            <rFont val="Tahoma"/>
            <family val="2"/>
            <charset val="186"/>
          </rPr>
          <t xml:space="preserve">Projekto pirkimas kartu su rangos darbais (79,0 tūkst. Eur projektui ir rangos darbams; 1,0 tūkst. Eur projekto ekspertizei) 
</t>
        </r>
      </text>
    </comment>
    <comment ref="N124" authorId="1" shapeId="0">
      <text>
        <r>
          <rPr>
            <sz val="9"/>
            <color indexed="81"/>
            <rFont val="Tahoma"/>
            <family val="2"/>
            <charset val="186"/>
          </rPr>
          <t xml:space="preserve">Kaina skaičiuota vadovaujantis Statinių statybos skaičiuojamųjų kainų palyginamaisiais ekonominiais rodikliais bei bendraisiais ekonominiais normatyvais. Priemonę inicijuoja Transporto sk. (2021-11-11 VS-8875) pagal atliktą VšĮ Transporto kompetencijų agentūros saugaus eismo tyrimą. Klausimas svarstytas Saugaus eismo 2021-09 mėn.komisijos posėdyje (protokolas ADM-530)
</t>
        </r>
      </text>
    </comment>
    <comment ref="E129" authorId="5" shapeId="0">
      <text>
        <r>
          <rPr>
            <sz val="9"/>
            <color indexed="81"/>
            <rFont val="Tahoma"/>
            <family val="2"/>
            <charset val="186"/>
          </rPr>
          <t>Susijusi su 11 pr. "Sporto ir laisvalaikio komplekso statyba (koncesijos procedūrų vykdymas)"</t>
        </r>
        <r>
          <rPr>
            <sz val="9"/>
            <color indexed="81"/>
            <rFont val="Tahoma"/>
            <family val="2"/>
            <charset val="186"/>
          </rPr>
          <t xml:space="preserve">
</t>
        </r>
      </text>
    </comment>
    <comment ref="F131" authorId="2" shapeId="0">
      <text>
        <r>
          <rPr>
            <sz val="9"/>
            <color indexed="81"/>
            <rFont val="Tahoma"/>
            <family val="2"/>
            <charset val="186"/>
          </rPr>
          <t>P-3.1.3.5.</t>
        </r>
      </text>
    </comment>
    <comment ref="F135" authorId="2" shapeId="0">
      <text>
        <r>
          <rPr>
            <sz val="9"/>
            <color indexed="81"/>
            <rFont val="Tahoma"/>
            <family val="2"/>
            <charset val="186"/>
          </rPr>
          <t>P-1.2.1.1.</t>
        </r>
      </text>
    </comment>
    <comment ref="F139" authorId="2" shapeId="0">
      <text>
        <r>
          <rPr>
            <sz val="9"/>
            <color indexed="81"/>
            <rFont val="Tahoma"/>
            <family val="2"/>
            <charset val="186"/>
          </rPr>
          <t>P-1.1.1.5.</t>
        </r>
      </text>
    </comment>
    <comment ref="F141" authorId="2" shapeId="0">
      <text>
        <r>
          <rPr>
            <sz val="9"/>
            <color indexed="81"/>
            <rFont val="Tahoma"/>
            <family val="2"/>
            <charset val="186"/>
          </rPr>
          <t>P-1.1.1.5.</t>
        </r>
      </text>
    </comment>
    <comment ref="F144" authorId="2" shapeId="0">
      <text>
        <r>
          <rPr>
            <sz val="9"/>
            <color indexed="81"/>
            <rFont val="Tahoma"/>
            <family val="2"/>
            <charset val="186"/>
          </rPr>
          <t>P-1.1.1.5.</t>
        </r>
      </text>
    </comment>
    <comment ref="F147" authorId="1" shapeId="0">
      <text>
        <r>
          <rPr>
            <sz val="9"/>
            <color indexed="81"/>
            <rFont val="Tahoma"/>
            <family val="2"/>
            <charset val="186"/>
          </rPr>
          <t xml:space="preserve">P-3.1.3.6. 2024-2025 m.
</t>
        </r>
      </text>
    </comment>
    <comment ref="F148" authorId="6" shapeId="0">
      <text>
        <r>
          <rPr>
            <sz val="9"/>
            <color indexed="81"/>
            <rFont val="Tahoma"/>
            <family val="2"/>
            <charset val="186"/>
          </rPr>
          <t>3.1.1.3.</t>
        </r>
      </text>
    </comment>
    <comment ref="F151" authorId="6" shapeId="0">
      <text>
        <r>
          <rPr>
            <sz val="9"/>
            <color indexed="81"/>
            <rFont val="Tahoma"/>
            <family val="2"/>
            <charset val="186"/>
          </rPr>
          <t>3.1.2.2.</t>
        </r>
      </text>
    </comment>
    <comment ref="F154" authorId="6" shapeId="0">
      <text>
        <r>
          <rPr>
            <sz val="9"/>
            <color indexed="81"/>
            <rFont val="Tahoma"/>
            <family val="2"/>
            <charset val="186"/>
          </rPr>
          <t>3.1.3.5.</t>
        </r>
      </text>
    </comment>
    <comment ref="F157" authorId="6" shapeId="0">
      <text>
        <r>
          <rPr>
            <sz val="9"/>
            <color indexed="81"/>
            <rFont val="Tahoma"/>
            <family val="2"/>
            <charset val="186"/>
          </rPr>
          <t>3.1.3.5.</t>
        </r>
      </text>
    </comment>
    <comment ref="E160" authorId="6" shapeId="0">
      <text>
        <r>
          <rPr>
            <sz val="9"/>
            <color indexed="81"/>
            <rFont val="Tahoma"/>
            <family val="2"/>
            <charset val="186"/>
          </rPr>
          <t>Atsiskaitymui su LAKD po teisminio proceso su rangovu</t>
        </r>
      </text>
    </comment>
    <comment ref="F160" authorId="0" shapeId="0">
      <text>
        <r>
          <rPr>
            <b/>
            <sz val="9"/>
            <color indexed="81"/>
            <rFont val="Tahoma"/>
            <family val="2"/>
            <charset val="186"/>
          </rPr>
          <t xml:space="preserve">P1, </t>
        </r>
        <r>
          <rPr>
            <sz val="9"/>
            <color indexed="81"/>
            <rFont val="Tahoma"/>
            <family val="2"/>
            <charset val="186"/>
          </rPr>
          <t>3.6. Miesto susisiekimo sistemos tobulinimas užtikrinant didesnį gatvių tinklo pralaidumą:
 1) Jūrininkų pr., 2) Pamario g., 3) Tilžės g.; 4) Šilutės pl. nuo Tilžės g. iki pervažos; 5) Pajūrio g.</t>
        </r>
      </text>
    </comment>
    <comment ref="J160" authorId="1" shapeId="0">
      <text>
        <r>
          <rPr>
            <sz val="9"/>
            <color indexed="81"/>
            <rFont val="Tahoma"/>
            <family val="2"/>
            <charset val="186"/>
          </rPr>
          <t xml:space="preserve">Neaišku, kada  ir kaip baigsis teisminiai ginčai
</t>
        </r>
      </text>
    </comment>
    <comment ref="M160" authorId="7" shapeId="0">
      <text>
        <r>
          <rPr>
            <sz val="9"/>
            <color indexed="81"/>
            <rFont val="Tahoma"/>
            <family val="2"/>
            <charset val="186"/>
          </rPr>
          <t>2021 m. atlikti gatvės (1374 m) rekonstravimo darbai</t>
        </r>
        <r>
          <rPr>
            <sz val="9"/>
            <color indexed="81"/>
            <rFont val="Tahoma"/>
            <family val="2"/>
            <charset val="186"/>
          </rPr>
          <t xml:space="preserve">
</t>
        </r>
      </text>
    </comment>
    <comment ref="F163"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F164" authorId="2" shapeId="0">
      <text>
        <r>
          <rPr>
            <sz val="9"/>
            <color indexed="81"/>
            <rFont val="Tahoma"/>
            <family val="2"/>
            <charset val="186"/>
          </rPr>
          <t>P-3.1.1.4.</t>
        </r>
      </text>
    </comment>
    <comment ref="J164" authorId="1" shapeId="0">
      <text>
        <r>
          <rPr>
            <sz val="9"/>
            <color indexed="81"/>
            <rFont val="Tahoma"/>
            <family val="2"/>
            <charset val="186"/>
          </rPr>
          <t xml:space="preserve">Rangovas vėluoja atlikti darbus, planauojama juos atnaujinti po technloginės pertraukos  2023-03-15. Rangovui skaičiuojami delspinigiai. 
</t>
        </r>
      </text>
    </comment>
    <comment ref="F170"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F171" authorId="4" shapeId="0">
      <text>
        <r>
          <rPr>
            <sz val="9"/>
            <color indexed="81"/>
            <rFont val="Tahoma"/>
            <family val="2"/>
            <charset val="186"/>
          </rPr>
          <t>P-3.1.3.4.</t>
        </r>
      </text>
    </comment>
    <comment ref="N173" authorId="1" shapeId="0">
      <text>
        <r>
          <rPr>
            <sz val="9"/>
            <color indexed="81"/>
            <rFont val="Tahoma"/>
            <family val="2"/>
            <charset val="186"/>
          </rPr>
          <t>Įgyvendinta 2021 m.</t>
        </r>
      </text>
    </comment>
    <comment ref="F178" authorId="0" shapeId="0">
      <text>
        <r>
          <rPr>
            <sz val="9"/>
            <color indexed="81"/>
            <rFont val="Tahoma"/>
            <family val="2"/>
            <charset val="186"/>
          </rPr>
          <t>Klaipėdos miesto darnaus judumo planas (2018-09-13, T2-185)</t>
        </r>
        <r>
          <rPr>
            <b/>
            <sz val="9"/>
            <color indexed="81"/>
            <rFont val="Tahoma"/>
            <family val="2"/>
            <charset val="186"/>
          </rPr>
          <t xml:space="preserve">
</t>
        </r>
        <r>
          <rPr>
            <sz val="9"/>
            <color indexed="81"/>
            <rFont val="Tahoma"/>
            <family val="2"/>
            <charset val="186"/>
          </rPr>
          <t xml:space="preserve">
</t>
        </r>
      </text>
    </comment>
    <comment ref="N178" authorId="1" shapeId="0">
      <text>
        <r>
          <rPr>
            <sz val="9"/>
            <color indexed="81"/>
            <rFont val="Tahoma"/>
            <family val="2"/>
            <charset val="186"/>
          </rPr>
          <t xml:space="preserve">Vykdant pirkimą, buvo gautas didelės vertės pasiūlymas, todėl nutrauktas pirkimas ir vadovų lygmenyje priimtas sprendimas atidėti šio projekto vykdymą ateičiai. </t>
        </r>
      </text>
    </comment>
    <comment ref="F179" authorId="2" shapeId="0">
      <text>
        <r>
          <rPr>
            <sz val="9"/>
            <color indexed="81"/>
            <rFont val="Tahoma"/>
            <family val="2"/>
            <charset val="186"/>
          </rPr>
          <t>P-3.1.1.4.</t>
        </r>
      </text>
    </comment>
    <comment ref="F186" authorId="4" shapeId="0">
      <text>
        <r>
          <rPr>
            <sz val="9"/>
            <color indexed="81"/>
            <rFont val="Tahoma"/>
            <family val="2"/>
            <charset val="186"/>
          </rPr>
          <t>P-3.1.2., 3.1.2.1., 3.1.2.2</t>
        </r>
      </text>
    </comment>
    <comment ref="F187" authorId="0" shapeId="0">
      <text>
        <r>
          <rPr>
            <b/>
            <sz val="9"/>
            <color indexed="81"/>
            <rFont val="Tahoma"/>
            <family val="2"/>
            <charset val="186"/>
          </rPr>
          <t xml:space="preserve">P1 1.3. </t>
        </r>
        <r>
          <rPr>
            <sz val="9"/>
            <color indexed="81"/>
            <rFont val="Tahoma"/>
            <family val="2"/>
            <charset val="186"/>
          </rPr>
          <t xml:space="preserve">Ekologiško bei visiems prieinamo viešojo transporto  sistemos įdiegimas
1.3.2. Socialiai jautrių visuomenės grupių (moksleiviai, studentai ir senjorai), kuriems įvestos papildomos nuolaidos įsigyjant viešojo transporto bilietus, skaičius </t>
        </r>
      </text>
    </comment>
    <comment ref="M195" authorId="4" shapeId="0">
      <text>
        <r>
          <rPr>
            <sz val="9"/>
            <color indexed="81"/>
            <rFont val="Tahoma"/>
            <family val="2"/>
            <charset val="186"/>
          </rPr>
          <t xml:space="preserve">Lengvatiniai 10 eurų bilietai: 
• pradinukų 9 mėnesių 
• senjorų nuo 70 metų metiniai
</t>
        </r>
      </text>
    </comment>
    <comment ref="M196" authorId="4" shapeId="0">
      <text>
        <r>
          <rPr>
            <sz val="9"/>
            <color indexed="81"/>
            <rFont val="Tahoma"/>
            <family val="2"/>
            <charset val="186"/>
          </rPr>
          <t>Iš kaimų ir kitų miestų važinėjantiems moksleiviams kompensuojama per sutartis su mokyklomis</t>
        </r>
      </text>
    </comment>
    <comment ref="F198" authorId="4" shapeId="0">
      <text>
        <r>
          <rPr>
            <sz val="9"/>
            <color indexed="81"/>
            <rFont val="Tahoma"/>
            <family val="2"/>
            <charset val="186"/>
          </rPr>
          <t>P-3.1.2., 3.1.2.1., 3.1.2.2</t>
        </r>
      </text>
    </comment>
    <comment ref="J199" authorId="1" shapeId="0">
      <text>
        <r>
          <rPr>
            <sz val="9"/>
            <color indexed="81"/>
            <rFont val="Tahoma"/>
            <family val="2"/>
            <charset val="186"/>
          </rPr>
          <t>2021-2022 metais didėjusios kuro kainos ir vidutinė metinė infliacija keleivių vežimo savikainą per paskutinius 12 mėn. padidino 25 proc. (lyginat su 2019-2020 m. – 41 proc.), o iki metų galo prognozuojama, jog ji didės dar 10-15 proc. Pagal esamas tendencijas 2023 m. savikaina didės 20-30 proc.</t>
        </r>
      </text>
    </comment>
    <comment ref="F202" authorId="0" shapeId="0">
      <text>
        <r>
          <rPr>
            <b/>
            <sz val="9"/>
            <color indexed="81"/>
            <rFont val="Tahoma"/>
            <family val="2"/>
            <charset val="186"/>
          </rPr>
          <t xml:space="preserve">P1 </t>
        </r>
        <r>
          <rPr>
            <sz val="9"/>
            <color indexed="81"/>
            <rFont val="Tahoma"/>
            <family val="2"/>
            <charset val="186"/>
          </rPr>
          <t>1.3.1. Parengtas ir įgyvendintas viešojo transporto parko atnaujinimo veiksmų planas siekiant padidinti alternatyviu kuru varomų viešojo transporto priemonių dalį iki 65 proc.</t>
        </r>
      </text>
    </comment>
    <comment ref="N202" authorId="1" shapeId="0">
      <text>
        <r>
          <rPr>
            <sz val="9"/>
            <color indexed="81"/>
            <rFont val="Tahoma"/>
            <family val="2"/>
            <charset val="186"/>
          </rPr>
          <t xml:space="preserve">1. 2 elektriniai autobusai Dancer;
2. 2022 m. III ketvirtyje AB „Klaipėdos autobusų parkas“  numato pradėti eksploatuoti 10 naujų elektra varomų trumpų autobusų, įsigyjamų veiklos nuomos pagrindais; 
3. 2022 m. IV ketvirtyje AB „Klaipėdos autobusų parkas“  planuoja pradėti eksploatuoti 10 naujų elektra valdomų trumpų autobusų, įsigyjamų pagal Klimato kaitos programą (APVA).
 </t>
        </r>
      </text>
    </comment>
    <comment ref="O202" authorId="4" shapeId="0">
      <text>
        <r>
          <rPr>
            <sz val="9"/>
            <color indexed="81"/>
            <rFont val="Tahoma"/>
            <family val="2"/>
            <charset val="186"/>
          </rPr>
          <t xml:space="preserve">2 ekspl. el.autobusai
10 veikl.nuomos el. autobusų (trumpi) nuo 2023.07
13 CPVA proj. el. autobusai (ilgi) nuo 2023.09
</t>
        </r>
      </text>
    </comment>
    <comment ref="P202" authorId="4" shapeId="0">
      <text>
        <r>
          <rPr>
            <sz val="9"/>
            <color indexed="81"/>
            <rFont val="Tahoma"/>
            <family val="2"/>
            <charset val="186"/>
          </rPr>
          <t xml:space="preserve">2 ekspl. el.autobusai
10 veikl.nuomos el.autobusų (trumpi) nuo 2023.07
13 CPVA proj. el. autobusai (ilgi) nuo 2023.09
10 APVA proj. el. autobusų (trumpi) nuo 2024.02
</t>
        </r>
      </text>
    </comment>
    <comment ref="J206" authorId="1" shapeId="0">
      <text>
        <r>
          <rPr>
            <sz val="9"/>
            <color indexed="81"/>
            <rFont val="Tahoma"/>
            <family val="2"/>
            <charset val="186"/>
          </rPr>
          <t>Didėjanti vežimo savikaina didina nuostolingų maršrutų subsidijos poreikį.</t>
        </r>
      </text>
    </comment>
    <comment ref="O210" authorId="4" shapeId="0">
      <text>
        <r>
          <rPr>
            <sz val="9"/>
            <color indexed="81"/>
            <rFont val="Tahoma"/>
            <family val="2"/>
            <charset val="186"/>
          </rPr>
          <t>Lėšų poreikis suskaičiuotas pagal šiuos išeitinius duomenis: 
1) navigacinis sezonas truks 180 dienų nuo kiekvienų metų balandžio 1 d.;
2) kursuos 3 vandens autobusai su 2 įkrovos stotelėmis (Senamiestis ir Tauralaukis), 12 ratų per dieną.
Pirmais metais bilietų pajamos dengtų ~50 proc. sąnaudų, vėliau jos gali mažėti. 
Kompensacija bus mokama nuo 2023-06-15.</t>
        </r>
      </text>
    </comment>
    <comment ref="F211" authorId="0" shapeId="0">
      <text>
        <r>
          <rPr>
            <sz val="9"/>
            <color indexed="81"/>
            <rFont val="Tahoma"/>
            <family val="2"/>
            <charset val="186"/>
          </rPr>
          <t xml:space="preserve">Klaipėdos miesto darnaus judumo planas (2018-09-13, T2-185)
</t>
        </r>
      </text>
    </comment>
    <comment ref="N211" authorId="1" shapeId="0">
      <text>
        <r>
          <rPr>
            <sz val="9"/>
            <color indexed="81"/>
            <rFont val="Tahoma"/>
            <family val="2"/>
            <charset val="186"/>
          </rPr>
          <t>1. Autobusų stoties stotelė, Butkų Juzės g. ties Salomėjos Nėries 16B;
2. Rumpiškės stotelė, Sausio 15-osios g. 8A;
3. Pasažo stotelė, Vingio g. 5;
4. Bibliotekos stotelė, H. Manto g. 31A.
5. Sveikatos priežiūros st., Taikos pr. 97b</t>
        </r>
      </text>
    </comment>
    <comment ref="O211" authorId="1" shapeId="0">
      <text>
        <r>
          <rPr>
            <sz val="9"/>
            <color indexed="81"/>
            <rFont val="Tahoma"/>
            <family val="2"/>
            <charset val="186"/>
          </rPr>
          <t>Elektros įvado informacinėms švieslentėms pasažo autobusų stotelėje (šalia Vingio g. 5) įrengimo darbai su projektavimu</t>
        </r>
      </text>
    </comment>
    <comment ref="F215" authorId="2" shapeId="0">
      <text>
        <r>
          <rPr>
            <sz val="9"/>
            <color indexed="81"/>
            <rFont val="Tahoma"/>
            <family val="2"/>
            <charset val="186"/>
          </rPr>
          <t>P-3.1.2.2.</t>
        </r>
      </text>
    </comment>
    <comment ref="M215" authorId="1" shapeId="0">
      <text>
        <r>
          <rPr>
            <sz val="9"/>
            <color indexed="81"/>
            <rFont val="Tahoma"/>
            <family val="2"/>
            <charset val="186"/>
          </rPr>
          <t>Prie Valstybės įmonės „Regitra“ (2 vnt.)</t>
        </r>
      </text>
    </comment>
    <comment ref="E216" authorId="1" shapeId="0">
      <text>
        <r>
          <rPr>
            <sz val="9"/>
            <color indexed="81"/>
            <rFont val="Tahoma"/>
            <family val="2"/>
            <charset val="186"/>
          </rPr>
          <t>Pagal KMS tarybos sprendimą 2020-07-30 Nr. T2-174</t>
        </r>
      </text>
    </comment>
    <comment ref="F216" authorId="1" shapeId="0">
      <text>
        <r>
          <rPr>
            <sz val="9"/>
            <color indexed="81"/>
            <rFont val="Tahoma"/>
            <family val="2"/>
            <charset val="186"/>
          </rPr>
          <t xml:space="preserve">Viešojo transporto rūšies diegimo Klaipėdos mieste gairės (2020-07-30, Nr. T2-200)
</t>
        </r>
      </text>
    </comment>
    <comment ref="O216" authorId="1" shapeId="0">
      <text>
        <r>
          <rPr>
            <sz val="9"/>
            <color indexed="81"/>
            <rFont val="Tahoma"/>
            <family val="2"/>
            <charset val="186"/>
          </rPr>
          <t>Projektą įgyvendina UAB "Klaipėdos autobusų parkas" Klimato kaitos programoje projekte "Daugiau švarios erdvės" su Savivaldybės 45 % prisidėjimu. Programos lėšas gaus UAB KAP. Tarybos sprendimas 2020-07-30 Nr.T2-174. Planuojama, kad viešasis pirkimas bus paskelbtas š.m. spalio pabaigoje. Idealiu atveju viešųjų pirkimų procedūros ir sutarties pasirašymas įvyktų  š.m. gruodžio mėn. pabaigoje. Po sutarties pasirašymo avansas (562,5 tūkst. Eur) turi būti sumokėtas per 60 d. Dėl to 2022 m. lėšos keliamos į kitus metus. Autobusų pristatymas numatomas per 12 mėn., tai atsiskaitymo laikotarpis turėtų būti  suplanuotas 2023 m. t.y. 2023 m. suplanuotos lėšos (1687,5 tūkst. Eur) keliamos į 2024 m.</t>
        </r>
      </text>
    </comment>
    <comment ref="F217"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F219" authorId="1" shapeId="0">
      <text>
        <r>
          <rPr>
            <sz val="9"/>
            <color indexed="81"/>
            <rFont val="Tahoma"/>
            <family val="2"/>
            <charset val="186"/>
          </rPr>
          <t xml:space="preserve">P-3.1.2.2.
</t>
        </r>
      </text>
    </comment>
    <comment ref="F220" authorId="1" shapeId="0">
      <text>
        <r>
          <rPr>
            <sz val="9"/>
            <color indexed="81"/>
            <rFont val="Tahoma"/>
            <family val="2"/>
            <charset val="186"/>
          </rPr>
          <t xml:space="preserve">Viešojo transporto rūšies diegimo Klaipėdos mieste gairės (2020-07-30, Nr. T2-200)
</t>
        </r>
      </text>
    </comment>
    <comment ref="M220" authorId="5" shapeId="0">
      <text>
        <r>
          <rPr>
            <sz val="9"/>
            <color indexed="81"/>
            <rFont val="Tahoma"/>
            <family val="2"/>
            <charset val="186"/>
          </rPr>
          <t xml:space="preserve">KMSA su partneriu UAB „Klaipėdos autobusų parkas“ teikiamo projekto „Klaipėdos miesto viešojo transporto priemonių parko atnaujinimas“ tikslas - pagerinti viešojo transporto paslaugų kokybę Klaipėdos mieste. Fiziškai ir morališkai pasenę autobusai neskatina gyventojų naudotis viešuoju transportu. Nudėvėtų autobusų varikliai teršia aplinką CO2 ir kitais teršalais.
Preliminari projekto  pradžia 2022 m. birželio mėn., įgyvendinimo trukmė – 18 mėn. </t>
        </r>
        <r>
          <rPr>
            <b/>
            <sz val="9"/>
            <color indexed="81"/>
            <rFont val="Tahoma"/>
            <family val="2"/>
            <charset val="186"/>
          </rPr>
          <t>KMSA prisidėjimas - 15 proc.</t>
        </r>
      </text>
    </comment>
    <comment ref="F221" authorId="2" shapeId="0">
      <text>
        <r>
          <rPr>
            <sz val="9"/>
            <color indexed="81"/>
            <rFont val="Tahoma"/>
            <family val="2"/>
            <charset val="186"/>
          </rPr>
          <t>P-3.1.2.2.</t>
        </r>
      </text>
    </comment>
    <comment ref="F224"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E225" authorId="1" shapeId="0">
      <text>
        <r>
          <rPr>
            <sz val="9"/>
            <color indexed="81"/>
            <rFont val="Tahoma"/>
            <family val="2"/>
            <charset val="186"/>
          </rPr>
          <t xml:space="preserve"> Integruojama į priemonę "Eismo valdymo sistemos modernizavimas žaliosios bangos principu Smiltelės g., Taikos pr., Tiltų g. ir Liepojos g. integruojant BRT, dviračių takų, apšvietimo ir dangų sutvarkymą"</t>
        </r>
      </text>
    </comment>
    <comment ref="F225" authorId="1" shapeId="0">
      <text>
        <r>
          <rPr>
            <sz val="9"/>
            <color indexed="81"/>
            <rFont val="Tahoma"/>
            <family val="2"/>
            <charset val="186"/>
          </rPr>
          <t xml:space="preserve">Viešojo transporto rūšies diegimo Klaipėdos mieste gairės (2020-07-30, Nr. T2-200)
</t>
        </r>
      </text>
    </comment>
    <comment ref="F228" authorId="4" shapeId="0">
      <text>
        <r>
          <rPr>
            <sz val="9"/>
            <color indexed="81"/>
            <rFont val="Tahoma"/>
            <family val="2"/>
            <charset val="186"/>
          </rPr>
          <t>P</t>
        </r>
        <r>
          <rPr>
            <b/>
            <sz val="9"/>
            <color indexed="81"/>
            <rFont val="Tahoma"/>
            <family val="2"/>
            <charset val="186"/>
          </rPr>
          <t>-</t>
        </r>
        <r>
          <rPr>
            <sz val="9"/>
            <color indexed="81"/>
            <rFont val="Tahoma"/>
            <family val="2"/>
            <charset val="186"/>
          </rPr>
          <t>3.1.2.2.</t>
        </r>
      </text>
    </comment>
    <comment ref="F233" authorId="3" shapeId="0">
      <text>
        <r>
          <rPr>
            <sz val="9"/>
            <color indexed="81"/>
            <rFont val="Tahoma"/>
            <family val="2"/>
            <charset val="186"/>
          </rPr>
          <t>P2, Klaipėdos miesto darnaus judumo planas (2018-09-13, T2-185)</t>
        </r>
      </text>
    </comment>
    <comment ref="F234" authorId="0" shapeId="0">
      <text>
        <r>
          <rPr>
            <sz val="9"/>
            <color indexed="81"/>
            <rFont val="Tahoma"/>
            <family val="2"/>
            <charset val="186"/>
          </rPr>
          <t>P-3.1.1.2.</t>
        </r>
      </text>
    </comment>
    <comment ref="I238" authorId="1" shapeId="0">
      <text>
        <r>
          <rPr>
            <sz val="9"/>
            <color indexed="81"/>
            <rFont val="Tahoma"/>
            <family val="2"/>
            <charset val="186"/>
          </rPr>
          <t>Turto patikėjimo sutartis - UAB "Gatvių apšvietimas" (2018-12-19 Nr. J9-2705)</t>
        </r>
        <r>
          <rPr>
            <sz val="9"/>
            <color indexed="81"/>
            <rFont val="Tahoma"/>
            <family val="2"/>
            <charset val="186"/>
          </rPr>
          <t xml:space="preserve">
</t>
        </r>
      </text>
    </comment>
    <comment ref="M241" authorId="4" shapeId="0">
      <text>
        <r>
          <rPr>
            <sz val="9"/>
            <color indexed="81"/>
            <rFont val="Tahoma"/>
            <family val="2"/>
            <charset val="186"/>
          </rPr>
          <t>Programinės įrangos OMNIA, skirtos koordinuoti šviesoforų darbą, papildomo funkcionalumo - viešojo transporto prioriteto modulio licencijų įsigijimas (bus mokama kas mėnesį)</t>
        </r>
      </text>
    </comment>
    <comment ref="O241" authorId="4" shapeId="0">
      <text>
        <r>
          <rPr>
            <sz val="9"/>
            <color indexed="81"/>
            <rFont val="Tahoma"/>
            <family val="2"/>
            <charset val="186"/>
          </rPr>
          <t xml:space="preserve">1 licencija - 1 šviesoforinei sankryžai reguliuoti. </t>
        </r>
      </text>
    </comment>
    <comment ref="O247" authorId="1" shapeId="0">
      <text>
        <r>
          <rPr>
            <sz val="9"/>
            <color indexed="81"/>
            <rFont val="Tahoma"/>
            <family val="2"/>
            <charset val="186"/>
          </rPr>
          <t>1. Šviesoforais reguliuojamos pėsčiųjų perėjos Dariaus ir Girėno gatvėje ties Nr. 8A.
2. Šviesoforais reguliuojamos pėsčiųjų perėjos Liepojos g. Nr. 1 (ties Panevėžio g. sankryža).
3. Šviesoforais reguliuojamos pėsčiųjų perėjos Liepojos gatvėje ties Nr. 41A.
4. Šviesoforais reguliuojamos pėsčiųjų perėjos Minijos g. Nr. 174 (ties Nendrių g. sankryža).
5. Šviesoforais reguliuojamos pėsčiųjų perėjos Smiltelės gatvėje ties Nr. 5.
6. Mokyklos g. ir Verpėjų g. sankryžos Klaipėdoje šviesoforų posto įrengimo darbai.
7. Taikos pr. ir Jachtų g. sankryžos Klaipėdoje šviesoforų posto įrengimo darbai</t>
        </r>
      </text>
    </comment>
    <comment ref="O250" authorId="1" shapeId="0">
      <text>
        <r>
          <rPr>
            <sz val="9"/>
            <color indexed="81"/>
            <rFont val="Tahoma"/>
            <family val="2"/>
            <charset val="186"/>
          </rPr>
          <t>Dviračių saugykla - Malūnininkų g. 1;
Dviračių skaičiuoklės - prie p. c. ,,Akropolis“, Taikos pr. ir prie ,,Atgimimo“ stotelės;
Kintamos informacijos kelio ženklai - P. Lideiko g.</t>
        </r>
      </text>
    </comment>
    <comment ref="Q250" authorId="4" shapeId="0">
      <text>
        <r>
          <rPr>
            <sz val="9"/>
            <color indexed="81"/>
            <rFont val="Tahoma"/>
            <family val="2"/>
            <charset val="186"/>
          </rPr>
          <t>+ Mokyklos gatvės tilto KIŽ</t>
        </r>
      </text>
    </comment>
    <comment ref="N252" authorId="1" shapeId="0">
      <text>
        <r>
          <rPr>
            <sz val="9"/>
            <color indexed="81"/>
            <rFont val="Tahoma"/>
            <family val="2"/>
            <charset val="186"/>
          </rPr>
          <t>Stotelių sąrašą, kuriose bus įrengta neregių danga, metų bėgyje pateikia Transporto skyrius atlikęs apžiūras kartu su VšĮ „Klaipėdos keleivinis transportas“</t>
        </r>
        <r>
          <rPr>
            <sz val="9"/>
            <color indexed="81"/>
            <rFont val="Tahoma"/>
            <family val="2"/>
            <charset val="186"/>
          </rPr>
          <t xml:space="preserve">
</t>
        </r>
      </text>
    </comment>
    <comment ref="F253" authorId="4" shapeId="0">
      <text>
        <r>
          <rPr>
            <sz val="9"/>
            <color indexed="81"/>
            <rFont val="Tahoma"/>
            <family val="2"/>
            <charset val="186"/>
          </rPr>
          <t>P-3.1.2.2.</t>
        </r>
      </text>
    </comment>
    <comment ref="O254" authorId="1" shapeId="0">
      <text>
        <r>
          <rPr>
            <sz val="9"/>
            <color indexed="81"/>
            <rFont val="Tahoma"/>
            <family val="2"/>
            <charset val="186"/>
          </rPr>
          <t xml:space="preserve">Debreceno g. ties 47
Reikjaviko g. ties 7
Varpų g. ties 3
Panevėžio g. 44
Žardininkų g. 18
Reikjaviko g. ties 15
</t>
        </r>
      </text>
    </comment>
    <comment ref="F255" authorId="4" shapeId="0">
      <text>
        <r>
          <rPr>
            <sz val="9"/>
            <color indexed="81"/>
            <rFont val="Tahoma"/>
            <family val="2"/>
            <charset val="186"/>
          </rPr>
          <t>P-3.1.3.6.</t>
        </r>
      </text>
    </comment>
    <comment ref="I256" authorId="1" shapeId="0">
      <text>
        <r>
          <rPr>
            <sz val="9"/>
            <color indexed="81"/>
            <rFont val="Tahoma"/>
            <family val="2"/>
            <charset val="186"/>
          </rPr>
          <t>Pasirašyta nauja sutartis mažesniu įkainiu. Įkainis buvo 31,3 proc., dabar 27,9 proc. nuo surinktos rinkliavos.</t>
        </r>
      </text>
    </comment>
    <comment ref="F257" authorId="4" shapeId="0">
      <text>
        <r>
          <rPr>
            <sz val="9"/>
            <color indexed="81"/>
            <rFont val="Tahoma"/>
            <family val="2"/>
            <charset val="186"/>
          </rPr>
          <t>P-3.1.1.5.</t>
        </r>
      </text>
    </comment>
    <comment ref="F258" authorId="0" shapeId="0">
      <text>
        <r>
          <rPr>
            <b/>
            <sz val="9"/>
            <color indexed="81"/>
            <rFont val="Tahoma"/>
            <family val="2"/>
            <charset val="186"/>
          </rPr>
          <t xml:space="preserve"> P2, </t>
        </r>
        <r>
          <rPr>
            <sz val="9"/>
            <color indexed="81"/>
            <rFont val="Tahoma"/>
            <family val="2"/>
            <charset val="186"/>
          </rPr>
          <t xml:space="preserve">Klaipėdos miesto darnaus judumo planas (2018-09-13, T2-185)
</t>
        </r>
      </text>
    </comment>
    <comment ref="Q258" authorId="1" shapeId="0">
      <text>
        <r>
          <rPr>
            <sz val="9"/>
            <color indexed="81"/>
            <rFont val="Tahoma"/>
            <family val="2"/>
            <charset val="186"/>
          </rPr>
          <t xml:space="preserve">Pasibaigus senųjų radarų sutarčiai ir  priėmus sprendimą jų daugiau neeksploatuoti, reikės išmontuoti senųjų radarų stovus ir pačius radarus
</t>
        </r>
      </text>
    </comment>
    <comment ref="F259"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1.2.5. priemonė</t>
        </r>
      </text>
    </comment>
    <comment ref="F260" authorId="4" shapeId="0">
      <text>
        <r>
          <rPr>
            <sz val="9"/>
            <color indexed="81"/>
            <rFont val="Tahoma"/>
            <family val="2"/>
            <charset val="186"/>
          </rPr>
          <t>P-2.4.3.5.</t>
        </r>
      </text>
    </comment>
    <comment ref="N260" authorId="1" shapeId="0">
      <text>
        <r>
          <rPr>
            <sz val="9"/>
            <color indexed="81"/>
            <rFont val="Tahoma"/>
            <family val="2"/>
            <charset val="186"/>
          </rPr>
          <t xml:space="preserve">Greičio matuoklio Sensys Gatso T3 Serijos korpusas su muliažu (2 x 5000 + PVM)
</t>
        </r>
      </text>
    </comment>
    <comment ref="I262" authorId="1" shapeId="0">
      <text>
        <r>
          <rPr>
            <sz val="9"/>
            <color indexed="81"/>
            <rFont val="Tahoma"/>
            <family val="2"/>
            <charset val="186"/>
          </rPr>
          <t xml:space="preserve">Didesnis poreikis, planuojama atlikti papildomai 2 kvartalų auditus, pagal bendruomenių prašymus.
</t>
        </r>
      </text>
    </comment>
    <comment ref="F267" authorId="0" shapeId="0">
      <text>
        <r>
          <rPr>
            <sz val="9"/>
            <color indexed="81"/>
            <rFont val="Tahoma"/>
            <family val="2"/>
            <charset val="186"/>
          </rPr>
          <t>P-3.1.1.2.</t>
        </r>
      </text>
    </comment>
    <comment ref="F270" authorId="0" shapeId="0">
      <text>
        <r>
          <rPr>
            <b/>
            <sz val="9"/>
            <color indexed="81"/>
            <rFont val="Tahoma"/>
            <family val="2"/>
            <charset val="186"/>
          </rPr>
          <t xml:space="preserve">P1, </t>
        </r>
        <r>
          <rPr>
            <sz val="9"/>
            <color indexed="81"/>
            <rFont val="Tahoma"/>
            <family val="2"/>
            <charset val="186"/>
          </rPr>
          <t xml:space="preserve">3.6.2. Diegiama koordinuotų eismo valdymo sistemų, vnt.
</t>
        </r>
      </text>
    </comment>
    <comment ref="F272" authorId="0" shapeId="0">
      <text>
        <r>
          <rPr>
            <sz val="9"/>
            <color indexed="81"/>
            <rFont val="Tahoma"/>
            <family val="2"/>
            <charset val="186"/>
          </rPr>
          <t xml:space="preserve">P-3.1.3.7.; 3.1.3.3.
</t>
        </r>
      </text>
    </comment>
    <comment ref="I272" authorId="1" shapeId="0">
      <text>
        <r>
          <rPr>
            <sz val="9"/>
            <color indexed="81"/>
            <rFont val="Tahoma"/>
            <family val="2"/>
            <charset val="186"/>
          </rPr>
          <t xml:space="preserve">Dalis darbų nusikėlė į 2022 m., nes visame pasaulyje dėl CoVid-19 pandemijos yra sutrikęs medžiagų tiekimas, trūksta komponentų šviesoforų postų valdymo įrangai pagaminti, todėl vėluoja medžiagų pristatymai.
</t>
        </r>
      </text>
    </comment>
    <comment ref="Q274" authorId="4" shapeId="0">
      <text>
        <r>
          <rPr>
            <sz val="9"/>
            <color indexed="81"/>
            <rFont val="Tahoma"/>
            <family val="2"/>
            <charset val="186"/>
          </rPr>
          <t>iki 2025 metų gruodžio mėn.</t>
        </r>
      </text>
    </comment>
    <comment ref="J278" authorId="1" shapeId="0">
      <text>
        <r>
          <rPr>
            <sz val="9"/>
            <color indexed="81"/>
            <rFont val="Tahoma"/>
            <family val="2"/>
            <charset val="186"/>
          </rPr>
          <t>Dėl oro sąlygų gali nebespėti įrengti kietųjų dangų (asfaltbetonio). Darbus planuojama atnaujinti po tech. pertraukos 2023-03-15.</t>
        </r>
      </text>
    </comment>
    <comment ref="F282" authorId="4" shapeId="0">
      <text>
        <r>
          <rPr>
            <sz val="9"/>
            <color indexed="81"/>
            <rFont val="Tahoma"/>
            <family val="2"/>
            <charset val="186"/>
          </rPr>
          <t>P-3.1.1.1.</t>
        </r>
      </text>
    </comment>
    <comment ref="F284" authorId="0" shapeId="0">
      <text>
        <r>
          <rPr>
            <b/>
            <sz val="9"/>
            <color indexed="81"/>
            <rFont val="Tahoma"/>
            <family val="2"/>
            <charset val="186"/>
          </rPr>
          <t>P6 KEPS 6.1.5.</t>
        </r>
        <r>
          <rPr>
            <sz val="9"/>
            <color indexed="81"/>
            <rFont val="Tahoma"/>
            <family val="2"/>
            <charset val="186"/>
          </rPr>
          <t xml:space="preserve"> Sukurti Klaipėdos regione elektriniam transportui pritaikytą infrastruktūrą</t>
        </r>
      </text>
    </comment>
    <comment ref="N285" authorId="1" shapeId="0">
      <text>
        <r>
          <rPr>
            <sz val="9"/>
            <color indexed="81"/>
            <rFont val="Tahoma"/>
            <family val="2"/>
            <charset val="186"/>
          </rPr>
          <t>Elektromobilių įkrovimo stotelių įrengimas nusikėlė į 2022 m. Pačios stotelės jau pastatytos, bet dar ne visos veikia, nes ESO jų nepajungė. Taip pat stotelių įrengimas kainavo daugiau nei planuota. Nebuvo įvertinta ESO dalis.</t>
        </r>
        <r>
          <rPr>
            <sz val="9"/>
            <color indexed="81"/>
            <rFont val="Tahoma"/>
            <family val="2"/>
            <charset val="186"/>
          </rPr>
          <t xml:space="preserve">
</t>
        </r>
      </text>
    </comment>
    <comment ref="F286"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1.2.7. priemonė</t>
        </r>
      </text>
    </comment>
    <comment ref="F287" authorId="0" shapeId="0">
      <text>
        <r>
          <rPr>
            <sz val="9"/>
            <color indexed="81"/>
            <rFont val="Tahoma"/>
            <family val="2"/>
            <charset val="186"/>
          </rPr>
          <t>P2 Klaipėdos miesto darnaus judumo planas (2018-09-13, T2-185)</t>
        </r>
      </text>
    </comment>
    <comment ref="F289" authorId="4" shapeId="0">
      <text>
        <r>
          <rPr>
            <sz val="9"/>
            <color indexed="81"/>
            <rFont val="Tahoma"/>
            <family val="2"/>
            <charset val="186"/>
          </rPr>
          <t>P-1.2.1.3., 3.1.2.3.</t>
        </r>
      </text>
    </comment>
    <comment ref="H290" authorId="4" shapeId="0">
      <text>
        <r>
          <rPr>
            <sz val="9"/>
            <color indexed="81"/>
            <rFont val="Tahoma"/>
            <family val="2"/>
            <charset val="186"/>
          </rPr>
          <t>Vykdytojas BĮ Klaipėdos paplūdimiai</t>
        </r>
      </text>
    </comment>
    <comment ref="E292" authorId="1" shapeId="0">
      <text>
        <r>
          <rPr>
            <sz val="9"/>
            <color indexed="81"/>
            <rFont val="Tahoma"/>
            <family val="2"/>
            <charset val="186"/>
          </rPr>
          <t xml:space="preserve">Eismo valdymo sistemos modernizavimas žaliosios bangos principu
</t>
        </r>
      </text>
    </comment>
    <comment ref="F292" authorId="6" shapeId="0">
      <text>
        <r>
          <rPr>
            <sz val="9"/>
            <color indexed="81"/>
            <rFont val="Tahoma"/>
            <family val="2"/>
            <charset val="186"/>
          </rPr>
          <t>3.1.2.2.; 3.1.3.3.</t>
        </r>
      </text>
    </comment>
    <comment ref="F293" authorId="1" shapeId="0">
      <text>
        <r>
          <rPr>
            <sz val="9"/>
            <color indexed="81"/>
            <rFont val="Tahoma"/>
            <family val="2"/>
            <charset val="186"/>
          </rPr>
          <t xml:space="preserve">Viešojo transporto rūšies diegimo Klaipėdos mieste gairės (2020-07-30, Nr. T2-200)
</t>
        </r>
      </text>
    </comment>
    <comment ref="F296" authorId="6" shapeId="0">
      <text>
        <r>
          <rPr>
            <sz val="9"/>
            <color indexed="81"/>
            <rFont val="Tahoma"/>
            <family val="2"/>
            <charset val="186"/>
          </rPr>
          <t>3.1.2.2.</t>
        </r>
      </text>
    </comment>
    <comment ref="F299" authorId="0" shapeId="0">
      <text>
        <r>
          <rPr>
            <b/>
            <sz val="9"/>
            <color indexed="81"/>
            <rFont val="Tahoma"/>
            <family val="2"/>
            <charset val="186"/>
          </rPr>
          <t xml:space="preserve">P1 1.3. </t>
        </r>
        <r>
          <rPr>
            <sz val="9"/>
            <color indexed="81"/>
            <rFont val="Tahoma"/>
            <family val="2"/>
            <charset val="186"/>
          </rPr>
          <t>Ekologiško bei visiems prieinamo viešojo transporto  sistemos įdiegimas</t>
        </r>
      </text>
    </comment>
    <comment ref="M299" authorId="5" shapeId="0">
      <text>
        <r>
          <rPr>
            <sz val="9"/>
            <color indexed="81"/>
            <rFont val="Tahoma"/>
            <family val="2"/>
            <charset val="186"/>
          </rPr>
          <t xml:space="preserve">Projekto įgyvendinimas pratęstas iki 2022-08-31
</t>
        </r>
      </text>
    </comment>
    <comment ref="F300" authorId="0" shapeId="0">
      <text>
        <r>
          <rPr>
            <b/>
            <sz val="9"/>
            <color indexed="81"/>
            <rFont val="Tahoma"/>
            <family val="2"/>
            <charset val="186"/>
          </rPr>
          <t xml:space="preserve">P2 </t>
        </r>
        <r>
          <rPr>
            <sz val="9"/>
            <color indexed="81"/>
            <rFont val="Tahoma"/>
            <family val="2"/>
            <charset val="186"/>
          </rPr>
          <t xml:space="preserve">Klaipėdos miesto darnaus judumo planas (2018-09-13, T2-185)
</t>
        </r>
      </text>
    </comment>
    <comment ref="F302" authorId="0" shapeId="0">
      <text>
        <r>
          <rPr>
            <sz val="9"/>
            <color indexed="81"/>
            <rFont val="Tahoma"/>
            <family val="2"/>
            <charset val="186"/>
          </rPr>
          <t xml:space="preserve">P-3.1.1.1.
</t>
        </r>
      </text>
    </comment>
    <comment ref="F303" authorId="0" shapeId="0">
      <text>
        <r>
          <rPr>
            <b/>
            <sz val="9"/>
            <color indexed="81"/>
            <rFont val="Tahoma"/>
            <family val="2"/>
            <charset val="186"/>
          </rPr>
          <t xml:space="preserve">KEPS 3.3.4. </t>
        </r>
        <r>
          <rPr>
            <sz val="9"/>
            <color indexed="81"/>
            <rFont val="Tahoma"/>
            <family val="2"/>
            <charset val="186"/>
          </rPr>
          <t xml:space="preserve">Formuoti pagrindinę greitojo viešojo transporto ašį, įrengiant tramvajaus sistemą ar įsigyjant kitų transporto alternatyvų 
</t>
        </r>
      </text>
    </comment>
    <comment ref="F305" authorId="0" shapeId="0">
      <text>
        <r>
          <rPr>
            <sz val="9"/>
            <color indexed="81"/>
            <rFont val="Tahoma"/>
            <family val="2"/>
            <charset val="186"/>
          </rPr>
          <t>P2 Klaipėdos miesto darnaus judumo planas (2018-09-13, T2-185)</t>
        </r>
      </text>
    </comment>
    <comment ref="F307" authorId="0" shapeId="0">
      <text>
        <r>
          <rPr>
            <sz val="9"/>
            <color indexed="81"/>
            <rFont val="Tahoma"/>
            <family val="2"/>
            <charset val="186"/>
          </rPr>
          <t xml:space="preserve">P-3.1.1.1.
</t>
        </r>
      </text>
    </comment>
    <comment ref="F308" authorId="0" shapeId="0">
      <text>
        <r>
          <rPr>
            <sz val="9"/>
            <color indexed="81"/>
            <rFont val="Tahoma"/>
            <family val="2"/>
            <charset val="186"/>
          </rPr>
          <t xml:space="preserve">P-3.1.1.1.
</t>
        </r>
      </text>
    </comment>
    <comment ref="F309" authorId="0" shapeId="0">
      <text>
        <r>
          <rPr>
            <sz val="9"/>
            <color indexed="81"/>
            <rFont val="Tahoma"/>
            <family val="2"/>
            <charset val="186"/>
          </rPr>
          <t>P2 Klaipėdos miesto darnaus judumo planas (2018-09-13, T2-185)</t>
        </r>
      </text>
    </comment>
    <comment ref="F311" authorId="0" shapeId="0">
      <text>
        <r>
          <rPr>
            <sz val="9"/>
            <color indexed="81"/>
            <rFont val="Tahoma"/>
            <family val="2"/>
            <charset val="186"/>
          </rPr>
          <t xml:space="preserve">P-3.1.1.2 </t>
        </r>
      </text>
    </comment>
    <comment ref="N311" authorId="1" shapeId="0">
      <text>
        <r>
          <rPr>
            <sz val="9"/>
            <color indexed="81"/>
            <rFont val="Tahoma"/>
            <family val="2"/>
            <charset val="186"/>
          </rPr>
          <t>Dviračių saugykla - Malūnininkų g. 1;
Dviračių skaičiuoklės - prie p. c. ,,Akropolis“, Taikos pr. ir prie ,,Atgimimo“ stotelės;
Kintamos informacijos kelio ženklai - P. Lideiko g.</t>
        </r>
      </text>
    </comment>
    <comment ref="F313" authorId="0" shapeId="0">
      <text>
        <r>
          <rPr>
            <b/>
            <sz val="9"/>
            <color indexed="81"/>
            <rFont val="Tahoma"/>
            <family val="2"/>
            <charset val="186"/>
          </rPr>
          <t>KEPS 6.1.5.</t>
        </r>
        <r>
          <rPr>
            <sz val="9"/>
            <color indexed="81"/>
            <rFont val="Tahoma"/>
            <family val="2"/>
            <charset val="186"/>
          </rPr>
          <t xml:space="preserve"> Sukurti Klaipėdos regione elektriniam transportui pritaikytą infrastruktūrą</t>
        </r>
      </text>
    </comment>
  </commentList>
</comments>
</file>

<file path=xl/comments2.xml><?xml version="1.0" encoding="utf-8"?>
<comments xmlns="http://schemas.openxmlformats.org/spreadsheetml/2006/main">
  <authors>
    <author>Audra Cepiene</author>
    <author>Inga Mikalauskienė</author>
    <author>Rima Alisauskaite</author>
    <author>Indrė Butenienė</author>
    <author>Saulina Paulauskiene</author>
    <author>Snieguole Kacerauskaite</author>
    <author>Rima Ališauskė</author>
    <author>Snieguolė Kačerauskaitė</author>
  </authors>
  <commentList>
    <comment ref="E26" authorId="0" shapeId="0">
      <text>
        <r>
          <rPr>
            <b/>
            <sz val="9"/>
            <color indexed="81"/>
            <rFont val="Tahoma"/>
            <family val="2"/>
            <charset val="186"/>
          </rPr>
          <t xml:space="preserve">P1, </t>
        </r>
        <r>
          <rPr>
            <sz val="9"/>
            <color indexed="81"/>
            <rFont val="Tahoma"/>
            <family val="2"/>
            <charset val="186"/>
          </rPr>
          <t>2.2. Miestui, uostui ir verslui aktualių investicijų projektų įgyvendinimas (1) Baltijos-Šilutės pl. sankryžos rekonstrukcija; 2) Statybininkų pr. pratęsimas iki 141 kelio; 3) Pietinio aplinkkelio įrengimas)</t>
        </r>
      </text>
    </comment>
    <comment ref="E27" authorId="0" shapeId="0">
      <text>
        <r>
          <rPr>
            <b/>
            <sz val="9"/>
            <color indexed="81"/>
            <rFont val="Tahoma"/>
            <family val="2"/>
            <charset val="186"/>
          </rPr>
          <t xml:space="preserve">P6, </t>
        </r>
        <r>
          <rPr>
            <sz val="9"/>
            <color indexed="81"/>
            <rFont val="Tahoma"/>
            <family val="2"/>
            <charset val="186"/>
          </rPr>
          <t xml:space="preserve">Klaipėdos miesto ekonominės plėtros strategija ir įgyvendinimo veiksmų planas iki 2030 metų, 3.3.2. priemonė 
</t>
        </r>
        <r>
          <rPr>
            <b/>
            <sz val="9"/>
            <color indexed="81"/>
            <rFont val="Tahoma"/>
            <family val="2"/>
            <charset val="186"/>
          </rPr>
          <t xml:space="preserve">
</t>
        </r>
      </text>
    </comment>
    <comment ref="E30"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E31" authorId="1" shapeId="0">
      <text>
        <r>
          <rPr>
            <sz val="9"/>
            <color indexed="81"/>
            <rFont val="Tahoma"/>
            <family val="2"/>
            <charset val="186"/>
          </rPr>
          <t>P-3.1.3.1.</t>
        </r>
        <r>
          <rPr>
            <sz val="9"/>
            <color indexed="81"/>
            <rFont val="Tahoma"/>
            <family val="2"/>
            <charset val="186"/>
          </rPr>
          <t xml:space="preserve">
</t>
        </r>
      </text>
    </comment>
    <comment ref="E32" authorId="1" shapeId="0">
      <text>
        <r>
          <rPr>
            <sz val="9"/>
            <color indexed="81"/>
            <rFont val="Tahoma"/>
            <family val="2"/>
            <charset val="186"/>
          </rPr>
          <t>P-3.1.3.1.</t>
        </r>
        <r>
          <rPr>
            <sz val="9"/>
            <color indexed="81"/>
            <rFont val="Tahoma"/>
            <family val="2"/>
            <charset val="186"/>
          </rPr>
          <t xml:space="preserve">
</t>
        </r>
      </text>
    </comment>
    <comment ref="E35"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E36" authorId="0" shapeId="0">
      <text>
        <r>
          <rPr>
            <b/>
            <sz val="9"/>
            <color indexed="81"/>
            <rFont val="Tahoma"/>
            <family val="2"/>
            <charset val="186"/>
          </rPr>
          <t>P6 KEPS</t>
        </r>
        <r>
          <rPr>
            <sz val="9"/>
            <color indexed="81"/>
            <rFont val="Tahoma"/>
            <family val="2"/>
            <charset val="186"/>
          </rPr>
          <t xml:space="preserve"> 3.3.2. priemonė - modernizuoti centrinį transporto įvadą (Baltijos prospekto sankryžos)
</t>
        </r>
        <r>
          <rPr>
            <b/>
            <sz val="9"/>
            <color indexed="81"/>
            <rFont val="Tahoma"/>
            <family val="2"/>
            <charset val="186"/>
          </rPr>
          <t xml:space="preserve">
</t>
        </r>
      </text>
    </comment>
    <comment ref="E37" authorId="0" shapeId="0">
      <text>
        <r>
          <rPr>
            <b/>
            <sz val="9"/>
            <color indexed="81"/>
            <rFont val="Tahoma"/>
            <family val="2"/>
            <charset val="186"/>
          </rPr>
          <t>P1, 4.1.1.</t>
        </r>
        <r>
          <rPr>
            <sz val="9"/>
            <color indexed="81"/>
            <rFont val="Tahoma"/>
            <family val="2"/>
            <charset val="186"/>
          </rPr>
          <t xml:space="preserve"> Pagal universalaus dizaino principus pritaikyta senamiesčio gatvių </t>
        </r>
      </text>
    </comment>
    <comment ref="K37" authorId="1" shapeId="0">
      <text>
        <r>
          <rPr>
            <sz val="9"/>
            <color indexed="81"/>
            <rFont val="Tahoma"/>
            <family val="2"/>
            <charset val="186"/>
          </rPr>
          <t xml:space="preserve">2023 m. planuojama Žvejų g., D. Vandens g., Vežėjų g., Daržų g.
</t>
        </r>
      </text>
    </comment>
    <comment ref="E39"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E41" authorId="0" shapeId="0">
      <text>
        <r>
          <rPr>
            <b/>
            <sz val="9"/>
            <color indexed="81"/>
            <rFont val="Tahoma"/>
            <family val="2"/>
            <charset val="186"/>
          </rPr>
          <t>P2,</t>
        </r>
        <r>
          <rPr>
            <sz val="9"/>
            <color indexed="81"/>
            <rFont val="Tahoma"/>
            <family val="2"/>
            <charset val="186"/>
          </rPr>
          <t xml:space="preserve"> Klaipėdos miesto darnaus judumo planas (2018-09-13, T2-185) 
</t>
        </r>
      </text>
    </comment>
    <comment ref="E42" authorId="1" shapeId="0">
      <text>
        <r>
          <rPr>
            <sz val="9"/>
            <color indexed="81"/>
            <rFont val="Tahoma"/>
            <family val="2"/>
            <charset val="186"/>
          </rPr>
          <t xml:space="preserve">P-3.2.2.3., 3.1.2.2
</t>
        </r>
      </text>
    </comment>
    <comment ref="E43" authorId="0" shapeId="0">
      <text>
        <r>
          <rPr>
            <b/>
            <sz val="9"/>
            <color indexed="81"/>
            <rFont val="Tahoma"/>
            <family val="2"/>
            <charset val="186"/>
          </rPr>
          <t xml:space="preserve">P1, 4.1.1. </t>
        </r>
        <r>
          <rPr>
            <sz val="9"/>
            <color indexed="81"/>
            <rFont val="Tahoma"/>
            <family val="2"/>
            <charset val="186"/>
          </rPr>
          <t xml:space="preserve">Pagal universalaus dizaino principus pritaikyta senamiesčio gatvių </t>
        </r>
      </text>
    </comment>
    <comment ref="E45"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E47" authorId="2" shapeId="0">
      <text>
        <r>
          <rPr>
            <sz val="9"/>
            <color indexed="81"/>
            <rFont val="Tahoma"/>
            <family val="2"/>
            <charset val="186"/>
          </rPr>
          <t>P-3.2.2.3.</t>
        </r>
      </text>
    </comment>
    <comment ref="E49" authorId="3" shapeId="0">
      <text>
        <r>
          <rPr>
            <sz val="9"/>
            <color indexed="81"/>
            <rFont val="Tahoma"/>
            <family val="2"/>
            <charset val="186"/>
          </rPr>
          <t>P1, 1.1.2. Parengtas ir įgyvendintas žvyruotų kelių asfaltavimo priemonių planas siekiant asfaltuoti ne mažiau kaip 10 km žvyruotų kelių</t>
        </r>
      </text>
    </comment>
    <comment ref="J49" authorId="1" shapeId="0">
      <text>
        <r>
          <rPr>
            <sz val="9"/>
            <color indexed="81"/>
            <rFont val="Tahoma"/>
            <family val="2"/>
            <charset val="186"/>
          </rPr>
          <t xml:space="preserve">Slengių g., Lietaus g., Vaivorykštės g., Griaustinio g. , Arimų g., Vėjo g. (II dalies), Žvaigždžių g. rekonstravimas
</t>
        </r>
      </text>
    </comment>
    <comment ref="E51"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E52" authorId="2" shapeId="0">
      <text>
        <r>
          <rPr>
            <sz val="9"/>
            <color indexed="81"/>
            <rFont val="Tahoma"/>
            <family val="2"/>
            <charset val="186"/>
          </rPr>
          <t>P-3.1.3.4.</t>
        </r>
      </text>
    </comment>
    <comment ref="K55" authorId="1" shapeId="0">
      <text>
        <r>
          <rPr>
            <sz val="9"/>
            <color indexed="81"/>
            <rFont val="Tahoma"/>
            <family val="2"/>
            <charset val="186"/>
          </rPr>
          <t xml:space="preserve">Ruožo nuo Laivų skg. iki Artojo g. </t>
        </r>
      </text>
    </comment>
    <comment ref="E57" authorId="2" shapeId="0">
      <text>
        <r>
          <rPr>
            <sz val="9"/>
            <color indexed="81"/>
            <rFont val="Tahoma"/>
            <family val="2"/>
            <charset val="186"/>
          </rPr>
          <t>P-3.1.3.5.</t>
        </r>
      </text>
    </comment>
    <comment ref="E58" authorId="3" shapeId="0">
      <text>
        <r>
          <rPr>
            <sz val="9"/>
            <color indexed="81"/>
            <rFont val="Tahoma"/>
            <family val="2"/>
            <charset val="186"/>
          </rPr>
          <t>P1, 1.1.2. Parengtas ir įgyvendintas žvyruotų kelių asfaltavimo priemonių planas siekiant asfaltuoti ne mažiau kaip 10 km žvyruotų kelių, vnt</t>
        </r>
      </text>
    </comment>
    <comment ref="E60" authorId="2" shapeId="0">
      <text>
        <r>
          <rPr>
            <sz val="9"/>
            <color indexed="81"/>
            <rFont val="Tahoma"/>
            <family val="2"/>
            <charset val="186"/>
          </rPr>
          <t>P-3.1.3.4.</t>
        </r>
      </text>
    </comment>
    <comment ref="E62" authorId="2" shapeId="0">
      <text>
        <r>
          <rPr>
            <sz val="9"/>
            <color indexed="81"/>
            <rFont val="Tahoma"/>
            <family val="2"/>
            <charset val="186"/>
          </rPr>
          <t>P-3.1.3.4.</t>
        </r>
      </text>
    </comment>
    <comment ref="E63" authorId="0" shapeId="0">
      <text>
        <r>
          <rPr>
            <sz val="9"/>
            <color indexed="81"/>
            <rFont val="Tahoma"/>
            <family val="2"/>
            <charset val="186"/>
          </rPr>
          <t xml:space="preserve">P1, 3.6. Miesto susisiekimo sistemos tobulinimas užtikrinant didesnį gatvių tinklo pralaidumą
</t>
        </r>
      </text>
    </comment>
    <comment ref="E69" authorId="0" shapeId="0">
      <text>
        <r>
          <rPr>
            <sz val="9"/>
            <color indexed="81"/>
            <rFont val="Tahoma"/>
            <family val="2"/>
            <charset val="186"/>
          </rPr>
          <t>P1, 3.6. Miesto susisiekimo sistemos tobulinimas užtikrinant didesnį gatvių tinklo pralaidumą;</t>
        </r>
      </text>
    </comment>
    <comment ref="E71" authorId="2" shapeId="0">
      <text>
        <r>
          <rPr>
            <sz val="9"/>
            <color indexed="81"/>
            <rFont val="Tahoma"/>
            <family val="2"/>
            <charset val="186"/>
          </rPr>
          <t>P-3.1.3.5.</t>
        </r>
      </text>
    </comment>
    <comment ref="J72" authorId="1" shapeId="0">
      <text>
        <r>
          <rPr>
            <sz val="9"/>
            <color indexed="81"/>
            <rFont val="Tahoma"/>
            <family val="2"/>
            <charset val="186"/>
          </rPr>
          <t xml:space="preserve">Įrengtas naujas žvejų laivams skirtas slipas (aikštelė, skirta valtims nuleisti ir ištraukti iš vandens)
</t>
        </r>
      </text>
    </comment>
    <comment ref="E73" authorId="2" shapeId="0">
      <text>
        <r>
          <rPr>
            <sz val="9"/>
            <color indexed="81"/>
            <rFont val="Tahoma"/>
            <family val="2"/>
            <charset val="186"/>
          </rPr>
          <t>P-1.1.2.3.</t>
        </r>
      </text>
    </comment>
    <comment ref="E77" authorId="2" shapeId="0">
      <text>
        <r>
          <rPr>
            <sz val="9"/>
            <color indexed="81"/>
            <rFont val="Tahoma"/>
            <family val="2"/>
            <charset val="186"/>
          </rPr>
          <t>P-1.1.2.3.</t>
        </r>
      </text>
    </comment>
    <comment ref="E81"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E83" authorId="4" shapeId="0">
      <text>
        <r>
          <rPr>
            <sz val="9"/>
            <color indexed="81"/>
            <rFont val="Tahoma"/>
            <family val="2"/>
            <charset val="186"/>
          </rPr>
          <t>P-3.1.3.4.</t>
        </r>
      </text>
    </comment>
    <comment ref="E89"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E91" authorId="4" shapeId="0">
      <text>
        <r>
          <rPr>
            <sz val="9"/>
            <color indexed="81"/>
            <rFont val="Tahoma"/>
            <family val="2"/>
            <charset val="186"/>
          </rPr>
          <t>P-3.1.3.4.</t>
        </r>
      </text>
    </comment>
    <comment ref="E95"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E97" authorId="1" shapeId="0">
      <text>
        <r>
          <rPr>
            <sz val="9"/>
            <color indexed="81"/>
            <rFont val="Tahoma"/>
            <family val="2"/>
            <charset val="186"/>
          </rPr>
          <t xml:space="preserve">P-3.1.1.3.; 3.1.1.2.
</t>
        </r>
      </text>
    </comment>
    <comment ref="K98" authorId="4" shapeId="0">
      <text>
        <r>
          <rPr>
            <sz val="9"/>
            <color indexed="81"/>
            <rFont val="Tahoma"/>
            <family val="2"/>
            <charset val="186"/>
          </rPr>
          <t>1 Danės g. šaligatvių (atkarpoje nuo Muzikinio teatro iki Nr. 45 šiaurinėje pusėje) atnaujinimas pagal darbų aprašą
2 Taikos pr. šaligatvių su dviračių takais (atkarpoje nuo Sausio 15-osios g. iki Tiltų g. (abi pusės)) atnaujinimas pagal darbų aprašą</t>
        </r>
      </text>
    </comment>
    <comment ref="K100" authorId="4" shapeId="0">
      <text>
        <r>
          <rPr>
            <sz val="9"/>
            <color indexed="81"/>
            <rFont val="Tahoma"/>
            <family val="2"/>
            <charset val="186"/>
          </rPr>
          <t>Krantinės tarp Biržos tilto ir naujai įrengto dviračių-pėsčiųjų tako sutvarkymas (šalia Meridiano)</t>
        </r>
      </text>
    </comment>
    <comment ref="L101" authorId="4" shapeId="0">
      <text>
        <r>
          <rPr>
            <sz val="9"/>
            <color indexed="81"/>
            <rFont val="Tahoma"/>
            <family val="2"/>
            <charset val="186"/>
          </rPr>
          <t>Krantinės tarp Biržos tilto ir naujai įrengto dviračių-pėsčiųjų tako sutvarkymas (šalia Meridiano)</t>
        </r>
      </text>
    </comment>
    <comment ref="K102" authorId="4" shapeId="0">
      <text>
        <r>
          <rPr>
            <sz val="9"/>
            <color indexed="81"/>
            <rFont val="Tahoma"/>
            <family val="2"/>
            <charset val="186"/>
          </rPr>
          <t>Sportininkų gatvės šaligatvių kapitalinis remontas</t>
        </r>
      </text>
    </comment>
    <comment ref="L103" authorId="4" shapeId="0">
      <text>
        <r>
          <rPr>
            <sz val="9"/>
            <color indexed="81"/>
            <rFont val="Tahoma"/>
            <family val="2"/>
            <charset val="186"/>
          </rPr>
          <t>Sportininkų gatvės šaligatvių kapitalinis remontas</t>
        </r>
      </text>
    </comment>
    <comment ref="K104" authorId="4" shapeId="0">
      <text>
        <r>
          <rPr>
            <sz val="9"/>
            <color indexed="81"/>
            <rFont val="Tahoma"/>
            <family val="2"/>
            <charset val="186"/>
          </rPr>
          <t>Gilijos pradinė mokykla ir l/d Saulutė</t>
        </r>
      </text>
    </comment>
    <comment ref="E105" authorId="4" shapeId="0">
      <text>
        <r>
          <rPr>
            <sz val="9"/>
            <color indexed="81"/>
            <rFont val="Tahoma"/>
            <family val="2"/>
            <charset val="186"/>
          </rPr>
          <t>P-3.1.3.6.</t>
        </r>
      </text>
    </comment>
    <comment ref="K106" authorId="4" shapeId="0">
      <text>
        <r>
          <rPr>
            <sz val="9"/>
            <color indexed="81"/>
            <rFont val="Tahoma"/>
            <family val="2"/>
            <charset val="186"/>
          </rPr>
          <t>1. Tiltas per Smeltalę Marių gatvėje;
2. Tiltas per Smeltalę Minijos gatvėje;
3. Tiltas per Smeltalę Jūrininkų pr.
4. Viadukas per geležinkelį Taikos pr.
5. Viadukas Liepų gatvėje;
6. Viadukas H.Manto gatvėje;
7. Viadukas per geležinkelį P. Lideikio gatvėje;
8. Tiltas per Dangę Tauralaukyje;
9. Tiltas per Dangę Mokyklos gatvėje;
10. Pakeliamas tiltas per Dangę Tiltų gatvėje – Biržos tiltas;
11. Pakeliamas tiltas per Dangę Pilies gatvėje - Pilies tiltas;   
12. Tiltas per Dangę Liepų gatvėje;
13. Tiltas Pylimo g. prie Jono kalnelio Nr. 1;
14. Tiltas Pylimo g. prie Jono kalnelio Nr. 2.
15. Tiltas Priestočio gatvėje per geležinkelį
16. Tiltas Pylimo g. per fosą prie Jono kalnelio Nr. 3</t>
        </r>
        <r>
          <rPr>
            <b/>
            <sz val="9"/>
            <color indexed="81"/>
            <rFont val="Tahoma"/>
            <family val="2"/>
            <charset val="186"/>
          </rPr>
          <t xml:space="preserve">
</t>
        </r>
      </text>
    </comment>
    <comment ref="J108" authorId="1" shapeId="0">
      <text>
        <r>
          <rPr>
            <sz val="9"/>
            <color indexed="81"/>
            <rFont val="Tahoma"/>
            <family val="2"/>
            <charset val="186"/>
          </rPr>
          <t xml:space="preserve">Atlikti Biržos tilto tvarkymo darbai
</t>
        </r>
      </text>
    </comment>
    <comment ref="E112" authorId="2" shapeId="0">
      <text>
        <r>
          <rPr>
            <sz val="9"/>
            <color indexed="81"/>
            <rFont val="Tahoma"/>
            <family val="2"/>
            <charset val="186"/>
          </rPr>
          <t>P-3.1.3.5.</t>
        </r>
      </text>
    </comment>
    <comment ref="K114" authorId="1" shapeId="0">
      <text>
        <r>
          <rPr>
            <sz val="9"/>
            <color indexed="81"/>
            <rFont val="Tahoma"/>
            <family val="2"/>
            <charset val="186"/>
          </rPr>
          <t xml:space="preserve">1. Rasos g., Saulėlydžio g., Saulės g., Naktigonės g., Spindulio g. 
2. Pravažiavimai tarp Molo g. ir Pamario g., Serviso g., Šilo g. ir pravažiavimo kelias tarp Šilo g.
3. Nidos g. ir Gilijos g. kapitalinio remonto. 
</t>
        </r>
      </text>
    </comment>
    <comment ref="L114" authorId="1" shapeId="0">
      <text>
        <r>
          <rPr>
            <sz val="9"/>
            <color indexed="81"/>
            <rFont val="Tahoma"/>
            <family val="2"/>
            <charset val="186"/>
          </rPr>
          <t xml:space="preserve">1. Rasos g., Saulėlydžio g., Saulės g., Naktigonės g., Spindulio g.
2. Pravažiavimai tarp Molo g. ir Pamario g., Serviso g., Šilo g. ir pravažiavimo kelias tarp Šilo g. </t>
        </r>
      </text>
    </comment>
    <comment ref="M114" authorId="1" shapeId="0">
      <text>
        <r>
          <rPr>
            <sz val="9"/>
            <color indexed="81"/>
            <rFont val="Tahoma"/>
            <family val="2"/>
            <charset val="186"/>
          </rPr>
          <t xml:space="preserve">1. Rasos g., Saulėlydžio g., Saulės g., Naktigonės g., Spindulio g.
2. Pravažiavimai tarp Molo g. ir Pamario g., Serviso g., Šilo g. ir pravažiavimo kelias tarp Šilo g.
</t>
        </r>
      </text>
    </comment>
    <comment ref="E116" authorId="2" shapeId="0">
      <text>
        <r>
          <rPr>
            <sz val="9"/>
            <color indexed="81"/>
            <rFont val="Tahoma"/>
            <family val="2"/>
            <charset val="186"/>
          </rPr>
          <t>P-3.1.3.4.</t>
        </r>
      </text>
    </comment>
    <comment ref="E117" authorId="4" shapeId="0">
      <text>
        <r>
          <rPr>
            <sz val="9"/>
            <color indexed="81"/>
            <rFont val="Tahoma"/>
            <family val="2"/>
            <charset val="186"/>
          </rPr>
          <t>P-3.2.2.2.</t>
        </r>
      </text>
    </comment>
    <comment ref="D118" authorId="1" shapeId="0">
      <text>
        <r>
          <rPr>
            <sz val="9"/>
            <color indexed="81"/>
            <rFont val="Tahoma"/>
            <family val="2"/>
            <charset val="186"/>
          </rPr>
          <t>P-3.1.3.5.
2023-2025 m.</t>
        </r>
      </text>
    </comment>
    <comment ref="E124" authorId="2" shapeId="0">
      <text>
        <r>
          <rPr>
            <sz val="9"/>
            <color indexed="81"/>
            <rFont val="Tahoma"/>
            <family val="2"/>
            <charset val="186"/>
          </rPr>
          <t>P-3.1.3.6.</t>
        </r>
      </text>
    </comment>
    <comment ref="D131" authorId="5" shapeId="0">
      <text>
        <r>
          <rPr>
            <sz val="9"/>
            <color indexed="81"/>
            <rFont val="Tahoma"/>
            <family val="2"/>
            <charset val="186"/>
          </rPr>
          <t>Susijusi su 11 pr. "Sporto ir laisvalaikio komplekso statyba (koncesijos procedūrų vykdymas)"</t>
        </r>
        <r>
          <rPr>
            <sz val="9"/>
            <color indexed="81"/>
            <rFont val="Tahoma"/>
            <family val="2"/>
            <charset val="186"/>
          </rPr>
          <t xml:space="preserve">
</t>
        </r>
      </text>
    </comment>
    <comment ref="E133" authorId="2" shapeId="0">
      <text>
        <r>
          <rPr>
            <sz val="9"/>
            <color indexed="81"/>
            <rFont val="Tahoma"/>
            <family val="2"/>
            <charset val="186"/>
          </rPr>
          <t>P-3.1.3.5.</t>
        </r>
      </text>
    </comment>
    <comment ref="E136" authorId="2" shapeId="0">
      <text>
        <r>
          <rPr>
            <sz val="9"/>
            <color indexed="81"/>
            <rFont val="Tahoma"/>
            <family val="2"/>
            <charset val="186"/>
          </rPr>
          <t>P-1.2.1.1.</t>
        </r>
      </text>
    </comment>
    <comment ref="E140" authorId="2" shapeId="0">
      <text>
        <r>
          <rPr>
            <sz val="9"/>
            <color indexed="81"/>
            <rFont val="Tahoma"/>
            <family val="2"/>
            <charset val="186"/>
          </rPr>
          <t>P-1.1.1.5.</t>
        </r>
      </text>
    </comment>
    <comment ref="E142" authorId="2" shapeId="0">
      <text>
        <r>
          <rPr>
            <sz val="9"/>
            <color indexed="81"/>
            <rFont val="Tahoma"/>
            <family val="2"/>
            <charset val="186"/>
          </rPr>
          <t>P-1.1.1.5.</t>
        </r>
      </text>
    </comment>
    <comment ref="E145" authorId="2" shapeId="0">
      <text>
        <r>
          <rPr>
            <sz val="9"/>
            <color indexed="81"/>
            <rFont val="Tahoma"/>
            <family val="2"/>
            <charset val="186"/>
          </rPr>
          <t>P-1.1.1.5.</t>
        </r>
      </text>
    </comment>
    <comment ref="E148" authorId="1" shapeId="0">
      <text>
        <r>
          <rPr>
            <sz val="9"/>
            <color indexed="81"/>
            <rFont val="Tahoma"/>
            <family val="2"/>
            <charset val="186"/>
          </rPr>
          <t xml:space="preserve">P-3.1.3.6. 2024-2025 m.
</t>
        </r>
      </text>
    </comment>
    <comment ref="E149" authorId="6" shapeId="0">
      <text>
        <r>
          <rPr>
            <sz val="9"/>
            <color indexed="81"/>
            <rFont val="Tahoma"/>
            <family val="2"/>
            <charset val="186"/>
          </rPr>
          <t>3.1.1.3.</t>
        </r>
      </text>
    </comment>
    <comment ref="E152" authorId="6" shapeId="0">
      <text>
        <r>
          <rPr>
            <sz val="9"/>
            <color indexed="81"/>
            <rFont val="Tahoma"/>
            <family val="2"/>
            <charset val="186"/>
          </rPr>
          <t>3.1.2.2.</t>
        </r>
      </text>
    </comment>
    <comment ref="E155" authorId="6" shapeId="0">
      <text>
        <r>
          <rPr>
            <sz val="9"/>
            <color indexed="81"/>
            <rFont val="Tahoma"/>
            <family val="2"/>
            <charset val="186"/>
          </rPr>
          <t>3.1.3.5.</t>
        </r>
      </text>
    </comment>
    <comment ref="E158" authorId="6" shapeId="0">
      <text>
        <r>
          <rPr>
            <sz val="9"/>
            <color indexed="81"/>
            <rFont val="Tahoma"/>
            <family val="2"/>
            <charset val="186"/>
          </rPr>
          <t>3.1.3.5.</t>
        </r>
      </text>
    </comment>
    <comment ref="D161" authorId="6" shapeId="0">
      <text>
        <r>
          <rPr>
            <sz val="9"/>
            <color indexed="81"/>
            <rFont val="Tahoma"/>
            <family val="2"/>
            <charset val="186"/>
          </rPr>
          <t>Atsiskaitymui su LAKD po teisminio proceso su rangovu</t>
        </r>
      </text>
    </comment>
    <comment ref="E161" authorId="0" shapeId="0">
      <text>
        <r>
          <rPr>
            <b/>
            <sz val="9"/>
            <color indexed="81"/>
            <rFont val="Tahoma"/>
            <family val="2"/>
            <charset val="186"/>
          </rPr>
          <t xml:space="preserve">P1, </t>
        </r>
        <r>
          <rPr>
            <sz val="9"/>
            <color indexed="81"/>
            <rFont val="Tahoma"/>
            <family val="2"/>
            <charset val="186"/>
          </rPr>
          <t>3.6. Miesto susisiekimo sistemos tobulinimas užtikrinant didesnį gatvių tinklo pralaidumą:
 1) Jūrininkų pr., 2) Pamario g., 3) Tilžės g.; 4) Šilutės pl. nuo Tilžės g. iki pervažos; 5) Pajūrio g.</t>
        </r>
      </text>
    </comment>
    <comment ref="J161" authorId="7" shapeId="0">
      <text>
        <r>
          <rPr>
            <sz val="9"/>
            <color indexed="81"/>
            <rFont val="Tahoma"/>
            <family val="2"/>
            <charset val="186"/>
          </rPr>
          <t>2021 m. atlikti gatvės (1374 m) rekonstravimo darbai</t>
        </r>
        <r>
          <rPr>
            <sz val="9"/>
            <color indexed="81"/>
            <rFont val="Tahoma"/>
            <family val="2"/>
            <charset val="186"/>
          </rPr>
          <t xml:space="preserve">
</t>
        </r>
      </text>
    </comment>
    <comment ref="K161" authorId="1" shapeId="0">
      <text>
        <r>
          <rPr>
            <sz val="9"/>
            <color indexed="81"/>
            <rFont val="Tahoma"/>
            <family val="2"/>
            <charset val="186"/>
          </rPr>
          <t xml:space="preserve">Neaišku, kada  ir kaip baigsis teisminiai ginčai
</t>
        </r>
      </text>
    </comment>
    <comment ref="E164"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E165" authorId="2" shapeId="0">
      <text>
        <r>
          <rPr>
            <sz val="9"/>
            <color indexed="81"/>
            <rFont val="Tahoma"/>
            <family val="2"/>
            <charset val="186"/>
          </rPr>
          <t>P-3.1.1.4.</t>
        </r>
      </text>
    </comment>
    <comment ref="K165" authorId="1" shapeId="0">
      <text>
        <r>
          <rPr>
            <sz val="9"/>
            <color indexed="81"/>
            <rFont val="Tahoma"/>
            <family val="2"/>
            <charset val="186"/>
          </rPr>
          <t xml:space="preserve">Rangovas vėluoja atlikti darbus, planauojama juos atnaujinti po technloginės pertraukos  2023-03-15. Rangovui skaičiuojami delspinigiai. 
</t>
        </r>
      </text>
    </comment>
    <comment ref="E177" authorId="4" shapeId="0">
      <text>
        <r>
          <rPr>
            <sz val="9"/>
            <color indexed="81"/>
            <rFont val="Tahoma"/>
            <family val="2"/>
            <charset val="186"/>
          </rPr>
          <t>P-3.1.2., 3.1.2.1., 3.1.2.2</t>
        </r>
      </text>
    </comment>
    <comment ref="E178" authorId="0" shapeId="0">
      <text>
        <r>
          <rPr>
            <b/>
            <sz val="9"/>
            <color indexed="81"/>
            <rFont val="Tahoma"/>
            <family val="2"/>
            <charset val="186"/>
          </rPr>
          <t xml:space="preserve">P1 1.3. </t>
        </r>
        <r>
          <rPr>
            <sz val="9"/>
            <color indexed="81"/>
            <rFont val="Tahoma"/>
            <family val="2"/>
            <charset val="186"/>
          </rPr>
          <t xml:space="preserve">Ekologiško bei visiems prieinamo viešojo transporto  sistemos įdiegimas
1.3.2. Socialiai jautrių visuomenės grupių (moksleiviai, studentai ir senjorai), kuriems įvestos papildomos nuolaidos įsigyjant viešojo transporto bilietus, skaičius </t>
        </r>
      </text>
    </comment>
    <comment ref="J180" authorId="4" shapeId="0">
      <text>
        <r>
          <rPr>
            <sz val="9"/>
            <color indexed="81"/>
            <rFont val="Tahoma"/>
            <family val="2"/>
            <charset val="186"/>
          </rPr>
          <t xml:space="preserve">Lengvatiniai 10 eurų bilietai: 
• pradinukų 9 mėnesių 
• senjorų nuo 70 metų metiniai
</t>
        </r>
      </text>
    </comment>
    <comment ref="J181" authorId="4" shapeId="0">
      <text>
        <r>
          <rPr>
            <sz val="9"/>
            <color indexed="81"/>
            <rFont val="Tahoma"/>
            <family val="2"/>
            <charset val="186"/>
          </rPr>
          <t>Iš kaimų ir kitų miestų važinėjantiems moksleiviams kompensuojama per sutartis su mokyklomis</t>
        </r>
      </text>
    </comment>
    <comment ref="E183" authorId="4" shapeId="0">
      <text>
        <r>
          <rPr>
            <sz val="9"/>
            <color indexed="81"/>
            <rFont val="Tahoma"/>
            <family val="2"/>
            <charset val="186"/>
          </rPr>
          <t>P-3.1.2., 3.1.2.1., 3.1.2.2</t>
        </r>
      </text>
    </comment>
    <comment ref="E185" authorId="0" shapeId="0">
      <text>
        <r>
          <rPr>
            <b/>
            <sz val="9"/>
            <color indexed="81"/>
            <rFont val="Tahoma"/>
            <family val="2"/>
            <charset val="186"/>
          </rPr>
          <t xml:space="preserve">P1 </t>
        </r>
        <r>
          <rPr>
            <sz val="9"/>
            <color indexed="81"/>
            <rFont val="Tahoma"/>
            <family val="2"/>
            <charset val="186"/>
          </rPr>
          <t>1.3.1. Parengtas ir įgyvendintas viešojo transporto parko atnaujinimo veiksmų planas siekiant padidinti alternatyviu kuru varomų viešojo transporto priemonių dalį iki 65 proc.</t>
        </r>
      </text>
    </comment>
    <comment ref="K185" authorId="4" shapeId="0">
      <text>
        <r>
          <rPr>
            <sz val="9"/>
            <color indexed="81"/>
            <rFont val="Tahoma"/>
            <family val="2"/>
            <charset val="186"/>
          </rPr>
          <t xml:space="preserve">2 ekspl. el.autobusai
10 veikl.nuomos el. autobusų (trumpi) nuo 2023.07
13 CPVA proj. el. autobusai (ilgi) nuo 2023.09
</t>
        </r>
      </text>
    </comment>
    <comment ref="L185" authorId="4" shapeId="0">
      <text>
        <r>
          <rPr>
            <sz val="9"/>
            <color indexed="81"/>
            <rFont val="Tahoma"/>
            <family val="2"/>
            <charset val="186"/>
          </rPr>
          <t xml:space="preserve">2 ekspl. el.autobusai
10 veikl.nuomos el.autobusų (trumpi) nuo 2023.07
13 CPVA proj. el. autobusai (ilgi) nuo 2023.09
10 APVA proj. el. autobusų (trumpi) nuo 2024.02
</t>
        </r>
      </text>
    </comment>
    <comment ref="K193" authorId="4" shapeId="0">
      <text>
        <r>
          <rPr>
            <sz val="9"/>
            <color indexed="81"/>
            <rFont val="Tahoma"/>
            <family val="2"/>
            <charset val="186"/>
          </rPr>
          <t>Lėšų poreikis suskaičiuotas pagal šiuos išeitinius duomenis: 
1) navigacinis sezonas truks 180 dienų nuo kiekvienų metų balandžio 1 d.;
2) kursuos 3 vandens autobusai su 2 įkrovos stotelėmis (Senamiestis ir Tauralaukis), 12 ratų per dieną.
Pirmais metais bilietų pajamos dengtų ~50 proc. sąnaudų, vėliau jos gali mažėti. 
Kompensacija bus mokama nuo 2023-06-15.</t>
        </r>
      </text>
    </comment>
    <comment ref="E194" authorId="0" shapeId="0">
      <text>
        <r>
          <rPr>
            <sz val="9"/>
            <color indexed="81"/>
            <rFont val="Tahoma"/>
            <family val="2"/>
            <charset val="186"/>
          </rPr>
          <t xml:space="preserve">Klaipėdos miesto darnaus judumo planas (2018-09-13, T2-185)
</t>
        </r>
      </text>
    </comment>
    <comment ref="K194" authorId="1" shapeId="0">
      <text>
        <r>
          <rPr>
            <sz val="9"/>
            <color indexed="81"/>
            <rFont val="Tahoma"/>
            <family val="2"/>
            <charset val="186"/>
          </rPr>
          <t>Elektros įvado informacinėms švieslentėms pasažo autobusų stotelėje (šalia Vingio g. 5) įrengimo darbai su projektavimu</t>
        </r>
      </text>
    </comment>
    <comment ref="E198" authorId="2" shapeId="0">
      <text>
        <r>
          <rPr>
            <sz val="9"/>
            <color indexed="81"/>
            <rFont val="Tahoma"/>
            <family val="2"/>
            <charset val="186"/>
          </rPr>
          <t>P-3.1.2.2.</t>
        </r>
      </text>
    </comment>
    <comment ref="J198" authorId="1" shapeId="0">
      <text>
        <r>
          <rPr>
            <sz val="9"/>
            <color indexed="81"/>
            <rFont val="Tahoma"/>
            <family val="2"/>
            <charset val="186"/>
          </rPr>
          <t>Prie Valstybės įmonės „Regitra“ (2 vnt.)</t>
        </r>
      </text>
    </comment>
    <comment ref="D199" authorId="1" shapeId="0">
      <text>
        <r>
          <rPr>
            <sz val="9"/>
            <color indexed="81"/>
            <rFont val="Tahoma"/>
            <family val="2"/>
            <charset val="186"/>
          </rPr>
          <t>Pagal KMS tarybos sprendimą 2020-07-30 Nr. T2-174</t>
        </r>
      </text>
    </comment>
    <comment ref="E199" authorId="1" shapeId="0">
      <text>
        <r>
          <rPr>
            <sz val="9"/>
            <color indexed="81"/>
            <rFont val="Tahoma"/>
            <family val="2"/>
            <charset val="186"/>
          </rPr>
          <t xml:space="preserve">Viešojo transporto rūšies diegimo Klaipėdos mieste gairės (2020-07-30, Nr. T2-200)
</t>
        </r>
      </text>
    </comment>
    <comment ref="K199" authorId="1" shapeId="0">
      <text>
        <r>
          <rPr>
            <sz val="9"/>
            <color indexed="81"/>
            <rFont val="Tahoma"/>
            <family val="2"/>
            <charset val="186"/>
          </rPr>
          <t>Projektą įgyvendina UAB "Klaipėdos autobusų parkas" Klimato kaitos programoje projekte "Daugiau švarios erdvės" su Savivaldybės 45 % prisidėjimu. Programos lėšas gaus UAB KAP. Tarybos sprendimas 2020-07-30 Nr.T2-174. Planuojama, kad viešasis pirkimas bus paskelbtas š.m. spalio pabaigoje. Idealiu atveju viešųjų pirkimų procedūros ir sutarties pasirašymas įvyktų  š.m. gruodžio mėn. pabaigoje. Po sutarties pasirašymo avansas (562,5 tūkst. Eur) turi būti sumokėtas per 60 d. Dėl to 2022 m. lėšos keliamos į kitus metus. Autobusų pristatymas numatomas per 12 mėn., tai atsiskaitymo laikotarpis turėtų būti  suplanuotas 2023 m. t.y. 2023 m. suplanuotos lėšos (1687,5 tūkst. Eur) keliamos į 2024 m.</t>
        </r>
      </text>
    </comment>
    <comment ref="E200"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E202" authorId="1" shapeId="0">
      <text>
        <r>
          <rPr>
            <sz val="9"/>
            <color indexed="81"/>
            <rFont val="Tahoma"/>
            <family val="2"/>
            <charset val="186"/>
          </rPr>
          <t xml:space="preserve">P-3.1.2.2.
</t>
        </r>
      </text>
    </comment>
    <comment ref="E203" authorId="1" shapeId="0">
      <text>
        <r>
          <rPr>
            <sz val="9"/>
            <color indexed="81"/>
            <rFont val="Tahoma"/>
            <family val="2"/>
            <charset val="186"/>
          </rPr>
          <t xml:space="preserve">Viešojo transporto rūšies diegimo Klaipėdos mieste gairės (2020-07-30, Nr. T2-200)
</t>
        </r>
      </text>
    </comment>
    <comment ref="J203" authorId="5" shapeId="0">
      <text>
        <r>
          <rPr>
            <sz val="9"/>
            <color indexed="81"/>
            <rFont val="Tahoma"/>
            <family val="2"/>
            <charset val="186"/>
          </rPr>
          <t xml:space="preserve">KMSA su partneriu UAB „Klaipėdos autobusų parkas“ teikiamo projekto „Klaipėdos miesto viešojo transporto priemonių parko atnaujinimas“ tikslas - pagerinti viešojo transporto paslaugų kokybę Klaipėdos mieste. Fiziškai ir morališkai pasenę autobusai neskatina gyventojų naudotis viešuoju transportu. Nudėvėtų autobusų varikliai teršia aplinką CO2 ir kitais teršalais.
Preliminari projekto  pradžia 2022 m. birželio mėn., įgyvendinimo trukmė – 18 mėn. </t>
        </r>
        <r>
          <rPr>
            <b/>
            <sz val="9"/>
            <color indexed="81"/>
            <rFont val="Tahoma"/>
            <family val="2"/>
            <charset val="186"/>
          </rPr>
          <t>KMSA prisidėjimas - 15 proc.</t>
        </r>
      </text>
    </comment>
    <comment ref="E204" authorId="2" shapeId="0">
      <text>
        <r>
          <rPr>
            <sz val="9"/>
            <color indexed="81"/>
            <rFont val="Tahoma"/>
            <family val="2"/>
            <charset val="186"/>
          </rPr>
          <t>P-3.1.2.2.</t>
        </r>
      </text>
    </comment>
    <comment ref="E207"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D208" authorId="1" shapeId="0">
      <text>
        <r>
          <rPr>
            <sz val="9"/>
            <color indexed="81"/>
            <rFont val="Tahoma"/>
            <family val="2"/>
            <charset val="186"/>
          </rPr>
          <t xml:space="preserve"> Integruojama į priemonę "Eismo valdymo sistemos modernizavimas žaliosios bangos principu Smiltelės g., Taikos pr., Tiltų g. ir Liepojos g. integruojant BRT, dviračių takų, apšvietimo ir dangų sutvarkymą"</t>
        </r>
      </text>
    </comment>
    <comment ref="E208" authorId="1" shapeId="0">
      <text>
        <r>
          <rPr>
            <sz val="9"/>
            <color indexed="81"/>
            <rFont val="Tahoma"/>
            <family val="2"/>
            <charset val="186"/>
          </rPr>
          <t xml:space="preserve">Viešojo transporto rūšies diegimo Klaipėdos mieste gairės (2020-07-30, Nr. T2-200)
</t>
        </r>
      </text>
    </comment>
    <comment ref="E211" authorId="4" shapeId="0">
      <text>
        <r>
          <rPr>
            <sz val="9"/>
            <color indexed="81"/>
            <rFont val="Tahoma"/>
            <family val="2"/>
            <charset val="186"/>
          </rPr>
          <t>P</t>
        </r>
        <r>
          <rPr>
            <b/>
            <sz val="9"/>
            <color indexed="81"/>
            <rFont val="Tahoma"/>
            <family val="2"/>
            <charset val="186"/>
          </rPr>
          <t>-</t>
        </r>
        <r>
          <rPr>
            <sz val="9"/>
            <color indexed="81"/>
            <rFont val="Tahoma"/>
            <family val="2"/>
            <charset val="186"/>
          </rPr>
          <t>3.1.2.2.</t>
        </r>
      </text>
    </comment>
    <comment ref="E215" authorId="3" shapeId="0">
      <text>
        <r>
          <rPr>
            <sz val="9"/>
            <color indexed="81"/>
            <rFont val="Tahoma"/>
            <family val="2"/>
            <charset val="186"/>
          </rPr>
          <t>P2, Klaipėdos miesto darnaus judumo planas (2018-09-13, T2-185)</t>
        </r>
      </text>
    </comment>
    <comment ref="E221" authorId="0" shapeId="0">
      <text>
        <r>
          <rPr>
            <sz val="9"/>
            <color indexed="81"/>
            <rFont val="Tahoma"/>
            <family val="2"/>
            <charset val="186"/>
          </rPr>
          <t>P-3.1.1.2.</t>
        </r>
      </text>
    </comment>
    <comment ref="J224" authorId="4" shapeId="0">
      <text>
        <r>
          <rPr>
            <sz val="9"/>
            <color indexed="81"/>
            <rFont val="Tahoma"/>
            <family val="2"/>
            <charset val="186"/>
          </rPr>
          <t>Programinės įrangos OMNIA, skirtos koordinuoti šviesoforų darbą, papildomo funkcionalumo - viešojo transporto prioriteto modulio licencijų įsigijimas (bus mokama kas mėnesį)</t>
        </r>
      </text>
    </comment>
    <comment ref="K224" authorId="4" shapeId="0">
      <text>
        <r>
          <rPr>
            <sz val="9"/>
            <color indexed="81"/>
            <rFont val="Tahoma"/>
            <family val="2"/>
            <charset val="186"/>
          </rPr>
          <t xml:space="preserve">1 licencija - 1 šviesoforinei sankryžai reguliuoti. </t>
        </r>
      </text>
    </comment>
    <comment ref="K228" authorId="1" shapeId="0">
      <text>
        <r>
          <rPr>
            <sz val="9"/>
            <color indexed="81"/>
            <rFont val="Tahoma"/>
            <family val="2"/>
            <charset val="186"/>
          </rPr>
          <t>1. Šviesoforais reguliuojamos pėsčiųjų perėjos Dariaus ir Girėno gatvėje ties Nr. 8A.
2. Šviesoforais reguliuojamos pėsčiųjų perėjos Liepojos g. Nr. 1 (ties Panevėžio g. sankryža).
3. Šviesoforais reguliuojamos pėsčiųjų perėjos Liepojos gatvėje ties Nr. 41A.
4. Šviesoforais reguliuojamos pėsčiųjų perėjos Minijos g. Nr. 174 (ties Nendrių g. sankryža).
5. Šviesoforais reguliuojamos pėsčiųjų perėjos Smiltelės gatvėje ties Nr. 5.
6. Mokyklos g. ir Verpėjų g. sankryžos Klaipėdoje šviesoforų posto įrengimo darbai.
7. Taikos pr. ir Jachtų g. sankryžos Klaipėdoje šviesoforų posto įrengimo darbai</t>
        </r>
      </text>
    </comment>
    <comment ref="K231" authorId="1" shapeId="0">
      <text>
        <r>
          <rPr>
            <sz val="9"/>
            <color indexed="81"/>
            <rFont val="Tahoma"/>
            <family val="2"/>
            <charset val="186"/>
          </rPr>
          <t>Dviračių saugykla - Malūnininkų g. 1;
Dviračių skaičiuoklės - prie p. c. ,,Akropolis“, Taikos pr. ir prie ,,Atgimimo“ stotelės;
Kintamos informacijos kelio ženklai - P. Lideiko g.</t>
        </r>
      </text>
    </comment>
    <comment ref="M231" authorId="4" shapeId="0">
      <text>
        <r>
          <rPr>
            <sz val="9"/>
            <color indexed="81"/>
            <rFont val="Tahoma"/>
            <family val="2"/>
            <charset val="186"/>
          </rPr>
          <t>+ Mokyklos gatvės tilto KIŽ</t>
        </r>
      </text>
    </comment>
    <comment ref="E234" authorId="4" shapeId="0">
      <text>
        <r>
          <rPr>
            <sz val="9"/>
            <color indexed="81"/>
            <rFont val="Tahoma"/>
            <family val="2"/>
            <charset val="186"/>
          </rPr>
          <t>P-3.1.2.2.</t>
        </r>
      </text>
    </comment>
    <comment ref="K235" authorId="1" shapeId="0">
      <text>
        <r>
          <rPr>
            <sz val="9"/>
            <color indexed="81"/>
            <rFont val="Tahoma"/>
            <family val="2"/>
            <charset val="186"/>
          </rPr>
          <t xml:space="preserve">Debreceno g. ties 47
Reikjaviko g. ties 7
Varpų g. ties 3
Panevėžio g. 44
Žardininkų g. 18
Reikjaviko g. ties 15
</t>
        </r>
      </text>
    </comment>
    <comment ref="E236" authorId="4" shapeId="0">
      <text>
        <r>
          <rPr>
            <sz val="9"/>
            <color indexed="81"/>
            <rFont val="Tahoma"/>
            <family val="2"/>
            <charset val="186"/>
          </rPr>
          <t>P-3.1.3.6.</t>
        </r>
      </text>
    </comment>
    <comment ref="E238" authorId="4" shapeId="0">
      <text>
        <r>
          <rPr>
            <sz val="9"/>
            <color indexed="81"/>
            <rFont val="Tahoma"/>
            <family val="2"/>
            <charset val="186"/>
          </rPr>
          <t>P-3.1.1.5.</t>
        </r>
      </text>
    </comment>
    <comment ref="E239" authorId="0" shapeId="0">
      <text>
        <r>
          <rPr>
            <b/>
            <sz val="9"/>
            <color indexed="81"/>
            <rFont val="Tahoma"/>
            <family val="2"/>
            <charset val="186"/>
          </rPr>
          <t xml:space="preserve"> P2, </t>
        </r>
        <r>
          <rPr>
            <sz val="9"/>
            <color indexed="81"/>
            <rFont val="Tahoma"/>
            <family val="2"/>
            <charset val="186"/>
          </rPr>
          <t xml:space="preserve">Klaipėdos miesto darnaus judumo planas (2018-09-13, T2-185)
</t>
        </r>
      </text>
    </comment>
    <comment ref="M239" authorId="1" shapeId="0">
      <text>
        <r>
          <rPr>
            <sz val="9"/>
            <color indexed="81"/>
            <rFont val="Tahoma"/>
            <family val="2"/>
            <charset val="186"/>
          </rPr>
          <t xml:space="preserve">Pasibaigus senųjų radarų sutarčiai ir  priėmus sprendimą jų daugiau neeksploatuoti, reikės išmontuoti senųjų radarų stovus ir pačius radarus
</t>
        </r>
      </text>
    </comment>
    <comment ref="E240"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1.2.5. priemonė</t>
        </r>
      </text>
    </comment>
    <comment ref="E241" authorId="4" shapeId="0">
      <text>
        <r>
          <rPr>
            <sz val="9"/>
            <color indexed="81"/>
            <rFont val="Tahoma"/>
            <family val="2"/>
            <charset val="186"/>
          </rPr>
          <t>P-2.4.3.5.</t>
        </r>
      </text>
    </comment>
    <comment ref="E252" authorId="0" shapeId="0">
      <text>
        <r>
          <rPr>
            <b/>
            <sz val="9"/>
            <color indexed="81"/>
            <rFont val="Tahoma"/>
            <family val="2"/>
            <charset val="186"/>
          </rPr>
          <t xml:space="preserve">P1, </t>
        </r>
        <r>
          <rPr>
            <sz val="9"/>
            <color indexed="81"/>
            <rFont val="Tahoma"/>
            <family val="2"/>
            <charset val="186"/>
          </rPr>
          <t xml:space="preserve">3.6.2. Diegiama koordinuotų eismo valdymo sistemų, vnt.
</t>
        </r>
      </text>
    </comment>
    <comment ref="M253" authorId="4" shapeId="0">
      <text>
        <r>
          <rPr>
            <sz val="9"/>
            <color indexed="81"/>
            <rFont val="Tahoma"/>
            <family val="2"/>
            <charset val="186"/>
          </rPr>
          <t>iki 2025 metų gruodžio mėn.</t>
        </r>
      </text>
    </comment>
    <comment ref="E254" authorId="0" shapeId="0">
      <text>
        <r>
          <rPr>
            <sz val="9"/>
            <color indexed="81"/>
            <rFont val="Tahoma"/>
            <family val="2"/>
            <charset val="186"/>
          </rPr>
          <t xml:space="preserve">P-3.1.3.7.; 3.1.3.3.
</t>
        </r>
      </text>
    </comment>
    <comment ref="E257" authorId="4" shapeId="0">
      <text>
        <r>
          <rPr>
            <sz val="9"/>
            <color indexed="81"/>
            <rFont val="Tahoma"/>
            <family val="2"/>
            <charset val="186"/>
          </rPr>
          <t>P-3.1.1.1.</t>
        </r>
      </text>
    </comment>
    <comment ref="E259" authorId="0" shapeId="0">
      <text>
        <r>
          <rPr>
            <b/>
            <sz val="9"/>
            <color indexed="81"/>
            <rFont val="Tahoma"/>
            <family val="2"/>
            <charset val="186"/>
          </rPr>
          <t>P6 KEPS 6.1.5.</t>
        </r>
        <r>
          <rPr>
            <sz val="9"/>
            <color indexed="81"/>
            <rFont val="Tahoma"/>
            <family val="2"/>
            <charset val="186"/>
          </rPr>
          <t xml:space="preserve"> Sukurti Klaipėdos regione elektriniam transportui pritaikytą infrastruktūrą</t>
        </r>
      </text>
    </comment>
    <comment ref="E261"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1.2.7. priemonė</t>
        </r>
      </text>
    </comment>
    <comment ref="E262" authorId="0" shapeId="0">
      <text>
        <r>
          <rPr>
            <sz val="9"/>
            <color indexed="81"/>
            <rFont val="Tahoma"/>
            <family val="2"/>
            <charset val="186"/>
          </rPr>
          <t>P2 Klaipėdos miesto darnaus judumo planas (2018-09-13, T2-185);</t>
        </r>
      </text>
    </comment>
    <comment ref="E264" authorId="4" shapeId="0">
      <text>
        <r>
          <rPr>
            <sz val="9"/>
            <color indexed="81"/>
            <rFont val="Tahoma"/>
            <family val="2"/>
            <charset val="186"/>
          </rPr>
          <t>P-1.2.1.3., 3.1.2.3.</t>
        </r>
      </text>
    </comment>
    <comment ref="D265" authorId="1" shapeId="0">
      <text>
        <r>
          <rPr>
            <sz val="9"/>
            <color indexed="81"/>
            <rFont val="Tahoma"/>
            <family val="2"/>
            <charset val="186"/>
          </rPr>
          <t xml:space="preserve">Eismo valdymo sistemos modernizavimas žaliosios bangos principu
</t>
        </r>
      </text>
    </comment>
    <comment ref="E265" authorId="6" shapeId="0">
      <text>
        <r>
          <rPr>
            <sz val="9"/>
            <color indexed="81"/>
            <rFont val="Tahoma"/>
            <family val="2"/>
            <charset val="186"/>
          </rPr>
          <t>3.1.2.2.; 3.1.3.3.</t>
        </r>
      </text>
    </comment>
    <comment ref="E266" authorId="1" shapeId="0">
      <text>
        <r>
          <rPr>
            <sz val="9"/>
            <color indexed="81"/>
            <rFont val="Tahoma"/>
            <family val="2"/>
            <charset val="186"/>
          </rPr>
          <t xml:space="preserve">Viešojo transporto rūšies diegimo Klaipėdos mieste gairės (2020-07-30, Nr. T2-200)
</t>
        </r>
      </text>
    </comment>
    <comment ref="E270" authorId="6" shapeId="0">
      <text>
        <r>
          <rPr>
            <sz val="9"/>
            <color indexed="81"/>
            <rFont val="Tahoma"/>
            <family val="2"/>
            <charset val="186"/>
          </rPr>
          <t>3.1.2.2.</t>
        </r>
      </text>
    </comment>
  </commentList>
</comments>
</file>

<file path=xl/comments3.xml><?xml version="1.0" encoding="utf-8"?>
<comments xmlns="http://schemas.openxmlformats.org/spreadsheetml/2006/main">
  <authors>
    <author>Audra Cepiene</author>
    <author>Inga Mikalauskienė</author>
    <author>Rima Alisauskaite</author>
    <author>Indrė Butenienė</author>
    <author>Snieguolė Kačerauskaitė</author>
    <author>Saulina Paulauskiene</author>
    <author>Snieguole Kacerauskaite</author>
    <author>Rima Ališauskė</author>
  </authors>
  <commentList>
    <comment ref="E26" authorId="0" shapeId="0">
      <text>
        <r>
          <rPr>
            <b/>
            <sz val="9"/>
            <color indexed="81"/>
            <rFont val="Tahoma"/>
            <family val="2"/>
            <charset val="186"/>
          </rPr>
          <t xml:space="preserve">P1, </t>
        </r>
        <r>
          <rPr>
            <sz val="9"/>
            <color indexed="81"/>
            <rFont val="Tahoma"/>
            <family val="2"/>
            <charset val="186"/>
          </rPr>
          <t>2.2. Miestui, uostui ir verslui aktualių investicijų projektų įgyvendinimas (1) Baltijos-Šilutės pl. sankryžos rekonstrukcija; 2) Statybininkų pr. pratęsimas iki 141 kelio; 3) Pietinio aplinkkelio įrengimas)</t>
        </r>
      </text>
    </comment>
    <comment ref="E27" authorId="0" shapeId="0">
      <text>
        <r>
          <rPr>
            <b/>
            <sz val="9"/>
            <color indexed="81"/>
            <rFont val="Tahoma"/>
            <family val="2"/>
            <charset val="186"/>
          </rPr>
          <t xml:space="preserve">P6, </t>
        </r>
        <r>
          <rPr>
            <sz val="9"/>
            <color indexed="81"/>
            <rFont val="Tahoma"/>
            <family val="2"/>
            <charset val="186"/>
          </rPr>
          <t xml:space="preserve">Klaipėdos miesto ekonominės plėtros strategija ir įgyvendinimo veiksmų planas iki 2030 metų, 3.3.2. priemonė 
</t>
        </r>
        <r>
          <rPr>
            <b/>
            <sz val="9"/>
            <color indexed="81"/>
            <rFont val="Tahoma"/>
            <family val="2"/>
            <charset val="186"/>
          </rPr>
          <t xml:space="preserve">
</t>
        </r>
      </text>
    </comment>
    <comment ref="E30"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E31" authorId="1" shapeId="0">
      <text>
        <r>
          <rPr>
            <sz val="9"/>
            <color indexed="81"/>
            <rFont val="Tahoma"/>
            <family val="2"/>
            <charset val="186"/>
          </rPr>
          <t>P-3.1.3.1.</t>
        </r>
        <r>
          <rPr>
            <sz val="9"/>
            <color indexed="81"/>
            <rFont val="Tahoma"/>
            <family val="2"/>
            <charset val="186"/>
          </rPr>
          <t xml:space="preserve">
</t>
        </r>
      </text>
    </comment>
    <comment ref="E32" authorId="1" shapeId="0">
      <text>
        <r>
          <rPr>
            <sz val="9"/>
            <color indexed="81"/>
            <rFont val="Tahoma"/>
            <family val="2"/>
            <charset val="186"/>
          </rPr>
          <t>P-3.1.3.1.</t>
        </r>
        <r>
          <rPr>
            <sz val="9"/>
            <color indexed="81"/>
            <rFont val="Tahoma"/>
            <family val="2"/>
            <charset val="186"/>
          </rPr>
          <t xml:space="preserve">
</t>
        </r>
      </text>
    </comment>
    <comment ref="E35"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E36" authorId="0" shapeId="0">
      <text>
        <r>
          <rPr>
            <b/>
            <sz val="9"/>
            <color indexed="81"/>
            <rFont val="Tahoma"/>
            <family val="2"/>
            <charset val="186"/>
          </rPr>
          <t>P6 KEPS</t>
        </r>
        <r>
          <rPr>
            <sz val="9"/>
            <color indexed="81"/>
            <rFont val="Tahoma"/>
            <family val="2"/>
            <charset val="186"/>
          </rPr>
          <t xml:space="preserve"> 3.3.2. priemonė - modernizuoti centrinį transporto įvadą (Baltijos prospekto sankryžos)
</t>
        </r>
        <r>
          <rPr>
            <b/>
            <sz val="9"/>
            <color indexed="81"/>
            <rFont val="Tahoma"/>
            <family val="2"/>
            <charset val="186"/>
          </rPr>
          <t xml:space="preserve">
</t>
        </r>
      </text>
    </comment>
    <comment ref="E37" authorId="0" shapeId="0">
      <text>
        <r>
          <rPr>
            <b/>
            <sz val="9"/>
            <color indexed="81"/>
            <rFont val="Tahoma"/>
            <family val="2"/>
            <charset val="186"/>
          </rPr>
          <t>P1, 4.1.1.</t>
        </r>
        <r>
          <rPr>
            <sz val="9"/>
            <color indexed="81"/>
            <rFont val="Tahoma"/>
            <family val="2"/>
            <charset val="186"/>
          </rPr>
          <t xml:space="preserve"> Pagal universalaus dizaino principus pritaikyta senamiesčio gatvių </t>
        </r>
      </text>
    </comment>
    <comment ref="K37" authorId="1" shapeId="0">
      <text>
        <r>
          <rPr>
            <sz val="9"/>
            <color indexed="81"/>
            <rFont val="Tahoma"/>
            <family val="2"/>
            <charset val="186"/>
          </rPr>
          <t xml:space="preserve">2023 m. planuojama Žvejų g., D. Vandens g., Vežėjų g., Daržų g.
</t>
        </r>
      </text>
    </comment>
    <comment ref="E39"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E41" authorId="0" shapeId="0">
      <text>
        <r>
          <rPr>
            <b/>
            <sz val="9"/>
            <color indexed="81"/>
            <rFont val="Tahoma"/>
            <family val="2"/>
            <charset val="186"/>
          </rPr>
          <t>P2,</t>
        </r>
        <r>
          <rPr>
            <sz val="9"/>
            <color indexed="81"/>
            <rFont val="Tahoma"/>
            <family val="2"/>
            <charset val="186"/>
          </rPr>
          <t xml:space="preserve"> Klaipėdos miesto darnaus judumo planas (2018-09-13, T2-185) 
</t>
        </r>
      </text>
    </comment>
    <comment ref="E42" authorId="1" shapeId="0">
      <text>
        <r>
          <rPr>
            <sz val="9"/>
            <color indexed="81"/>
            <rFont val="Tahoma"/>
            <family val="2"/>
            <charset val="186"/>
          </rPr>
          <t xml:space="preserve">P-3.2.2.3., 3.1.2.2
</t>
        </r>
      </text>
    </comment>
    <comment ref="E43" authorId="0" shapeId="0">
      <text>
        <r>
          <rPr>
            <b/>
            <sz val="9"/>
            <color indexed="81"/>
            <rFont val="Tahoma"/>
            <family val="2"/>
            <charset val="186"/>
          </rPr>
          <t xml:space="preserve">P1, 4.1.1. </t>
        </r>
        <r>
          <rPr>
            <sz val="9"/>
            <color indexed="81"/>
            <rFont val="Tahoma"/>
            <family val="2"/>
            <charset val="186"/>
          </rPr>
          <t xml:space="preserve">Pagal universalaus dizaino principus pritaikyta senamiesčio gatvių </t>
        </r>
      </text>
    </comment>
    <comment ref="E45"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E47" authorId="2" shapeId="0">
      <text>
        <r>
          <rPr>
            <sz val="9"/>
            <color indexed="81"/>
            <rFont val="Tahoma"/>
            <family val="2"/>
            <charset val="186"/>
          </rPr>
          <t>P-3.2.2.3.</t>
        </r>
      </text>
    </comment>
    <comment ref="E49" authorId="3" shapeId="0">
      <text>
        <r>
          <rPr>
            <sz val="9"/>
            <color indexed="81"/>
            <rFont val="Tahoma"/>
            <family val="2"/>
            <charset val="186"/>
          </rPr>
          <t>P1, 1.1.2. Parengtas ir įgyvendintas žvyruotų kelių asfaltavimo priemonių planas siekiant asfaltuoti ne mažiau kaip 10 km žvyruotų kelių</t>
        </r>
      </text>
    </comment>
    <comment ref="J49" authorId="1" shapeId="0">
      <text>
        <r>
          <rPr>
            <sz val="9"/>
            <color indexed="81"/>
            <rFont val="Tahoma"/>
            <family val="2"/>
            <charset val="186"/>
          </rPr>
          <t xml:space="preserve">Slengių g., Lietaus g., Vaivorykštės g., Griaustinio g. , Arimų g., Vėjo g. (II dalies), Žvaigždžių g. rekonstravimas
</t>
        </r>
      </text>
    </comment>
    <comment ref="E51"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E52" authorId="2" shapeId="0">
      <text>
        <r>
          <rPr>
            <sz val="9"/>
            <color indexed="81"/>
            <rFont val="Tahoma"/>
            <family val="2"/>
            <charset val="186"/>
          </rPr>
          <t>P-3.1.3.4.</t>
        </r>
      </text>
    </comment>
    <comment ref="K55" authorId="4" shapeId="0">
      <text>
        <r>
          <rPr>
            <sz val="9"/>
            <color indexed="81"/>
            <rFont val="Tahoma"/>
            <family val="2"/>
            <charset val="186"/>
          </rPr>
          <t>Ruožo nuo Laivų skg. iki Artojo g.</t>
        </r>
        <r>
          <rPr>
            <sz val="9"/>
            <color indexed="81"/>
            <rFont val="Tahoma"/>
            <family val="2"/>
            <charset val="186"/>
          </rPr>
          <t xml:space="preserve">
</t>
        </r>
      </text>
    </comment>
    <comment ref="E57" authorId="2" shapeId="0">
      <text>
        <r>
          <rPr>
            <sz val="9"/>
            <color indexed="81"/>
            <rFont val="Tahoma"/>
            <family val="2"/>
            <charset val="186"/>
          </rPr>
          <t>P-3.1.3.5.</t>
        </r>
      </text>
    </comment>
    <comment ref="E58" authorId="3" shapeId="0">
      <text>
        <r>
          <rPr>
            <sz val="9"/>
            <color indexed="81"/>
            <rFont val="Tahoma"/>
            <family val="2"/>
            <charset val="186"/>
          </rPr>
          <t>P1, 1.1.2. Parengtas ir įgyvendintas žvyruotų kelių asfaltavimo priemonių planas siekiant asfaltuoti ne mažiau kaip 10 km žvyruotų kelių, vnt</t>
        </r>
      </text>
    </comment>
    <comment ref="E60" authorId="2" shapeId="0">
      <text>
        <r>
          <rPr>
            <sz val="9"/>
            <color indexed="81"/>
            <rFont val="Tahoma"/>
            <family val="2"/>
            <charset val="186"/>
          </rPr>
          <t>P-3.1.3.4.</t>
        </r>
      </text>
    </comment>
    <comment ref="E62" authorId="2" shapeId="0">
      <text>
        <r>
          <rPr>
            <sz val="9"/>
            <color indexed="81"/>
            <rFont val="Tahoma"/>
            <family val="2"/>
            <charset val="186"/>
          </rPr>
          <t>P-3.1.3.4.</t>
        </r>
      </text>
    </comment>
    <comment ref="E63" authorId="0" shapeId="0">
      <text>
        <r>
          <rPr>
            <sz val="9"/>
            <color indexed="81"/>
            <rFont val="Tahoma"/>
            <family val="2"/>
            <charset val="186"/>
          </rPr>
          <t xml:space="preserve">P1, 3.6. Miesto susisiekimo sistemos tobulinimas užtikrinant didesnį gatvių tinklo pralaidumą
</t>
        </r>
      </text>
    </comment>
    <comment ref="E69" authorId="0" shapeId="0">
      <text>
        <r>
          <rPr>
            <sz val="9"/>
            <color indexed="81"/>
            <rFont val="Tahoma"/>
            <family val="2"/>
            <charset val="186"/>
          </rPr>
          <t>P1, 3.6. Miesto susisiekimo sistemos tobulinimas užtikrinant didesnį gatvių tinklo pralaidumą;</t>
        </r>
      </text>
    </comment>
    <comment ref="E71" authorId="2" shapeId="0">
      <text>
        <r>
          <rPr>
            <sz val="9"/>
            <color indexed="81"/>
            <rFont val="Tahoma"/>
            <family val="2"/>
            <charset val="186"/>
          </rPr>
          <t>P-3.1.3.5.</t>
        </r>
      </text>
    </comment>
    <comment ref="J72" authorId="1" shapeId="0">
      <text>
        <r>
          <rPr>
            <sz val="9"/>
            <color indexed="81"/>
            <rFont val="Tahoma"/>
            <family val="2"/>
            <charset val="186"/>
          </rPr>
          <t xml:space="preserve">Įrengtas naujas žvejų laivams skirtas slipas (aikštelė, skirta valtims nuleisti ir ištraukti iš vandens)
</t>
        </r>
      </text>
    </comment>
    <comment ref="E73" authorId="2" shapeId="0">
      <text>
        <r>
          <rPr>
            <sz val="9"/>
            <color indexed="81"/>
            <rFont val="Tahoma"/>
            <family val="2"/>
            <charset val="186"/>
          </rPr>
          <t>P-1.1.2.3.</t>
        </r>
      </text>
    </comment>
    <comment ref="E77" authorId="2" shapeId="0">
      <text>
        <r>
          <rPr>
            <sz val="9"/>
            <color indexed="81"/>
            <rFont val="Tahoma"/>
            <family val="2"/>
            <charset val="186"/>
          </rPr>
          <t>P-1.1.2.3.</t>
        </r>
      </text>
    </comment>
    <comment ref="E81"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E83" authorId="5" shapeId="0">
      <text>
        <r>
          <rPr>
            <sz val="9"/>
            <color indexed="81"/>
            <rFont val="Tahoma"/>
            <family val="2"/>
            <charset val="186"/>
          </rPr>
          <t>P-3.1.3.4.</t>
        </r>
      </text>
    </comment>
    <comment ref="E89"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E91" authorId="5" shapeId="0">
      <text>
        <r>
          <rPr>
            <sz val="9"/>
            <color indexed="81"/>
            <rFont val="Tahoma"/>
            <family val="2"/>
            <charset val="186"/>
          </rPr>
          <t>P-3.1.3.4.</t>
        </r>
      </text>
    </comment>
    <comment ref="E95"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E97" authorId="1" shapeId="0">
      <text>
        <r>
          <rPr>
            <sz val="9"/>
            <color indexed="81"/>
            <rFont val="Tahoma"/>
            <family val="2"/>
            <charset val="186"/>
          </rPr>
          <t xml:space="preserve">P-3.1.1.3.; 3.1.1.2.
</t>
        </r>
      </text>
    </comment>
    <comment ref="K98" authorId="5" shapeId="0">
      <text>
        <r>
          <rPr>
            <sz val="9"/>
            <color indexed="81"/>
            <rFont val="Tahoma"/>
            <family val="2"/>
            <charset val="186"/>
          </rPr>
          <t>1 Danės g. šaligatvių (atkarpoje nuo Muzikinio teatro iki Nr. 45 šiaurinėje pusėje) atnaujinimas pagal darbų aprašą
2 Taikos pr. šaligatvių su dviračių takais (atkarpoje nuo Sausio 15-osios g. iki Tiltų g. (abi pusės)) atnaujinimas pagal darbų aprašą</t>
        </r>
      </text>
    </comment>
    <comment ref="K100" authorId="5" shapeId="0">
      <text>
        <r>
          <rPr>
            <sz val="9"/>
            <color indexed="81"/>
            <rFont val="Tahoma"/>
            <family val="2"/>
            <charset val="186"/>
          </rPr>
          <t>Krantinės tarp Biržos tilto ir naujai įrengto dviračių-pėsčiųjų tako sutvarkymas (šalia Meridiano)</t>
        </r>
      </text>
    </comment>
    <comment ref="L101" authorId="5" shapeId="0">
      <text>
        <r>
          <rPr>
            <sz val="9"/>
            <color indexed="81"/>
            <rFont val="Tahoma"/>
            <family val="2"/>
            <charset val="186"/>
          </rPr>
          <t>Krantinės tarp Biržos tilto ir naujai įrengto dviračių-pėsčiųjų tako sutvarkymas (šalia Meridiano)</t>
        </r>
      </text>
    </comment>
    <comment ref="K102" authorId="5" shapeId="0">
      <text>
        <r>
          <rPr>
            <sz val="9"/>
            <color indexed="81"/>
            <rFont val="Tahoma"/>
            <family val="2"/>
            <charset val="186"/>
          </rPr>
          <t>Sportininkų gatvės šaligatvių kapitalinis remontas</t>
        </r>
      </text>
    </comment>
    <comment ref="L103" authorId="5" shapeId="0">
      <text>
        <r>
          <rPr>
            <sz val="9"/>
            <color indexed="81"/>
            <rFont val="Tahoma"/>
            <family val="2"/>
            <charset val="186"/>
          </rPr>
          <t>Sportininkų gatvės šaligatvių kapitalinis remontas</t>
        </r>
      </text>
    </comment>
    <comment ref="K104" authorId="5" shapeId="0">
      <text>
        <r>
          <rPr>
            <sz val="9"/>
            <color indexed="81"/>
            <rFont val="Tahoma"/>
            <family val="2"/>
            <charset val="186"/>
          </rPr>
          <t>Gilijos pradinė mokykla ir l/d Saulutė</t>
        </r>
      </text>
    </comment>
    <comment ref="E105" authorId="5" shapeId="0">
      <text>
        <r>
          <rPr>
            <sz val="9"/>
            <color indexed="81"/>
            <rFont val="Tahoma"/>
            <family val="2"/>
            <charset val="186"/>
          </rPr>
          <t>P-3.1.3.6.</t>
        </r>
      </text>
    </comment>
    <comment ref="K106" authorId="5" shapeId="0">
      <text>
        <r>
          <rPr>
            <sz val="9"/>
            <color indexed="81"/>
            <rFont val="Tahoma"/>
            <family val="2"/>
            <charset val="186"/>
          </rPr>
          <t>1. Tiltas per Smeltalę Marių gatvėje;
2. Tiltas per Smeltalę Minijos gatvėje;
3. Tiltas per Smeltalę Jūrininkų pr.
4. Viadukas per geležinkelį Taikos pr.
5. Viadukas Liepų gatvėje;
6. Viadukas H.Manto gatvėje;
7. Viadukas per geležinkelį P. Lideikio gatvėje;
8. Tiltas per Dangę Tauralaukyje;
9. Tiltas per Dangę Mokyklos gatvėje;
10. Pakeliamas tiltas per Dangę Tiltų gatvėje – Biržos tiltas;
11. Pakeliamas tiltas per Dangę Pilies gatvėje - Pilies tiltas;   
12. Tiltas per Dangę Liepų gatvėje;
13. Tiltas Pylimo g. prie Jono kalnelio Nr. 1;
14. Tiltas Pylimo g. prie Jono kalnelio Nr. 2.
15. Tiltas Priestočio gatvėje per geležinkelį
16. Tiltas Pylimo g. per fosą prie Jono kalnelio Nr. 3</t>
        </r>
        <r>
          <rPr>
            <b/>
            <sz val="9"/>
            <color indexed="81"/>
            <rFont val="Tahoma"/>
            <family val="2"/>
            <charset val="186"/>
          </rPr>
          <t xml:space="preserve">
</t>
        </r>
      </text>
    </comment>
    <comment ref="J108" authorId="1" shapeId="0">
      <text>
        <r>
          <rPr>
            <sz val="9"/>
            <color indexed="81"/>
            <rFont val="Tahoma"/>
            <family val="2"/>
            <charset val="186"/>
          </rPr>
          <t xml:space="preserve">Atlikti Biržos tilto tvarkymo darbai
</t>
        </r>
      </text>
    </comment>
    <comment ref="E112" authorId="2" shapeId="0">
      <text>
        <r>
          <rPr>
            <sz val="9"/>
            <color indexed="81"/>
            <rFont val="Tahoma"/>
            <family val="2"/>
            <charset val="186"/>
          </rPr>
          <t>P-3.1.3.5.</t>
        </r>
      </text>
    </comment>
    <comment ref="K114" authorId="1" shapeId="0">
      <text>
        <r>
          <rPr>
            <sz val="9"/>
            <color indexed="81"/>
            <rFont val="Tahoma"/>
            <family val="2"/>
            <charset val="186"/>
          </rPr>
          <t xml:space="preserve">1. Rasos g., Saulėlydžio g., Saulės g., Naktigonės g., Spindulio g. 
2. Pravažiavimai tarp Molo g. ir Pamario g., Serviso g., Šilo g. ir pravažiavimo kelias tarp Šilo g.
3. Nidos g. ir Gilijos g. kapitalinio remonto. 
</t>
        </r>
      </text>
    </comment>
    <comment ref="L114" authorId="1" shapeId="0">
      <text>
        <r>
          <rPr>
            <sz val="9"/>
            <color indexed="81"/>
            <rFont val="Tahoma"/>
            <family val="2"/>
            <charset val="186"/>
          </rPr>
          <t xml:space="preserve">1. Rasos g., Saulėlydžio g., Saulės g., Naktigonės g., Spindulio g.
2. Pravažiavimai tarp Molo g. ir Pamario g., Serviso g., Šilo g. ir pravažiavimo kelias tarp Šilo g. </t>
        </r>
      </text>
    </comment>
    <comment ref="M114" authorId="1" shapeId="0">
      <text>
        <r>
          <rPr>
            <sz val="9"/>
            <color indexed="81"/>
            <rFont val="Tahoma"/>
            <family val="2"/>
            <charset val="186"/>
          </rPr>
          <t xml:space="preserve">1. Rasos g., Saulėlydžio g., Saulės g., Naktigonės g., Spindulio g.
2. Pravažiavimai tarp Molo g. ir Pamario g., Serviso g., Šilo g. ir pravažiavimo kelias tarp Šilo g.
</t>
        </r>
      </text>
    </comment>
    <comment ref="E116" authorId="2" shapeId="0">
      <text>
        <r>
          <rPr>
            <sz val="9"/>
            <color indexed="81"/>
            <rFont val="Tahoma"/>
            <family val="2"/>
            <charset val="186"/>
          </rPr>
          <t>P-3.1.3.4.</t>
        </r>
      </text>
    </comment>
    <comment ref="E117" authorId="5" shapeId="0">
      <text>
        <r>
          <rPr>
            <sz val="9"/>
            <color indexed="81"/>
            <rFont val="Tahoma"/>
            <family val="2"/>
            <charset val="186"/>
          </rPr>
          <t>P-3.2.2.2.</t>
        </r>
      </text>
    </comment>
    <comment ref="D118" authorId="1" shapeId="0">
      <text>
        <r>
          <rPr>
            <sz val="9"/>
            <color indexed="81"/>
            <rFont val="Tahoma"/>
            <family val="2"/>
            <charset val="186"/>
          </rPr>
          <t>P-3.1.3.5.
2023-2025 m.</t>
        </r>
      </text>
    </comment>
    <comment ref="E124" authorId="2" shapeId="0">
      <text>
        <r>
          <rPr>
            <sz val="9"/>
            <color indexed="81"/>
            <rFont val="Tahoma"/>
            <family val="2"/>
            <charset val="186"/>
          </rPr>
          <t>P-3.1.3.6.</t>
        </r>
      </text>
    </comment>
    <comment ref="D131" authorId="6" shapeId="0">
      <text>
        <r>
          <rPr>
            <sz val="9"/>
            <color indexed="81"/>
            <rFont val="Tahoma"/>
            <family val="2"/>
            <charset val="186"/>
          </rPr>
          <t>Susijusi su 11 pr. "Sporto ir laisvalaikio komplekso statyba (koncesijos procedūrų vykdymas)"</t>
        </r>
        <r>
          <rPr>
            <sz val="9"/>
            <color indexed="81"/>
            <rFont val="Tahoma"/>
            <family val="2"/>
            <charset val="186"/>
          </rPr>
          <t xml:space="preserve">
</t>
        </r>
      </text>
    </comment>
    <comment ref="E133" authorId="2" shapeId="0">
      <text>
        <r>
          <rPr>
            <sz val="9"/>
            <color indexed="81"/>
            <rFont val="Tahoma"/>
            <family val="2"/>
            <charset val="186"/>
          </rPr>
          <t>P-3.1.3.5.</t>
        </r>
      </text>
    </comment>
    <comment ref="E136" authorId="2" shapeId="0">
      <text>
        <r>
          <rPr>
            <sz val="9"/>
            <color indexed="81"/>
            <rFont val="Tahoma"/>
            <family val="2"/>
            <charset val="186"/>
          </rPr>
          <t>P-1.2.1.1.</t>
        </r>
      </text>
    </comment>
    <comment ref="E140" authorId="2" shapeId="0">
      <text>
        <r>
          <rPr>
            <sz val="9"/>
            <color indexed="81"/>
            <rFont val="Tahoma"/>
            <family val="2"/>
            <charset val="186"/>
          </rPr>
          <t>P-1.1.1.5.</t>
        </r>
      </text>
    </comment>
    <comment ref="E142" authorId="2" shapeId="0">
      <text>
        <r>
          <rPr>
            <sz val="9"/>
            <color indexed="81"/>
            <rFont val="Tahoma"/>
            <family val="2"/>
            <charset val="186"/>
          </rPr>
          <t>P-1.1.1.5.</t>
        </r>
      </text>
    </comment>
    <comment ref="E145" authorId="2" shapeId="0">
      <text>
        <r>
          <rPr>
            <sz val="9"/>
            <color indexed="81"/>
            <rFont val="Tahoma"/>
            <family val="2"/>
            <charset val="186"/>
          </rPr>
          <t>P-1.1.1.5.</t>
        </r>
      </text>
    </comment>
    <comment ref="E148" authorId="1" shapeId="0">
      <text>
        <r>
          <rPr>
            <sz val="9"/>
            <color indexed="81"/>
            <rFont val="Tahoma"/>
            <family val="2"/>
            <charset val="186"/>
          </rPr>
          <t xml:space="preserve">P-3.1.3.6. 2024-2025 m.
</t>
        </r>
      </text>
    </comment>
    <comment ref="E149" authorId="7" shapeId="0">
      <text>
        <r>
          <rPr>
            <sz val="9"/>
            <color indexed="81"/>
            <rFont val="Tahoma"/>
            <family val="2"/>
            <charset val="186"/>
          </rPr>
          <t>3.1.1.3.</t>
        </r>
      </text>
    </comment>
    <comment ref="E152" authorId="7" shapeId="0">
      <text>
        <r>
          <rPr>
            <sz val="9"/>
            <color indexed="81"/>
            <rFont val="Tahoma"/>
            <family val="2"/>
            <charset val="186"/>
          </rPr>
          <t>3.1.2.2.</t>
        </r>
      </text>
    </comment>
    <comment ref="E155" authorId="7" shapeId="0">
      <text>
        <r>
          <rPr>
            <sz val="9"/>
            <color indexed="81"/>
            <rFont val="Tahoma"/>
            <family val="2"/>
            <charset val="186"/>
          </rPr>
          <t>3.1.3.5.</t>
        </r>
      </text>
    </comment>
    <comment ref="E158" authorId="7" shapeId="0">
      <text>
        <r>
          <rPr>
            <sz val="9"/>
            <color indexed="81"/>
            <rFont val="Tahoma"/>
            <family val="2"/>
            <charset val="186"/>
          </rPr>
          <t>3.1.3.5.</t>
        </r>
      </text>
    </comment>
    <comment ref="D161" authorId="7" shapeId="0">
      <text>
        <r>
          <rPr>
            <sz val="9"/>
            <color indexed="81"/>
            <rFont val="Tahoma"/>
            <family val="2"/>
            <charset val="186"/>
          </rPr>
          <t>Atsiskaitymui su LAKD po teisminio proceso su rangovu</t>
        </r>
      </text>
    </comment>
    <comment ref="E161" authorId="0" shapeId="0">
      <text>
        <r>
          <rPr>
            <b/>
            <sz val="9"/>
            <color indexed="81"/>
            <rFont val="Tahoma"/>
            <family val="2"/>
            <charset val="186"/>
          </rPr>
          <t xml:space="preserve">P1, </t>
        </r>
        <r>
          <rPr>
            <sz val="9"/>
            <color indexed="81"/>
            <rFont val="Tahoma"/>
            <family val="2"/>
            <charset val="186"/>
          </rPr>
          <t>3.6. Miesto susisiekimo sistemos tobulinimas užtikrinant didesnį gatvių tinklo pralaidumą:
 1) Jūrininkų pr., 2) Pamario g., 3) Tilžės g.; 4) Šilutės pl. nuo Tilžės g. iki pervažos; 5) Pajūrio g.</t>
        </r>
      </text>
    </comment>
    <comment ref="J161" authorId="4" shapeId="0">
      <text>
        <r>
          <rPr>
            <sz val="9"/>
            <color indexed="81"/>
            <rFont val="Tahoma"/>
            <family val="2"/>
            <charset val="186"/>
          </rPr>
          <t>2021 m. atlikti gatvės (1374 m) rekonstravimo darbai</t>
        </r>
        <r>
          <rPr>
            <sz val="9"/>
            <color indexed="81"/>
            <rFont val="Tahoma"/>
            <family val="2"/>
            <charset val="186"/>
          </rPr>
          <t xml:space="preserve">
</t>
        </r>
      </text>
    </comment>
    <comment ref="K161" authorId="1" shapeId="0">
      <text>
        <r>
          <rPr>
            <sz val="9"/>
            <color indexed="81"/>
            <rFont val="Tahoma"/>
            <family val="2"/>
            <charset val="186"/>
          </rPr>
          <t xml:space="preserve">Neaišku, kada  ir kaip baigsis teisminiai ginčai
</t>
        </r>
      </text>
    </comment>
    <comment ref="E164"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E165" authorId="2" shapeId="0">
      <text>
        <r>
          <rPr>
            <sz val="9"/>
            <color indexed="81"/>
            <rFont val="Tahoma"/>
            <family val="2"/>
            <charset val="186"/>
          </rPr>
          <t>P-3.1.1.4.</t>
        </r>
      </text>
    </comment>
    <comment ref="K165" authorId="1" shapeId="0">
      <text>
        <r>
          <rPr>
            <sz val="9"/>
            <color indexed="81"/>
            <rFont val="Tahoma"/>
            <family val="2"/>
            <charset val="186"/>
          </rPr>
          <t xml:space="preserve">Rangovas vėluoja atlikti darbus, planauojama juos atnaujinti po technloginės pertraukos  2023-03-15. Rangovui skaičiuojami delspinigiai. 
</t>
        </r>
      </text>
    </comment>
    <comment ref="E177" authorId="5" shapeId="0">
      <text>
        <r>
          <rPr>
            <sz val="9"/>
            <color indexed="81"/>
            <rFont val="Tahoma"/>
            <family val="2"/>
            <charset val="186"/>
          </rPr>
          <t>P-3.1.2., 3.1.2.1., 3.1.2.2</t>
        </r>
      </text>
    </comment>
    <comment ref="E178" authorId="0" shapeId="0">
      <text>
        <r>
          <rPr>
            <b/>
            <sz val="9"/>
            <color indexed="81"/>
            <rFont val="Tahoma"/>
            <family val="2"/>
            <charset val="186"/>
          </rPr>
          <t xml:space="preserve">P1 1.3. </t>
        </r>
        <r>
          <rPr>
            <sz val="9"/>
            <color indexed="81"/>
            <rFont val="Tahoma"/>
            <family val="2"/>
            <charset val="186"/>
          </rPr>
          <t xml:space="preserve">Ekologiško bei visiems prieinamo viešojo transporto  sistemos įdiegimas
1.3.2. Socialiai jautrių visuomenės grupių (moksleiviai, studentai ir senjorai), kuriems įvestos papildomos nuolaidos įsigyjant viešojo transporto bilietus, skaičius </t>
        </r>
      </text>
    </comment>
    <comment ref="J180" authorId="5" shapeId="0">
      <text>
        <r>
          <rPr>
            <sz val="9"/>
            <color indexed="81"/>
            <rFont val="Tahoma"/>
            <family val="2"/>
            <charset val="186"/>
          </rPr>
          <t xml:space="preserve">Lengvatiniai 10 eurų bilietai: 
• pradinukų 9 mėnesių 
• senjorų nuo 70 metų metiniai
</t>
        </r>
      </text>
    </comment>
    <comment ref="J181" authorId="5" shapeId="0">
      <text>
        <r>
          <rPr>
            <sz val="9"/>
            <color indexed="81"/>
            <rFont val="Tahoma"/>
            <family val="2"/>
            <charset val="186"/>
          </rPr>
          <t>Iš kaimų ir kitų miestų važinėjantiems moksleiviams kompensuojama per sutartis su mokyklomis</t>
        </r>
      </text>
    </comment>
    <comment ref="E183" authorId="5" shapeId="0">
      <text>
        <r>
          <rPr>
            <sz val="9"/>
            <color indexed="81"/>
            <rFont val="Tahoma"/>
            <family val="2"/>
            <charset val="186"/>
          </rPr>
          <t>P-3.1.2., 3.1.2.1., 3.1.2.2</t>
        </r>
      </text>
    </comment>
    <comment ref="E185" authorId="0" shapeId="0">
      <text>
        <r>
          <rPr>
            <b/>
            <sz val="9"/>
            <color indexed="81"/>
            <rFont val="Tahoma"/>
            <family val="2"/>
            <charset val="186"/>
          </rPr>
          <t xml:space="preserve">P1 </t>
        </r>
        <r>
          <rPr>
            <sz val="9"/>
            <color indexed="81"/>
            <rFont val="Tahoma"/>
            <family val="2"/>
            <charset val="186"/>
          </rPr>
          <t>1.3.1. Parengtas ir įgyvendintas viešojo transporto parko atnaujinimo veiksmų planas siekiant padidinti alternatyviu kuru varomų viešojo transporto priemonių dalį iki 65 proc.</t>
        </r>
      </text>
    </comment>
    <comment ref="K185" authorId="5" shapeId="0">
      <text>
        <r>
          <rPr>
            <sz val="9"/>
            <color indexed="81"/>
            <rFont val="Tahoma"/>
            <family val="2"/>
            <charset val="186"/>
          </rPr>
          <t xml:space="preserve">2 ekspl. el.autobusai
10 veikl.nuomos el. autobusų (trumpi) nuo 2023.07
13 CPVA proj. el. autobusai (ilgi) nuo 2023.09
</t>
        </r>
      </text>
    </comment>
    <comment ref="L185" authorId="5" shapeId="0">
      <text>
        <r>
          <rPr>
            <sz val="9"/>
            <color indexed="81"/>
            <rFont val="Tahoma"/>
            <family val="2"/>
            <charset val="186"/>
          </rPr>
          <t xml:space="preserve">2 ekspl. el.autobusai
10 veikl.nuomos el.autobusų (trumpi) nuo 2023.07
13 CPVA proj. el. autobusai (ilgi) nuo 2023.09
10 APVA proj. el. autobusų (trumpi) nuo 2024.02
</t>
        </r>
      </text>
    </comment>
    <comment ref="K193" authorId="5" shapeId="0">
      <text>
        <r>
          <rPr>
            <sz val="9"/>
            <color indexed="81"/>
            <rFont val="Tahoma"/>
            <family val="2"/>
            <charset val="186"/>
          </rPr>
          <t>Lėšų poreikis suskaičiuotas pagal šiuos išeitinius duomenis: 
1) navigacinis sezonas truks 180 dienų nuo kiekvienų metų balandžio 1 d.;
2) kursuos 3 vandens autobusai su 2 įkrovos stotelėmis (Senamiestis ir Tauralaukis), 12 ratų per dieną.
Pirmais metais bilietų pajamos dengtų ~50 proc. sąnaudų, vėliau jos gali mažėti. 
Kompensacija bus mokama nuo 2023-06-15.</t>
        </r>
      </text>
    </comment>
    <comment ref="E194" authorId="0" shapeId="0">
      <text>
        <r>
          <rPr>
            <sz val="9"/>
            <color indexed="81"/>
            <rFont val="Tahoma"/>
            <family val="2"/>
            <charset val="186"/>
          </rPr>
          <t xml:space="preserve">Klaipėdos miesto darnaus judumo planas (2018-09-13, T2-185)
</t>
        </r>
      </text>
    </comment>
    <comment ref="K194" authorId="1" shapeId="0">
      <text>
        <r>
          <rPr>
            <sz val="9"/>
            <color indexed="81"/>
            <rFont val="Tahoma"/>
            <family val="2"/>
            <charset val="186"/>
          </rPr>
          <t>Elektros įvado informacinėms švieslentėms pasažo autobusų stotelėje (šalia Vingio g. 5) įrengimo darbai su projektavimu</t>
        </r>
      </text>
    </comment>
    <comment ref="E198" authorId="2" shapeId="0">
      <text>
        <r>
          <rPr>
            <sz val="9"/>
            <color indexed="81"/>
            <rFont val="Tahoma"/>
            <family val="2"/>
            <charset val="186"/>
          </rPr>
          <t>P-3.1.2.2.</t>
        </r>
      </text>
    </comment>
    <comment ref="J198" authorId="1" shapeId="0">
      <text>
        <r>
          <rPr>
            <sz val="9"/>
            <color indexed="81"/>
            <rFont val="Tahoma"/>
            <family val="2"/>
            <charset val="186"/>
          </rPr>
          <t>Prie Valstybės įmonės „Regitra“ (2 vnt.)</t>
        </r>
      </text>
    </comment>
    <comment ref="D199" authorId="1" shapeId="0">
      <text>
        <r>
          <rPr>
            <sz val="9"/>
            <color indexed="81"/>
            <rFont val="Tahoma"/>
            <family val="2"/>
            <charset val="186"/>
          </rPr>
          <t>Pagal KMS tarybos sprendimą 2020-07-30 Nr. T2-174</t>
        </r>
      </text>
    </comment>
    <comment ref="E199" authorId="1" shapeId="0">
      <text>
        <r>
          <rPr>
            <sz val="9"/>
            <color indexed="81"/>
            <rFont val="Tahoma"/>
            <family val="2"/>
            <charset val="186"/>
          </rPr>
          <t xml:space="preserve">Viešojo transporto rūšies diegimo Klaipėdos mieste gairės (2020-07-30, Nr. T2-200)
</t>
        </r>
      </text>
    </comment>
    <comment ref="K199" authorId="1" shapeId="0">
      <text>
        <r>
          <rPr>
            <sz val="9"/>
            <color indexed="81"/>
            <rFont val="Tahoma"/>
            <family val="2"/>
            <charset val="186"/>
          </rPr>
          <t>Projektą įgyvendina UAB "Klaipėdos autobusų parkas" Klimato kaitos programoje projekte "Daugiau švarios erdvės" su Savivaldybės 45 % prisidėjimu. Programos lėšas gaus UAB KAP. Tarybos sprendimas 2020-07-30 Nr.T2-174. Planuojama, kad viešasis pirkimas bus paskelbtas š.m. spalio pabaigoje. Idealiu atveju viešųjų pirkimų procedūros ir sutarties pasirašymas įvyktų  š.m. gruodžio mėn. pabaigoje. Po sutarties pasirašymo avansas (562,5 tūkst. Eur) turi būti sumokėtas per 60 d. Dėl to 2022 m. lėšos keliamos į kitus metus. Autobusų pristatymas numatomas per 12 mėn., tai atsiskaitymo laikotarpis turėtų būti  suplanuotas 2023 m. t.y. 2023 m. suplanuotos lėšos (1687,5 tūkst. Eur) keliamos į 2024 m.</t>
        </r>
      </text>
    </comment>
    <comment ref="E200"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E202" authorId="1" shapeId="0">
      <text>
        <r>
          <rPr>
            <sz val="9"/>
            <color indexed="81"/>
            <rFont val="Tahoma"/>
            <family val="2"/>
            <charset val="186"/>
          </rPr>
          <t xml:space="preserve">P-3.1.2.2.
</t>
        </r>
      </text>
    </comment>
    <comment ref="E203" authorId="1" shapeId="0">
      <text>
        <r>
          <rPr>
            <sz val="9"/>
            <color indexed="81"/>
            <rFont val="Tahoma"/>
            <family val="2"/>
            <charset val="186"/>
          </rPr>
          <t xml:space="preserve">Viešojo transporto rūšies diegimo Klaipėdos mieste gairės (2020-07-30, Nr. T2-200)
</t>
        </r>
      </text>
    </comment>
    <comment ref="J203" authorId="6" shapeId="0">
      <text>
        <r>
          <rPr>
            <sz val="9"/>
            <color indexed="81"/>
            <rFont val="Tahoma"/>
            <family val="2"/>
            <charset val="186"/>
          </rPr>
          <t xml:space="preserve">KMSA su partneriu UAB „Klaipėdos autobusų parkas“ teikiamo projekto „Klaipėdos miesto viešojo transporto priemonių parko atnaujinimas“ tikslas - pagerinti viešojo transporto paslaugų kokybę Klaipėdos mieste. Fiziškai ir morališkai pasenę autobusai neskatina gyventojų naudotis viešuoju transportu. Nudėvėtų autobusų varikliai teršia aplinką CO2 ir kitais teršalais.
Preliminari projekto  pradžia 2022 m. birželio mėn., įgyvendinimo trukmė – 18 mėn. </t>
        </r>
        <r>
          <rPr>
            <b/>
            <sz val="9"/>
            <color indexed="81"/>
            <rFont val="Tahoma"/>
            <family val="2"/>
            <charset val="186"/>
          </rPr>
          <t>KMSA prisidėjimas - 15 proc.</t>
        </r>
      </text>
    </comment>
    <comment ref="E204" authorId="2" shapeId="0">
      <text>
        <r>
          <rPr>
            <sz val="9"/>
            <color indexed="81"/>
            <rFont val="Tahoma"/>
            <family val="2"/>
            <charset val="186"/>
          </rPr>
          <t>P-3.1.2.2.</t>
        </r>
      </text>
    </comment>
    <comment ref="E207"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D208" authorId="1" shapeId="0">
      <text>
        <r>
          <rPr>
            <sz val="9"/>
            <color indexed="81"/>
            <rFont val="Tahoma"/>
            <family val="2"/>
            <charset val="186"/>
          </rPr>
          <t xml:space="preserve"> Integruojama į priemonę "Eismo valdymo sistemos modernizavimas žaliosios bangos principu Smiltelės g., Taikos pr., Tiltų g. ir Liepojos g. integruojant BRT, dviračių takų, apšvietimo ir dangų sutvarkymą"</t>
        </r>
      </text>
    </comment>
    <comment ref="E208" authorId="1" shapeId="0">
      <text>
        <r>
          <rPr>
            <sz val="9"/>
            <color indexed="81"/>
            <rFont val="Tahoma"/>
            <family val="2"/>
            <charset val="186"/>
          </rPr>
          <t xml:space="preserve">Viešojo transporto rūšies diegimo Klaipėdos mieste gairės (2020-07-30, Nr. T2-200)
</t>
        </r>
      </text>
    </comment>
    <comment ref="E211" authorId="5" shapeId="0">
      <text>
        <r>
          <rPr>
            <sz val="9"/>
            <color indexed="81"/>
            <rFont val="Tahoma"/>
            <family val="2"/>
            <charset val="186"/>
          </rPr>
          <t>P</t>
        </r>
        <r>
          <rPr>
            <b/>
            <sz val="9"/>
            <color indexed="81"/>
            <rFont val="Tahoma"/>
            <family val="2"/>
            <charset val="186"/>
          </rPr>
          <t>-</t>
        </r>
        <r>
          <rPr>
            <sz val="9"/>
            <color indexed="81"/>
            <rFont val="Tahoma"/>
            <family val="2"/>
            <charset val="186"/>
          </rPr>
          <t>3.1.2.2.</t>
        </r>
      </text>
    </comment>
    <comment ref="E215" authorId="3" shapeId="0">
      <text>
        <r>
          <rPr>
            <sz val="9"/>
            <color indexed="81"/>
            <rFont val="Tahoma"/>
            <family val="2"/>
            <charset val="186"/>
          </rPr>
          <t>P2, Klaipėdos miesto darnaus judumo planas (2018-09-13, T2-185)</t>
        </r>
      </text>
    </comment>
    <comment ref="E221" authorId="0" shapeId="0">
      <text>
        <r>
          <rPr>
            <sz val="9"/>
            <color indexed="81"/>
            <rFont val="Tahoma"/>
            <family val="2"/>
            <charset val="186"/>
          </rPr>
          <t>P-3.1.1.2.</t>
        </r>
      </text>
    </comment>
    <comment ref="J224" authorId="5" shapeId="0">
      <text>
        <r>
          <rPr>
            <sz val="9"/>
            <color indexed="81"/>
            <rFont val="Tahoma"/>
            <family val="2"/>
            <charset val="186"/>
          </rPr>
          <t>Programinės įrangos OMNIA, skirtos koordinuoti šviesoforų darbą, papildomo funkcionalumo - viešojo transporto prioriteto modulio licencijų įsigijimas (bus mokama kas mėnesį)</t>
        </r>
      </text>
    </comment>
    <comment ref="K224" authorId="5" shapeId="0">
      <text>
        <r>
          <rPr>
            <sz val="9"/>
            <color indexed="81"/>
            <rFont val="Tahoma"/>
            <family val="2"/>
            <charset val="186"/>
          </rPr>
          <t xml:space="preserve">1 licencija - 1 šviesoforinei sankryžai reguliuoti. </t>
        </r>
      </text>
    </comment>
    <comment ref="K228" authorId="1" shapeId="0">
      <text>
        <r>
          <rPr>
            <sz val="9"/>
            <color indexed="81"/>
            <rFont val="Tahoma"/>
            <family val="2"/>
            <charset val="186"/>
          </rPr>
          <t>1. Šviesoforais reguliuojamos pėsčiųjų perėjos Dariaus ir Girėno gatvėje ties Nr. 8A.
2. Šviesoforais reguliuojamos pėsčiųjų perėjos Liepojos g. Nr. 1 (ties Panevėžio g. sankryža).
3. Šviesoforais reguliuojamos pėsčiųjų perėjos Liepojos gatvėje ties Nr. 41A.
4. Šviesoforais reguliuojamos pėsčiųjų perėjos Minijos g. Nr. 174 (ties Nendrių g. sankryža).
5. Šviesoforais reguliuojamos pėsčiųjų perėjos Smiltelės gatvėje ties Nr. 5.
6. Mokyklos g. ir Verpėjų g. sankryžos Klaipėdoje šviesoforų posto įrengimo darbai.
7. Taikos pr. ir Jachtų g. sankryžos Klaipėdoje šviesoforų posto įrengimo darbai</t>
        </r>
      </text>
    </comment>
    <comment ref="K231" authorId="1" shapeId="0">
      <text>
        <r>
          <rPr>
            <sz val="9"/>
            <color indexed="81"/>
            <rFont val="Tahoma"/>
            <family val="2"/>
            <charset val="186"/>
          </rPr>
          <t>Dviračių saugykla - Malūnininkų g. 1;
Dviračių skaičiuoklės - prie p. c. ,,Akropolis“, Taikos pr. ir prie ,,Atgimimo“ stotelės;
Kintamos informacijos kelio ženklai - P. Lideiko g.</t>
        </r>
      </text>
    </comment>
    <comment ref="M231" authorId="5" shapeId="0">
      <text>
        <r>
          <rPr>
            <sz val="9"/>
            <color indexed="81"/>
            <rFont val="Tahoma"/>
            <family val="2"/>
            <charset val="186"/>
          </rPr>
          <t>+ Mokyklos gatvės tilto KIŽ</t>
        </r>
      </text>
    </comment>
    <comment ref="E234" authorId="5" shapeId="0">
      <text>
        <r>
          <rPr>
            <sz val="9"/>
            <color indexed="81"/>
            <rFont val="Tahoma"/>
            <family val="2"/>
            <charset val="186"/>
          </rPr>
          <t>P-3.1.2.2.</t>
        </r>
      </text>
    </comment>
    <comment ref="K235" authorId="1" shapeId="0">
      <text>
        <r>
          <rPr>
            <sz val="9"/>
            <color indexed="81"/>
            <rFont val="Tahoma"/>
            <family val="2"/>
            <charset val="186"/>
          </rPr>
          <t xml:space="preserve">Debreceno g. ties 47
Reikjaviko g. ties 7
Varpų g. ties 3
Panevėžio g. 44
Žardininkų g. 18
Reikjaviko g. ties 15
</t>
        </r>
      </text>
    </comment>
    <comment ref="E236" authorId="5" shapeId="0">
      <text>
        <r>
          <rPr>
            <sz val="9"/>
            <color indexed="81"/>
            <rFont val="Tahoma"/>
            <family val="2"/>
            <charset val="186"/>
          </rPr>
          <t>P-3.1.3.6.</t>
        </r>
      </text>
    </comment>
    <comment ref="E238" authorId="5" shapeId="0">
      <text>
        <r>
          <rPr>
            <sz val="9"/>
            <color indexed="81"/>
            <rFont val="Tahoma"/>
            <family val="2"/>
            <charset val="186"/>
          </rPr>
          <t>P-3.1.1.5.</t>
        </r>
      </text>
    </comment>
    <comment ref="E239" authorId="0" shapeId="0">
      <text>
        <r>
          <rPr>
            <b/>
            <sz val="9"/>
            <color indexed="81"/>
            <rFont val="Tahoma"/>
            <family val="2"/>
            <charset val="186"/>
          </rPr>
          <t xml:space="preserve"> P2, </t>
        </r>
        <r>
          <rPr>
            <sz val="9"/>
            <color indexed="81"/>
            <rFont val="Tahoma"/>
            <family val="2"/>
            <charset val="186"/>
          </rPr>
          <t xml:space="preserve">Klaipėdos miesto darnaus judumo planas (2018-09-13, T2-185)
</t>
        </r>
      </text>
    </comment>
    <comment ref="M239" authorId="1" shapeId="0">
      <text>
        <r>
          <rPr>
            <sz val="9"/>
            <color indexed="81"/>
            <rFont val="Tahoma"/>
            <family val="2"/>
            <charset val="186"/>
          </rPr>
          <t xml:space="preserve">Pasibaigus senųjų radarų sutarčiai ir  priėmus sprendimą jų daugiau neeksploatuoti, reikės išmontuoti senųjų radarų stovus ir pačius radarus
</t>
        </r>
      </text>
    </comment>
    <comment ref="E240"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1.2.5. priemonė</t>
        </r>
      </text>
    </comment>
    <comment ref="E241" authorId="5" shapeId="0">
      <text>
        <r>
          <rPr>
            <sz val="9"/>
            <color indexed="81"/>
            <rFont val="Tahoma"/>
            <family val="2"/>
            <charset val="186"/>
          </rPr>
          <t>P-2.4.3.5.</t>
        </r>
      </text>
    </comment>
    <comment ref="E252" authorId="0" shapeId="0">
      <text>
        <r>
          <rPr>
            <b/>
            <sz val="9"/>
            <color indexed="81"/>
            <rFont val="Tahoma"/>
            <family val="2"/>
            <charset val="186"/>
          </rPr>
          <t xml:space="preserve">P1, </t>
        </r>
        <r>
          <rPr>
            <sz val="9"/>
            <color indexed="81"/>
            <rFont val="Tahoma"/>
            <family val="2"/>
            <charset val="186"/>
          </rPr>
          <t xml:space="preserve">3.6.2. Diegiama koordinuotų eismo valdymo sistemų, vnt.
</t>
        </r>
      </text>
    </comment>
    <comment ref="M253" authorId="5" shapeId="0">
      <text>
        <r>
          <rPr>
            <sz val="9"/>
            <color indexed="81"/>
            <rFont val="Tahoma"/>
            <family val="2"/>
            <charset val="186"/>
          </rPr>
          <t>iki 2025 metų gruodžio mėn.</t>
        </r>
      </text>
    </comment>
    <comment ref="E254" authorId="0" shapeId="0">
      <text>
        <r>
          <rPr>
            <sz val="9"/>
            <color indexed="81"/>
            <rFont val="Tahoma"/>
            <family val="2"/>
            <charset val="186"/>
          </rPr>
          <t xml:space="preserve">P-3.1.3.7.; 3.1.3.3.
</t>
        </r>
      </text>
    </comment>
    <comment ref="E257" authorId="5" shapeId="0">
      <text>
        <r>
          <rPr>
            <sz val="9"/>
            <color indexed="81"/>
            <rFont val="Tahoma"/>
            <family val="2"/>
            <charset val="186"/>
          </rPr>
          <t>P-3.1.1.1.</t>
        </r>
      </text>
    </comment>
    <comment ref="E259" authorId="0" shapeId="0">
      <text>
        <r>
          <rPr>
            <b/>
            <sz val="9"/>
            <color indexed="81"/>
            <rFont val="Tahoma"/>
            <family val="2"/>
            <charset val="186"/>
          </rPr>
          <t>P6 KEPS 6.1.5.</t>
        </r>
        <r>
          <rPr>
            <sz val="9"/>
            <color indexed="81"/>
            <rFont val="Tahoma"/>
            <family val="2"/>
            <charset val="186"/>
          </rPr>
          <t xml:space="preserve"> Sukurti Klaipėdos regione elektriniam transportui pritaikytą infrastruktūrą</t>
        </r>
      </text>
    </comment>
    <comment ref="E261"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1.2.7. priemonė</t>
        </r>
      </text>
    </comment>
    <comment ref="E262" authorId="0" shapeId="0">
      <text>
        <r>
          <rPr>
            <sz val="9"/>
            <color indexed="81"/>
            <rFont val="Tahoma"/>
            <family val="2"/>
            <charset val="186"/>
          </rPr>
          <t>P2 Klaipėdos miesto darnaus judumo planas (2018-09-13, T2-185);</t>
        </r>
      </text>
    </comment>
    <comment ref="E264" authorId="5" shapeId="0">
      <text>
        <r>
          <rPr>
            <sz val="9"/>
            <color indexed="81"/>
            <rFont val="Tahoma"/>
            <family val="2"/>
            <charset val="186"/>
          </rPr>
          <t>P-1.2.1.3., 3.1.2.3.</t>
        </r>
      </text>
    </comment>
    <comment ref="D265" authorId="1" shapeId="0">
      <text>
        <r>
          <rPr>
            <sz val="9"/>
            <color indexed="81"/>
            <rFont val="Tahoma"/>
            <family val="2"/>
            <charset val="186"/>
          </rPr>
          <t xml:space="preserve">Eismo valdymo sistemos modernizavimas žaliosios bangos principu
</t>
        </r>
      </text>
    </comment>
    <comment ref="E265" authorId="7" shapeId="0">
      <text>
        <r>
          <rPr>
            <sz val="9"/>
            <color indexed="81"/>
            <rFont val="Tahoma"/>
            <family val="2"/>
            <charset val="186"/>
          </rPr>
          <t>3.1.2.2.; 3.1.3.3.</t>
        </r>
      </text>
    </comment>
    <comment ref="E266" authorId="1" shapeId="0">
      <text>
        <r>
          <rPr>
            <sz val="9"/>
            <color indexed="81"/>
            <rFont val="Tahoma"/>
            <family val="2"/>
            <charset val="186"/>
          </rPr>
          <t xml:space="preserve">Viešojo transporto rūšies diegimo Klaipėdos mieste gairės (2020-07-30, Nr. T2-200)
</t>
        </r>
      </text>
    </comment>
    <comment ref="E270" authorId="7" shapeId="0">
      <text>
        <r>
          <rPr>
            <sz val="9"/>
            <color indexed="81"/>
            <rFont val="Tahoma"/>
            <family val="2"/>
            <charset val="186"/>
          </rPr>
          <t>3.1.2.2.</t>
        </r>
      </text>
    </comment>
  </commentList>
</comments>
</file>

<file path=xl/sharedStrings.xml><?xml version="1.0" encoding="utf-8"?>
<sst xmlns="http://schemas.openxmlformats.org/spreadsheetml/2006/main" count="2099" uniqueCount="371">
  <si>
    <t>Uždavinio kodas</t>
  </si>
  <si>
    <t>Priemonės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</si>
  <si>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</si>
  <si>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</si>
  <si>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</si>
  <si>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</si>
  <si>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</si>
  <si>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</si>
  <si>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</si>
  <si>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</si>
  <si>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</si>
  <si>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</si>
  <si>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</si>
  <si>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</si>
  <si>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t xml:space="preserve"> TIKSLŲ, UŽDAVINIŲ, PRIEMONIŲ, PRIEMONIŲ IŠLAIDŲ IR PRODUKTO KRITERIJŲ SUVESTINĖ</t>
  </si>
  <si>
    <t>Veiklos plano tikslo kodas</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</si>
  <si>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</si>
  <si>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</si>
  <si>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</si>
  <si>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</si>
  <si>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</si>
  <si>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</si>
  <si>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06 Susisiekimo sistemos priežiūros ir plėtros programa</t>
  </si>
  <si>
    <t>Papriemonės kodas</t>
  </si>
  <si>
    <t>03</t>
  </si>
  <si>
    <t>SUSISIEKIMO SISTEMOS PRIEŽIŪROS IR PLĖTROS PROGRAMOS (NR. 06)</t>
  </si>
  <si>
    <t>Didinti gatvių tinklo pralaidumą ir užtikrinti jų tankumą</t>
  </si>
  <si>
    <t xml:space="preserve"> Užtikrinti patogios viešojo transporto sistemos funkcionavimą</t>
  </si>
  <si>
    <t>04</t>
  </si>
  <si>
    <t>05</t>
  </si>
  <si>
    <t>06</t>
  </si>
  <si>
    <t>07</t>
  </si>
  <si>
    <t>Eksploatuojama šviesoforų, vnt.</t>
  </si>
  <si>
    <t>Tiltų ir kelio statinių priežiūra</t>
  </si>
  <si>
    <t>Suremontuota asfaltbetonio dangos duobių gatvėse, ha</t>
  </si>
  <si>
    <t>Parduota lengvatinių bilietų, mln. vnt.</t>
  </si>
  <si>
    <t>Viešojo transporto priežiūros ir paslaugų kokybės kontroliavimas</t>
  </si>
  <si>
    <t>ES</t>
  </si>
  <si>
    <t>Kt</t>
  </si>
  <si>
    <t>Parengtas techninis projektas, vnt.</t>
  </si>
  <si>
    <t>I</t>
  </si>
  <si>
    <t>KVJUD</t>
  </si>
  <si>
    <t>Asfaltuotų daugiabučių kiemų dangų remontas</t>
  </si>
  <si>
    <t>Patikrinta viešojo transporto priemonių, tūkst. vnt.</t>
  </si>
  <si>
    <t>Viešojo transporto paslaugų organizavimas:</t>
  </si>
  <si>
    <t xml:space="preserve">Iš viso  programai:  </t>
  </si>
  <si>
    <t>SB(L)</t>
  </si>
  <si>
    <t>Strateginis tikslas 02. Kurti mieste patrauklią, švarią ir saugią gyvenamąją aplinką</t>
  </si>
  <si>
    <t>Viešosios tvarkos skyrius</t>
  </si>
  <si>
    <t>Miesto gatvių ženklinimas</t>
  </si>
  <si>
    <t>Prižiūrima žvyruotos dangos, ha</t>
  </si>
  <si>
    <t>Paklota ištisinio asfaltbetonio dangos, ha</t>
  </si>
  <si>
    <t>Eksploatuojama prietaisų, vnt.</t>
  </si>
  <si>
    <t>SB(VR)</t>
  </si>
  <si>
    <r>
      <t xml:space="preserve">Vietinių rinkliavų lėšos </t>
    </r>
    <r>
      <rPr>
        <b/>
        <sz val="10"/>
        <rFont val="Times New Roman"/>
        <family val="1"/>
        <charset val="186"/>
      </rPr>
      <t>SB(VR)</t>
    </r>
  </si>
  <si>
    <t>SB(VRL)</t>
  </si>
  <si>
    <t>Suženklinta gatvių, ha</t>
  </si>
  <si>
    <t>Eksploatuojama greičio matuoklių, vnt.</t>
  </si>
  <si>
    <t xml:space="preserve">Savivaldybės biudžetas, iš jo: </t>
  </si>
  <si>
    <t xml:space="preserve">Parengtas techninis projektas, vnt. </t>
  </si>
  <si>
    <r>
      <rPr>
        <sz val="10"/>
        <rFont val="Times New Roman"/>
        <family val="1"/>
        <charset val="186"/>
      </rPr>
      <t>Vietinių rinkliavų likučio lėšos</t>
    </r>
    <r>
      <rPr>
        <b/>
        <sz val="10"/>
        <rFont val="Times New Roman"/>
        <family val="1"/>
        <charset val="186"/>
      </rPr>
      <t xml:space="preserve"> SB(VRL)</t>
    </r>
  </si>
  <si>
    <r>
      <t xml:space="preserve">Žemės pardavimų likučio lėšos </t>
    </r>
    <r>
      <rPr>
        <b/>
        <sz val="10"/>
        <rFont val="Times New Roman"/>
        <family val="1"/>
        <charset val="186"/>
      </rPr>
      <t>SB(ŽPL)</t>
    </r>
  </si>
  <si>
    <t>SB(KPP)</t>
  </si>
  <si>
    <t>Eismo reguliavimo infrastruktūros eksploatacija ir įrengimas</t>
  </si>
  <si>
    <t>Mokamo automobilių stovėjimo sistemos mieste kūrimas ir išlaikymas</t>
  </si>
  <si>
    <t>Eismo srautų reguliavimo ir saugumo priemonių įgyvendinimas:</t>
  </si>
  <si>
    <t>tūkst. Eur</t>
  </si>
  <si>
    <t xml:space="preserve">Diegti eismo srautų reguliavimo ir saugumo priemones </t>
  </si>
  <si>
    <t xml:space="preserve">Eksploatuojama eismo reguliavimo priemonių, tūkst. vnt. </t>
  </si>
  <si>
    <t xml:space="preserve">Susisiekimo sistemos objektų pritaikymas neįgaliesiems  </t>
  </si>
  <si>
    <t>Klaipėdos miesto viešojo transporto švieslenčių ir informacinių švieslenčių įrengimas ir atnaujinimas</t>
  </si>
  <si>
    <t>Baltijos pr. ir Šilutės pl. žiedinės sankryžos rekonstravimas</t>
  </si>
  <si>
    <t>Suteikta gatvių dangų, konstruktyvo ir betoninių gaminių kontrolinių bandymų paslaugų. Užbaigtumas, proc.</t>
  </si>
  <si>
    <t>Eksploatuojama bilietų automatų, vnt.</t>
  </si>
  <si>
    <t>Kompensuota bilietų profesinių mokyklų moksleiviams, tūkst. vnt.</t>
  </si>
  <si>
    <t>Atlikta rekonstravimo darbų. Užbaigtumas, proc.</t>
  </si>
  <si>
    <t>Įstaigų, kurių kiemuose atlikta asfalto dangos remonto darbų, skaičius</t>
  </si>
  <si>
    <t xml:space="preserve">Klaipėdos miesto gatvių pėsčiųjų perėjų kryptinis apšvietimas </t>
  </si>
  <si>
    <t>Kompensuota nuostolingų maršrutų, vnt.</t>
  </si>
  <si>
    <t xml:space="preserve">Nuostolių kompensacijų mokėjimas: </t>
  </si>
  <si>
    <t>patirtų įgyvendinant ES Sanglaudos fondų finansuojamus ekologiškų viešojo transporto  priemonių įsigijimo projektus</t>
  </si>
  <si>
    <r>
      <t xml:space="preserve">Programų lėšų likučių lėšos </t>
    </r>
    <r>
      <rPr>
        <b/>
        <sz val="10"/>
        <rFont val="Times New Roman"/>
        <family val="1"/>
        <charset val="186"/>
      </rPr>
      <t xml:space="preserve">SB(L) </t>
    </r>
  </si>
  <si>
    <t>Subsidijuojamų maršrutų skaičius:</t>
  </si>
  <si>
    <t>10</t>
  </si>
  <si>
    <t>08</t>
  </si>
  <si>
    <t>Elektra varomo viešojo transporto naujų galimybių plėtra (DEPO), ELENA</t>
  </si>
  <si>
    <t>Transporto skyrius</t>
  </si>
  <si>
    <t>Tauralaukio gyvenvietės gatvių rekonstravimas</t>
  </si>
  <si>
    <t>Klaipėdos miestui priklausančių elektromobilių įkrovimo stotelių eksploatavimas ir priežiūra</t>
  </si>
  <si>
    <t>SB(ES)</t>
  </si>
  <si>
    <t>Eksploatuojama elektromobilių įkrovimo stotelių, vnt.</t>
  </si>
  <si>
    <t>P2</t>
  </si>
  <si>
    <t>Žvejybos produktų iškrovimo vietos prie jūros Klaipėdos miesto teritorijoje įrengimas</t>
  </si>
  <si>
    <t>LRVB</t>
  </si>
  <si>
    <r>
      <t xml:space="preserve">Valstybės biudžeto specialiosios tikslinės dotacijos lėšos </t>
    </r>
    <r>
      <rPr>
        <b/>
        <sz val="10"/>
        <rFont val="Times New Roman"/>
        <family val="1"/>
        <charset val="186"/>
      </rPr>
      <t>SB(VB)</t>
    </r>
  </si>
  <si>
    <t>Atlikta eismo juostos įrengimo darbų. Užbaigtumas, proc.</t>
  </si>
  <si>
    <t>Prižiūrėta tiltų ir viadukų, vnt.</t>
  </si>
  <si>
    <t>Pėsčiųjų ir dviračių takų, šaligatvių (su dviračių takais) remonto bei įrengimo darbai</t>
  </si>
  <si>
    <t>Keleivinio transporto stotelių su įvažomis Klaipėdos miesto gatvėse projektavimas ir įrengimas</t>
  </si>
  <si>
    <t>Suremontuota asfaltbetonio dangos duobių kiemuose, ha</t>
  </si>
  <si>
    <t>Atnaujinta šaligatvių miesto gatvėse, ha</t>
  </si>
  <si>
    <t>Suremontuota gatvių akmens grindinio dangos  senamiesčio gatvėse, ha</t>
  </si>
  <si>
    <t>Suremontuota šaligatvių (su dviračių takais), ha</t>
  </si>
  <si>
    <t>Nuostolingų maršrutų subsidijavimas priemiesčio ir miesto maršrutus aptarnaujantiems vežėjams</t>
  </si>
  <si>
    <t>URBACT III projekto „Gyvos gatvės“ įgyvendinimas</t>
  </si>
  <si>
    <t>Įgyvendintas projektas, vnt.</t>
  </si>
  <si>
    <t>P6</t>
  </si>
  <si>
    <t>Naujai įrengta šviesoforų, vnt.</t>
  </si>
  <si>
    <t>Atlikta teritorijos paprastojo remonto darbų. Užbaigtumas, proc.</t>
  </si>
  <si>
    <t>Paprastojo remonto ir priežiūros darbų techninė priežiūra</t>
  </si>
  <si>
    <t>Gatvių tiesimas ir rekonstravimas:</t>
  </si>
  <si>
    <t>Šilutės plento ruožo nuo Tilžės g. iki geležinkelio pervažos (iki Kauno g.) rekonstrukcija (SM programa 06.2.1-TID-R-511 pr.Vietinių kelių vystymas)</t>
  </si>
  <si>
    <t>Įrengta stotelių su įvažomis, vnt.</t>
  </si>
  <si>
    <t>P1</t>
  </si>
  <si>
    <t>09</t>
  </si>
  <si>
    <t>Darnaus judumo projektų įgyvendinimas:</t>
  </si>
  <si>
    <t>11</t>
  </si>
  <si>
    <t>12</t>
  </si>
  <si>
    <t>Rekonstruoti, tiesti ir prižiūrėti gatves</t>
  </si>
  <si>
    <t>Statybos ir infrastruktūros plėtros skyrius</t>
  </si>
  <si>
    <t xml:space="preserve">Projektų skyrius </t>
  </si>
  <si>
    <t>Miesto tvarkymo skyrius</t>
  </si>
  <si>
    <t>Projektų skyrius</t>
  </si>
  <si>
    <t xml:space="preserve"> Transporto skyrius</t>
  </si>
  <si>
    <t xml:space="preserve"> Ištisinio asfaltbetonio dangos įrengimas: </t>
  </si>
  <si>
    <t>P</t>
  </si>
  <si>
    <t>SB(ESA)</t>
  </si>
  <si>
    <r>
      <t xml:space="preserve">Savivaldybės biudžeto apyvartos lėšos Europos Sąjungos finansinės paramos programų laikinam lėšų stygiui dengti </t>
    </r>
    <r>
      <rPr>
        <b/>
        <sz val="10"/>
        <rFont val="Times New Roman"/>
        <family val="1"/>
        <charset val="186"/>
      </rPr>
      <t xml:space="preserve"> SB(ESA)</t>
    </r>
  </si>
  <si>
    <t>20</t>
  </si>
  <si>
    <t>21</t>
  </si>
  <si>
    <t>22</t>
  </si>
  <si>
    <t>23</t>
  </si>
  <si>
    <t>24</t>
  </si>
  <si>
    <t>25</t>
  </si>
  <si>
    <t>Klaipėdos miesto gatvių rekonstravimas bendromis savivaldybės ir privačių asmenų lėšomis</t>
  </si>
  <si>
    <t>Vilniaus dailės akademijos Klaipėdos fakulteto teritorijos sutvarkymas</t>
  </si>
  <si>
    <t>Eksploatuojama elektromobilių įkrovimo stotelių, įrengtų pagal ES projektą, vnt.</t>
  </si>
  <si>
    <t>Įsigyta šviesoforų postų eismo valdymo įrenginių, vnt.</t>
  </si>
  <si>
    <t>Ekonominės plėtros grupė</t>
  </si>
  <si>
    <t>patirtų vykdant keleivinio kelių transporto viešųjų paslaugų vežant keleivius vietinio (miesto) reguliaraus susisiekimo autobusų maršrutais</t>
  </si>
  <si>
    <t>patirtų dėl naudojamų transporto priemonių pakeitimo ekologiškomis viešojo transporto priemonėmis</t>
  </si>
  <si>
    <t xml:space="preserve">Teatro ir Sukilėlių g. rekonstrukcija </t>
  </si>
  <si>
    <t>Danės g. rekonstravimas</t>
  </si>
  <si>
    <t>Projekto „Darnaus judumo planavimas: bendradarbiavimas bei ryšiai urbanistinėje sistemoje (SUMP-PLUS)“ įgyvendinimas</t>
  </si>
  <si>
    <t>Įrengta neregių vedimo dangos autobusų stotelėse, vnt.</t>
  </si>
  <si>
    <t>Apšviesta pėsčiųjų perėjų, vnt.</t>
  </si>
  <si>
    <t>Infrastruktūros įrengimas, reikalingas BRT sistemai funkcionuoti</t>
  </si>
  <si>
    <t>Saugaus eismo auditas</t>
  </si>
  <si>
    <t>Atlikta auditų, vnt.</t>
  </si>
  <si>
    <t>Įrengta elektromobilių įkrovimo stotelių, vnt.</t>
  </si>
  <si>
    <t>Įgyvendintas projekto etapas, vnt.</t>
  </si>
  <si>
    <t>Finansinės ataskaitos auditas, vnt.</t>
  </si>
  <si>
    <t xml:space="preserve">Transporto (eismo) valdymo sistemos diegimas: </t>
  </si>
  <si>
    <t xml:space="preserve">Parengto projekto šviesoforų montavimo darbai </t>
  </si>
  <si>
    <t xml:space="preserve">Apšvietimo ir kietųjų dangų atstatymo ir įrengimo darbai </t>
  </si>
  <si>
    <t xml:space="preserve">Valdymo sistemos su viešojo transporto prioritetu programinės įrangos diegimas ir priežiūros paslaugos </t>
  </si>
  <si>
    <t>Vykdomas garantinis aptarnavimas, mėn.</t>
  </si>
  <si>
    <t>SB(ESL)</t>
  </si>
  <si>
    <r>
      <t xml:space="preserve">Europos Sąjungos finansinės paramos lėšų likučio metų pradžioje lėšos </t>
    </r>
    <r>
      <rPr>
        <b/>
        <sz val="10"/>
        <rFont val="Times New Roman"/>
        <family val="1"/>
        <charset val="186"/>
      </rPr>
      <t>SB(ESL)</t>
    </r>
  </si>
  <si>
    <t>P3</t>
  </si>
  <si>
    <t>P4</t>
  </si>
  <si>
    <t>Produkto kriterijaus</t>
  </si>
  <si>
    <t>SB(VB)</t>
  </si>
  <si>
    <t>Pravažiuojamo kelio tarp Bokštų ir Jūros g. įrengimas</t>
  </si>
  <si>
    <t>26</t>
  </si>
  <si>
    <t>Įvažiuojamųjų kelių atnaujinimas:</t>
  </si>
  <si>
    <t>Įvažiuojamojo kelio į Debreceno g. 61</t>
  </si>
  <si>
    <t>27</t>
  </si>
  <si>
    <t>SB(ŽPL)</t>
  </si>
  <si>
    <t>Pastato Pilies g. 2A nugriovimas ir automobilių stovėjimo aikštelės įrengimas (praplėtimas)</t>
  </si>
  <si>
    <t>Danės upės pritaikymas laivybai ir vandens autobuso maršruto įdiegimas</t>
  </si>
  <si>
    <t>Parengtas takų iki pontoninių prieplaukų projektas, vnt.</t>
  </si>
  <si>
    <t>2023-ieji metai</t>
  </si>
  <si>
    <t>2024-ieji metai</t>
  </si>
  <si>
    <t>Priemonės požymis*</t>
  </si>
  <si>
    <t>Vykdytojas (skyrius/asmuo)</t>
  </si>
  <si>
    <t>2024-ųjų metų lėšų projektas</t>
  </si>
  <si>
    <t>Klemiškės g. rekonstravimas</t>
  </si>
  <si>
    <t>Gatvės ir pėsčiųjų bei dviračių takų įrengimas prisidedant prie BĮ Lietuvos jūrų muziejaus projekto „Baltijos jūros gyvūnų reabilitacinis centras“  įgyvendinimo</t>
  </si>
  <si>
    <t>28</t>
  </si>
  <si>
    <t>29</t>
  </si>
  <si>
    <t>30</t>
  </si>
  <si>
    <t>31</t>
  </si>
  <si>
    <t>Žardininkų g.</t>
  </si>
  <si>
    <t>Įvažiuojamojo kelio į Taikos pr. 101</t>
  </si>
  <si>
    <t>Dubliuojančios gatvės nuo Šiltnamių g. iki Klaipėdos g. su pėsčiųjų ir dviračių taku ir įvažomis į Liepojos g. įrengimas</t>
  </si>
  <si>
    <t>Papildomos eismo juostos ir pėsčiųjų saugumo salelės Mogiliovo gatvėje įrengimas</t>
  </si>
  <si>
    <t>33</t>
  </si>
  <si>
    <t xml:space="preserve">Įrengta švieslenčių miesto autobusų stotelėse, vnt.  </t>
  </si>
  <si>
    <t>Įsigyta autobusų, vnt.</t>
  </si>
  <si>
    <t>Avaringiausių vietų juodųjų dėmių nustatymas ir tobulinimo ar pertvarkymo projektinių schemų parengimas</t>
  </si>
  <si>
    <t>Žvejybos produktų iškrovimo vietos prie Pilies tilto Klaipėdoje įrengimas</t>
  </si>
  <si>
    <t>N</t>
  </si>
  <si>
    <t xml:space="preserve">Miesto tvarkymo skyrius </t>
  </si>
  <si>
    <t>T</t>
  </si>
  <si>
    <t xml:space="preserve">Bangų g. </t>
  </si>
  <si>
    <t xml:space="preserve">Reikjaviko g. </t>
  </si>
  <si>
    <t>Šturmanų g.</t>
  </si>
  <si>
    <t>Parduota lengvatinių bilietų pradinių klasių moksleiviams, tūkst. vnt.</t>
  </si>
  <si>
    <t>Atnaujinta pėsčiųjų perėjų šviesoforų, vnt.</t>
  </si>
  <si>
    <t>Įsigyta greičio matuoklių korpusų su muliažo dangteliu, vnt.</t>
  </si>
  <si>
    <t>Pateikti pertvarkymo projektiniai pasiūlymai avaringiausiose vietose, vnt.</t>
  </si>
  <si>
    <t>Dviračių įrenginių ir kintamos informacijos kelio ženklų priežiūra</t>
  </si>
  <si>
    <t>Prižiūrima dviračių įrenginių (dviračių saugyklų ir skaičiuoklių) ir kintamos informacijos kelio ženklų, vnt.</t>
  </si>
  <si>
    <t>Darnaus judumo priemonių diegimas Klaipėdos mieste</t>
  </si>
  <si>
    <t>32</t>
  </si>
  <si>
    <t>34</t>
  </si>
  <si>
    <t>35</t>
  </si>
  <si>
    <t>Smiltynės g. ir krantinės rekonstravimas nuo Jūrų muziejaus iki Senosios Smiltynės perkėlos</t>
  </si>
  <si>
    <t>Aukštosios g. rekonstrukcija</t>
  </si>
  <si>
    <t>LEZ teritorija:</t>
  </si>
  <si>
    <t xml:space="preserve"> P2</t>
  </si>
  <si>
    <t xml:space="preserve">P1 </t>
  </si>
  <si>
    <t>UAB „Klaipėdos autobusų parkas“ įstatinio kapitalo didinimas  (elektra varomų autobusų įsigijimas (prisidėjimas))</t>
  </si>
  <si>
    <t>Atlikta rangos darbų. Užbaigtumas, proc.</t>
  </si>
  <si>
    <t>Atlikta rangos darbų.  Užbaigtumas, proc.</t>
  </si>
  <si>
    <t>Įrengta takų, vnt.</t>
  </si>
  <si>
    <t>Įrengta pontoninių prieplaukų, vnt.</t>
  </si>
  <si>
    <t>Įrengta elektros įvadų, vnt.</t>
  </si>
  <si>
    <t>Įtraukta Lietuvos automobilių kelių direkcijos dalis pagal planuojamą pasirašyti bendradarbiavimo sutartį (lėšos detalizuotos pirkimo vertei pagrįsti), proc.</t>
  </si>
  <si>
    <t xml:space="preserve"> P</t>
  </si>
  <si>
    <t xml:space="preserve">P2   </t>
  </si>
  <si>
    <t>Atlikta rangos darbų (I etapas). Užbaigtumas, proc.</t>
  </si>
  <si>
    <t>Atlikta rangos darbų (II etapas). Užbaigtumas, proc.</t>
  </si>
  <si>
    <t>Mokyklos g. ir Laukų g. žiedinės sankryžos įrengimas</t>
  </si>
  <si>
    <t xml:space="preserve">Parengti techniniai projektai, vnt. </t>
  </si>
  <si>
    <t>SB(ŽP)</t>
  </si>
  <si>
    <r>
      <t xml:space="preserve">Žemės pardavimų lėšos </t>
    </r>
    <r>
      <rPr>
        <b/>
        <sz val="10"/>
        <rFont val="Times New Roman"/>
        <family val="1"/>
        <charset val="186"/>
      </rPr>
      <t>SB(ŽP)</t>
    </r>
  </si>
  <si>
    <t>Daugiaaukštės automobilių stovėjimo aikštelės teritorijoje  Bangų g., Klaipėdoje, įrengimas</t>
  </si>
  <si>
    <t xml:space="preserve">Turto valdymo skyrius </t>
  </si>
  <si>
    <t>Malūninkų g.</t>
  </si>
  <si>
    <t>Automatinės eismo priežiūros prietaisų eksploatacija ir įrengimas</t>
  </si>
  <si>
    <t>19</t>
  </si>
  <si>
    <t>Medžiagų tyrimas ir kontroliniai bandymai, topografinių nuotraukų, išpildomųjų geodezinių nuotraukų įsigijimas, statinių projektų ekspertizių, inžinerinės bei želdinių tvarkymo paslaugos</t>
  </si>
  <si>
    <r>
      <t xml:space="preserve">Europos Sąjungos finansinės paramos lėšos, kurios įtrauktos į savivaldybės biudžetą </t>
    </r>
    <r>
      <rPr>
        <b/>
        <sz val="10"/>
        <rFont val="Times New Roman"/>
        <family val="1"/>
        <charset val="186"/>
      </rPr>
      <t>SB(ES)</t>
    </r>
  </si>
  <si>
    <r>
      <t xml:space="preserve">Kelių priežiūros ir plėtros programos lėšos, įtrauktos į savivaldybės biudžetą </t>
    </r>
    <r>
      <rPr>
        <b/>
        <sz val="10"/>
        <rFont val="Times New Roman"/>
        <family val="1"/>
        <charset val="186"/>
      </rPr>
      <t>SB(KPP)</t>
    </r>
  </si>
  <si>
    <t>Ekologiškų viešojo transporto priemonių, kuriomis važiuojant patiriama nuostolių, vnt.</t>
  </si>
  <si>
    <t>Ekologiškų viešojo transporto priemonių (elektrinių autobusų), kuriomis važiuojant patiriama nuostolių, vnt.</t>
  </si>
  <si>
    <t>Įrengta elektros įvadų švieslentėms įrengti, vnt.</t>
  </si>
  <si>
    <t>Parengtas kintamos informacijos ženklų ant Mokyklos g. viaduko techninis projektas, vnt.</t>
  </si>
  <si>
    <t>Įrengti kintamos informacijos ženklai ant Mokyklos g. viaduko, proc.</t>
  </si>
  <si>
    <t>Pritaikyta krantinė senamiestyje, vnt</t>
  </si>
  <si>
    <t>Kiemų ir privažiuojamųjų kelių prie biudžetinių įstaigų dangos remontas</t>
  </si>
  <si>
    <t xml:space="preserve">P6  </t>
  </si>
  <si>
    <t xml:space="preserve">P </t>
  </si>
  <si>
    <t xml:space="preserve">P  </t>
  </si>
  <si>
    <t>Parduota lengvatinių bilietų senjorams nuo 70 metų, tūkst. vnt.</t>
  </si>
  <si>
    <t>Klaipėdos miesto viešojo transporto priemonių  atnaujinimas (naujų autobusų įsigijimas)</t>
  </si>
  <si>
    <t>Planas</t>
  </si>
  <si>
    <t>18</t>
  </si>
  <si>
    <t>2022 m. asignavimų planas**</t>
  </si>
  <si>
    <t>Klaipėdos miesto ir priemiestinių teritorijų gyventojų modalinio kelionių pasiskirstymo pokyčių tyrimo atlikimas</t>
  </si>
  <si>
    <t>Atliktas tyrimas, vnt.</t>
  </si>
  <si>
    <t xml:space="preserve">2022–2025 M. KLAIPĖDOS MIESTO SAVIVALDYBĖS  </t>
  </si>
  <si>
    <t>2025-ieji metai</t>
  </si>
  <si>
    <t>Lėšų poreikis biudžetiniams 2023-iesiems metams</t>
  </si>
  <si>
    <t>2025-ųjų metų lėšų projektas</t>
  </si>
  <si>
    <t>2022-ieji metai**</t>
  </si>
  <si>
    <t xml:space="preserve"> Miesto tvarkymo skyrius</t>
  </si>
  <si>
    <t>Parengtas juodųjų dėmių žemėlapis, vnt.</t>
  </si>
  <si>
    <t>Raudonės g. (2022 m.)</t>
  </si>
  <si>
    <r>
      <t>Paklota ištisinio asfaltbetonio dangos,  tūkst. m</t>
    </r>
    <r>
      <rPr>
        <vertAlign val="superscript"/>
        <sz val="10"/>
        <rFont val="Times New Roman"/>
        <family val="1"/>
        <charset val="186"/>
      </rPr>
      <t>2</t>
    </r>
  </si>
  <si>
    <t>Laukininkų g.</t>
  </si>
  <si>
    <t>H.Manto g. (labiausiai pažeistos vietos) (2022 m.)</t>
  </si>
  <si>
    <r>
      <t>Suremontuota gatvių akmens grindinio dangos  senamiesčio gatvėse, tūkst. m</t>
    </r>
    <r>
      <rPr>
        <vertAlign val="superscript"/>
        <sz val="10"/>
        <rFont val="Times New Roman"/>
        <family val="1"/>
        <charset val="186"/>
      </rPr>
      <t>2</t>
    </r>
  </si>
  <si>
    <r>
      <t>Suremontuota asfaltbetonio dangos duobių gatvėse, tūkst. m</t>
    </r>
    <r>
      <rPr>
        <vertAlign val="superscript"/>
        <sz val="10"/>
        <rFont val="Times New Roman"/>
        <family val="1"/>
        <charset val="186"/>
      </rPr>
      <t>2</t>
    </r>
  </si>
  <si>
    <r>
      <t>Prižiūrima žvyruotos dangos, tūkst. m</t>
    </r>
    <r>
      <rPr>
        <vertAlign val="superscript"/>
        <sz val="10"/>
        <rFont val="Times New Roman"/>
        <family val="1"/>
        <charset val="186"/>
      </rPr>
      <t>2</t>
    </r>
  </si>
  <si>
    <r>
      <t>Suremontuota asfaltbetonio dangos duobių kiemuose, tūkst. m</t>
    </r>
    <r>
      <rPr>
        <vertAlign val="superscript"/>
        <sz val="10"/>
        <rFont val="Times New Roman"/>
        <family val="1"/>
        <charset val="186"/>
      </rPr>
      <t>2</t>
    </r>
  </si>
  <si>
    <t xml:space="preserve">Brožynų g. </t>
  </si>
  <si>
    <t>Atlikta techninių priežiūrų, mėn.</t>
  </si>
  <si>
    <t>Transporto kompensacijų mokėjimas</t>
  </si>
  <si>
    <t>Įsigyta viešojo transporto prioriteto licencijų, vnt.</t>
  </si>
  <si>
    <t>Kompensuota bilietų moksleiviams, tūkst. vnt.</t>
  </si>
  <si>
    <t>Parduota vienkartinių lengvatinių bilietų, mln. vnt.</t>
  </si>
  <si>
    <t>Kompensuota bilietų moksleiviams ir profesinių mokyklų moksleiviams, tūkst. vnt.</t>
  </si>
  <si>
    <t>Pajūrio g. rekonstravimas</t>
  </si>
  <si>
    <t>Atlikta rangos darbų. Užbaigtumas, proc. (Vikingų g.)</t>
  </si>
  <si>
    <t>Atlikta rangos darbų. Užbaigtumas, proc. (Karlskronos g.)</t>
  </si>
  <si>
    <t>Atlikta rangos darbų. Užbaigtumas, proc. (Tauro 10-oji g.)</t>
  </si>
  <si>
    <t>Atlikta rangos darbų. Užbaigtumas, proc. (Tauro 1-oji  g.)</t>
  </si>
  <si>
    <t>Atlikta rangos darbų. Užbaigtumas, proc. (Jachtų g.)</t>
  </si>
  <si>
    <t>Atlikta rangos darbų. Užbaigtumas, proc. (Tilžės g.)</t>
  </si>
  <si>
    <t>15</t>
  </si>
  <si>
    <t xml:space="preserve">Statybos ir infrastruktūros plėtros skyrius </t>
  </si>
  <si>
    <t>Atlikta projekto korektūra, vnt.</t>
  </si>
  <si>
    <t>Atlikta želdynų ekspertizė, vnt.</t>
  </si>
  <si>
    <t>Savanorių g. rekonstrukcija</t>
  </si>
  <si>
    <t xml:space="preserve">P     </t>
  </si>
  <si>
    <t>Šilutės pl. atkarpos (nuo Rimkų geležinkelio iki Smiltelės g.) Klaipėdoje ir aikštelės ties Jūrininkų pr. kapitalinis remontas</t>
  </si>
  <si>
    <t xml:space="preserve">P           </t>
  </si>
  <si>
    <t>Geležinkelio pervažos Giruliuose rekonstravimas</t>
  </si>
  <si>
    <t xml:space="preserve">P         </t>
  </si>
  <si>
    <t>Statybos ir infrastruktūros plėtros skyrius Projektų skyrius</t>
  </si>
  <si>
    <t xml:space="preserve">Koordinuotos šviesoforų valdymo sistemos  diegimas Šilutės pl.  </t>
  </si>
  <si>
    <t>Joniškės g. saugumo pagerinimo priemonių, autobusų sustojimo įvažos, pėsčiųjų ir dviračio tako jungties su Žemaičių g. įrengimas</t>
  </si>
  <si>
    <t>Atlikta rangos darbų. Užbaigtumas, proc. (Dviračių takai nuo Atgimimo a. iki Laivų sk.)</t>
  </si>
  <si>
    <r>
      <t>Suženklinta gatvių, tūkst. m</t>
    </r>
    <r>
      <rPr>
        <vertAlign val="superscript"/>
        <sz val="10"/>
        <rFont val="Times New Roman"/>
        <family val="1"/>
        <charset val="186"/>
      </rPr>
      <t>2</t>
    </r>
  </si>
  <si>
    <t>17</t>
  </si>
  <si>
    <r>
      <t>Klaipėdos miesto žvyruotų gatvių kapitalinis remontas</t>
    </r>
    <r>
      <rPr>
        <sz val="10"/>
        <color rgb="FFFF0000"/>
        <rFont val="Times New Roman"/>
        <family val="1"/>
        <charset val="186"/>
      </rPr>
      <t xml:space="preserve"> </t>
    </r>
  </si>
  <si>
    <t>16</t>
  </si>
  <si>
    <t>Parduota terminuotų lengvatinių bilietų su 50 proc. nuolaida, tūkst. vnt.</t>
  </si>
  <si>
    <t>Parduota terminuotų lengvatinių bilietų su 80 proc. nuolaida, tūkst. vnt.</t>
  </si>
  <si>
    <t>Parduota terminuotų lengvatinių bilietų su 96 proc. nuolaida, tūkst. vnt.</t>
  </si>
  <si>
    <t>Privažiuojamojo kelio prie pastato Debreceno g. 48 įrengimas ir pastato aplinkos sutvarkymas</t>
  </si>
  <si>
    <t>Mėgėjų sodų teritorijoje savivaldybės insttitucijų valdomų kelių remontas</t>
  </si>
  <si>
    <r>
      <t xml:space="preserve">Asfaltbetonio dangos, žvyruotos dangos ir akmenimis grįstų </t>
    </r>
    <r>
      <rPr>
        <sz val="10"/>
        <rFont val="Times New Roman"/>
        <family val="1"/>
        <charset val="186"/>
      </rPr>
      <t>gatvių dangos remontas</t>
    </r>
  </si>
  <si>
    <t xml:space="preserve">Atsiskaityta su LAKD pagal bendradarbiavimo sutartį, proc. </t>
  </si>
  <si>
    <t>Jaunystės g. ir privažiuojamojo kelio (įskaitant sankryžą) bei Rūko g. kapitalinis remontas</t>
  </si>
  <si>
    <t>Projekto „Koordinuota šviesoforų valdymo sistema Taikos pr. (integruojant BRT projekto sprendinius, apimant dviračių takų, apšvietimo ir dangų sutvarkymą)“ įgyvendinimas</t>
  </si>
  <si>
    <t xml:space="preserve">Baltijos pr. ir Taikos pr. žiedinės sankryžos rekonstravimas </t>
  </si>
  <si>
    <r>
      <t>Suremontuota šaligatvių, tūkst. m</t>
    </r>
    <r>
      <rPr>
        <vertAlign val="superscript"/>
        <sz val="10"/>
        <rFont val="Times New Roman"/>
        <family val="1"/>
        <charset val="186"/>
      </rPr>
      <t>2</t>
    </r>
  </si>
  <si>
    <r>
      <t>Atnaujinta šaligatvių pagal prioritetinį sąrašą, tūkst. m</t>
    </r>
    <r>
      <rPr>
        <vertAlign val="superscript"/>
        <sz val="10"/>
        <rFont val="Times New Roman"/>
        <family val="1"/>
        <charset val="186"/>
      </rPr>
      <t>2</t>
    </r>
  </si>
  <si>
    <t xml:space="preserve">Įvažiuojamojo kelio į Taikos pr. 109 </t>
  </si>
  <si>
    <t>Atlikta rangos darbų. Užbaigtumas, proc. (Karlskronos g. VII etapas - skersgatvis)</t>
  </si>
  <si>
    <t>Paryžiaus Komunos g. kapitalinis remontas (nuo Šilutės pl. iki Taikos pr.)</t>
  </si>
  <si>
    <t>Įrengti kintamos informacijos ženklai Pilies g., proc.</t>
  </si>
  <si>
    <t>14</t>
  </si>
  <si>
    <t>36</t>
  </si>
  <si>
    <t>** Pagal Klaipėdos miesto savivaldybės tarybos sprendimus: 2022-02-17 Nr. T2-36; 2022-04-28 Nr. T2-80; 2022-06-22 Nr. T2-150; 2022-10-20 Nr. T2-224; 2022-11-24 T2-244.</t>
  </si>
  <si>
    <t>37</t>
  </si>
  <si>
    <t>Pramonės g. kapitalinio remonto darbai, įgyvendinant UAB Klaipėdos laisvosios ekonominės zonos valdymo bendrovės projektą „Klaipėdos LEZ infrastruktūros plėtra siekiant pritraukti tiesioginių užsienio investicijų sumaniosios specializacijos srityse“</t>
  </si>
  <si>
    <t>P
I</t>
  </si>
  <si>
    <t xml:space="preserve">2023–2025 M. KLAIPĖDOS MIESTO SAVIVALDYBĖS  </t>
  </si>
  <si>
    <t xml:space="preserve">Klaipėdos miesto savivaldybės susisiekimo sistemos  priežiūros ir plėtros programos (Nr. 06) aprašymo       </t>
  </si>
  <si>
    <t>priedas</t>
  </si>
  <si>
    <t xml:space="preserve">Ištisinio asfaltbetonio dangos įrengimas: </t>
  </si>
  <si>
    <t>KVJUD'</t>
  </si>
  <si>
    <t>LRVB'</t>
  </si>
  <si>
    <t>SB(VR)'</t>
  </si>
  <si>
    <t>SB(ŽP)'</t>
  </si>
  <si>
    <t>SB(L)'</t>
  </si>
  <si>
    <t>SB(ES)'</t>
  </si>
  <si>
    <t>SB(KPP)'</t>
  </si>
  <si>
    <t>SB'</t>
  </si>
  <si>
    <t>Kt'</t>
  </si>
  <si>
    <t>ES'</t>
  </si>
  <si>
    <t>SB(VRL)'</t>
  </si>
  <si>
    <t>Atlikta rangos darbų. Užbaigtumas proc. (pėsčiųjų takų jungtis iki LEZ ir jungiamojo kelio į LEZ įrengimas)</t>
  </si>
  <si>
    <t>Padidintas įstatinis kapitalas, proc.</t>
  </si>
  <si>
    <t xml:space="preserve">Sodų bendrija „Vaiteliai“–„Rasa“  </t>
  </si>
  <si>
    <t xml:space="preserve">Klaipėdos autobusų stotis–Palangos oro uostas </t>
  </si>
  <si>
    <t>Į LEZ teritoriją</t>
  </si>
  <si>
    <t>Danės upės vandens kelias</t>
  </si>
  <si>
    <t>Statybos ir infrastruktūros plėtros skyrius,</t>
  </si>
  <si>
    <t xml:space="preserve">Projektų skyrius, </t>
  </si>
  <si>
    <t>l.e.p. vyr. patarėja 
I. Kubilienė</t>
  </si>
  <si>
    <t>vyr. patarėjas 
G. Dovidaitis</t>
  </si>
  <si>
    <t xml:space="preserve">Projektų skyrius,
Statybos ir infrastruktūros plėtros skyrius </t>
  </si>
  <si>
    <t>Projektų skyrius, Statybos ir infrastruktūros plėtros skyrius</t>
  </si>
  <si>
    <t>Statybos ir infrastruktūros plėtros skyrius, Projektų skyrius</t>
  </si>
  <si>
    <t>Projektų skyrius,</t>
  </si>
  <si>
    <t>vyr. patarėjas
G. Dovidaitis</t>
  </si>
  <si>
    <t>Aiškinamojo rašto 3 priedas</t>
  </si>
  <si>
    <t>Atlikta rangos darbų. Užbaigtumas, proc. (Karlskronos g. VII etapas – skersgatvis)</t>
  </si>
  <si>
    <t>Melioracijos statinių rekonstravimas žemės sklype, adresu: Verslo g. 10, 12, 14, Klaipėdoje (Klaipėdos LEZ teritorija)</t>
  </si>
  <si>
    <t>Žaliosios energijos infrastruktūros įrengimas žemės sklype, adresu: Pramonės g. 31, Klaipėdoje</t>
  </si>
  <si>
    <t>Šilutės pl. ruožo (nuo Rimkų geležinkelio iki Smiltelės g.) Klaipėdoje ir aikštelės ties Jūrininkų pr. kapitalinis remontas</t>
  </si>
  <si>
    <t>UAB „Klaipėdos autobusų parkas“ įstatinio kapitalo didinimas  (elektra varomų autobusų įsigijimas (prisidėjimas)</t>
  </si>
  <si>
    <t xml:space="preserve">Apšvietimo ir kietųjų dangų atkūrimo ir įrengimo darbai </t>
  </si>
  <si>
    <t>Lėšų poreikis biudžetiniams             2023-iesiems metams</t>
  </si>
  <si>
    <t>* N – nauja priemonė, T – tęstinė priemonė, I – investicijų projektas.</t>
  </si>
  <si>
    <t xml:space="preserve">P 
   </t>
  </si>
  <si>
    <t>Atlikta rangos darbų. Užbaigtumas, proc. (Laivų skg. – Artojo g.)</t>
  </si>
  <si>
    <t>38</t>
  </si>
  <si>
    <t>Liepų g. ir naujo kelio sankryžos kapitalinis remontas</t>
  </si>
  <si>
    <t>Pakeista infrastruktūros plėtros sutartis, vnt.</t>
  </si>
  <si>
    <t xml:space="preserve">Urbanistikos ir architektūros skyrius,
Teisės skyrius </t>
  </si>
  <si>
    <r>
      <t xml:space="preserve">1 </t>
    </r>
    <r>
      <rPr>
        <strike/>
        <sz val="10"/>
        <color rgb="FFFF0000"/>
        <rFont val="Times New Roman"/>
        <family val="1"/>
        <charset val="186"/>
      </rPr>
      <t>2</t>
    </r>
  </si>
  <si>
    <t>Gauta išvada iš Valstybinės teritorijų planavimo ir statybos inspekcijos, vnt.</t>
  </si>
  <si>
    <r>
      <rPr>
        <sz val="10"/>
        <color theme="1"/>
        <rFont val="Times New Roman"/>
        <family val="1"/>
        <charset val="186"/>
      </rPr>
      <t>Atlikta rangos darbų. Užbaigtumas, proc.</t>
    </r>
    <r>
      <rPr>
        <sz val="10"/>
        <color rgb="FFFF0000"/>
        <rFont val="Times New Roman"/>
        <family val="1"/>
        <charset val="186"/>
      </rPr>
      <t xml:space="preserve"> </t>
    </r>
    <r>
      <rPr>
        <sz val="10"/>
        <color theme="1"/>
        <rFont val="Times New Roman"/>
        <family val="1"/>
        <charset val="186"/>
      </rPr>
      <t>(</t>
    </r>
    <r>
      <rPr>
        <strike/>
        <sz val="10"/>
        <color rgb="FFFF0000"/>
        <rFont val="Times New Roman"/>
        <family val="1"/>
        <charset val="186"/>
      </rPr>
      <t>Dviračių takai nuo</t>
    </r>
    <r>
      <rPr>
        <sz val="10"/>
        <color rgb="FFFF0000"/>
        <rFont val="Times New Roman"/>
        <family val="1"/>
        <charset val="186"/>
      </rPr>
      <t xml:space="preserve"> </t>
    </r>
    <r>
      <rPr>
        <sz val="10"/>
        <color theme="1"/>
        <rFont val="Times New Roman"/>
        <family val="1"/>
        <charset val="186"/>
      </rPr>
      <t>Atgimimo a. – Laivų skg.)</t>
    </r>
  </si>
  <si>
    <r>
      <rPr>
        <sz val="10"/>
        <color theme="1"/>
        <rFont val="Times New Roman"/>
        <family val="1"/>
        <charset val="186"/>
      </rPr>
      <t>Atlikta rangos darbų. Užbaigtumas, proc.</t>
    </r>
    <r>
      <rPr>
        <sz val="10"/>
        <color rgb="FFFF0000"/>
        <rFont val="Times New Roman"/>
        <family val="1"/>
        <charset val="186"/>
      </rPr>
      <t xml:space="preserve"> </t>
    </r>
    <r>
      <rPr>
        <sz val="10"/>
        <color theme="1"/>
        <rFont val="Times New Roman"/>
        <family val="1"/>
        <charset val="186"/>
      </rPr>
      <t>(</t>
    </r>
    <r>
      <rPr>
        <sz val="10"/>
        <color theme="1"/>
        <rFont val="Times New Roman"/>
        <family val="1"/>
        <charset val="186"/>
      </rPr>
      <t>Atgimimo a. – Laivų skg.)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</si>
</sst>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L_t_-;\-* #,##0.00\ _L_t_-;_-* &quot;-&quot;??\ _L_t_-;_-@_-"/>
    <numFmt numFmtId="165" formatCode="#,##0.0"/>
    <numFmt numFmtId="166" formatCode="[$-409]General"/>
    <numFmt numFmtId="167" formatCode="0.0"/>
  </numFmts>
  <fonts count="32" x14ac:knownFonts="1">
    <font>
      <sz val="10"/>
      <name val="Arial"/>
      <charset val="186"/>
    </font>
    <font>
      <sz val="10"/>
      <name val="Times New Roman"/>
      <family val="1"/>
      <charset val="186"/>
    </font>
    <font>
      <b/>
      <sz val="10"/>
      <name val="Times New Roman"/>
      <family val="1"/>
      <charset val="186"/>
    </font>
    <font>
      <b/>
      <sz val="10"/>
      <name val="Times New Roman"/>
      <family val="1"/>
      <charset val="204"/>
    </font>
    <font>
      <sz val="9"/>
      <name val="Times New Roman"/>
      <family val="1"/>
      <charset val="186"/>
    </font>
    <font>
      <sz val="10"/>
      <name val="Arial"/>
      <family val="2"/>
      <charset val="186"/>
    </font>
    <font>
      <b/>
      <sz val="9"/>
      <name val="Times New Roman"/>
      <family val="1"/>
      <charset val="186"/>
    </font>
    <font>
      <i/>
      <sz val="10"/>
      <name val="Times New Roman"/>
      <family val="1"/>
      <charset val="186"/>
    </font>
    <font>
      <sz val="10"/>
      <name val="Times New Roman"/>
      <family val="1"/>
    </font>
    <font>
      <b/>
      <sz val="10"/>
      <name val="Arial"/>
      <family val="2"/>
      <charset val="186"/>
    </font>
    <font>
      <sz val="11"/>
      <color rgb="FF000000"/>
      <name val="Calibri"/>
      <family val="2"/>
      <charset val="186"/>
    </font>
    <font>
      <sz val="12"/>
      <name val="Times New Roman"/>
      <family val="1"/>
      <charset val="186"/>
    </font>
    <font>
      <b/>
      <sz val="12"/>
      <name val="Times New Roman"/>
      <family val="1"/>
      <charset val="186"/>
    </font>
    <font>
      <sz val="10"/>
      <name val="Arial"/>
      <family val="2"/>
    </font>
    <font>
      <b/>
      <sz val="9"/>
      <color indexed="81"/>
      <name val="Tahoma"/>
      <family val="2"/>
      <charset val="186"/>
    </font>
    <font>
      <sz val="9"/>
      <color indexed="81"/>
      <name val="Tahoma"/>
      <family val="2"/>
      <charset val="186"/>
    </font>
    <font>
      <sz val="10"/>
      <name val="Times"/>
      <family val="1"/>
    </font>
    <font>
      <sz val="12"/>
      <name val="Times New Roman"/>
      <family val="1"/>
    </font>
    <font>
      <strike/>
      <sz val="10"/>
      <name val="Times New Roman"/>
      <family val="1"/>
      <charset val="186"/>
    </font>
    <font>
      <sz val="11"/>
      <name val="Times New Roman"/>
      <family val="1"/>
      <charset val="186"/>
    </font>
    <font>
      <sz val="8"/>
      <name val="Arial"/>
      <family val="2"/>
      <charset val="186"/>
    </font>
    <font>
      <sz val="10"/>
      <color theme="0" tint="-0.14999847407452621"/>
      <name val="Times New Roman"/>
      <family val="1"/>
      <charset val="186"/>
    </font>
    <font>
      <sz val="10"/>
      <color rgb="FFFF0000"/>
      <name val="Times New Roman"/>
      <family val="1"/>
      <charset val="186"/>
    </font>
    <font>
      <vertAlign val="superscript"/>
      <sz val="10"/>
      <name val="Times New Roman"/>
      <family val="1"/>
      <charset val="186"/>
    </font>
    <font>
      <sz val="10"/>
      <color theme="1"/>
      <name val="Times New Roman"/>
      <family val="1"/>
      <charset val="186"/>
    </font>
    <font>
      <sz val="10"/>
      <color rgb="FF0070C0"/>
      <name val="Times New Roman"/>
      <family val="1"/>
      <charset val="186"/>
    </font>
    <font>
      <sz val="10"/>
      <color theme="0"/>
      <name val="Times New Roman"/>
      <family val="1"/>
      <charset val="186"/>
    </font>
    <font>
      <b/>
      <sz val="10"/>
      <color theme="0"/>
      <name val="Times New Roman"/>
      <family val="1"/>
      <charset val="186"/>
    </font>
    <font>
      <sz val="12"/>
      <color theme="0"/>
      <name val="Times New Roman"/>
      <family val="1"/>
      <charset val="186"/>
    </font>
    <font>
      <sz val="10"/>
      <color theme="0"/>
      <name val="Arial"/>
      <family val="2"/>
      <charset val="186"/>
    </font>
    <font>
      <b/>
      <sz val="10"/>
      <color rgb="FFFF0000"/>
      <name val="Times New Roman"/>
      <family val="1"/>
      <charset val="186"/>
    </font>
    <font>
      <strike/>
      <sz val="10"/>
      <color rgb="FFFF0000"/>
      <name val="Times New Roman"/>
      <family val="1"/>
      <charset val="186"/>
    </font>
  </fonts>
  <fills count="14">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D5FF"/>
        <bgColor indexed="64"/>
      </patternFill>
    </fill>
    <fill>
      <patternFill patternType="solid">
        <fgColor rgb="FFFFFF99"/>
        <bgColor indexed="64"/>
      </patternFill>
    </fill>
    <fill>
      <patternFill patternType="solid">
        <fgColor rgb="FFCCFFCC"/>
        <bgColor indexed="64"/>
      </patternFill>
    </fill>
    <fill>
      <patternFill patternType="solid">
        <fgColor rgb="FFFFFFFF"/>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top style="hair">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hair">
        <color indexed="64"/>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s>
  <cellStyleXfs count="4">
    <xf numFmtId="0" fontId="0" fillId="0" borderId="0"/>
    <xf numFmtId="164" fontId="5" fillId="0" borderId="0" applyFont="0" applyFill="0" applyBorder="0" applyAlignment="0" applyProtection="0"/>
    <xf numFmtId="0" fontId="5" fillId="0" borderId="0"/>
    <xf numFmtId="166" fontId="10" fillId="0" borderId="0" applyBorder="0" applyProtection="0"/>
  </cellStyleXfs>
  <cellXfs count="1748">
    <xf numFmtId="0" fontId="0" fillId="0" borderId="0" xfId="0"/>
    <xf numFmtId="0" fontId="1" fillId="0" borderId="0" xfId="0" applyFont="1" applyBorder="1" applyAlignment="1">
      <alignment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Fill="1" applyAlignment="1">
      <alignment vertical="top"/>
    </xf>
    <xf numFmtId="0" fontId="1" fillId="3" borderId="0" xfId="0" applyFont="1" applyFill="1" applyAlignment="1">
      <alignment vertical="top"/>
    </xf>
    <xf numFmtId="164" fontId="1" fillId="0" borderId="0" xfId="1" applyFont="1" applyBorder="1" applyAlignment="1">
      <alignment vertical="top"/>
    </xf>
    <xf numFmtId="0" fontId="5" fillId="0" borderId="0" xfId="0" applyFont="1"/>
    <xf numFmtId="0" fontId="2" fillId="0" borderId="0" xfId="0" applyNumberFormat="1" applyFont="1" applyAlignment="1">
      <alignment vertical="top"/>
    </xf>
    <xf numFmtId="165" fontId="1" fillId="0" borderId="0" xfId="0" applyNumberFormat="1" applyFont="1" applyAlignment="1">
      <alignment vertical="top"/>
    </xf>
    <xf numFmtId="49" fontId="2" fillId="9" borderId="13" xfId="0" applyNumberFormat="1" applyFont="1" applyFill="1" applyBorder="1" applyAlignment="1">
      <alignment horizontal="center" vertical="top" wrapText="1"/>
    </xf>
    <xf numFmtId="3" fontId="1" fillId="0" borderId="0" xfId="0" applyNumberFormat="1" applyFont="1" applyBorder="1" applyAlignment="1">
      <alignment vertical="top"/>
    </xf>
    <xf numFmtId="165" fontId="1" fillId="0" borderId="0" xfId="0" applyNumberFormat="1" applyFont="1" applyBorder="1" applyAlignment="1">
      <alignment vertical="top"/>
    </xf>
    <xf numFmtId="165" fontId="1" fillId="7" borderId="35" xfId="0" applyNumberFormat="1" applyFont="1" applyFill="1" applyBorder="1" applyAlignment="1">
      <alignment horizontal="center" vertical="top"/>
    </xf>
    <xf numFmtId="165" fontId="1" fillId="7" borderId="4" xfId="0" applyNumberFormat="1" applyFont="1" applyFill="1" applyBorder="1" applyAlignment="1">
      <alignment horizontal="center" vertical="top"/>
    </xf>
    <xf numFmtId="165" fontId="2" fillId="9" borderId="56" xfId="0" applyNumberFormat="1" applyFont="1" applyFill="1" applyBorder="1" applyAlignment="1">
      <alignment horizontal="center" vertical="top"/>
    </xf>
    <xf numFmtId="165" fontId="2" fillId="9" borderId="43" xfId="0" applyNumberFormat="1" applyFont="1" applyFill="1" applyBorder="1" applyAlignment="1">
      <alignment horizontal="center" vertical="top"/>
    </xf>
    <xf numFmtId="165" fontId="2" fillId="2" borderId="2" xfId="0" applyNumberFormat="1" applyFont="1" applyFill="1" applyBorder="1" applyAlignment="1">
      <alignment horizontal="center" vertical="top"/>
    </xf>
    <xf numFmtId="165" fontId="2" fillId="9" borderId="44" xfId="0" applyNumberFormat="1" applyFont="1" applyFill="1" applyBorder="1" applyAlignment="1">
      <alignment horizontal="center" vertical="top"/>
    </xf>
    <xf numFmtId="165" fontId="1" fillId="7" borderId="8" xfId="0" applyNumberFormat="1" applyFont="1" applyFill="1" applyBorder="1" applyAlignment="1">
      <alignment horizontal="center" vertical="top"/>
    </xf>
    <xf numFmtId="165" fontId="1" fillId="7" borderId="0" xfId="0" applyNumberFormat="1" applyFont="1" applyFill="1" applyBorder="1" applyAlignment="1">
      <alignment horizontal="center" vertical="top"/>
    </xf>
    <xf numFmtId="165" fontId="2" fillId="5" borderId="43" xfId="0" applyNumberFormat="1" applyFont="1" applyFill="1" applyBorder="1" applyAlignment="1">
      <alignment horizontal="center" vertical="top"/>
    </xf>
    <xf numFmtId="165" fontId="1" fillId="0" borderId="0" xfId="0" applyNumberFormat="1" applyFont="1" applyFill="1" applyBorder="1" applyAlignment="1">
      <alignment horizontal="center" vertical="top"/>
    </xf>
    <xf numFmtId="165" fontId="2" fillId="7" borderId="11" xfId="0" applyNumberFormat="1" applyFont="1" applyFill="1" applyBorder="1" applyAlignment="1">
      <alignment vertical="top" wrapText="1"/>
    </xf>
    <xf numFmtId="165" fontId="2" fillId="8" borderId="50" xfId="0" applyNumberFormat="1" applyFont="1" applyFill="1" applyBorder="1" applyAlignment="1">
      <alignment horizontal="center" vertical="top"/>
    </xf>
    <xf numFmtId="165" fontId="1" fillId="7" borderId="59" xfId="0" applyNumberFormat="1" applyFont="1" applyFill="1" applyBorder="1" applyAlignment="1">
      <alignment horizontal="center" vertical="top"/>
    </xf>
    <xf numFmtId="165" fontId="2" fillId="8" borderId="26" xfId="0" applyNumberFormat="1" applyFont="1" applyFill="1" applyBorder="1" applyAlignment="1">
      <alignment horizontal="center" vertical="top"/>
    </xf>
    <xf numFmtId="49" fontId="1" fillId="7" borderId="39" xfId="0" applyNumberFormat="1" applyFont="1" applyFill="1" applyBorder="1" applyAlignment="1">
      <alignment horizontal="center" vertical="top"/>
    </xf>
    <xf numFmtId="165" fontId="2" fillId="7" borderId="33" xfId="0" applyNumberFormat="1" applyFont="1" applyFill="1" applyBorder="1" applyAlignment="1">
      <alignment vertical="top" wrapText="1"/>
    </xf>
    <xf numFmtId="165" fontId="1" fillId="0" borderId="12" xfId="0" applyNumberFormat="1" applyFont="1" applyBorder="1" applyAlignment="1">
      <alignment horizontal="center" vertical="top" wrapText="1"/>
    </xf>
    <xf numFmtId="49" fontId="2" fillId="9" borderId="13" xfId="0" applyNumberFormat="1" applyFont="1" applyFill="1" applyBorder="1" applyAlignment="1">
      <alignment horizontal="center" vertical="top"/>
    </xf>
    <xf numFmtId="165" fontId="2" fillId="2" borderId="45" xfId="0" applyNumberFormat="1" applyFont="1" applyFill="1" applyBorder="1" applyAlignment="1">
      <alignment horizontal="center" vertical="top"/>
    </xf>
    <xf numFmtId="165" fontId="2" fillId="2" borderId="33" xfId="0" applyNumberFormat="1" applyFont="1" applyFill="1" applyBorder="1" applyAlignment="1">
      <alignment horizontal="center" vertical="top"/>
    </xf>
    <xf numFmtId="165" fontId="2" fillId="2" borderId="58" xfId="0" applyNumberFormat="1" applyFont="1" applyFill="1" applyBorder="1" applyAlignment="1">
      <alignment horizontal="center" vertical="top"/>
    </xf>
    <xf numFmtId="165" fontId="1" fillId="8" borderId="20" xfId="0" applyNumberFormat="1" applyFont="1" applyFill="1" applyBorder="1" applyAlignment="1">
      <alignment horizontal="center" vertical="top"/>
    </xf>
    <xf numFmtId="165" fontId="2" fillId="5" borderId="20" xfId="0" applyNumberFormat="1" applyFont="1" applyFill="1" applyBorder="1" applyAlignment="1">
      <alignment horizontal="center" vertical="top"/>
    </xf>
    <xf numFmtId="165" fontId="2" fillId="4" borderId="50" xfId="0" applyNumberFormat="1" applyFont="1" applyFill="1" applyBorder="1" applyAlignment="1">
      <alignment horizontal="center" vertical="top"/>
    </xf>
    <xf numFmtId="165" fontId="5" fillId="7" borderId="15" xfId="0" applyNumberFormat="1" applyFont="1" applyFill="1" applyBorder="1" applyAlignment="1">
      <alignment horizontal="center" wrapText="1"/>
    </xf>
    <xf numFmtId="49" fontId="2" fillId="9" borderId="28" xfId="0" applyNumberFormat="1" applyFont="1" applyFill="1" applyBorder="1" applyAlignment="1">
      <alignment horizontal="center" vertical="top"/>
    </xf>
    <xf numFmtId="165" fontId="2" fillId="8" borderId="45" xfId="0" applyNumberFormat="1" applyFont="1" applyFill="1" applyBorder="1" applyAlignment="1">
      <alignment horizontal="center" vertical="top"/>
    </xf>
    <xf numFmtId="165" fontId="2" fillId="8" borderId="21" xfId="0" applyNumberFormat="1" applyFont="1" applyFill="1" applyBorder="1" applyAlignment="1">
      <alignment horizontal="center" vertical="top"/>
    </xf>
    <xf numFmtId="165" fontId="2" fillId="8" borderId="9" xfId="0" applyNumberFormat="1" applyFont="1" applyFill="1" applyBorder="1" applyAlignment="1">
      <alignment vertical="top"/>
    </xf>
    <xf numFmtId="165" fontId="2" fillId="8" borderId="39" xfId="0" applyNumberFormat="1" applyFont="1" applyFill="1" applyBorder="1" applyAlignment="1">
      <alignment vertical="top"/>
    </xf>
    <xf numFmtId="49" fontId="2" fillId="8" borderId="26" xfId="0" applyNumberFormat="1" applyFont="1" applyFill="1" applyBorder="1" applyAlignment="1">
      <alignment horizontal="center" vertical="top"/>
    </xf>
    <xf numFmtId="165" fontId="2" fillId="8" borderId="39" xfId="0" applyNumberFormat="1" applyFont="1" applyFill="1" applyBorder="1" applyAlignment="1">
      <alignment horizontal="center" vertical="top"/>
    </xf>
    <xf numFmtId="165" fontId="1" fillId="7" borderId="12" xfId="0" applyNumberFormat="1" applyFont="1" applyFill="1" applyBorder="1" applyAlignment="1">
      <alignment horizontal="center" vertical="top" wrapText="1"/>
    </xf>
    <xf numFmtId="165" fontId="2" fillId="7" borderId="32" xfId="0" applyNumberFormat="1" applyFont="1" applyFill="1" applyBorder="1" applyAlignment="1">
      <alignment horizontal="center" vertical="top"/>
    </xf>
    <xf numFmtId="49" fontId="2" fillId="8" borderId="21" xfId="0" applyNumberFormat="1" applyFont="1" applyFill="1" applyBorder="1" applyAlignment="1">
      <alignment horizontal="center" vertical="top"/>
    </xf>
    <xf numFmtId="165" fontId="1" fillId="7" borderId="20" xfId="0" applyNumberFormat="1" applyFont="1" applyFill="1" applyBorder="1" applyAlignment="1">
      <alignment horizontal="center" vertical="center"/>
    </xf>
    <xf numFmtId="165" fontId="2" fillId="7" borderId="46" xfId="0" applyNumberFormat="1" applyFont="1" applyFill="1" applyBorder="1" applyAlignment="1">
      <alignment horizontal="center" vertical="top" wrapText="1"/>
    </xf>
    <xf numFmtId="165" fontId="2" fillId="8" borderId="19" xfId="0" applyNumberFormat="1" applyFont="1" applyFill="1" applyBorder="1" applyAlignment="1">
      <alignment horizontal="center" vertical="top" wrapText="1"/>
    </xf>
    <xf numFmtId="165" fontId="2" fillId="5" borderId="8" xfId="0" applyNumberFormat="1" applyFont="1" applyFill="1" applyBorder="1" applyAlignment="1">
      <alignment horizontal="center" vertical="top" wrapText="1"/>
    </xf>
    <xf numFmtId="0" fontId="1" fillId="7" borderId="6" xfId="0" applyFont="1" applyFill="1" applyBorder="1" applyAlignment="1">
      <alignment horizontal="center" vertical="top"/>
    </xf>
    <xf numFmtId="165" fontId="2" fillId="9" borderId="7" xfId="0" applyNumberFormat="1" applyFont="1" applyFill="1" applyBorder="1" applyAlignment="1">
      <alignment horizontal="center" vertical="top"/>
    </xf>
    <xf numFmtId="165" fontId="2" fillId="2" borderId="25" xfId="0" applyNumberFormat="1" applyFont="1" applyFill="1" applyBorder="1" applyAlignment="1">
      <alignment horizontal="center" vertical="top"/>
    </xf>
    <xf numFmtId="165" fontId="5" fillId="7" borderId="15" xfId="0" applyNumberFormat="1" applyFont="1" applyFill="1" applyBorder="1" applyAlignment="1">
      <alignment vertical="top" wrapText="1"/>
    </xf>
    <xf numFmtId="49" fontId="2" fillId="7" borderId="10" xfId="0" applyNumberFormat="1" applyFont="1" applyFill="1" applyBorder="1" applyAlignment="1">
      <alignment horizontal="center" vertical="top"/>
    </xf>
    <xf numFmtId="49" fontId="2" fillId="0" borderId="0" xfId="0" applyNumberFormat="1" applyFont="1" applyAlignment="1">
      <alignment horizontal="center" vertical="top"/>
    </xf>
    <xf numFmtId="165" fontId="1" fillId="7" borderId="19" xfId="0" applyNumberFormat="1" applyFont="1" applyFill="1" applyBorder="1" applyAlignment="1">
      <alignment horizontal="center" vertical="top"/>
    </xf>
    <xf numFmtId="49" fontId="2" fillId="2" borderId="21" xfId="0" applyNumberFormat="1" applyFont="1" applyFill="1" applyBorder="1" applyAlignment="1">
      <alignment horizontal="center" vertical="top"/>
    </xf>
    <xf numFmtId="165" fontId="2" fillId="9" borderId="3" xfId="0" applyNumberFormat="1" applyFont="1" applyFill="1" applyBorder="1" applyAlignment="1">
      <alignment horizontal="center" vertical="top"/>
    </xf>
    <xf numFmtId="165" fontId="1" fillId="7" borderId="6" xfId="0" applyNumberFormat="1" applyFont="1" applyFill="1" applyBorder="1" applyAlignment="1">
      <alignment horizontal="center" vertical="top"/>
    </xf>
    <xf numFmtId="49" fontId="2" fillId="7" borderId="21" xfId="0" applyNumberFormat="1" applyFont="1" applyFill="1" applyBorder="1" applyAlignment="1">
      <alignment horizontal="center" vertical="top"/>
    </xf>
    <xf numFmtId="49" fontId="2" fillId="2" borderId="39" xfId="0" applyNumberFormat="1" applyFont="1" applyFill="1" applyBorder="1" applyAlignment="1">
      <alignment horizontal="center" vertical="top"/>
    </xf>
    <xf numFmtId="49" fontId="2" fillId="9" borderId="3" xfId="0" applyNumberFormat="1" applyFont="1" applyFill="1" applyBorder="1" applyAlignment="1">
      <alignment horizontal="center" vertical="top"/>
    </xf>
    <xf numFmtId="3" fontId="1" fillId="7" borderId="31" xfId="0" applyNumberFormat="1" applyFont="1" applyFill="1" applyBorder="1" applyAlignment="1">
      <alignment horizontal="center" vertical="top"/>
    </xf>
    <xf numFmtId="3" fontId="1" fillId="7" borderId="35" xfId="0" applyNumberFormat="1" applyFont="1" applyFill="1" applyBorder="1" applyAlignment="1">
      <alignment horizontal="center" vertical="top"/>
    </xf>
    <xf numFmtId="3" fontId="1" fillId="7" borderId="42" xfId="0" applyNumberFormat="1" applyFont="1" applyFill="1" applyBorder="1" applyAlignment="1">
      <alignment horizontal="center" vertical="top"/>
    </xf>
    <xf numFmtId="3" fontId="1" fillId="7" borderId="74" xfId="0" applyNumberFormat="1" applyFont="1" applyFill="1" applyBorder="1" applyAlignment="1">
      <alignment horizontal="center" vertical="top"/>
    </xf>
    <xf numFmtId="165" fontId="1" fillId="0" borderId="53" xfId="0" applyNumberFormat="1" applyFont="1" applyBorder="1" applyAlignment="1">
      <alignment vertical="top"/>
    </xf>
    <xf numFmtId="165" fontId="2" fillId="7" borderId="59" xfId="0" applyNumberFormat="1" applyFont="1" applyFill="1" applyBorder="1" applyAlignment="1">
      <alignment horizontal="center" vertical="top" wrapText="1"/>
    </xf>
    <xf numFmtId="0" fontId="2" fillId="0" borderId="0" xfId="0" applyFont="1" applyAlignment="1">
      <alignment vertical="center"/>
    </xf>
    <xf numFmtId="165" fontId="9" fillId="7" borderId="9" xfId="0" applyNumberFormat="1" applyFont="1" applyFill="1" applyBorder="1" applyAlignment="1">
      <alignment horizontal="center" vertical="center" textRotation="90" wrapText="1"/>
    </xf>
    <xf numFmtId="0" fontId="2" fillId="0" borderId="0" xfId="0" applyFont="1" applyAlignment="1">
      <alignment horizontal="center" vertical="center"/>
    </xf>
    <xf numFmtId="165" fontId="1" fillId="7" borderId="23" xfId="0" applyNumberFormat="1" applyFont="1" applyFill="1" applyBorder="1" applyAlignment="1">
      <alignment wrapText="1"/>
    </xf>
    <xf numFmtId="165" fontId="5" fillId="7" borderId="23" xfId="0" applyNumberFormat="1" applyFont="1" applyFill="1" applyBorder="1" applyAlignment="1">
      <alignment vertical="top" wrapText="1"/>
    </xf>
    <xf numFmtId="165" fontId="1" fillId="7" borderId="15" xfId="0" applyNumberFormat="1" applyFont="1" applyFill="1" applyBorder="1" applyAlignment="1">
      <alignment vertical="top" wrapText="1"/>
    </xf>
    <xf numFmtId="49" fontId="1" fillId="7" borderId="17" xfId="0" applyNumberFormat="1" applyFont="1" applyFill="1" applyBorder="1" applyAlignment="1">
      <alignment horizontal="center" vertical="top"/>
    </xf>
    <xf numFmtId="49" fontId="1" fillId="7" borderId="9" xfId="0" applyNumberFormat="1" applyFont="1" applyFill="1" applyBorder="1" applyAlignment="1">
      <alignment horizontal="center" vertical="top"/>
    </xf>
    <xf numFmtId="49" fontId="1" fillId="7" borderId="24" xfId="0" applyNumberFormat="1" applyFont="1" applyFill="1" applyBorder="1" applyAlignment="1">
      <alignment horizontal="center" vertical="top"/>
    </xf>
    <xf numFmtId="49" fontId="1" fillId="7" borderId="35" xfId="0" applyNumberFormat="1" applyFont="1" applyFill="1" applyBorder="1" applyAlignment="1">
      <alignment horizontal="center" vertical="top"/>
    </xf>
    <xf numFmtId="3" fontId="1" fillId="7" borderId="73" xfId="0" applyNumberFormat="1" applyFont="1" applyFill="1" applyBorder="1" applyAlignment="1">
      <alignment horizontal="center" vertical="top"/>
    </xf>
    <xf numFmtId="165" fontId="1" fillId="7" borderId="16" xfId="0" applyNumberFormat="1" applyFont="1" applyFill="1" applyBorder="1" applyAlignment="1">
      <alignment horizontal="center" vertical="top"/>
    </xf>
    <xf numFmtId="49" fontId="2" fillId="7" borderId="1" xfId="0" applyNumberFormat="1" applyFont="1" applyFill="1" applyBorder="1" applyAlignment="1">
      <alignment horizontal="center" vertical="top"/>
    </xf>
    <xf numFmtId="165" fontId="1" fillId="7" borderId="17" xfId="0" applyNumberFormat="1" applyFont="1" applyFill="1" applyBorder="1" applyAlignment="1">
      <alignment horizontal="center" vertical="top"/>
    </xf>
    <xf numFmtId="165" fontId="1" fillId="7" borderId="36" xfId="0" applyNumberFormat="1" applyFont="1" applyFill="1" applyBorder="1" applyAlignment="1">
      <alignment horizontal="center" vertical="top"/>
    </xf>
    <xf numFmtId="165" fontId="1" fillId="7" borderId="46" xfId="0" applyNumberFormat="1" applyFont="1" applyFill="1" applyBorder="1" applyAlignment="1">
      <alignment horizontal="center" vertical="top"/>
    </xf>
    <xf numFmtId="165" fontId="1" fillId="7" borderId="78" xfId="0" applyNumberFormat="1" applyFont="1" applyFill="1" applyBorder="1" applyAlignment="1">
      <alignment horizontal="center" vertical="top"/>
    </xf>
    <xf numFmtId="165" fontId="1" fillId="7" borderId="70" xfId="0" applyNumberFormat="1" applyFont="1" applyFill="1" applyBorder="1" applyAlignment="1">
      <alignment horizontal="center" vertical="top"/>
    </xf>
    <xf numFmtId="3" fontId="1" fillId="0" borderId="42" xfId="0" applyNumberFormat="1" applyFont="1" applyFill="1" applyBorder="1" applyAlignment="1">
      <alignment horizontal="center" vertical="top"/>
    </xf>
    <xf numFmtId="165" fontId="2" fillId="8" borderId="81" xfId="0" applyNumberFormat="1" applyFont="1" applyFill="1" applyBorder="1" applyAlignment="1">
      <alignment horizontal="center" vertical="top"/>
    </xf>
    <xf numFmtId="165" fontId="1" fillId="7" borderId="38" xfId="0" applyNumberFormat="1" applyFont="1" applyFill="1" applyBorder="1" applyAlignment="1">
      <alignment horizontal="center" vertical="top"/>
    </xf>
    <xf numFmtId="0" fontId="2" fillId="7" borderId="17" xfId="0" applyFont="1" applyFill="1" applyBorder="1" applyAlignment="1">
      <alignment horizontal="center" vertical="top" wrapText="1"/>
    </xf>
    <xf numFmtId="0" fontId="2" fillId="7" borderId="9" xfId="0" applyFont="1" applyFill="1" applyBorder="1" applyAlignment="1">
      <alignment horizontal="center" vertical="top" wrapText="1"/>
    </xf>
    <xf numFmtId="49" fontId="2" fillId="7" borderId="24" xfId="0" applyNumberFormat="1" applyFont="1" applyFill="1" applyBorder="1" applyAlignment="1">
      <alignment vertical="top"/>
    </xf>
    <xf numFmtId="49" fontId="1" fillId="8" borderId="9" xfId="0" applyNumberFormat="1" applyFont="1" applyFill="1" applyBorder="1" applyAlignment="1">
      <alignment horizontal="center" vertical="top"/>
    </xf>
    <xf numFmtId="165" fontId="1" fillId="7" borderId="1" xfId="0" applyNumberFormat="1" applyFont="1" applyFill="1" applyBorder="1" applyAlignment="1">
      <alignment vertical="top" wrapText="1"/>
    </xf>
    <xf numFmtId="165" fontId="1" fillId="0" borderId="0" xfId="0" applyNumberFormat="1" applyFont="1" applyFill="1" applyBorder="1" applyAlignment="1">
      <alignment horizontal="left" vertical="top"/>
    </xf>
    <xf numFmtId="165" fontId="1" fillId="7" borderId="79" xfId="0" applyNumberFormat="1" applyFont="1" applyFill="1" applyBorder="1" applyAlignment="1">
      <alignment horizontal="center" vertical="top"/>
    </xf>
    <xf numFmtId="165" fontId="2" fillId="8" borderId="84" xfId="0" applyNumberFormat="1" applyFont="1" applyFill="1" applyBorder="1" applyAlignment="1">
      <alignment horizontal="center" vertical="top"/>
    </xf>
    <xf numFmtId="165" fontId="1" fillId="7" borderId="67" xfId="0" applyNumberFormat="1" applyFont="1" applyFill="1" applyBorder="1" applyAlignment="1">
      <alignment horizontal="center" vertical="top"/>
    </xf>
    <xf numFmtId="0" fontId="1" fillId="0" borderId="24" xfId="0" applyFont="1" applyBorder="1" applyAlignment="1">
      <alignment vertical="top"/>
    </xf>
    <xf numFmtId="165" fontId="2" fillId="7" borderId="0" xfId="0" applyNumberFormat="1" applyFont="1" applyFill="1" applyBorder="1" applyAlignment="1">
      <alignment horizontal="center" vertical="top" wrapText="1"/>
    </xf>
    <xf numFmtId="0" fontId="16" fillId="7" borderId="1" xfId="0" applyFont="1" applyFill="1" applyBorder="1" applyAlignment="1">
      <alignment vertical="top" wrapText="1"/>
    </xf>
    <xf numFmtId="0" fontId="16" fillId="7" borderId="9" xfId="0" applyFont="1" applyFill="1" applyBorder="1" applyAlignment="1">
      <alignment vertical="top" wrapText="1"/>
    </xf>
    <xf numFmtId="165" fontId="2" fillId="7" borderId="9" xfId="0" applyNumberFormat="1" applyFont="1" applyFill="1" applyBorder="1" applyAlignment="1">
      <alignment horizontal="center" vertical="center" textRotation="90" wrapText="1"/>
    </xf>
    <xf numFmtId="0" fontId="9" fillId="7" borderId="9" xfId="0" applyFont="1" applyFill="1" applyBorder="1" applyAlignment="1">
      <alignment horizontal="center" vertical="top" wrapText="1"/>
    </xf>
    <xf numFmtId="165" fontId="2" fillId="7" borderId="17" xfId="0" applyNumberFormat="1" applyFont="1" applyFill="1" applyBorder="1" applyAlignment="1">
      <alignment horizontal="center" vertical="center" wrapText="1"/>
    </xf>
    <xf numFmtId="0" fontId="1" fillId="7" borderId="67" xfId="0" applyFont="1" applyFill="1" applyBorder="1" applyAlignment="1">
      <alignment horizontal="center" vertical="top"/>
    </xf>
    <xf numFmtId="0" fontId="1" fillId="7" borderId="31" xfId="0" applyFont="1" applyFill="1" applyBorder="1" applyAlignment="1">
      <alignment horizontal="center" vertical="top"/>
    </xf>
    <xf numFmtId="165" fontId="2" fillId="7" borderId="39" xfId="0" applyNumberFormat="1" applyFont="1" applyFill="1" applyBorder="1" applyAlignment="1">
      <alignment horizontal="center" vertical="center" textRotation="90" wrapText="1"/>
    </xf>
    <xf numFmtId="165" fontId="2" fillId="7" borderId="29" xfId="0" applyNumberFormat="1" applyFont="1" applyFill="1" applyBorder="1" applyAlignment="1">
      <alignment horizontal="center" vertical="center" textRotation="90" wrapText="1"/>
    </xf>
    <xf numFmtId="165" fontId="1" fillId="7" borderId="9" xfId="0" applyNumberFormat="1" applyFont="1" applyFill="1" applyBorder="1" applyAlignment="1">
      <alignment horizontal="center" vertical="top"/>
    </xf>
    <xf numFmtId="165" fontId="1" fillId="7" borderId="60" xfId="0" applyNumberFormat="1" applyFont="1" applyFill="1" applyBorder="1" applyAlignment="1">
      <alignment horizontal="center" vertical="top"/>
    </xf>
    <xf numFmtId="0" fontId="1" fillId="0" borderId="4" xfId="0" applyFont="1" applyBorder="1" applyAlignment="1">
      <alignment vertical="top"/>
    </xf>
    <xf numFmtId="165" fontId="1" fillId="7" borderId="65" xfId="0" applyNumberFormat="1" applyFont="1" applyFill="1" applyBorder="1" applyAlignment="1">
      <alignment horizontal="center" vertical="top"/>
    </xf>
    <xf numFmtId="0" fontId="1" fillId="0" borderId="20" xfId="0" applyFont="1" applyBorder="1" applyAlignment="1">
      <alignment vertical="top"/>
    </xf>
    <xf numFmtId="165" fontId="2" fillId="9" borderId="85" xfId="0" applyNumberFormat="1" applyFont="1" applyFill="1" applyBorder="1" applyAlignment="1">
      <alignment horizontal="center" vertical="top"/>
    </xf>
    <xf numFmtId="165" fontId="2" fillId="5" borderId="85" xfId="0" applyNumberFormat="1" applyFont="1" applyFill="1" applyBorder="1" applyAlignment="1">
      <alignment horizontal="center" vertical="top"/>
    </xf>
    <xf numFmtId="0" fontId="1" fillId="0" borderId="0" xfId="0" applyFont="1" applyAlignment="1">
      <alignment vertical="center"/>
    </xf>
    <xf numFmtId="165" fontId="2" fillId="7" borderId="21" xfId="0" applyNumberFormat="1" applyFont="1" applyFill="1" applyBorder="1" applyAlignment="1">
      <alignment vertical="top" wrapText="1"/>
    </xf>
    <xf numFmtId="165" fontId="6" fillId="7" borderId="21" xfId="0" applyNumberFormat="1" applyFont="1" applyFill="1" applyBorder="1" applyAlignment="1">
      <alignment horizontal="center" vertical="top" wrapText="1"/>
    </xf>
    <xf numFmtId="49" fontId="2" fillId="7" borderId="86" xfId="0" applyNumberFormat="1" applyFont="1" applyFill="1" applyBorder="1" applyAlignment="1">
      <alignment horizontal="center" vertical="top"/>
    </xf>
    <xf numFmtId="49" fontId="2" fillId="7" borderId="81" xfId="0" applyNumberFormat="1" applyFont="1" applyFill="1" applyBorder="1" applyAlignment="1">
      <alignment horizontal="center" vertical="top"/>
    </xf>
    <xf numFmtId="0" fontId="5" fillId="7" borderId="26" xfId="0" applyFont="1" applyFill="1" applyBorder="1" applyAlignment="1">
      <alignment vertical="top" wrapText="1"/>
    </xf>
    <xf numFmtId="0" fontId="9" fillId="7" borderId="81" xfId="0" applyFont="1" applyFill="1" applyBorder="1" applyAlignment="1">
      <alignment horizontal="center" textRotation="90" wrapText="1"/>
    </xf>
    <xf numFmtId="0" fontId="5" fillId="7" borderId="26" xfId="0" applyFont="1" applyFill="1" applyBorder="1" applyAlignment="1">
      <alignment horizontal="center" vertical="top"/>
    </xf>
    <xf numFmtId="165" fontId="1" fillId="7" borderId="53" xfId="0" applyNumberFormat="1" applyFont="1" applyFill="1" applyBorder="1" applyAlignment="1">
      <alignment horizontal="center" vertical="top"/>
    </xf>
    <xf numFmtId="3" fontId="1" fillId="7" borderId="76" xfId="0" applyNumberFormat="1" applyFont="1" applyFill="1" applyBorder="1" applyAlignment="1">
      <alignment horizontal="center" vertical="top"/>
    </xf>
    <xf numFmtId="3" fontId="4" fillId="7" borderId="47" xfId="0" applyNumberFormat="1" applyFont="1" applyFill="1" applyBorder="1" applyAlignment="1">
      <alignment horizontal="center" vertical="top" wrapText="1"/>
    </xf>
    <xf numFmtId="165" fontId="1" fillId="7" borderId="75" xfId="0" applyNumberFormat="1" applyFont="1" applyFill="1" applyBorder="1" applyAlignment="1">
      <alignment horizontal="center" vertical="top"/>
    </xf>
    <xf numFmtId="165" fontId="2" fillId="8" borderId="0" xfId="0" applyNumberFormat="1" applyFont="1" applyFill="1" applyBorder="1" applyAlignment="1">
      <alignment vertical="top"/>
    </xf>
    <xf numFmtId="165" fontId="1" fillId="7" borderId="72" xfId="0" applyNumberFormat="1" applyFont="1" applyFill="1" applyBorder="1" applyAlignment="1">
      <alignment horizontal="center" vertical="top"/>
    </xf>
    <xf numFmtId="0" fontId="1" fillId="0" borderId="42" xfId="0" applyFont="1" applyBorder="1" applyAlignment="1">
      <alignment vertical="top"/>
    </xf>
    <xf numFmtId="0" fontId="1" fillId="0" borderId="35" xfId="0" applyFont="1" applyBorder="1" applyAlignment="1">
      <alignment vertical="top"/>
    </xf>
    <xf numFmtId="0" fontId="1" fillId="7" borderId="42" xfId="0" applyFont="1" applyFill="1" applyBorder="1" applyAlignment="1">
      <alignment vertical="top"/>
    </xf>
    <xf numFmtId="0" fontId="1" fillId="0" borderId="91" xfId="0" applyFont="1" applyBorder="1" applyAlignment="1">
      <alignment vertical="top"/>
    </xf>
    <xf numFmtId="0" fontId="1" fillId="7" borderId="91" xfId="0" applyFont="1" applyFill="1" applyBorder="1" applyAlignment="1">
      <alignment vertical="top"/>
    </xf>
    <xf numFmtId="3" fontId="1" fillId="7" borderId="35" xfId="0" applyNumberFormat="1" applyFont="1" applyFill="1" applyBorder="1" applyAlignment="1">
      <alignment horizontal="center" vertical="top" wrapText="1"/>
    </xf>
    <xf numFmtId="3" fontId="1" fillId="7" borderId="42" xfId="0" applyNumberFormat="1" applyFont="1" applyFill="1" applyBorder="1" applyAlignment="1">
      <alignment horizontal="center" vertical="top" wrapText="1"/>
    </xf>
    <xf numFmtId="3" fontId="1" fillId="7" borderId="31" xfId="0" applyNumberFormat="1" applyFont="1" applyFill="1" applyBorder="1" applyAlignment="1">
      <alignment horizontal="center" vertical="top" wrapText="1"/>
    </xf>
    <xf numFmtId="3" fontId="1" fillId="7" borderId="18" xfId="0" applyNumberFormat="1" applyFont="1" applyFill="1" applyBorder="1" applyAlignment="1">
      <alignment horizontal="center" vertical="top"/>
    </xf>
    <xf numFmtId="3" fontId="1" fillId="7" borderId="83" xfId="0" applyNumberFormat="1" applyFont="1" applyFill="1" applyBorder="1" applyAlignment="1">
      <alignment horizontal="center" vertical="top"/>
    </xf>
    <xf numFmtId="3" fontId="1" fillId="7" borderId="63" xfId="0" applyNumberFormat="1" applyFont="1" applyFill="1" applyBorder="1" applyAlignment="1">
      <alignment horizontal="center" vertical="top"/>
    </xf>
    <xf numFmtId="3" fontId="1" fillId="7" borderId="42" xfId="1" applyNumberFormat="1" applyFont="1" applyFill="1" applyBorder="1" applyAlignment="1">
      <alignment horizontal="center" vertical="top" wrapText="1"/>
    </xf>
    <xf numFmtId="3" fontId="1" fillId="7" borderId="95" xfId="0" applyNumberFormat="1" applyFont="1" applyFill="1" applyBorder="1" applyAlignment="1">
      <alignment horizontal="center" vertical="top"/>
    </xf>
    <xf numFmtId="165" fontId="1" fillId="7" borderId="23" xfId="0" applyNumberFormat="1" applyFont="1" applyFill="1" applyBorder="1" applyAlignment="1">
      <alignment horizontal="center" vertical="top"/>
    </xf>
    <xf numFmtId="3" fontId="1" fillId="7" borderId="23" xfId="0" applyNumberFormat="1" applyFont="1" applyFill="1" applyBorder="1" applyAlignment="1">
      <alignment horizontal="center" vertical="top"/>
    </xf>
    <xf numFmtId="3" fontId="1" fillId="7" borderId="82" xfId="0" applyNumberFormat="1" applyFont="1" applyFill="1" applyBorder="1" applyAlignment="1">
      <alignment horizontal="center" vertical="top"/>
    </xf>
    <xf numFmtId="3" fontId="1" fillId="7" borderId="77" xfId="0" applyNumberFormat="1" applyFont="1" applyFill="1" applyBorder="1" applyAlignment="1">
      <alignment horizontal="center" vertical="top"/>
    </xf>
    <xf numFmtId="0" fontId="1" fillId="0" borderId="5" xfId="0" applyFont="1" applyBorder="1" applyAlignment="1">
      <alignment vertical="top"/>
    </xf>
    <xf numFmtId="165" fontId="1" fillId="7" borderId="47" xfId="0" applyNumberFormat="1" applyFont="1" applyFill="1" applyBorder="1" applyAlignment="1">
      <alignment horizontal="center" vertical="top"/>
    </xf>
    <xf numFmtId="165" fontId="1" fillId="7" borderId="88" xfId="0" applyNumberFormat="1" applyFont="1" applyFill="1" applyBorder="1" applyAlignment="1">
      <alignment horizontal="center" vertical="top"/>
    </xf>
    <xf numFmtId="3" fontId="1" fillId="7" borderId="35" xfId="0" applyNumberFormat="1" applyFont="1" applyFill="1" applyBorder="1" applyAlignment="1">
      <alignment vertical="top"/>
    </xf>
    <xf numFmtId="0" fontId="1" fillId="7" borderId="31" xfId="0" applyFont="1" applyFill="1" applyBorder="1" applyAlignment="1">
      <alignment horizontal="center" vertical="center"/>
    </xf>
    <xf numFmtId="0" fontId="1" fillId="7" borderId="35" xfId="0" applyFont="1" applyFill="1" applyBorder="1" applyAlignment="1">
      <alignment horizontal="center" vertical="center"/>
    </xf>
    <xf numFmtId="3" fontId="1" fillId="7" borderId="31" xfId="0" applyNumberFormat="1" applyFont="1" applyFill="1" applyBorder="1" applyAlignment="1">
      <alignment vertical="top"/>
    </xf>
    <xf numFmtId="49" fontId="2" fillId="8" borderId="0" xfId="0" applyNumberFormat="1" applyFont="1" applyFill="1" applyBorder="1" applyAlignment="1">
      <alignment horizontal="center" vertical="top"/>
    </xf>
    <xf numFmtId="0" fontId="1" fillId="0" borderId="0" xfId="0"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horizontal="center" vertical="center"/>
    </xf>
    <xf numFmtId="0" fontId="2" fillId="0" borderId="0" xfId="0" applyNumberFormat="1" applyFont="1" applyBorder="1" applyAlignment="1">
      <alignment vertical="top"/>
    </xf>
    <xf numFmtId="165" fontId="1" fillId="7" borderId="28" xfId="0" applyNumberFormat="1" applyFont="1" applyFill="1" applyBorder="1" applyAlignment="1">
      <alignment horizontal="center" vertical="top"/>
    </xf>
    <xf numFmtId="0" fontId="1" fillId="0" borderId="26" xfId="0" applyFont="1" applyBorder="1" applyAlignment="1">
      <alignment vertical="top"/>
    </xf>
    <xf numFmtId="0" fontId="1" fillId="0" borderId="81" xfId="0" applyFont="1" applyBorder="1" applyAlignment="1">
      <alignment horizontal="center" vertical="center" textRotation="90"/>
    </xf>
    <xf numFmtId="165" fontId="1" fillId="7" borderId="104" xfId="0" applyNumberFormat="1" applyFont="1" applyFill="1" applyBorder="1" applyAlignment="1">
      <alignment horizontal="center" vertical="top"/>
    </xf>
    <xf numFmtId="165" fontId="1" fillId="7" borderId="5" xfId="0" applyNumberFormat="1" applyFont="1" applyFill="1" applyBorder="1" applyAlignment="1">
      <alignment horizontal="center" vertical="top"/>
    </xf>
    <xf numFmtId="165" fontId="1" fillId="7" borderId="62" xfId="0" applyNumberFormat="1" applyFont="1" applyFill="1" applyBorder="1" applyAlignment="1">
      <alignment horizontal="center" vertical="top"/>
    </xf>
    <xf numFmtId="165" fontId="1" fillId="7" borderId="24" xfId="0" applyNumberFormat="1" applyFont="1" applyFill="1" applyBorder="1" applyAlignment="1">
      <alignment horizontal="center" vertical="top"/>
    </xf>
    <xf numFmtId="3" fontId="1" fillId="7" borderId="5" xfId="0" applyNumberFormat="1" applyFont="1" applyFill="1" applyBorder="1" applyAlignment="1">
      <alignment horizontal="center" vertical="top"/>
    </xf>
    <xf numFmtId="3" fontId="1" fillId="7" borderId="92" xfId="0" applyNumberFormat="1" applyFont="1" applyFill="1" applyBorder="1" applyAlignment="1">
      <alignment horizontal="center" vertical="top"/>
    </xf>
    <xf numFmtId="3" fontId="1" fillId="7" borderId="90" xfId="0" applyNumberFormat="1" applyFont="1" applyFill="1" applyBorder="1" applyAlignment="1">
      <alignment horizontal="center" vertical="top"/>
    </xf>
    <xf numFmtId="3" fontId="1" fillId="7" borderId="91" xfId="0" applyNumberFormat="1" applyFont="1" applyFill="1" applyBorder="1" applyAlignment="1">
      <alignment horizontal="center" vertical="top"/>
    </xf>
    <xf numFmtId="49" fontId="1" fillId="7" borderId="5" xfId="0" applyNumberFormat="1" applyFont="1" applyFill="1" applyBorder="1" applyAlignment="1">
      <alignment horizontal="center" vertical="top"/>
    </xf>
    <xf numFmtId="0" fontId="1" fillId="7" borderId="24" xfId="0" applyFont="1" applyFill="1" applyBorder="1" applyAlignment="1">
      <alignment vertical="top"/>
    </xf>
    <xf numFmtId="3" fontId="1" fillId="7" borderId="9" xfId="0" applyNumberFormat="1" applyFont="1" applyFill="1" applyBorder="1" applyAlignment="1">
      <alignment horizontal="center" vertical="top"/>
    </xf>
    <xf numFmtId="3" fontId="1" fillId="7" borderId="62" xfId="0" applyNumberFormat="1" applyFont="1" applyFill="1" applyBorder="1" applyAlignment="1">
      <alignment horizontal="center" vertical="top"/>
    </xf>
    <xf numFmtId="0" fontId="1" fillId="0" borderId="9" xfId="0" applyFont="1" applyBorder="1" applyAlignment="1">
      <alignment vertical="top"/>
    </xf>
    <xf numFmtId="3" fontId="1" fillId="7" borderId="17" xfId="0" applyNumberFormat="1" applyFont="1" applyFill="1" applyBorder="1" applyAlignment="1">
      <alignment horizontal="center" vertical="top"/>
    </xf>
    <xf numFmtId="3" fontId="1" fillId="7" borderId="24" xfId="0" applyNumberFormat="1" applyFont="1" applyFill="1" applyBorder="1" applyAlignment="1">
      <alignment horizontal="center" vertical="top"/>
    </xf>
    <xf numFmtId="165" fontId="1" fillId="7" borderId="31" xfId="0" applyNumberFormat="1" applyFont="1" applyFill="1" applyBorder="1" applyAlignment="1">
      <alignment horizontal="center" vertical="top"/>
    </xf>
    <xf numFmtId="165" fontId="1" fillId="7" borderId="90" xfId="0" applyNumberFormat="1" applyFont="1" applyFill="1" applyBorder="1" applyAlignment="1">
      <alignment horizontal="center" vertical="top"/>
    </xf>
    <xf numFmtId="165" fontId="1" fillId="7" borderId="18" xfId="0" applyNumberFormat="1" applyFont="1" applyFill="1" applyBorder="1" applyAlignment="1">
      <alignment horizontal="center" vertical="top"/>
    </xf>
    <xf numFmtId="3" fontId="1" fillId="7" borderId="17" xfId="0" applyNumberFormat="1" applyFont="1" applyFill="1" applyBorder="1" applyAlignment="1">
      <alignment horizontal="center" vertical="top" wrapText="1"/>
    </xf>
    <xf numFmtId="49" fontId="1" fillId="7" borderId="38" xfId="0" applyNumberFormat="1" applyFont="1" applyFill="1" applyBorder="1" applyAlignment="1">
      <alignment horizontal="center" vertical="top"/>
    </xf>
    <xf numFmtId="3" fontId="1" fillId="7" borderId="38" xfId="0" applyNumberFormat="1" applyFont="1" applyFill="1" applyBorder="1" applyAlignment="1">
      <alignment horizontal="center" vertical="top" wrapText="1"/>
    </xf>
    <xf numFmtId="3" fontId="1" fillId="7" borderId="91" xfId="0" applyNumberFormat="1" applyFont="1" applyFill="1" applyBorder="1" applyAlignment="1">
      <alignment horizontal="center" vertical="top" wrapText="1"/>
    </xf>
    <xf numFmtId="3" fontId="1" fillId="7" borderId="99" xfId="0" applyNumberFormat="1" applyFont="1" applyFill="1" applyBorder="1" applyAlignment="1">
      <alignment horizontal="center" vertical="top"/>
    </xf>
    <xf numFmtId="3" fontId="1" fillId="7" borderId="93" xfId="0" applyNumberFormat="1" applyFont="1" applyFill="1" applyBorder="1" applyAlignment="1">
      <alignment horizontal="center" vertical="top"/>
    </xf>
    <xf numFmtId="165" fontId="1" fillId="7" borderId="94" xfId="0" applyNumberFormat="1" applyFont="1" applyFill="1" applyBorder="1" applyAlignment="1">
      <alignment horizontal="center" vertical="top"/>
    </xf>
    <xf numFmtId="3" fontId="1" fillId="7" borderId="79" xfId="0" applyNumberFormat="1" applyFont="1" applyFill="1" applyBorder="1" applyAlignment="1">
      <alignment horizontal="center" vertical="top"/>
    </xf>
    <xf numFmtId="3" fontId="1" fillId="7" borderId="70" xfId="0" applyNumberFormat="1" applyFont="1" applyFill="1" applyBorder="1" applyAlignment="1">
      <alignment horizontal="center" vertical="top"/>
    </xf>
    <xf numFmtId="3" fontId="1" fillId="7" borderId="64" xfId="0" applyNumberFormat="1" applyFont="1" applyFill="1" applyBorder="1" applyAlignment="1">
      <alignment horizontal="center" vertical="top"/>
    </xf>
    <xf numFmtId="3" fontId="1" fillId="7" borderId="24" xfId="1" applyNumberFormat="1" applyFont="1" applyFill="1" applyBorder="1" applyAlignment="1">
      <alignment horizontal="center" vertical="top" wrapText="1"/>
    </xf>
    <xf numFmtId="165" fontId="1" fillId="7" borderId="42" xfId="0" applyNumberFormat="1" applyFont="1" applyFill="1" applyBorder="1" applyAlignment="1">
      <alignment horizontal="center" vertical="top"/>
    </xf>
    <xf numFmtId="3" fontId="1" fillId="7" borderId="36" xfId="0" applyNumberFormat="1" applyFont="1" applyFill="1" applyBorder="1" applyAlignment="1">
      <alignment horizontal="center" vertical="top"/>
    </xf>
    <xf numFmtId="3" fontId="1" fillId="7" borderId="16" xfId="0" applyNumberFormat="1" applyFont="1" applyFill="1" applyBorder="1" applyAlignment="1">
      <alignment horizontal="center" vertical="top"/>
    </xf>
    <xf numFmtId="165" fontId="1" fillId="7" borderId="64" xfId="0" applyNumberFormat="1" applyFont="1" applyFill="1" applyBorder="1" applyAlignment="1">
      <alignment horizontal="center" vertical="top"/>
    </xf>
    <xf numFmtId="3" fontId="1" fillId="7" borderId="60" xfId="0" applyNumberFormat="1" applyFont="1" applyFill="1" applyBorder="1" applyAlignment="1">
      <alignment horizontal="center" vertical="top"/>
    </xf>
    <xf numFmtId="3" fontId="4" fillId="7" borderId="81" xfId="0" applyNumberFormat="1" applyFont="1" applyFill="1" applyBorder="1" applyAlignment="1">
      <alignment horizontal="center" vertical="top" wrapText="1"/>
    </xf>
    <xf numFmtId="0" fontId="1" fillId="0" borderId="38" xfId="0" applyFont="1" applyBorder="1" applyAlignment="1">
      <alignment vertical="top"/>
    </xf>
    <xf numFmtId="0" fontId="1" fillId="7" borderId="90" xfId="0" applyNumberFormat="1" applyFont="1" applyFill="1" applyBorder="1" applyAlignment="1">
      <alignment horizontal="center" vertical="top"/>
    </xf>
    <xf numFmtId="165" fontId="1" fillId="7" borderId="92" xfId="0" applyNumberFormat="1" applyFont="1" applyFill="1" applyBorder="1" applyAlignment="1">
      <alignment horizontal="center" vertical="top"/>
    </xf>
    <xf numFmtId="165" fontId="1" fillId="0" borderId="10" xfId="0" applyNumberFormat="1" applyFont="1" applyBorder="1" applyAlignment="1">
      <alignment vertical="top"/>
    </xf>
    <xf numFmtId="0" fontId="1" fillId="7" borderId="17" xfId="0" applyNumberFormat="1" applyFont="1" applyFill="1" applyBorder="1" applyAlignment="1">
      <alignment horizontal="center" vertical="top"/>
    </xf>
    <xf numFmtId="0" fontId="1" fillId="7" borderId="24" xfId="0" applyNumberFormat="1" applyFont="1" applyFill="1" applyBorder="1" applyAlignment="1">
      <alignment horizontal="center" vertical="top"/>
    </xf>
    <xf numFmtId="165" fontId="1" fillId="7" borderId="13" xfId="0" applyNumberFormat="1" applyFont="1" applyFill="1" applyBorder="1" applyAlignment="1">
      <alignment horizontal="center" vertical="top"/>
    </xf>
    <xf numFmtId="165" fontId="1" fillId="7" borderId="1" xfId="0" applyNumberFormat="1" applyFont="1" applyFill="1" applyBorder="1" applyAlignment="1">
      <alignment horizontal="center" vertical="top"/>
    </xf>
    <xf numFmtId="165" fontId="1" fillId="7" borderId="97" xfId="0" applyNumberFormat="1" applyFont="1" applyFill="1" applyBorder="1" applyAlignment="1">
      <alignment horizontal="center" vertical="top"/>
    </xf>
    <xf numFmtId="165" fontId="1" fillId="7" borderId="89" xfId="0" applyNumberFormat="1" applyFont="1" applyFill="1" applyBorder="1" applyAlignment="1">
      <alignment horizontal="center" vertical="top"/>
    </xf>
    <xf numFmtId="165" fontId="1" fillId="7" borderId="10" xfId="0" applyNumberFormat="1" applyFont="1" applyFill="1" applyBorder="1" applyAlignment="1">
      <alignment horizontal="center" vertical="top"/>
    </xf>
    <xf numFmtId="165" fontId="1" fillId="7" borderId="81" xfId="0" applyNumberFormat="1" applyFont="1" applyFill="1" applyBorder="1" applyAlignment="1">
      <alignment horizontal="center" vertical="top"/>
    </xf>
    <xf numFmtId="165" fontId="2" fillId="9" borderId="55" xfId="0" applyNumberFormat="1" applyFont="1" applyFill="1" applyBorder="1" applyAlignment="1">
      <alignment horizontal="center" vertical="top"/>
    </xf>
    <xf numFmtId="165" fontId="2" fillId="5" borderId="55" xfId="0" applyNumberFormat="1" applyFont="1" applyFill="1" applyBorder="1" applyAlignment="1">
      <alignment horizontal="center" vertical="top"/>
    </xf>
    <xf numFmtId="165" fontId="2" fillId="9" borderId="2" xfId="0" applyNumberFormat="1" applyFont="1" applyFill="1" applyBorder="1" applyAlignment="1">
      <alignment horizontal="center" vertical="top"/>
    </xf>
    <xf numFmtId="165" fontId="2" fillId="5" borderId="2" xfId="0" applyNumberFormat="1" applyFont="1" applyFill="1" applyBorder="1" applyAlignment="1">
      <alignment horizontal="center" vertical="top"/>
    </xf>
    <xf numFmtId="3" fontId="1" fillId="7" borderId="90" xfId="0" applyNumberFormat="1" applyFont="1" applyFill="1" applyBorder="1" applyAlignment="1">
      <alignment vertical="top"/>
    </xf>
    <xf numFmtId="3" fontId="1" fillId="7" borderId="5" xfId="0" applyNumberFormat="1" applyFont="1" applyFill="1" applyBorder="1" applyAlignment="1">
      <alignment vertical="top"/>
    </xf>
    <xf numFmtId="3" fontId="1" fillId="0" borderId="91" xfId="0" applyNumberFormat="1" applyFont="1" applyFill="1" applyBorder="1" applyAlignment="1">
      <alignment horizontal="center" vertical="top"/>
    </xf>
    <xf numFmtId="3" fontId="1" fillId="7" borderId="17" xfId="0" applyNumberFormat="1" applyFont="1" applyFill="1" applyBorder="1" applyAlignment="1">
      <alignment vertical="top"/>
    </xf>
    <xf numFmtId="3" fontId="1" fillId="7" borderId="9" xfId="0" applyNumberFormat="1" applyFont="1" applyFill="1" applyBorder="1" applyAlignment="1">
      <alignment vertical="top"/>
    </xf>
    <xf numFmtId="3" fontId="1" fillId="0" borderId="24" xfId="0" applyNumberFormat="1" applyFont="1" applyFill="1" applyBorder="1" applyAlignment="1">
      <alignment horizontal="center" vertical="top"/>
    </xf>
    <xf numFmtId="165" fontId="1" fillId="7" borderId="25" xfId="0" applyNumberFormat="1" applyFont="1" applyFill="1" applyBorder="1" applyAlignment="1">
      <alignment horizontal="center" vertical="top"/>
    </xf>
    <xf numFmtId="0" fontId="1" fillId="7" borderId="20" xfId="0" applyFont="1" applyFill="1" applyBorder="1" applyAlignment="1">
      <alignment vertical="top" wrapText="1"/>
    </xf>
    <xf numFmtId="165" fontId="1" fillId="7" borderId="20" xfId="0" applyNumberFormat="1" applyFont="1" applyFill="1" applyBorder="1" applyAlignment="1">
      <alignment vertical="top" wrapText="1"/>
    </xf>
    <xf numFmtId="165" fontId="2" fillId="2" borderId="50" xfId="0" applyNumberFormat="1" applyFont="1" applyFill="1" applyBorder="1" applyAlignment="1">
      <alignment horizontal="center" vertical="top"/>
    </xf>
    <xf numFmtId="165" fontId="1" fillId="7" borderId="65" xfId="0" applyNumberFormat="1" applyFont="1" applyFill="1" applyBorder="1" applyAlignment="1">
      <alignment vertical="top" wrapText="1"/>
    </xf>
    <xf numFmtId="165" fontId="1" fillId="7" borderId="72" xfId="0" applyNumberFormat="1" applyFont="1" applyFill="1" applyBorder="1" applyAlignment="1">
      <alignment vertical="top" wrapText="1"/>
    </xf>
    <xf numFmtId="165" fontId="1" fillId="7" borderId="6" xfId="0" applyNumberFormat="1" applyFont="1" applyFill="1" applyBorder="1" applyAlignment="1">
      <alignment vertical="top" wrapText="1"/>
    </xf>
    <xf numFmtId="165" fontId="1" fillId="0" borderId="8" xfId="0" applyNumberFormat="1" applyFont="1" applyBorder="1" applyAlignment="1">
      <alignment vertical="top"/>
    </xf>
    <xf numFmtId="165" fontId="1" fillId="7" borderId="8" xfId="0" applyNumberFormat="1" applyFont="1" applyFill="1" applyBorder="1" applyAlignment="1">
      <alignment vertical="top"/>
    </xf>
    <xf numFmtId="165" fontId="1" fillId="7" borderId="6" xfId="0" applyNumberFormat="1" applyFont="1" applyFill="1" applyBorder="1" applyAlignment="1">
      <alignment horizontal="center" vertical="center"/>
    </xf>
    <xf numFmtId="165" fontId="1" fillId="7" borderId="108" xfId="0" applyNumberFormat="1" applyFont="1" applyFill="1" applyBorder="1" applyAlignment="1">
      <alignment horizontal="center" vertical="top"/>
    </xf>
    <xf numFmtId="165" fontId="2" fillId="2" borderId="85" xfId="0" applyNumberFormat="1" applyFont="1" applyFill="1" applyBorder="1" applyAlignment="1">
      <alignment horizontal="center" vertical="top"/>
    </xf>
    <xf numFmtId="165" fontId="1" fillId="7" borderId="20" xfId="0" applyNumberFormat="1" applyFont="1" applyFill="1" applyBorder="1" applyAlignment="1">
      <alignment vertical="top"/>
    </xf>
    <xf numFmtId="165" fontId="1" fillId="7" borderId="15" xfId="0" applyNumberFormat="1" applyFont="1" applyFill="1" applyBorder="1" applyAlignment="1">
      <alignment horizontal="center" vertical="top"/>
    </xf>
    <xf numFmtId="0" fontId="1" fillId="7" borderId="4" xfId="0" applyFont="1" applyFill="1" applyBorder="1" applyAlignment="1">
      <alignment vertical="top"/>
    </xf>
    <xf numFmtId="0" fontId="1" fillId="7" borderId="20" xfId="0" applyFont="1" applyFill="1" applyBorder="1" applyAlignment="1">
      <alignment vertical="top"/>
    </xf>
    <xf numFmtId="165" fontId="1" fillId="7" borderId="71" xfId="0" applyNumberFormat="1" applyFont="1" applyFill="1" applyBorder="1" applyAlignment="1">
      <alignment vertical="top" wrapText="1"/>
    </xf>
    <xf numFmtId="165" fontId="1" fillId="7" borderId="99" xfId="0" applyNumberFormat="1" applyFont="1" applyFill="1" applyBorder="1" applyAlignment="1">
      <alignment horizontal="center" vertical="top"/>
    </xf>
    <xf numFmtId="165" fontId="2" fillId="2" borderId="43" xfId="0" applyNumberFormat="1" applyFont="1" applyFill="1" applyBorder="1" applyAlignment="1">
      <alignment horizontal="center" vertical="top"/>
    </xf>
    <xf numFmtId="165" fontId="2" fillId="8" borderId="47" xfId="0" applyNumberFormat="1" applyFont="1" applyFill="1" applyBorder="1" applyAlignment="1">
      <alignment horizontal="center" vertical="top"/>
    </xf>
    <xf numFmtId="165" fontId="2" fillId="8" borderId="89" xfId="0" applyNumberFormat="1" applyFont="1" applyFill="1" applyBorder="1" applyAlignment="1">
      <alignment horizontal="center" vertical="top"/>
    </xf>
    <xf numFmtId="165" fontId="2" fillId="2" borderId="27" xfId="0" applyNumberFormat="1" applyFont="1" applyFill="1" applyBorder="1" applyAlignment="1">
      <alignment horizontal="center" vertical="top"/>
    </xf>
    <xf numFmtId="165" fontId="2" fillId="2" borderId="7" xfId="0" applyNumberFormat="1" applyFont="1" applyFill="1" applyBorder="1" applyAlignment="1">
      <alignment horizontal="center" vertical="top"/>
    </xf>
    <xf numFmtId="0" fontId="6" fillId="0" borderId="43" xfId="0" applyFont="1" applyBorder="1" applyAlignment="1">
      <alignment horizontal="center" vertical="center" textRotation="90" wrapText="1"/>
    </xf>
    <xf numFmtId="0" fontId="6" fillId="0" borderId="55" xfId="0" applyFont="1" applyBorder="1" applyAlignment="1">
      <alignment horizontal="center" vertical="center" textRotation="90" wrapText="1"/>
    </xf>
    <xf numFmtId="165" fontId="1" fillId="7" borderId="67" xfId="0" applyNumberFormat="1" applyFont="1" applyFill="1" applyBorder="1" applyAlignment="1">
      <alignment vertical="top" wrapText="1"/>
    </xf>
    <xf numFmtId="3" fontId="1" fillId="7" borderId="6" xfId="0" applyNumberFormat="1" applyFont="1" applyFill="1" applyBorder="1" applyAlignment="1">
      <alignment horizontal="center" vertical="top" wrapText="1"/>
    </xf>
    <xf numFmtId="3" fontId="1" fillId="7" borderId="108" xfId="0" applyNumberFormat="1" applyFont="1" applyFill="1" applyBorder="1" applyAlignment="1">
      <alignment horizontal="center" vertical="top"/>
    </xf>
    <xf numFmtId="3" fontId="1" fillId="7" borderId="20" xfId="0" applyNumberFormat="1" applyFont="1" applyFill="1" applyBorder="1" applyAlignment="1">
      <alignment horizontal="center" vertical="top"/>
    </xf>
    <xf numFmtId="3" fontId="1" fillId="7" borderId="105" xfId="0" applyNumberFormat="1" applyFont="1" applyFill="1" applyBorder="1" applyAlignment="1">
      <alignment horizontal="center" vertical="top"/>
    </xf>
    <xf numFmtId="3" fontId="1" fillId="7" borderId="72" xfId="0" applyNumberFormat="1" applyFont="1" applyFill="1" applyBorder="1" applyAlignment="1">
      <alignment horizontal="center" vertical="top"/>
    </xf>
    <xf numFmtId="3" fontId="1" fillId="7" borderId="4" xfId="0" applyNumberFormat="1" applyFont="1" applyFill="1" applyBorder="1" applyAlignment="1">
      <alignment horizontal="center" vertical="top" wrapText="1"/>
    </xf>
    <xf numFmtId="3" fontId="1" fillId="7" borderId="65" xfId="0" applyNumberFormat="1" applyFont="1" applyFill="1" applyBorder="1" applyAlignment="1">
      <alignment horizontal="center" vertical="top"/>
    </xf>
    <xf numFmtId="3" fontId="1" fillId="7" borderId="20" xfId="0" applyNumberFormat="1" applyFont="1" applyFill="1" applyBorder="1" applyAlignment="1">
      <alignment horizontal="center" vertical="top" wrapText="1"/>
    </xf>
    <xf numFmtId="3" fontId="1" fillId="7" borderId="107" xfId="0" applyNumberFormat="1" applyFont="1" applyFill="1" applyBorder="1" applyAlignment="1">
      <alignment horizontal="center" vertical="top"/>
    </xf>
    <xf numFmtId="3" fontId="1" fillId="7" borderId="75" xfId="0" applyNumberFormat="1" applyFont="1" applyFill="1" applyBorder="1" applyAlignment="1">
      <alignment horizontal="center" vertical="top"/>
    </xf>
    <xf numFmtId="165" fontId="2" fillId="7" borderId="81" xfId="0" applyNumberFormat="1" applyFont="1" applyFill="1" applyBorder="1" applyAlignment="1">
      <alignment horizontal="center" vertical="top" wrapText="1"/>
    </xf>
    <xf numFmtId="0" fontId="1" fillId="7" borderId="83" xfId="0" applyNumberFormat="1" applyFont="1" applyFill="1" applyBorder="1" applyAlignment="1">
      <alignment horizontal="center" vertical="top"/>
    </xf>
    <xf numFmtId="0" fontId="1" fillId="7" borderId="35" xfId="0" applyNumberFormat="1" applyFont="1" applyFill="1" applyBorder="1" applyAlignment="1">
      <alignment horizontal="center" vertical="top"/>
    </xf>
    <xf numFmtId="0" fontId="1" fillId="7" borderId="9" xfId="0" applyNumberFormat="1" applyFont="1" applyFill="1" applyBorder="1" applyAlignment="1">
      <alignment horizontal="center" vertical="top"/>
    </xf>
    <xf numFmtId="3" fontId="4" fillId="7" borderId="24" xfId="0" applyNumberFormat="1" applyFont="1" applyFill="1" applyBorder="1" applyAlignment="1">
      <alignment horizontal="center" vertical="top" wrapText="1"/>
    </xf>
    <xf numFmtId="3" fontId="1" fillId="7" borderId="19" xfId="0" applyNumberFormat="1" applyFont="1" applyFill="1" applyBorder="1" applyAlignment="1">
      <alignment horizontal="center" vertical="top" wrapText="1"/>
    </xf>
    <xf numFmtId="3" fontId="1" fillId="0" borderId="108" xfId="0" applyNumberFormat="1" applyFont="1" applyFill="1" applyBorder="1" applyAlignment="1">
      <alignment horizontal="center" vertical="top"/>
    </xf>
    <xf numFmtId="3" fontId="1" fillId="7" borderId="71" xfId="0" applyNumberFormat="1" applyFont="1" applyFill="1" applyBorder="1" applyAlignment="1">
      <alignment horizontal="center" vertical="top"/>
    </xf>
    <xf numFmtId="3" fontId="1" fillId="7" borderId="100" xfId="0" applyNumberFormat="1" applyFont="1" applyFill="1" applyBorder="1" applyAlignment="1">
      <alignment horizontal="center" vertical="top"/>
    </xf>
    <xf numFmtId="3" fontId="1" fillId="7" borderId="6" xfId="0" applyNumberFormat="1" applyFont="1" applyFill="1" applyBorder="1" applyAlignment="1">
      <alignment horizontal="center" vertical="top"/>
    </xf>
    <xf numFmtId="49" fontId="1" fillId="8" borderId="39" xfId="0" applyNumberFormat="1" applyFont="1" applyFill="1" applyBorder="1" applyAlignment="1">
      <alignment horizontal="center" vertical="top"/>
    </xf>
    <xf numFmtId="3" fontId="1" fillId="7" borderId="39" xfId="0" applyNumberFormat="1" applyFont="1" applyFill="1" applyBorder="1" applyAlignment="1">
      <alignment horizontal="center" vertical="top"/>
    </xf>
    <xf numFmtId="1" fontId="1" fillId="7" borderId="60" xfId="0" applyNumberFormat="1" applyFont="1" applyFill="1" applyBorder="1" applyAlignment="1">
      <alignment horizontal="center" vertical="top"/>
    </xf>
    <xf numFmtId="1" fontId="1" fillId="7" borderId="70" xfId="0" applyNumberFormat="1" applyFont="1" applyFill="1" applyBorder="1" applyAlignment="1">
      <alignment horizontal="center" vertical="top"/>
    </xf>
    <xf numFmtId="1" fontId="1" fillId="7" borderId="79" xfId="0" applyNumberFormat="1" applyFont="1" applyFill="1" applyBorder="1" applyAlignment="1">
      <alignment horizontal="center" vertical="top"/>
    </xf>
    <xf numFmtId="0" fontId="1" fillId="7" borderId="79" xfId="0" applyNumberFormat="1" applyFont="1" applyFill="1" applyBorder="1" applyAlignment="1">
      <alignment horizontal="center" vertical="top"/>
    </xf>
    <xf numFmtId="0" fontId="1" fillId="7" borderId="36" xfId="0" applyNumberFormat="1" applyFont="1" applyFill="1" applyBorder="1" applyAlignment="1">
      <alignment horizontal="center" vertical="top"/>
    </xf>
    <xf numFmtId="0" fontId="1" fillId="7" borderId="77" xfId="0" applyNumberFormat="1" applyFont="1" applyFill="1" applyBorder="1" applyAlignment="1">
      <alignment horizontal="center" vertical="top"/>
    </xf>
    <xf numFmtId="0" fontId="1" fillId="0" borderId="76" xfId="0" applyNumberFormat="1" applyFont="1" applyFill="1" applyBorder="1" applyAlignment="1">
      <alignment horizontal="center" vertical="top"/>
    </xf>
    <xf numFmtId="165" fontId="2" fillId="7" borderId="24" xfId="0" applyNumberFormat="1" applyFont="1" applyFill="1" applyBorder="1" applyAlignment="1">
      <alignment horizontal="center" vertical="center" wrapText="1"/>
    </xf>
    <xf numFmtId="165" fontId="1" fillId="7" borderId="83" xfId="0" applyNumberFormat="1" applyFont="1" applyFill="1" applyBorder="1" applyAlignment="1">
      <alignment horizontal="center" vertical="top"/>
    </xf>
    <xf numFmtId="3" fontId="1" fillId="0" borderId="70" xfId="0" applyNumberFormat="1" applyFont="1" applyFill="1" applyBorder="1" applyAlignment="1">
      <alignment horizontal="center" vertical="top"/>
    </xf>
    <xf numFmtId="3" fontId="1" fillId="0" borderId="73" xfId="0" applyNumberFormat="1" applyFont="1" applyFill="1" applyBorder="1" applyAlignment="1">
      <alignment horizontal="center" vertical="top"/>
    </xf>
    <xf numFmtId="165" fontId="1" fillId="7" borderId="82" xfId="0" applyNumberFormat="1" applyFont="1" applyFill="1" applyBorder="1" applyAlignment="1">
      <alignment horizontal="center" vertical="top"/>
    </xf>
    <xf numFmtId="165" fontId="1" fillId="7" borderId="63" xfId="0" applyNumberFormat="1" applyFont="1" applyFill="1" applyBorder="1" applyAlignment="1">
      <alignment horizontal="center" vertical="top"/>
    </xf>
    <xf numFmtId="165" fontId="2" fillId="7" borderId="10" xfId="0" applyNumberFormat="1" applyFont="1" applyFill="1" applyBorder="1" applyAlignment="1">
      <alignment horizontal="center" vertical="top" wrapText="1"/>
    </xf>
    <xf numFmtId="3" fontId="1" fillId="0" borderId="17" xfId="0" applyNumberFormat="1" applyFont="1" applyFill="1" applyBorder="1" applyAlignment="1">
      <alignment horizontal="center" vertical="top"/>
    </xf>
    <xf numFmtId="3" fontId="1" fillId="0" borderId="31" xfId="0" applyNumberFormat="1" applyFont="1" applyFill="1" applyBorder="1" applyAlignment="1">
      <alignment horizontal="center" vertical="top"/>
    </xf>
    <xf numFmtId="3" fontId="1" fillId="0" borderId="62" xfId="0" applyNumberFormat="1" applyFont="1" applyFill="1" applyBorder="1" applyAlignment="1">
      <alignment horizontal="center" vertical="top"/>
    </xf>
    <xf numFmtId="3" fontId="1" fillId="0" borderId="76" xfId="0" applyNumberFormat="1" applyFont="1" applyFill="1" applyBorder="1" applyAlignment="1">
      <alignment horizontal="center" vertical="top"/>
    </xf>
    <xf numFmtId="0" fontId="1" fillId="0" borderId="29" xfId="0" applyFont="1" applyBorder="1" applyAlignment="1">
      <alignment vertical="top"/>
    </xf>
    <xf numFmtId="0" fontId="1" fillId="7" borderId="108" xfId="0" applyNumberFormat="1" applyFont="1" applyFill="1" applyBorder="1" applyAlignment="1">
      <alignment horizontal="center" vertical="top"/>
    </xf>
    <xf numFmtId="165" fontId="1" fillId="7" borderId="108" xfId="0" applyNumberFormat="1" applyFont="1" applyFill="1" applyBorder="1" applyAlignment="1">
      <alignment horizontal="center" vertical="top" wrapText="1"/>
    </xf>
    <xf numFmtId="165" fontId="1" fillId="7" borderId="98" xfId="0" applyNumberFormat="1" applyFont="1" applyFill="1" applyBorder="1" applyAlignment="1">
      <alignment horizontal="center" vertical="top"/>
    </xf>
    <xf numFmtId="165" fontId="1" fillId="7" borderId="61" xfId="0" applyNumberFormat="1" applyFont="1" applyFill="1" applyBorder="1" applyAlignment="1">
      <alignment horizontal="center" vertical="top"/>
    </xf>
    <xf numFmtId="165" fontId="1" fillId="7" borderId="69" xfId="0" applyNumberFormat="1" applyFont="1" applyFill="1" applyBorder="1" applyAlignment="1">
      <alignment horizontal="center" vertical="top"/>
    </xf>
    <xf numFmtId="165" fontId="1" fillId="7" borderId="65" xfId="0" applyNumberFormat="1" applyFont="1" applyFill="1" applyBorder="1" applyAlignment="1">
      <alignment horizontal="center" vertical="top" wrapText="1"/>
    </xf>
    <xf numFmtId="0" fontId="1" fillId="0" borderId="65" xfId="0" applyFont="1" applyBorder="1" applyAlignment="1">
      <alignment horizontal="center" vertical="top"/>
    </xf>
    <xf numFmtId="0" fontId="1" fillId="0" borderId="62" xfId="0" applyFont="1" applyBorder="1" applyAlignment="1">
      <alignment horizontal="center" vertical="top"/>
    </xf>
    <xf numFmtId="3" fontId="1" fillId="7" borderId="15" xfId="0" applyNumberFormat="1" applyFont="1" applyFill="1" applyBorder="1" applyAlignment="1">
      <alignment horizontal="center" vertical="top"/>
    </xf>
    <xf numFmtId="0" fontId="1" fillId="0" borderId="49" xfId="0" applyFont="1" applyBorder="1" applyAlignment="1">
      <alignment vertical="top"/>
    </xf>
    <xf numFmtId="3" fontId="1" fillId="7" borderId="9" xfId="0" applyNumberFormat="1" applyFont="1" applyFill="1" applyBorder="1" applyAlignment="1">
      <alignment horizontal="center" vertical="top" wrapText="1"/>
    </xf>
    <xf numFmtId="0" fontId="1" fillId="7" borderId="108" xfId="0" applyFont="1" applyFill="1" applyBorder="1" applyAlignment="1">
      <alignment horizontal="center" vertical="top"/>
    </xf>
    <xf numFmtId="0" fontId="1" fillId="7" borderId="65" xfId="0" applyFont="1" applyFill="1" applyBorder="1" applyAlignment="1">
      <alignment horizontal="center" vertical="top"/>
    </xf>
    <xf numFmtId="165" fontId="1" fillId="7" borderId="4" xfId="1" applyNumberFormat="1" applyFont="1" applyFill="1" applyBorder="1" applyAlignment="1">
      <alignment horizontal="center" vertical="top" wrapText="1"/>
    </xf>
    <xf numFmtId="0" fontId="2" fillId="7" borderId="9" xfId="0" applyFont="1" applyFill="1" applyBorder="1" applyAlignment="1">
      <alignment vertical="top" wrapText="1"/>
    </xf>
    <xf numFmtId="0" fontId="1" fillId="0" borderId="64" xfId="0" applyFont="1" applyBorder="1" applyAlignment="1">
      <alignment vertical="top"/>
    </xf>
    <xf numFmtId="0" fontId="1" fillId="7" borderId="6" xfId="0" applyNumberFormat="1" applyFont="1" applyFill="1" applyBorder="1" applyAlignment="1">
      <alignment horizontal="center" vertical="top"/>
    </xf>
    <xf numFmtId="0" fontId="1" fillId="7" borderId="71" xfId="0" applyFont="1" applyFill="1" applyBorder="1" applyAlignment="1">
      <alignment horizontal="center" vertical="top"/>
    </xf>
    <xf numFmtId="0" fontId="1" fillId="0" borderId="4" xfId="0" applyFont="1" applyBorder="1" applyAlignment="1">
      <alignment horizontal="center" vertical="top"/>
    </xf>
    <xf numFmtId="0" fontId="1" fillId="0" borderId="20" xfId="0" applyFont="1" applyBorder="1" applyAlignment="1">
      <alignment horizontal="center" vertical="top"/>
    </xf>
    <xf numFmtId="165" fontId="1" fillId="0" borderId="4" xfId="0" applyNumberFormat="1" applyFont="1" applyFill="1" applyBorder="1" applyAlignment="1">
      <alignment horizontal="center" vertical="top"/>
    </xf>
    <xf numFmtId="165" fontId="1" fillId="7" borderId="100" xfId="0" applyNumberFormat="1" applyFont="1" applyFill="1" applyBorder="1" applyAlignment="1">
      <alignment horizontal="center" vertical="top"/>
    </xf>
    <xf numFmtId="0" fontId="1" fillId="0" borderId="16" xfId="0" applyFont="1" applyBorder="1" applyAlignment="1">
      <alignment vertical="top"/>
    </xf>
    <xf numFmtId="0" fontId="1" fillId="7" borderId="38" xfId="0" applyFont="1" applyFill="1" applyBorder="1" applyAlignment="1">
      <alignment horizontal="center" vertical="center"/>
    </xf>
    <xf numFmtId="165" fontId="1" fillId="7" borderId="6" xfId="0" applyNumberFormat="1" applyFont="1" applyFill="1" applyBorder="1" applyAlignment="1">
      <alignment vertical="top"/>
    </xf>
    <xf numFmtId="0" fontId="1" fillId="0" borderId="67" xfId="0" applyFont="1" applyBorder="1" applyAlignment="1">
      <alignment vertical="top"/>
    </xf>
    <xf numFmtId="165" fontId="1" fillId="7" borderId="71" xfId="0" applyNumberFormat="1" applyFont="1" applyFill="1" applyBorder="1" applyAlignment="1">
      <alignment horizontal="center" vertical="top" wrapText="1"/>
    </xf>
    <xf numFmtId="0" fontId="1" fillId="7" borderId="4" xfId="0" applyNumberFormat="1" applyFont="1" applyFill="1" applyBorder="1" applyAlignment="1">
      <alignment horizontal="center" vertical="top"/>
    </xf>
    <xf numFmtId="165" fontId="1" fillId="7" borderId="4" xfId="0" applyNumberFormat="1" applyFont="1" applyFill="1" applyBorder="1" applyAlignment="1">
      <alignment horizontal="center" vertical="top" wrapText="1"/>
    </xf>
    <xf numFmtId="167" fontId="1" fillId="7" borderId="103" xfId="0" applyNumberFormat="1" applyFont="1" applyFill="1" applyBorder="1" applyAlignment="1">
      <alignment horizontal="center" vertical="top"/>
    </xf>
    <xf numFmtId="3" fontId="1" fillId="7" borderId="4" xfId="0" applyNumberFormat="1" applyFont="1" applyFill="1" applyBorder="1" applyAlignment="1">
      <alignment horizontal="center" vertical="top"/>
    </xf>
    <xf numFmtId="3" fontId="1" fillId="7" borderId="38" xfId="0" applyNumberFormat="1" applyFont="1" applyFill="1" applyBorder="1" applyAlignment="1">
      <alignment horizontal="center" vertical="top"/>
    </xf>
    <xf numFmtId="0" fontId="2" fillId="7" borderId="39" xfId="0" applyFont="1" applyFill="1" applyBorder="1" applyAlignment="1">
      <alignment horizontal="center" vertical="top" wrapText="1"/>
    </xf>
    <xf numFmtId="165" fontId="2" fillId="7" borderId="0" xfId="0" applyNumberFormat="1" applyFont="1" applyFill="1" applyBorder="1" applyAlignment="1">
      <alignment horizontal="center" vertical="center" wrapText="1"/>
    </xf>
    <xf numFmtId="0" fontId="2" fillId="0" borderId="24" xfId="0" applyFont="1" applyBorder="1" applyAlignment="1">
      <alignment horizontal="center" vertical="top"/>
    </xf>
    <xf numFmtId="0" fontId="1" fillId="7" borderId="38" xfId="0" applyNumberFormat="1" applyFont="1" applyFill="1" applyBorder="1" applyAlignment="1">
      <alignment horizontal="center" vertical="top"/>
    </xf>
    <xf numFmtId="165" fontId="2" fillId="7" borderId="9" xfId="0" applyNumberFormat="1" applyFont="1" applyFill="1" applyBorder="1" applyAlignment="1">
      <alignment horizontal="center" vertical="center" wrapText="1"/>
    </xf>
    <xf numFmtId="165" fontId="2" fillId="0" borderId="39" xfId="0" applyNumberFormat="1" applyFont="1" applyFill="1" applyBorder="1" applyAlignment="1">
      <alignment horizontal="center" vertical="top" wrapText="1"/>
    </xf>
    <xf numFmtId="165" fontId="2" fillId="7" borderId="1" xfId="0" applyNumberFormat="1" applyFont="1" applyFill="1" applyBorder="1" applyAlignment="1">
      <alignment horizontal="center" vertical="top" wrapText="1"/>
    </xf>
    <xf numFmtId="0" fontId="2" fillId="7" borderId="0" xfId="0" applyFont="1" applyFill="1" applyAlignment="1">
      <alignment horizontal="center" vertical="center"/>
    </xf>
    <xf numFmtId="165" fontId="2" fillId="0" borderId="17" xfId="0" applyNumberFormat="1" applyFont="1" applyFill="1" applyBorder="1" applyAlignment="1">
      <alignment horizontal="center" vertical="top" wrapText="1"/>
    </xf>
    <xf numFmtId="165" fontId="6" fillId="7" borderId="39" xfId="0" applyNumberFormat="1" applyFont="1" applyFill="1" applyBorder="1" applyAlignment="1">
      <alignment horizontal="center" vertical="center" wrapText="1"/>
    </xf>
    <xf numFmtId="165" fontId="2" fillId="7" borderId="29" xfId="0" applyNumberFormat="1" applyFont="1" applyFill="1" applyBorder="1" applyAlignment="1">
      <alignment horizontal="center" vertical="center" wrapText="1"/>
    </xf>
    <xf numFmtId="165" fontId="1" fillId="7" borderId="67" xfId="0" applyNumberFormat="1" applyFont="1" applyFill="1" applyBorder="1" applyAlignment="1">
      <alignment horizontal="center" vertical="top" wrapText="1"/>
    </xf>
    <xf numFmtId="0" fontId="1" fillId="7" borderId="49" xfId="0" applyFont="1" applyFill="1" applyBorder="1" applyAlignment="1">
      <alignment vertical="top"/>
    </xf>
    <xf numFmtId="0" fontId="1" fillId="7" borderId="73" xfId="0" applyFont="1" applyFill="1" applyBorder="1" applyAlignment="1">
      <alignment horizontal="center" vertical="top"/>
    </xf>
    <xf numFmtId="0" fontId="1" fillId="7" borderId="70" xfId="0" applyFont="1" applyFill="1" applyBorder="1" applyAlignment="1">
      <alignment horizontal="center" vertical="top"/>
    </xf>
    <xf numFmtId="0" fontId="2" fillId="7" borderId="24" xfId="0" applyFont="1" applyFill="1" applyBorder="1" applyAlignment="1">
      <alignment horizontal="center" vertical="top"/>
    </xf>
    <xf numFmtId="165" fontId="2" fillId="7" borderId="29" xfId="0" applyNumberFormat="1" applyFont="1" applyFill="1" applyBorder="1" applyAlignment="1">
      <alignment horizontal="center" vertical="top" wrapText="1"/>
    </xf>
    <xf numFmtId="0" fontId="2" fillId="7" borderId="17" xfId="0" applyFont="1" applyFill="1" applyBorder="1" applyAlignment="1">
      <alignment horizontal="center" vertical="center"/>
    </xf>
    <xf numFmtId="49" fontId="2" fillId="7" borderId="9" xfId="0" applyNumberFormat="1" applyFont="1" applyFill="1" applyBorder="1" applyAlignment="1">
      <alignment vertical="top"/>
    </xf>
    <xf numFmtId="0" fontId="1" fillId="0" borderId="28" xfId="0" applyFont="1" applyBorder="1" applyAlignment="1">
      <alignment vertical="top"/>
    </xf>
    <xf numFmtId="165" fontId="1" fillId="7" borderId="20" xfId="0" applyNumberFormat="1" applyFont="1" applyFill="1" applyBorder="1" applyAlignment="1">
      <alignment horizontal="center" vertical="top" wrapText="1"/>
    </xf>
    <xf numFmtId="165" fontId="2" fillId="7" borderId="37" xfId="0" applyNumberFormat="1" applyFont="1" applyFill="1" applyBorder="1" applyAlignment="1">
      <alignment horizontal="center" vertical="top" wrapText="1"/>
    </xf>
    <xf numFmtId="165" fontId="2" fillId="7" borderId="39" xfId="0" applyNumberFormat="1" applyFont="1" applyFill="1" applyBorder="1" applyAlignment="1">
      <alignment horizontal="center" vertical="top" wrapText="1"/>
    </xf>
    <xf numFmtId="165" fontId="2" fillId="7" borderId="38" xfId="0" applyNumberFormat="1" applyFont="1" applyFill="1" applyBorder="1" applyAlignment="1">
      <alignment horizontal="center" vertical="top" wrapText="1"/>
    </xf>
    <xf numFmtId="165" fontId="1" fillId="7" borderId="4" xfId="0" applyNumberFormat="1" applyFont="1" applyFill="1" applyBorder="1" applyAlignment="1">
      <alignment vertical="top"/>
    </xf>
    <xf numFmtId="0" fontId="2" fillId="7" borderId="9" xfId="0" applyFont="1" applyFill="1" applyBorder="1" applyAlignment="1">
      <alignment horizontal="center" vertical="top"/>
    </xf>
    <xf numFmtId="165" fontId="1" fillId="7" borderId="6" xfId="0" applyNumberFormat="1" applyFont="1" applyFill="1" applyBorder="1" applyAlignment="1">
      <alignment horizontal="center" vertical="top" wrapText="1"/>
    </xf>
    <xf numFmtId="0" fontId="5" fillId="7" borderId="81" xfId="0" applyFont="1" applyFill="1" applyBorder="1" applyAlignment="1">
      <alignment vertical="top" wrapText="1"/>
    </xf>
    <xf numFmtId="49" fontId="1" fillId="7" borderId="9" xfId="0" applyNumberFormat="1" applyFont="1" applyFill="1" applyBorder="1" applyAlignment="1">
      <alignment horizontal="center" vertical="top" wrapText="1"/>
    </xf>
    <xf numFmtId="165" fontId="1" fillId="7" borderId="90" xfId="0" applyNumberFormat="1" applyFont="1" applyFill="1" applyBorder="1" applyAlignment="1">
      <alignment vertical="top" wrapText="1"/>
    </xf>
    <xf numFmtId="165" fontId="1" fillId="7" borderId="40" xfId="0" applyNumberFormat="1" applyFont="1" applyFill="1" applyBorder="1" applyAlignment="1">
      <alignment vertical="top" wrapText="1"/>
    </xf>
    <xf numFmtId="165" fontId="1" fillId="7" borderId="28" xfId="0" applyNumberFormat="1" applyFont="1" applyFill="1" applyBorder="1" applyAlignment="1">
      <alignment vertical="top" wrapText="1"/>
    </xf>
    <xf numFmtId="165" fontId="1" fillId="7" borderId="49" xfId="0" applyNumberFormat="1" applyFont="1" applyFill="1" applyBorder="1" applyAlignment="1">
      <alignment vertical="top" wrapText="1"/>
    </xf>
    <xf numFmtId="165" fontId="1" fillId="7" borderId="111" xfId="0" applyNumberFormat="1" applyFont="1" applyFill="1" applyBorder="1" applyAlignment="1">
      <alignment vertical="top" wrapText="1"/>
    </xf>
    <xf numFmtId="165" fontId="1" fillId="7" borderId="51" xfId="0" applyNumberFormat="1" applyFont="1" applyFill="1" applyBorder="1" applyAlignment="1">
      <alignment vertical="top" wrapText="1"/>
    </xf>
    <xf numFmtId="165" fontId="5" fillId="7" borderId="56" xfId="0" applyNumberFormat="1" applyFont="1" applyFill="1" applyBorder="1" applyAlignment="1">
      <alignment vertical="top" wrapText="1"/>
    </xf>
    <xf numFmtId="165" fontId="5" fillId="7" borderId="52" xfId="0" applyNumberFormat="1" applyFont="1" applyFill="1" applyBorder="1" applyAlignment="1">
      <alignment vertical="top" wrapText="1"/>
    </xf>
    <xf numFmtId="0" fontId="1" fillId="0" borderId="40" xfId="0" applyFont="1" applyBorder="1" applyAlignment="1">
      <alignment vertical="top"/>
    </xf>
    <xf numFmtId="0" fontId="1" fillId="7" borderId="28" xfId="0" applyFont="1" applyFill="1" applyBorder="1" applyAlignment="1">
      <alignment vertical="top" wrapText="1"/>
    </xf>
    <xf numFmtId="0" fontId="1" fillId="7" borderId="49" xfId="0" applyFont="1" applyFill="1" applyBorder="1" applyAlignment="1">
      <alignment vertical="top" wrapText="1"/>
    </xf>
    <xf numFmtId="0" fontId="1" fillId="7" borderId="40" xfId="0" applyFont="1" applyFill="1" applyBorder="1" applyAlignment="1">
      <alignment vertical="top" wrapText="1"/>
    </xf>
    <xf numFmtId="165" fontId="1" fillId="7" borderId="112" xfId="0" applyNumberFormat="1" applyFont="1" applyFill="1" applyBorder="1" applyAlignment="1">
      <alignment vertical="top" wrapText="1"/>
    </xf>
    <xf numFmtId="0" fontId="1" fillId="7" borderId="110" xfId="0" applyFont="1" applyFill="1" applyBorder="1" applyAlignment="1">
      <alignment vertical="top"/>
    </xf>
    <xf numFmtId="0" fontId="5" fillId="0" borderId="28" xfId="0" applyFont="1" applyBorder="1"/>
    <xf numFmtId="165" fontId="1" fillId="7" borderId="111" xfId="0" applyNumberFormat="1" applyFont="1" applyFill="1" applyBorder="1" applyAlignment="1">
      <alignment horizontal="center" vertical="top"/>
    </xf>
    <xf numFmtId="0" fontId="1" fillId="7" borderId="28" xfId="0" applyFont="1" applyFill="1" applyBorder="1" applyAlignment="1">
      <alignment vertical="top"/>
    </xf>
    <xf numFmtId="0" fontId="1" fillId="7" borderId="38" xfId="0" applyFont="1" applyFill="1" applyBorder="1" applyAlignment="1">
      <alignment vertical="top"/>
    </xf>
    <xf numFmtId="165" fontId="2" fillId="7" borderId="87" xfId="0" applyNumberFormat="1" applyFont="1" applyFill="1" applyBorder="1" applyAlignment="1">
      <alignment horizontal="center" vertical="top"/>
    </xf>
    <xf numFmtId="165" fontId="6" fillId="7" borderId="81" xfId="0" applyNumberFormat="1" applyFont="1" applyFill="1" applyBorder="1" applyAlignment="1">
      <alignment horizontal="center" vertical="center" textRotation="90" wrapText="1"/>
    </xf>
    <xf numFmtId="165" fontId="5" fillId="7" borderId="81" xfId="0" applyNumberFormat="1" applyFont="1" applyFill="1" applyBorder="1" applyAlignment="1">
      <alignment vertical="top" wrapText="1"/>
    </xf>
    <xf numFmtId="0" fontId="5" fillId="7" borderId="12" xfId="0" applyFont="1" applyFill="1" applyBorder="1" applyAlignment="1">
      <alignment horizontal="center" vertical="top"/>
    </xf>
    <xf numFmtId="0" fontId="5" fillId="7" borderId="87" xfId="0" applyFont="1" applyFill="1" applyBorder="1" applyAlignment="1">
      <alignment horizontal="center" vertical="top"/>
    </xf>
    <xf numFmtId="0" fontId="1" fillId="7" borderId="19" xfId="0" applyFont="1" applyFill="1" applyBorder="1" applyAlignment="1">
      <alignment horizontal="center" vertical="top"/>
    </xf>
    <xf numFmtId="165" fontId="1" fillId="7" borderId="27" xfId="0" applyNumberFormat="1" applyFont="1" applyFill="1" applyBorder="1" applyAlignment="1">
      <alignment horizontal="center" vertical="top"/>
    </xf>
    <xf numFmtId="165" fontId="1" fillId="7" borderId="72" xfId="0" applyNumberFormat="1" applyFont="1" applyFill="1" applyBorder="1" applyAlignment="1">
      <alignment horizontal="center" vertical="top" wrapText="1"/>
    </xf>
    <xf numFmtId="165" fontId="1" fillId="7" borderId="1" xfId="0" applyNumberFormat="1" applyFont="1" applyFill="1" applyBorder="1" applyAlignment="1">
      <alignment horizontal="left" vertical="top" wrapText="1"/>
    </xf>
    <xf numFmtId="165" fontId="1" fillId="7" borderId="14" xfId="0" applyNumberFormat="1" applyFont="1" applyFill="1" applyBorder="1" applyAlignment="1">
      <alignment horizontal="center" vertical="top" wrapText="1"/>
    </xf>
    <xf numFmtId="1" fontId="1" fillId="7" borderId="64" xfId="0" applyNumberFormat="1" applyFont="1" applyFill="1" applyBorder="1" applyAlignment="1">
      <alignment horizontal="center" vertical="top"/>
    </xf>
    <xf numFmtId="167" fontId="1" fillId="0" borderId="63" xfId="0" applyNumberFormat="1" applyFont="1" applyFill="1" applyBorder="1" applyAlignment="1">
      <alignment horizontal="center" vertical="top"/>
    </xf>
    <xf numFmtId="0" fontId="1" fillId="0" borderId="108" xfId="0" applyFont="1" applyBorder="1" applyAlignment="1">
      <alignment horizontal="center" vertical="top"/>
    </xf>
    <xf numFmtId="0" fontId="11" fillId="0" borderId="0" xfId="0" applyFont="1" applyAlignment="1">
      <alignment vertical="top" wrapText="1"/>
    </xf>
    <xf numFmtId="0" fontId="2" fillId="0" borderId="0" xfId="0" applyFont="1" applyBorder="1" applyAlignment="1">
      <alignment horizontal="center" vertical="center" wrapText="1"/>
    </xf>
    <xf numFmtId="0" fontId="19" fillId="0" borderId="0" xfId="0" applyFont="1" applyAlignment="1">
      <alignment horizontal="center" vertical="top"/>
    </xf>
    <xf numFmtId="165" fontId="1" fillId="7" borderId="0" xfId="0" applyNumberFormat="1" applyFont="1" applyFill="1" applyAlignment="1">
      <alignment horizontal="center" vertical="top"/>
    </xf>
    <xf numFmtId="0" fontId="1" fillId="0" borderId="24" xfId="0" applyFont="1" applyBorder="1" applyAlignment="1">
      <alignment horizontal="center" vertical="top"/>
    </xf>
    <xf numFmtId="0" fontId="1" fillId="0" borderId="47" xfId="0" applyFont="1" applyBorder="1" applyAlignment="1">
      <alignment horizontal="center" vertical="center" textRotation="90"/>
    </xf>
    <xf numFmtId="0" fontId="5" fillId="11" borderId="46" xfId="0" applyFont="1" applyFill="1" applyBorder="1"/>
    <xf numFmtId="0" fontId="5" fillId="10" borderId="57" xfId="0" applyFont="1" applyFill="1" applyBorder="1"/>
    <xf numFmtId="0" fontId="1" fillId="9" borderId="46" xfId="0" applyFont="1" applyFill="1" applyBorder="1" applyAlignment="1">
      <alignment vertical="top"/>
    </xf>
    <xf numFmtId="0" fontId="1" fillId="12" borderId="48" xfId="0" applyFont="1" applyFill="1" applyBorder="1" applyAlignment="1">
      <alignment vertical="top"/>
    </xf>
    <xf numFmtId="0" fontId="1" fillId="7" borderId="34" xfId="0" applyFont="1" applyFill="1" applyBorder="1" applyAlignment="1">
      <alignment vertical="top"/>
    </xf>
    <xf numFmtId="0" fontId="1" fillId="7" borderId="74" xfId="0" applyNumberFormat="1" applyFont="1" applyFill="1" applyBorder="1" applyAlignment="1">
      <alignment horizontal="center" vertical="top"/>
    </xf>
    <xf numFmtId="49" fontId="18" fillId="7" borderId="35" xfId="0" applyNumberFormat="1" applyFont="1" applyFill="1" applyBorder="1" applyAlignment="1">
      <alignment horizontal="center" vertical="top"/>
    </xf>
    <xf numFmtId="0" fontId="1" fillId="7" borderId="35" xfId="0" applyFont="1" applyFill="1" applyBorder="1" applyAlignment="1">
      <alignment vertical="top"/>
    </xf>
    <xf numFmtId="3" fontId="8" fillId="7" borderId="35" xfId="0" applyNumberFormat="1" applyFont="1" applyFill="1" applyBorder="1" applyAlignment="1">
      <alignment horizontal="center" vertical="top"/>
    </xf>
    <xf numFmtId="0" fontId="1" fillId="7" borderId="42" xfId="0" applyNumberFormat="1" applyFont="1" applyFill="1" applyBorder="1" applyAlignment="1">
      <alignment horizontal="center" vertical="top"/>
    </xf>
    <xf numFmtId="3" fontId="4" fillId="7" borderId="42" xfId="0" applyNumberFormat="1" applyFont="1" applyFill="1" applyBorder="1" applyAlignment="1">
      <alignment horizontal="center" vertical="top" wrapText="1"/>
    </xf>
    <xf numFmtId="3" fontId="4" fillId="7" borderId="91" xfId="0" applyNumberFormat="1" applyFont="1" applyFill="1" applyBorder="1" applyAlignment="1">
      <alignment horizontal="center" vertical="top" wrapText="1"/>
    </xf>
    <xf numFmtId="165" fontId="1" fillId="7" borderId="3" xfId="0" applyNumberFormat="1" applyFont="1" applyFill="1" applyBorder="1" applyAlignment="1">
      <alignment horizontal="center" vertical="top"/>
    </xf>
    <xf numFmtId="3" fontId="1" fillId="7" borderId="24" xfId="0" applyNumberFormat="1" applyFont="1" applyFill="1" applyBorder="1" applyAlignment="1">
      <alignment horizontal="center" vertical="top" wrapText="1"/>
    </xf>
    <xf numFmtId="165" fontId="1" fillId="7" borderId="21" xfId="0" applyNumberFormat="1" applyFont="1" applyFill="1" applyBorder="1" applyAlignment="1">
      <alignment horizontal="center" vertical="top"/>
    </xf>
    <xf numFmtId="0" fontId="1" fillId="7" borderId="1" xfId="0" applyFont="1" applyFill="1" applyBorder="1" applyAlignment="1">
      <alignment vertical="top"/>
    </xf>
    <xf numFmtId="49" fontId="18" fillId="7" borderId="9" xfId="0" applyNumberFormat="1" applyFont="1" applyFill="1" applyBorder="1" applyAlignment="1">
      <alignment horizontal="center" vertical="top"/>
    </xf>
    <xf numFmtId="0" fontId="1" fillId="7" borderId="9" xfId="0" applyFont="1" applyFill="1" applyBorder="1" applyAlignment="1">
      <alignment vertical="top"/>
    </xf>
    <xf numFmtId="167" fontId="1" fillId="7" borderId="4" xfId="0" applyNumberFormat="1" applyFont="1" applyFill="1" applyBorder="1" applyAlignment="1">
      <alignment horizontal="center" vertical="top"/>
    </xf>
    <xf numFmtId="167" fontId="1" fillId="7" borderId="71" xfId="0" applyNumberFormat="1" applyFont="1" applyFill="1" applyBorder="1" applyAlignment="1">
      <alignment horizontal="center" vertical="top"/>
    </xf>
    <xf numFmtId="165" fontId="2" fillId="7" borderId="8" xfId="0" applyNumberFormat="1" applyFont="1" applyFill="1" applyBorder="1" applyAlignment="1">
      <alignment horizontal="center" vertical="top"/>
    </xf>
    <xf numFmtId="165" fontId="1" fillId="7" borderId="109" xfId="0" applyNumberFormat="1" applyFont="1" applyFill="1" applyBorder="1" applyAlignment="1">
      <alignment horizontal="center" vertical="top"/>
    </xf>
    <xf numFmtId="165" fontId="2" fillId="7" borderId="70" xfId="0" applyNumberFormat="1" applyFont="1" applyFill="1" applyBorder="1" applyAlignment="1">
      <alignment horizontal="center" vertical="top"/>
    </xf>
    <xf numFmtId="165" fontId="2" fillId="7" borderId="82" xfId="0" applyNumberFormat="1" applyFont="1" applyFill="1" applyBorder="1" applyAlignment="1">
      <alignment horizontal="center" vertical="top"/>
    </xf>
    <xf numFmtId="0" fontId="1" fillId="7" borderId="91" xfId="0" applyFont="1" applyFill="1" applyBorder="1" applyAlignment="1">
      <alignment horizontal="center" vertical="center"/>
    </xf>
    <xf numFmtId="0" fontId="1" fillId="7" borderId="79" xfId="0" applyFont="1" applyFill="1" applyBorder="1" applyAlignment="1">
      <alignment horizontal="center" vertical="center"/>
    </xf>
    <xf numFmtId="0" fontId="1" fillId="7" borderId="83" xfId="0" applyFont="1" applyFill="1" applyBorder="1" applyAlignment="1">
      <alignment horizontal="center" vertical="center"/>
    </xf>
    <xf numFmtId="165" fontId="1" fillId="0" borderId="13" xfId="0" applyNumberFormat="1" applyFont="1" applyBorder="1" applyAlignment="1">
      <alignment horizontal="center" vertical="top"/>
    </xf>
    <xf numFmtId="165" fontId="1" fillId="0" borderId="1" xfId="0" applyNumberFormat="1" applyFont="1" applyBorder="1" applyAlignment="1">
      <alignment horizontal="center" vertical="top"/>
    </xf>
    <xf numFmtId="165" fontId="1" fillId="0" borderId="14" xfId="0" applyNumberFormat="1" applyFont="1" applyBorder="1" applyAlignment="1">
      <alignment horizontal="center" vertical="top"/>
    </xf>
    <xf numFmtId="0" fontId="1" fillId="0" borderId="90" xfId="0" applyFont="1" applyBorder="1" applyAlignment="1">
      <alignment vertical="top"/>
    </xf>
    <xf numFmtId="0" fontId="1" fillId="7" borderId="79" xfId="0" applyFont="1" applyFill="1" applyBorder="1" applyAlignment="1">
      <alignment horizontal="center" vertical="top"/>
    </xf>
    <xf numFmtId="3" fontId="1" fillId="7" borderId="109" xfId="0" applyNumberFormat="1" applyFont="1" applyFill="1" applyBorder="1" applyAlignment="1">
      <alignment horizontal="center" vertical="top"/>
    </xf>
    <xf numFmtId="167" fontId="1" fillId="0" borderId="104" xfId="0" applyNumberFormat="1" applyFont="1" applyBorder="1" applyAlignment="1">
      <alignment horizontal="center" vertical="top"/>
    </xf>
    <xf numFmtId="0" fontId="1" fillId="0" borderId="83" xfId="0" applyNumberFormat="1" applyFont="1" applyFill="1" applyBorder="1" applyAlignment="1">
      <alignment horizontal="center" vertical="top"/>
    </xf>
    <xf numFmtId="0" fontId="1" fillId="0" borderId="104" xfId="0" applyFont="1" applyBorder="1" applyAlignment="1">
      <alignment horizontal="center" vertical="top"/>
    </xf>
    <xf numFmtId="167" fontId="1" fillId="0" borderId="62" xfId="0" applyNumberFormat="1" applyFont="1" applyBorder="1" applyAlignment="1">
      <alignment horizontal="center" vertical="top"/>
    </xf>
    <xf numFmtId="0" fontId="1" fillId="7" borderId="103" xfId="0" applyFont="1" applyFill="1" applyBorder="1" applyAlignment="1">
      <alignment horizontal="center" vertical="top"/>
    </xf>
    <xf numFmtId="0" fontId="1" fillId="7" borderId="110" xfId="0" applyFont="1" applyFill="1" applyBorder="1" applyAlignment="1">
      <alignment vertical="top" wrapText="1"/>
    </xf>
    <xf numFmtId="165" fontId="2" fillId="8" borderId="0" xfId="0" applyNumberFormat="1" applyFont="1" applyFill="1" applyAlignment="1">
      <alignment vertical="top"/>
    </xf>
    <xf numFmtId="0" fontId="2" fillId="7" borderId="9" xfId="0" applyFont="1" applyFill="1" applyBorder="1" applyAlignment="1">
      <alignment horizontal="center" vertical="center"/>
    </xf>
    <xf numFmtId="165" fontId="1" fillId="7" borderId="37" xfId="0" applyNumberFormat="1" applyFont="1" applyFill="1" applyBorder="1" applyAlignment="1">
      <alignment horizontal="center" vertical="top"/>
    </xf>
    <xf numFmtId="165" fontId="1" fillId="7" borderId="66" xfId="0" applyNumberFormat="1" applyFont="1" applyFill="1" applyBorder="1" applyAlignment="1">
      <alignment horizontal="center" vertical="top"/>
    </xf>
    <xf numFmtId="165" fontId="1" fillId="7" borderId="116" xfId="0" applyNumberFormat="1" applyFont="1" applyFill="1" applyBorder="1" applyAlignment="1">
      <alignment horizontal="center" vertical="top"/>
    </xf>
    <xf numFmtId="165" fontId="1" fillId="7" borderId="117" xfId="0" applyNumberFormat="1" applyFont="1" applyFill="1" applyBorder="1" applyAlignment="1">
      <alignment horizontal="center" vertical="top"/>
    </xf>
    <xf numFmtId="165" fontId="1" fillId="7" borderId="39" xfId="0" applyNumberFormat="1" applyFont="1" applyFill="1" applyBorder="1" applyAlignment="1">
      <alignment horizontal="center" vertical="top"/>
    </xf>
    <xf numFmtId="0" fontId="1" fillId="0" borderId="59" xfId="0" applyFont="1" applyBorder="1" applyAlignment="1">
      <alignment horizontal="center" vertical="top"/>
    </xf>
    <xf numFmtId="165" fontId="1" fillId="7" borderId="29" xfId="0" applyNumberFormat="1" applyFont="1" applyFill="1" applyBorder="1" applyAlignment="1">
      <alignment horizontal="center" vertical="top"/>
    </xf>
    <xf numFmtId="165" fontId="1" fillId="7" borderId="68" xfId="0" applyNumberFormat="1" applyFont="1" applyFill="1" applyBorder="1" applyAlignment="1">
      <alignment horizontal="center" vertical="top"/>
    </xf>
    <xf numFmtId="0" fontId="1" fillId="0" borderId="37" xfId="0" applyFont="1" applyBorder="1" applyAlignment="1">
      <alignment vertical="top"/>
    </xf>
    <xf numFmtId="0" fontId="1" fillId="7" borderId="29" xfId="0" applyFont="1" applyFill="1" applyBorder="1" applyAlignment="1">
      <alignment horizontal="center" vertical="top"/>
    </xf>
    <xf numFmtId="3" fontId="1" fillId="7" borderId="37" xfId="0" applyNumberFormat="1" applyFont="1" applyFill="1" applyBorder="1" applyAlignment="1">
      <alignment horizontal="center" vertical="top"/>
    </xf>
    <xf numFmtId="0" fontId="1" fillId="7" borderId="28" xfId="0" applyFont="1" applyFill="1" applyBorder="1" applyAlignment="1">
      <alignment horizontal="center" vertical="top"/>
    </xf>
    <xf numFmtId="165" fontId="1" fillId="7" borderId="110" xfId="0" applyNumberFormat="1" applyFont="1" applyFill="1" applyBorder="1" applyAlignment="1">
      <alignment vertical="top" wrapText="1"/>
    </xf>
    <xf numFmtId="165" fontId="1" fillId="7" borderId="114" xfId="0" applyNumberFormat="1" applyFont="1" applyFill="1" applyBorder="1" applyAlignment="1">
      <alignment vertical="top" wrapText="1"/>
    </xf>
    <xf numFmtId="165" fontId="1" fillId="7" borderId="112" xfId="0" applyNumberFormat="1" applyFont="1" applyFill="1" applyBorder="1" applyAlignment="1">
      <alignment horizontal="left" vertical="top" wrapText="1"/>
    </xf>
    <xf numFmtId="165" fontId="1" fillId="7" borderId="111" xfId="0" applyNumberFormat="1" applyFont="1" applyFill="1" applyBorder="1" applyAlignment="1">
      <alignment horizontal="left" vertical="top" wrapText="1"/>
    </xf>
    <xf numFmtId="0" fontId="8" fillId="7" borderId="112" xfId="0" applyFont="1" applyFill="1" applyBorder="1" applyAlignment="1">
      <alignment vertical="top" wrapText="1"/>
    </xf>
    <xf numFmtId="0" fontId="8" fillId="7" borderId="49" xfId="0" applyFont="1" applyFill="1" applyBorder="1" applyAlignment="1">
      <alignment vertical="top" wrapText="1"/>
    </xf>
    <xf numFmtId="0" fontId="1" fillId="7" borderId="114" xfId="0" applyFont="1" applyFill="1" applyBorder="1" applyAlignment="1">
      <alignment vertical="top" wrapText="1"/>
    </xf>
    <xf numFmtId="3" fontId="1" fillId="7" borderId="28" xfId="0" applyNumberFormat="1" applyFont="1" applyFill="1" applyBorder="1" applyAlignment="1">
      <alignment horizontal="center" vertical="top"/>
    </xf>
    <xf numFmtId="0" fontId="8" fillId="7" borderId="40" xfId="0" applyFont="1" applyFill="1" applyBorder="1" applyAlignment="1">
      <alignment vertical="top" wrapText="1"/>
    </xf>
    <xf numFmtId="0" fontId="1" fillId="7" borderId="111" xfId="0" applyFont="1" applyFill="1" applyBorder="1" applyAlignment="1">
      <alignment vertical="top" wrapText="1"/>
    </xf>
    <xf numFmtId="165" fontId="7" fillId="7" borderId="96" xfId="0" applyNumberFormat="1" applyFont="1" applyFill="1" applyBorder="1" applyAlignment="1">
      <alignment horizontal="left" vertical="top" wrapText="1"/>
    </xf>
    <xf numFmtId="3" fontId="1" fillId="7" borderId="103" xfId="0" applyNumberFormat="1" applyFont="1" applyFill="1" applyBorder="1" applyAlignment="1">
      <alignment horizontal="center" vertical="top"/>
    </xf>
    <xf numFmtId="0" fontId="1" fillId="7" borderId="107" xfId="0" applyFont="1" applyFill="1" applyBorder="1" applyAlignment="1">
      <alignment horizontal="center" vertical="top"/>
    </xf>
    <xf numFmtId="0" fontId="1" fillId="7" borderId="75" xfId="0" applyFont="1" applyFill="1" applyBorder="1" applyAlignment="1">
      <alignment horizontal="center" vertical="top"/>
    </xf>
    <xf numFmtId="0" fontId="1" fillId="7" borderId="38" xfId="0" applyFont="1" applyFill="1" applyBorder="1" applyAlignment="1">
      <alignment horizontal="center" vertical="top"/>
    </xf>
    <xf numFmtId="49" fontId="18" fillId="7" borderId="38" xfId="0" applyNumberFormat="1" applyFont="1" applyFill="1" applyBorder="1" applyAlignment="1">
      <alignment horizontal="center" vertical="top"/>
    </xf>
    <xf numFmtId="3" fontId="1" fillId="0" borderId="36" xfId="0" applyNumberFormat="1" applyFont="1" applyFill="1" applyBorder="1" applyAlignment="1">
      <alignment horizontal="center" vertical="top"/>
    </xf>
    <xf numFmtId="0" fontId="1" fillId="7" borderId="16" xfId="0" applyFont="1" applyFill="1" applyBorder="1" applyAlignment="1">
      <alignment vertical="top"/>
    </xf>
    <xf numFmtId="3" fontId="1" fillId="7" borderId="16" xfId="1" applyNumberFormat="1" applyFont="1" applyFill="1" applyBorder="1" applyAlignment="1">
      <alignment horizontal="center" vertical="top" wrapText="1"/>
    </xf>
    <xf numFmtId="0" fontId="1" fillId="0" borderId="107" xfId="0" applyFont="1" applyBorder="1" applyAlignment="1">
      <alignment horizontal="center" vertical="top"/>
    </xf>
    <xf numFmtId="3" fontId="8" fillId="7" borderId="38" xfId="0" applyNumberFormat="1" applyFont="1" applyFill="1" applyBorder="1" applyAlignment="1">
      <alignment horizontal="center" vertical="top"/>
    </xf>
    <xf numFmtId="3" fontId="4" fillId="7" borderId="113" xfId="0" applyNumberFormat="1" applyFont="1" applyFill="1" applyBorder="1" applyAlignment="1">
      <alignment horizontal="center" vertical="top" wrapText="1"/>
    </xf>
    <xf numFmtId="3" fontId="1" fillId="7" borderId="67" xfId="0" applyNumberFormat="1" applyFont="1" applyFill="1" applyBorder="1" applyAlignment="1">
      <alignment horizontal="center" vertical="top"/>
    </xf>
    <xf numFmtId="49" fontId="1" fillId="7" borderId="4" xfId="0" applyNumberFormat="1" applyFont="1" applyFill="1" applyBorder="1" applyAlignment="1">
      <alignment horizontal="center" vertical="top"/>
    </xf>
    <xf numFmtId="49" fontId="18" fillId="7" borderId="4" xfId="0" applyNumberFormat="1" applyFont="1" applyFill="1" applyBorder="1" applyAlignment="1">
      <alignment horizontal="center" vertical="top"/>
    </xf>
    <xf numFmtId="0" fontId="1" fillId="7" borderId="71" xfId="0" applyNumberFormat="1" applyFont="1" applyFill="1" applyBorder="1" applyAlignment="1">
      <alignment horizontal="center" vertical="top" wrapText="1"/>
    </xf>
    <xf numFmtId="49" fontId="1" fillId="7" borderId="4" xfId="0" applyNumberFormat="1" applyFont="1" applyFill="1" applyBorder="1" applyAlignment="1">
      <alignment horizontal="center" vertical="top" wrapText="1"/>
    </xf>
    <xf numFmtId="3" fontId="1" fillId="0" borderId="6" xfId="0" applyNumberFormat="1" applyFont="1" applyFill="1" applyBorder="1" applyAlignment="1">
      <alignment horizontal="center" vertical="top"/>
    </xf>
    <xf numFmtId="3" fontId="1" fillId="7" borderId="20" xfId="1" applyNumberFormat="1" applyFont="1" applyFill="1" applyBorder="1" applyAlignment="1">
      <alignment horizontal="center" vertical="top" wrapText="1"/>
    </xf>
    <xf numFmtId="167" fontId="1" fillId="0" borderId="65" xfId="0" applyNumberFormat="1" applyFont="1" applyFill="1" applyBorder="1" applyAlignment="1">
      <alignment horizontal="center" vertical="top"/>
    </xf>
    <xf numFmtId="0" fontId="1" fillId="0" borderId="65" xfId="0" applyNumberFormat="1" applyFont="1" applyFill="1" applyBorder="1" applyAlignment="1">
      <alignment horizontal="center" vertical="top"/>
    </xf>
    <xf numFmtId="0" fontId="1" fillId="7" borderId="67" xfId="0" applyNumberFormat="1" applyFont="1" applyFill="1" applyBorder="1" applyAlignment="1">
      <alignment horizontal="center" vertical="top"/>
    </xf>
    <xf numFmtId="3" fontId="8" fillId="7" borderId="4" xfId="0" applyNumberFormat="1" applyFont="1" applyFill="1" applyBorder="1" applyAlignment="1">
      <alignment horizontal="center" vertical="top"/>
    </xf>
    <xf numFmtId="3" fontId="4" fillId="7" borderId="84" xfId="0" applyNumberFormat="1" applyFont="1" applyFill="1" applyBorder="1" applyAlignment="1">
      <alignment horizontal="center" vertical="top" wrapText="1"/>
    </xf>
    <xf numFmtId="0" fontId="1" fillId="7" borderId="19" xfId="0" applyFont="1" applyFill="1" applyBorder="1" applyAlignment="1">
      <alignment vertical="top"/>
    </xf>
    <xf numFmtId="3" fontId="8" fillId="7" borderId="70" xfId="0" applyNumberFormat="1" applyFont="1" applyFill="1" applyBorder="1" applyAlignment="1">
      <alignment horizontal="center" vertical="top"/>
    </xf>
    <xf numFmtId="3" fontId="1" fillId="7" borderId="92" xfId="0" applyNumberFormat="1" applyFont="1" applyFill="1" applyBorder="1" applyAlignment="1">
      <alignment horizontal="center" vertical="top" wrapText="1"/>
    </xf>
    <xf numFmtId="3" fontId="1" fillId="7" borderId="62" xfId="0" applyNumberFormat="1" applyFont="1" applyFill="1" applyBorder="1" applyAlignment="1">
      <alignment horizontal="center" vertical="top" wrapText="1"/>
    </xf>
    <xf numFmtId="3" fontId="1" fillId="7" borderId="63" xfId="0" applyNumberFormat="1" applyFont="1" applyFill="1" applyBorder="1" applyAlignment="1">
      <alignment horizontal="center" vertical="top" wrapText="1"/>
    </xf>
    <xf numFmtId="0" fontId="5" fillId="11" borderId="48" xfId="0" applyFont="1" applyFill="1" applyBorder="1"/>
    <xf numFmtId="0" fontId="1" fillId="9" borderId="48" xfId="0" applyFont="1" applyFill="1" applyBorder="1" applyAlignment="1">
      <alignment vertical="top"/>
    </xf>
    <xf numFmtId="0" fontId="1" fillId="0" borderId="90" xfId="0" applyFont="1" applyBorder="1" applyAlignment="1">
      <alignment horizontal="center" vertical="center" textRotation="90"/>
    </xf>
    <xf numFmtId="3" fontId="1" fillId="7" borderId="108" xfId="0" applyNumberFormat="1" applyFont="1" applyFill="1" applyBorder="1" applyAlignment="1">
      <alignment horizontal="center" vertical="top" wrapText="1"/>
    </xf>
    <xf numFmtId="165" fontId="1" fillId="7" borderId="84" xfId="0" applyNumberFormat="1" applyFont="1" applyFill="1" applyBorder="1" applyAlignment="1">
      <alignment horizontal="center" vertical="top"/>
    </xf>
    <xf numFmtId="3" fontId="1" fillId="0" borderId="20" xfId="0" applyNumberFormat="1" applyFont="1" applyFill="1" applyBorder="1" applyAlignment="1">
      <alignment horizontal="center" vertical="top"/>
    </xf>
    <xf numFmtId="3" fontId="1" fillId="7" borderId="67" xfId="0" applyNumberFormat="1" applyFont="1" applyFill="1" applyBorder="1" applyAlignment="1">
      <alignment vertical="top"/>
    </xf>
    <xf numFmtId="3" fontId="1" fillId="7" borderId="19" xfId="0" applyNumberFormat="1" applyFont="1" applyFill="1" applyBorder="1" applyAlignment="1">
      <alignment vertical="top"/>
    </xf>
    <xf numFmtId="3" fontId="4" fillId="7" borderId="20" xfId="0" applyNumberFormat="1" applyFont="1" applyFill="1" applyBorder="1" applyAlignment="1">
      <alignment horizontal="center" vertical="top" wrapText="1"/>
    </xf>
    <xf numFmtId="3" fontId="1" fillId="0" borderId="6" xfId="0" applyNumberFormat="1" applyFont="1" applyFill="1" applyBorder="1" applyAlignment="1">
      <alignment horizontal="center" vertical="top" wrapText="1"/>
    </xf>
    <xf numFmtId="3" fontId="1" fillId="0" borderId="65" xfId="0" applyNumberFormat="1" applyFont="1" applyFill="1" applyBorder="1" applyAlignment="1">
      <alignment horizontal="center" vertical="top"/>
    </xf>
    <xf numFmtId="165" fontId="1" fillId="7" borderId="52" xfId="0" applyNumberFormat="1" applyFont="1" applyFill="1" applyBorder="1" applyAlignment="1">
      <alignment horizontal="left" vertical="top" wrapText="1"/>
    </xf>
    <xf numFmtId="0" fontId="1" fillId="7" borderId="20" xfId="0" applyNumberFormat="1" applyFont="1" applyFill="1" applyBorder="1" applyAlignment="1">
      <alignment horizontal="center" vertical="top"/>
    </xf>
    <xf numFmtId="0" fontId="1" fillId="7" borderId="19" xfId="0" applyNumberFormat="1" applyFont="1" applyFill="1" applyBorder="1" applyAlignment="1">
      <alignment horizontal="center" vertical="top"/>
    </xf>
    <xf numFmtId="165" fontId="1" fillId="0" borderId="52" xfId="0" applyNumberFormat="1" applyFont="1" applyBorder="1" applyAlignment="1">
      <alignment vertical="top"/>
    </xf>
    <xf numFmtId="0" fontId="5" fillId="0" borderId="115" xfId="0" applyFont="1" applyBorder="1" applyAlignment="1">
      <alignment horizontal="left" vertical="top" wrapText="1"/>
    </xf>
    <xf numFmtId="0" fontId="1" fillId="7" borderId="28" xfId="0" applyFont="1" applyFill="1" applyBorder="1" applyAlignment="1">
      <alignment vertical="center" wrapText="1"/>
    </xf>
    <xf numFmtId="165" fontId="1" fillId="0" borderId="118" xfId="0" applyNumberFormat="1" applyFont="1" applyBorder="1" applyAlignment="1">
      <alignment vertical="top"/>
    </xf>
    <xf numFmtId="3" fontId="1" fillId="0" borderId="104" xfId="0" applyNumberFormat="1" applyFont="1" applyFill="1" applyBorder="1" applyAlignment="1">
      <alignment horizontal="center" vertical="top"/>
    </xf>
    <xf numFmtId="3" fontId="1" fillId="0" borderId="75" xfId="0" applyNumberFormat="1" applyFont="1" applyFill="1" applyBorder="1" applyAlignment="1">
      <alignment horizontal="center" vertical="top"/>
    </xf>
    <xf numFmtId="0" fontId="1" fillId="7" borderId="16" xfId="0" applyNumberFormat="1" applyFont="1" applyFill="1" applyBorder="1" applyAlignment="1">
      <alignment horizontal="center" vertical="top"/>
    </xf>
    <xf numFmtId="165" fontId="1" fillId="0" borderId="65" xfId="0" applyNumberFormat="1" applyFont="1" applyFill="1" applyBorder="1" applyAlignment="1">
      <alignment horizontal="center" vertical="top"/>
    </xf>
    <xf numFmtId="165" fontId="1" fillId="0" borderId="67" xfId="0" applyNumberFormat="1" applyFont="1" applyFill="1" applyBorder="1" applyAlignment="1">
      <alignment horizontal="center" vertical="top"/>
    </xf>
    <xf numFmtId="165" fontId="2" fillId="7" borderId="93" xfId="0" applyNumberFormat="1" applyFont="1" applyFill="1" applyBorder="1" applyAlignment="1">
      <alignment horizontal="center" vertical="top"/>
    </xf>
    <xf numFmtId="165" fontId="2" fillId="7" borderId="92" xfId="0" applyNumberFormat="1" applyFont="1" applyFill="1" applyBorder="1" applyAlignment="1">
      <alignment horizontal="center" vertical="top"/>
    </xf>
    <xf numFmtId="165" fontId="2" fillId="7" borderId="62" xfId="0" applyNumberFormat="1" applyFont="1" applyFill="1" applyBorder="1" applyAlignment="1">
      <alignment horizontal="center" vertical="top"/>
    </xf>
    <xf numFmtId="165" fontId="2" fillId="7" borderId="63" xfId="0" applyNumberFormat="1" applyFont="1" applyFill="1" applyBorder="1" applyAlignment="1">
      <alignment horizontal="center" vertical="top"/>
    </xf>
    <xf numFmtId="165" fontId="2" fillId="2" borderId="55" xfId="0" applyNumberFormat="1" applyFont="1" applyFill="1" applyBorder="1" applyAlignment="1">
      <alignment horizontal="center" vertical="top"/>
    </xf>
    <xf numFmtId="0" fontId="2" fillId="0" borderId="59" xfId="0" applyNumberFormat="1" applyFont="1" applyBorder="1" applyAlignment="1">
      <alignment vertical="top"/>
    </xf>
    <xf numFmtId="0" fontId="1" fillId="0" borderId="59" xfId="0" applyFont="1" applyFill="1" applyBorder="1" applyAlignment="1">
      <alignment horizontal="center" vertical="top"/>
    </xf>
    <xf numFmtId="3" fontId="1" fillId="0" borderId="59" xfId="0" applyNumberFormat="1" applyFont="1" applyFill="1" applyBorder="1" applyAlignment="1">
      <alignment vertical="top"/>
    </xf>
    <xf numFmtId="0" fontId="1" fillId="0" borderId="41" xfId="0" applyFont="1" applyBorder="1" applyAlignment="1">
      <alignment vertical="top"/>
    </xf>
    <xf numFmtId="165" fontId="1" fillId="7" borderId="17" xfId="0" applyNumberFormat="1" applyFont="1" applyFill="1" applyBorder="1" applyAlignment="1">
      <alignment horizontal="left" vertical="top" wrapText="1"/>
    </xf>
    <xf numFmtId="165" fontId="1" fillId="7" borderId="9" xfId="0" applyNumberFormat="1" applyFont="1" applyFill="1" applyBorder="1" applyAlignment="1">
      <alignment horizontal="left" vertical="top" wrapText="1"/>
    </xf>
    <xf numFmtId="0" fontId="1" fillId="7" borderId="110" xfId="0" applyFont="1" applyFill="1" applyBorder="1" applyAlignment="1">
      <alignment horizontal="left" vertical="top" wrapText="1"/>
    </xf>
    <xf numFmtId="0" fontId="1" fillId="7" borderId="28" xfId="0" applyFont="1" applyFill="1" applyBorder="1" applyAlignment="1">
      <alignment horizontal="left" vertical="top" wrapText="1"/>
    </xf>
    <xf numFmtId="165" fontId="1" fillId="7" borderId="15" xfId="0" applyNumberFormat="1" applyFont="1" applyFill="1" applyBorder="1" applyAlignment="1">
      <alignment horizontal="center" vertical="top" wrapText="1"/>
    </xf>
    <xf numFmtId="165" fontId="1" fillId="7" borderId="40" xfId="0" applyNumberFormat="1" applyFont="1" applyFill="1" applyBorder="1" applyAlignment="1">
      <alignment horizontal="left" vertical="top" wrapText="1"/>
    </xf>
    <xf numFmtId="165" fontId="2" fillId="0" borderId="0" xfId="0" applyNumberFormat="1" applyFont="1" applyFill="1" applyBorder="1" applyAlignment="1">
      <alignment horizontal="center" vertical="top" wrapText="1"/>
    </xf>
    <xf numFmtId="165" fontId="1" fillId="7" borderId="9" xfId="0" applyNumberFormat="1" applyFont="1" applyFill="1" applyBorder="1" applyAlignment="1">
      <alignment vertical="top" wrapText="1"/>
    </xf>
    <xf numFmtId="49" fontId="2" fillId="7" borderId="17"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49" fontId="2" fillId="7" borderId="24"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49" fontId="2" fillId="8" borderId="9" xfId="0" applyNumberFormat="1" applyFont="1" applyFill="1" applyBorder="1" applyAlignment="1">
      <alignment horizontal="center" vertical="top"/>
    </xf>
    <xf numFmtId="165" fontId="1" fillId="7" borderId="24" xfId="0" applyNumberFormat="1" applyFont="1" applyFill="1" applyBorder="1" applyAlignment="1">
      <alignment vertical="top" wrapText="1"/>
    </xf>
    <xf numFmtId="49" fontId="2" fillId="9" borderId="5"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0" fontId="16" fillId="7" borderId="9" xfId="0" applyFont="1" applyFill="1" applyBorder="1" applyAlignment="1">
      <alignment horizontal="left" vertical="top" wrapText="1"/>
    </xf>
    <xf numFmtId="165" fontId="1" fillId="7" borderId="39" xfId="0" applyNumberFormat="1" applyFont="1" applyFill="1" applyBorder="1" applyAlignment="1">
      <alignment vertical="top" wrapText="1"/>
    </xf>
    <xf numFmtId="0" fontId="13" fillId="7" borderId="15" xfId="0" applyFont="1" applyFill="1" applyBorder="1" applyAlignment="1">
      <alignment vertical="top" wrapText="1"/>
    </xf>
    <xf numFmtId="165" fontId="1" fillId="7" borderId="71"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49" fontId="2" fillId="7" borderId="39" xfId="0" applyNumberFormat="1" applyFont="1" applyFill="1" applyBorder="1" applyAlignment="1">
      <alignment horizontal="center" vertical="top"/>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165" fontId="2" fillId="7" borderId="24" xfId="0" applyNumberFormat="1" applyFont="1" applyFill="1" applyBorder="1" applyAlignment="1">
      <alignment horizontal="center" vertical="top" wrapText="1"/>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0" fontId="1" fillId="7" borderId="70" xfId="0" applyFont="1" applyFill="1" applyBorder="1" applyAlignment="1">
      <alignment horizontal="left" vertical="top" wrapText="1"/>
    </xf>
    <xf numFmtId="0" fontId="5" fillId="7" borderId="15" xfId="0" applyFont="1" applyFill="1" applyBorder="1" applyAlignment="1">
      <alignment horizontal="center" vertical="top" wrapText="1"/>
    </xf>
    <xf numFmtId="165" fontId="1" fillId="7" borderId="115" xfId="0" applyNumberFormat="1" applyFont="1" applyFill="1" applyBorder="1" applyAlignment="1">
      <alignment horizontal="left" vertical="top" wrapText="1"/>
    </xf>
    <xf numFmtId="49" fontId="2" fillId="7" borderId="17" xfId="0" applyNumberFormat="1" applyFont="1" applyFill="1" applyBorder="1" applyAlignment="1">
      <alignment horizontal="center" vertical="top" wrapText="1"/>
    </xf>
    <xf numFmtId="49" fontId="2" fillId="7" borderId="9" xfId="0" applyNumberFormat="1" applyFont="1" applyFill="1" applyBorder="1" applyAlignment="1">
      <alignment horizontal="center" vertical="top" wrapText="1"/>
    </xf>
    <xf numFmtId="0" fontId="5" fillId="7" borderId="9" xfId="0" applyFont="1" applyFill="1" applyBorder="1" applyAlignment="1">
      <alignment vertical="top" wrapText="1"/>
    </xf>
    <xf numFmtId="165" fontId="1" fillId="7" borderId="37" xfId="0" applyNumberFormat="1" applyFont="1" applyFill="1" applyBorder="1" applyAlignment="1">
      <alignment horizontal="left" vertical="top" wrapText="1"/>
    </xf>
    <xf numFmtId="165" fontId="2" fillId="9" borderId="28" xfId="0" applyNumberFormat="1" applyFont="1" applyFill="1" applyBorder="1" applyAlignment="1">
      <alignment horizontal="center" vertical="top"/>
    </xf>
    <xf numFmtId="165" fontId="1" fillId="7" borderId="15" xfId="0" applyNumberFormat="1" applyFont="1" applyFill="1" applyBorder="1" applyAlignment="1">
      <alignment horizontal="center" vertical="center" wrapText="1"/>
    </xf>
    <xf numFmtId="0" fontId="11" fillId="0" borderId="0" xfId="0" applyFont="1" applyAlignment="1">
      <alignment horizontal="right" vertical="top"/>
    </xf>
    <xf numFmtId="0" fontId="1" fillId="7" borderId="91" xfId="0" applyFont="1" applyFill="1" applyBorder="1" applyAlignment="1">
      <alignment horizontal="center" vertical="top"/>
    </xf>
    <xf numFmtId="0" fontId="1" fillId="7" borderId="35" xfId="0" applyFont="1" applyFill="1" applyBorder="1" applyAlignment="1">
      <alignment horizontal="center" vertical="top"/>
    </xf>
    <xf numFmtId="49" fontId="1" fillId="7" borderId="35" xfId="0" applyNumberFormat="1" applyFont="1" applyFill="1" applyBorder="1" applyAlignment="1">
      <alignment horizontal="center" vertical="top" wrapText="1"/>
    </xf>
    <xf numFmtId="0" fontId="1" fillId="7" borderId="9" xfId="0" applyFont="1" applyFill="1" applyBorder="1" applyAlignment="1">
      <alignment horizontal="center" vertical="top"/>
    </xf>
    <xf numFmtId="0" fontId="1" fillId="7" borderId="24" xfId="0" applyFont="1" applyFill="1" applyBorder="1" applyAlignment="1">
      <alignment horizontal="center" vertical="top"/>
    </xf>
    <xf numFmtId="49" fontId="1" fillId="7" borderId="38" xfId="0" applyNumberFormat="1" applyFont="1" applyFill="1" applyBorder="1" applyAlignment="1">
      <alignment horizontal="center" vertical="top" wrapText="1"/>
    </xf>
    <xf numFmtId="0" fontId="1" fillId="7" borderId="4" xfId="0" applyFont="1" applyFill="1" applyBorder="1" applyAlignment="1">
      <alignment horizontal="center" vertical="top"/>
    </xf>
    <xf numFmtId="0" fontId="1" fillId="7" borderId="20" xfId="0" applyFont="1" applyFill="1" applyBorder="1" applyAlignment="1">
      <alignment horizontal="center" vertical="top"/>
    </xf>
    <xf numFmtId="165" fontId="1" fillId="0" borderId="20" xfId="0" applyNumberFormat="1" applyFont="1" applyBorder="1" applyAlignment="1">
      <alignment horizontal="center" vertical="top"/>
    </xf>
    <xf numFmtId="165" fontId="1" fillId="7" borderId="93" xfId="0" applyNumberFormat="1" applyFont="1" applyFill="1" applyBorder="1" applyAlignment="1">
      <alignment horizontal="center" vertical="top"/>
    </xf>
    <xf numFmtId="165" fontId="1" fillId="7" borderId="91" xfId="0" applyNumberFormat="1" applyFont="1" applyFill="1" applyBorder="1" applyAlignment="1">
      <alignment horizontal="center" vertical="top"/>
    </xf>
    <xf numFmtId="0" fontId="1" fillId="7" borderId="31" xfId="0" applyNumberFormat="1" applyFont="1" applyFill="1" applyBorder="1" applyAlignment="1">
      <alignment horizontal="center" vertical="top"/>
    </xf>
    <xf numFmtId="0" fontId="6" fillId="0" borderId="119" xfId="0" applyFont="1" applyBorder="1" applyAlignment="1">
      <alignment horizontal="center" vertical="center" textRotation="90" wrapText="1"/>
    </xf>
    <xf numFmtId="165" fontId="2" fillId="5" borderId="53" xfId="0" applyNumberFormat="1" applyFont="1" applyFill="1" applyBorder="1" applyAlignment="1">
      <alignment horizontal="center" vertical="top" wrapText="1"/>
    </xf>
    <xf numFmtId="165" fontId="2" fillId="8" borderId="34" xfId="0" applyNumberFormat="1" applyFont="1" applyFill="1" applyBorder="1" applyAlignment="1">
      <alignment horizontal="center" vertical="top" wrapText="1"/>
    </xf>
    <xf numFmtId="165" fontId="1" fillId="0" borderId="42" xfId="0" applyNumberFormat="1" applyFont="1" applyBorder="1" applyAlignment="1">
      <alignment horizontal="center" vertical="top"/>
    </xf>
    <xf numFmtId="165" fontId="1" fillId="8" borderId="42" xfId="0" applyNumberFormat="1" applyFont="1" applyFill="1" applyBorder="1" applyAlignment="1">
      <alignment horizontal="center" vertical="top"/>
    </xf>
    <xf numFmtId="165" fontId="2" fillId="5" borderId="42" xfId="0" applyNumberFormat="1" applyFont="1" applyFill="1" applyBorder="1" applyAlignment="1">
      <alignment horizontal="center" vertical="top"/>
    </xf>
    <xf numFmtId="165" fontId="2" fillId="4" borderId="27" xfId="0" applyNumberFormat="1" applyFont="1" applyFill="1" applyBorder="1" applyAlignment="1">
      <alignment horizontal="center" vertical="top"/>
    </xf>
    <xf numFmtId="165" fontId="2" fillId="5" borderId="118" xfId="0" applyNumberFormat="1" applyFont="1" applyFill="1" applyBorder="1" applyAlignment="1">
      <alignment horizontal="center" vertical="top" wrapText="1"/>
    </xf>
    <xf numFmtId="165" fontId="2" fillId="8" borderId="106" xfId="0" applyNumberFormat="1" applyFont="1" applyFill="1" applyBorder="1" applyAlignment="1">
      <alignment horizontal="center" vertical="top" wrapText="1"/>
    </xf>
    <xf numFmtId="165" fontId="1" fillId="0" borderId="16" xfId="0" applyNumberFormat="1" applyFont="1" applyBorder="1" applyAlignment="1">
      <alignment horizontal="center" vertical="top"/>
    </xf>
    <xf numFmtId="165" fontId="1" fillId="8" borderId="16" xfId="0" applyNumberFormat="1" applyFont="1" applyFill="1" applyBorder="1" applyAlignment="1">
      <alignment horizontal="center" vertical="top"/>
    </xf>
    <xf numFmtId="165" fontId="2" fillId="5" borderId="16" xfId="0" applyNumberFormat="1" applyFont="1" applyFill="1" applyBorder="1" applyAlignment="1">
      <alignment horizontal="center" vertical="top"/>
    </xf>
    <xf numFmtId="165" fontId="2" fillId="4" borderId="102" xfId="0" applyNumberFormat="1" applyFont="1" applyFill="1" applyBorder="1" applyAlignment="1">
      <alignment horizontal="center" vertical="top"/>
    </xf>
    <xf numFmtId="165" fontId="2" fillId="5" borderId="97" xfId="0" applyNumberFormat="1" applyFont="1" applyFill="1" applyBorder="1" applyAlignment="1">
      <alignment horizontal="center" vertical="top" wrapText="1"/>
    </xf>
    <xf numFmtId="165" fontId="2" fillId="8" borderId="13" xfId="0" applyNumberFormat="1" applyFont="1" applyFill="1" applyBorder="1" applyAlignment="1">
      <alignment horizontal="center" vertical="top" wrapText="1"/>
    </xf>
    <xf numFmtId="165" fontId="1" fillId="0" borderId="91" xfId="0" applyNumberFormat="1" applyFont="1" applyBorder="1" applyAlignment="1">
      <alignment horizontal="center" vertical="top"/>
    </xf>
    <xf numFmtId="165" fontId="1" fillId="8" borderId="91" xfId="0" applyNumberFormat="1" applyFont="1" applyFill="1" applyBorder="1" applyAlignment="1">
      <alignment horizontal="center" vertical="top"/>
    </xf>
    <xf numFmtId="165" fontId="2" fillId="5" borderId="91" xfId="0" applyNumberFormat="1" applyFont="1" applyFill="1" applyBorder="1" applyAlignment="1">
      <alignment horizontal="center" vertical="top"/>
    </xf>
    <xf numFmtId="165" fontId="2" fillId="4" borderId="7" xfId="0" applyNumberFormat="1" applyFont="1" applyFill="1" applyBorder="1" applyAlignment="1">
      <alignment horizontal="center" vertical="top"/>
    </xf>
    <xf numFmtId="0" fontId="1" fillId="7" borderId="6" xfId="0" applyFont="1" applyFill="1" applyBorder="1" applyAlignment="1">
      <alignment vertical="top"/>
    </xf>
    <xf numFmtId="0" fontId="2" fillId="7" borderId="70" xfId="0" applyFont="1" applyFill="1" applyBorder="1" applyAlignment="1">
      <alignment horizontal="center" vertical="center"/>
    </xf>
    <xf numFmtId="165" fontId="1" fillId="7" borderId="110" xfId="0" applyNumberFormat="1" applyFont="1" applyFill="1" applyBorder="1" applyAlignment="1">
      <alignment horizontal="center" vertical="top"/>
    </xf>
    <xf numFmtId="165" fontId="1" fillId="7" borderId="48" xfId="0" applyNumberFormat="1" applyFont="1" applyFill="1" applyBorder="1" applyAlignment="1">
      <alignment horizontal="center" vertical="top"/>
    </xf>
    <xf numFmtId="0" fontId="1" fillId="7" borderId="13" xfId="0" applyFont="1" applyFill="1" applyBorder="1" applyAlignment="1">
      <alignment vertical="top"/>
    </xf>
    <xf numFmtId="165" fontId="1" fillId="7" borderId="108" xfId="0" applyNumberFormat="1" applyFont="1" applyFill="1" applyBorder="1" applyAlignment="1">
      <alignment horizontal="left" vertical="top" wrapText="1"/>
    </xf>
    <xf numFmtId="3" fontId="1" fillId="0" borderId="90" xfId="0" applyNumberFormat="1" applyFont="1" applyFill="1" applyBorder="1" applyAlignment="1">
      <alignment horizontal="center" vertical="top"/>
    </xf>
    <xf numFmtId="0" fontId="21" fillId="0" borderId="0" xfId="0" applyFont="1" applyBorder="1" applyAlignment="1">
      <alignment vertical="top"/>
    </xf>
    <xf numFmtId="0" fontId="1" fillId="0" borderId="92" xfId="0" applyFont="1" applyBorder="1" applyAlignment="1">
      <alignment vertical="top"/>
    </xf>
    <xf numFmtId="0" fontId="1" fillId="7" borderId="90" xfId="0" applyFont="1" applyFill="1" applyBorder="1" applyAlignment="1">
      <alignment horizontal="center" vertical="center"/>
    </xf>
    <xf numFmtId="0" fontId="1" fillId="7" borderId="17"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9" xfId="0" applyFont="1" applyFill="1" applyBorder="1" applyAlignment="1">
      <alignment horizontal="center" vertical="center"/>
    </xf>
    <xf numFmtId="165" fontId="2" fillId="2" borderId="9" xfId="0" applyNumberFormat="1" applyFont="1" applyFill="1" applyBorder="1" applyAlignment="1">
      <alignment horizontal="center" vertical="top"/>
    </xf>
    <xf numFmtId="49" fontId="2" fillId="7" borderId="17"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165" fontId="2" fillId="7" borderId="24" xfId="0" applyNumberFormat="1" applyFont="1" applyFill="1" applyBorder="1" applyAlignment="1">
      <alignment horizontal="center" vertical="top" wrapText="1"/>
    </xf>
    <xf numFmtId="165" fontId="2" fillId="9" borderId="28" xfId="0" applyNumberFormat="1" applyFont="1" applyFill="1" applyBorder="1" applyAlignment="1">
      <alignment horizontal="center" vertical="top"/>
    </xf>
    <xf numFmtId="165" fontId="1" fillId="7" borderId="9" xfId="0" applyNumberFormat="1" applyFont="1" applyFill="1" applyBorder="1" applyAlignment="1">
      <alignment horizontal="left" vertical="top" wrapText="1"/>
    </xf>
    <xf numFmtId="49" fontId="2" fillId="7"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49" fontId="2" fillId="8" borderId="9" xfId="0" applyNumberFormat="1" applyFont="1" applyFill="1" applyBorder="1" applyAlignment="1">
      <alignment horizontal="center" vertical="top"/>
    </xf>
    <xf numFmtId="49" fontId="2" fillId="9" borderId="5"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3" fontId="1" fillId="7" borderId="1" xfId="0" applyNumberFormat="1" applyFont="1" applyFill="1" applyBorder="1" applyAlignment="1">
      <alignment horizontal="center" vertical="top" wrapText="1"/>
    </xf>
    <xf numFmtId="3" fontId="1" fillId="7" borderId="34" xfId="0" applyNumberFormat="1" applyFont="1" applyFill="1" applyBorder="1" applyAlignment="1">
      <alignment horizontal="center" vertical="top" wrapText="1"/>
    </xf>
    <xf numFmtId="3" fontId="1" fillId="0" borderId="108" xfId="0" applyNumberFormat="1" applyFont="1" applyFill="1" applyBorder="1" applyAlignment="1">
      <alignment horizontal="center" vertical="top" wrapText="1"/>
    </xf>
    <xf numFmtId="3" fontId="1" fillId="7" borderId="23" xfId="0" applyNumberFormat="1" applyFont="1" applyFill="1" applyBorder="1" applyAlignment="1">
      <alignment horizontal="center" vertical="top" wrapText="1"/>
    </xf>
    <xf numFmtId="3" fontId="1" fillId="7" borderId="99" xfId="0" applyNumberFormat="1" applyFont="1" applyFill="1" applyBorder="1" applyAlignment="1">
      <alignment horizontal="center" vertical="top" wrapText="1"/>
    </xf>
    <xf numFmtId="3" fontId="1" fillId="7" borderId="79" xfId="0" applyNumberFormat="1" applyFont="1" applyFill="1" applyBorder="1" applyAlignment="1">
      <alignment horizontal="center" vertical="top" wrapText="1"/>
    </xf>
    <xf numFmtId="3" fontId="1" fillId="7" borderId="83" xfId="0" applyNumberFormat="1" applyFont="1" applyFill="1" applyBorder="1" applyAlignment="1">
      <alignment horizontal="center" vertical="top" wrapText="1"/>
    </xf>
    <xf numFmtId="3" fontId="1" fillId="7" borderId="5" xfId="0" applyNumberFormat="1" applyFont="1" applyFill="1" applyBorder="1" applyAlignment="1">
      <alignment horizontal="center" vertical="top" wrapText="1"/>
    </xf>
    <xf numFmtId="3" fontId="1" fillId="7" borderId="0" xfId="0" applyNumberFormat="1" applyFont="1" applyFill="1" applyBorder="1" applyAlignment="1">
      <alignment horizontal="center" vertical="top" wrapText="1"/>
    </xf>
    <xf numFmtId="165" fontId="1" fillId="7" borderId="76" xfId="0" applyNumberFormat="1" applyFont="1" applyFill="1" applyBorder="1" applyAlignment="1">
      <alignment horizontal="center" vertical="top"/>
    </xf>
    <xf numFmtId="165" fontId="1" fillId="7" borderId="103" xfId="0" applyNumberFormat="1" applyFont="1" applyFill="1" applyBorder="1" applyAlignment="1">
      <alignment horizontal="center" vertical="top"/>
    </xf>
    <xf numFmtId="165" fontId="1" fillId="7" borderId="77" xfId="0" applyNumberFormat="1" applyFont="1" applyFill="1" applyBorder="1" applyAlignment="1">
      <alignment horizontal="center" vertical="top"/>
    </xf>
    <xf numFmtId="165" fontId="1" fillId="7" borderId="80" xfId="0" applyNumberFormat="1" applyFont="1" applyFill="1" applyBorder="1" applyAlignment="1">
      <alignment horizontal="center" vertical="top"/>
    </xf>
    <xf numFmtId="0" fontId="1" fillId="7" borderId="35" xfId="0" applyNumberFormat="1" applyFont="1" applyFill="1" applyBorder="1" applyAlignment="1">
      <alignment horizontal="center" vertical="top" wrapText="1"/>
    </xf>
    <xf numFmtId="165" fontId="1" fillId="7" borderId="36" xfId="0" applyNumberFormat="1" applyFont="1" applyFill="1" applyBorder="1" applyAlignment="1">
      <alignment vertical="top"/>
    </xf>
    <xf numFmtId="165" fontId="1" fillId="7" borderId="17" xfId="0" applyNumberFormat="1" applyFont="1" applyFill="1" applyBorder="1" applyAlignment="1">
      <alignment vertical="top"/>
    </xf>
    <xf numFmtId="165" fontId="1" fillId="7" borderId="31" xfId="0" applyNumberFormat="1" applyFont="1" applyFill="1" applyBorder="1" applyAlignment="1">
      <alignment vertical="top"/>
    </xf>
    <xf numFmtId="0" fontId="1" fillId="7" borderId="99" xfId="0" applyFont="1" applyFill="1" applyBorder="1" applyAlignment="1">
      <alignment horizontal="center" vertical="top"/>
    </xf>
    <xf numFmtId="167" fontId="1" fillId="7" borderId="79" xfId="0" applyNumberFormat="1" applyFont="1" applyFill="1" applyBorder="1" applyAlignment="1">
      <alignment horizontal="center" vertical="top"/>
    </xf>
    <xf numFmtId="167" fontId="1" fillId="7" borderId="83" xfId="0" applyNumberFormat="1" applyFont="1" applyFill="1" applyBorder="1" applyAlignment="1">
      <alignment horizontal="center" vertical="top"/>
    </xf>
    <xf numFmtId="167" fontId="1" fillId="7" borderId="18" xfId="0" applyNumberFormat="1" applyFont="1" applyFill="1" applyBorder="1" applyAlignment="1">
      <alignment horizontal="center" vertical="top"/>
    </xf>
    <xf numFmtId="165" fontId="1" fillId="0" borderId="92" xfId="0" applyNumberFormat="1" applyFont="1" applyFill="1" applyBorder="1" applyAlignment="1">
      <alignment horizontal="center" vertical="top"/>
    </xf>
    <xf numFmtId="165" fontId="1" fillId="0" borderId="70" xfId="0" applyNumberFormat="1" applyFont="1" applyFill="1" applyBorder="1" applyAlignment="1">
      <alignment horizontal="center" vertical="top"/>
    </xf>
    <xf numFmtId="165" fontId="1" fillId="0" borderId="63" xfId="0" applyNumberFormat="1" applyFont="1" applyFill="1" applyBorder="1" applyAlignment="1">
      <alignment horizontal="center" vertical="top"/>
    </xf>
    <xf numFmtId="0" fontId="1" fillId="0" borderId="71" xfId="0" applyFont="1" applyBorder="1" applyAlignment="1">
      <alignment horizontal="center" vertical="top"/>
    </xf>
    <xf numFmtId="3" fontId="1" fillId="7" borderId="0" xfId="0" applyNumberFormat="1" applyFont="1" applyFill="1" applyBorder="1" applyAlignment="1">
      <alignment horizontal="center" vertical="top"/>
    </xf>
    <xf numFmtId="167" fontId="1" fillId="0" borderId="0" xfId="0" applyNumberFormat="1" applyFont="1" applyBorder="1" applyAlignment="1">
      <alignment vertical="top"/>
    </xf>
    <xf numFmtId="165" fontId="1" fillId="7" borderId="4" xfId="0" applyNumberFormat="1" applyFont="1" applyFill="1" applyBorder="1" applyAlignment="1">
      <alignment vertical="top" wrapText="1"/>
    </xf>
    <xf numFmtId="0" fontId="1" fillId="0" borderId="0" xfId="0" applyFont="1" applyAlignment="1">
      <alignment horizontal="right" vertical="top"/>
    </xf>
    <xf numFmtId="165" fontId="1" fillId="0" borderId="0" xfId="0" applyNumberFormat="1" applyFont="1" applyBorder="1" applyAlignment="1">
      <alignment horizontal="right" vertical="top"/>
    </xf>
    <xf numFmtId="165" fontId="1" fillId="0" borderId="0" xfId="0" applyNumberFormat="1" applyFont="1" applyAlignment="1">
      <alignment horizontal="right" vertical="top"/>
    </xf>
    <xf numFmtId="3" fontId="1" fillId="0" borderId="0" xfId="0" applyNumberFormat="1" applyFont="1" applyAlignment="1">
      <alignment horizontal="center" vertical="top"/>
    </xf>
    <xf numFmtId="165" fontId="1" fillId="7" borderId="15" xfId="0" applyNumberFormat="1" applyFont="1" applyFill="1" applyBorder="1" applyAlignment="1">
      <alignment horizontal="center" vertical="top" wrapText="1"/>
    </xf>
    <xf numFmtId="165" fontId="2" fillId="9" borderId="5"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49" fontId="2" fillId="7" borderId="9" xfId="0" applyNumberFormat="1" applyFont="1" applyFill="1" applyBorder="1" applyAlignment="1">
      <alignment horizontal="center" vertical="top"/>
    </xf>
    <xf numFmtId="165" fontId="1" fillId="7" borderId="39" xfId="0" applyNumberFormat="1" applyFont="1" applyFill="1" applyBorder="1" applyAlignment="1">
      <alignment vertical="top" wrapText="1"/>
    </xf>
    <xf numFmtId="165" fontId="1" fillId="7" borderId="71"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1" fillId="7" borderId="39" xfId="0" applyNumberFormat="1" applyFont="1" applyFill="1" applyBorder="1" applyAlignment="1">
      <alignment horizontal="left" vertical="top" wrapText="1"/>
    </xf>
    <xf numFmtId="165" fontId="1" fillId="7" borderId="15" xfId="0" applyNumberFormat="1" applyFont="1" applyFill="1" applyBorder="1" applyAlignment="1">
      <alignment horizontal="center" vertical="center" wrapText="1"/>
    </xf>
    <xf numFmtId="165" fontId="1" fillId="7" borderId="28" xfId="0" applyNumberFormat="1" applyFont="1" applyFill="1" applyBorder="1" applyAlignment="1">
      <alignment horizontal="left" vertical="top" wrapText="1"/>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3" fontId="1" fillId="0" borderId="71" xfId="0" applyNumberFormat="1" applyFont="1" applyFill="1" applyBorder="1" applyAlignment="1">
      <alignment horizontal="center" vertical="top"/>
    </xf>
    <xf numFmtId="165" fontId="1" fillId="7" borderId="83" xfId="0" applyNumberFormat="1" applyFont="1" applyFill="1" applyBorder="1" applyAlignment="1">
      <alignment horizontal="center" vertical="center"/>
    </xf>
    <xf numFmtId="165" fontId="1" fillId="7" borderId="62" xfId="0" applyNumberFormat="1" applyFont="1" applyFill="1" applyBorder="1" applyAlignment="1">
      <alignment horizontal="center" vertical="center"/>
    </xf>
    <xf numFmtId="165" fontId="1" fillId="7" borderId="82" xfId="0" applyNumberFormat="1" applyFont="1" applyFill="1" applyBorder="1" applyAlignment="1">
      <alignment horizontal="center" vertical="center"/>
    </xf>
    <xf numFmtId="0" fontId="1" fillId="0" borderId="103" xfId="0" applyFont="1" applyBorder="1" applyAlignment="1">
      <alignment horizontal="center" vertical="top"/>
    </xf>
    <xf numFmtId="0" fontId="1" fillId="0" borderId="61" xfId="0" applyNumberFormat="1" applyFont="1" applyFill="1" applyBorder="1" applyAlignment="1">
      <alignment horizontal="center" vertical="top"/>
    </xf>
    <xf numFmtId="167" fontId="1" fillId="0" borderId="70" xfId="0" applyNumberFormat="1" applyFont="1" applyBorder="1" applyAlignment="1">
      <alignment horizontal="center" vertical="top"/>
    </xf>
    <xf numFmtId="167" fontId="1" fillId="0" borderId="76" xfId="0" applyNumberFormat="1" applyFont="1" applyFill="1" applyBorder="1" applyAlignment="1">
      <alignment horizontal="center" vertical="top"/>
    </xf>
    <xf numFmtId="0" fontId="1" fillId="0" borderId="120" xfId="0" applyFont="1" applyBorder="1" applyAlignment="1">
      <alignment horizontal="center" vertical="top"/>
    </xf>
    <xf numFmtId="0" fontId="1" fillId="7" borderId="65" xfId="0" applyNumberFormat="1" applyFont="1" applyFill="1" applyBorder="1" applyAlignment="1">
      <alignment horizontal="center" vertical="top"/>
    </xf>
    <xf numFmtId="0" fontId="1" fillId="0" borderId="115" xfId="0" applyFont="1" applyBorder="1" applyAlignment="1">
      <alignment horizontal="center" vertical="top"/>
    </xf>
    <xf numFmtId="0" fontId="1" fillId="0" borderId="0" xfId="0" applyFont="1" applyFill="1" applyBorder="1" applyAlignment="1">
      <alignment vertical="top"/>
    </xf>
    <xf numFmtId="165" fontId="1" fillId="7" borderId="20" xfId="0" applyNumberFormat="1" applyFont="1" applyFill="1" applyBorder="1" applyAlignment="1">
      <alignment horizontal="center" vertical="top"/>
    </xf>
    <xf numFmtId="165" fontId="1" fillId="7" borderId="107" xfId="0" applyNumberFormat="1" applyFont="1" applyFill="1" applyBorder="1" applyAlignment="1">
      <alignment horizontal="center" vertical="top"/>
    </xf>
    <xf numFmtId="165" fontId="1" fillId="7" borderId="108" xfId="0" applyNumberFormat="1" applyFont="1" applyFill="1" applyBorder="1" applyAlignment="1">
      <alignment vertical="top" wrapText="1"/>
    </xf>
    <xf numFmtId="165" fontId="1" fillId="7" borderId="38" xfId="0" applyNumberFormat="1" applyFont="1" applyFill="1" applyBorder="1" applyAlignment="1">
      <alignment horizontal="center" vertical="center"/>
    </xf>
    <xf numFmtId="165" fontId="1" fillId="7" borderId="70" xfId="0" applyNumberFormat="1" applyFont="1" applyFill="1" applyBorder="1" applyAlignment="1">
      <alignment horizontal="center" vertical="center"/>
    </xf>
    <xf numFmtId="165" fontId="1" fillId="7" borderId="63" xfId="0" applyNumberFormat="1" applyFont="1" applyFill="1" applyBorder="1" applyAlignment="1">
      <alignment horizontal="center" vertical="center"/>
    </xf>
    <xf numFmtId="0" fontId="1" fillId="7" borderId="108" xfId="0" applyFont="1" applyFill="1" applyBorder="1" applyAlignment="1">
      <alignment vertical="top" wrapText="1"/>
    </xf>
    <xf numFmtId="3" fontId="1" fillId="7" borderId="94" xfId="0" applyNumberFormat="1" applyFont="1" applyFill="1" applyBorder="1" applyAlignment="1">
      <alignment horizontal="center" vertical="top"/>
    </xf>
    <xf numFmtId="3" fontId="1" fillId="7" borderId="80" xfId="0" applyNumberFormat="1" applyFont="1" applyFill="1" applyBorder="1" applyAlignment="1">
      <alignment horizontal="center" vertical="top"/>
    </xf>
    <xf numFmtId="165" fontId="1" fillId="7" borderId="5" xfId="1" applyNumberFormat="1" applyFont="1" applyFill="1" applyBorder="1" applyAlignment="1">
      <alignment horizontal="center" vertical="top"/>
    </xf>
    <xf numFmtId="165" fontId="1" fillId="7" borderId="9" xfId="1" applyNumberFormat="1" applyFont="1" applyFill="1" applyBorder="1" applyAlignment="1">
      <alignment horizontal="center" vertical="top"/>
    </xf>
    <xf numFmtId="165" fontId="1" fillId="7" borderId="0" xfId="1" applyNumberFormat="1" applyFont="1" applyFill="1" applyBorder="1" applyAlignment="1">
      <alignment horizontal="center" vertical="top"/>
    </xf>
    <xf numFmtId="3" fontId="1" fillId="7" borderId="61"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0" fontId="1" fillId="7" borderId="71" xfId="0" applyNumberFormat="1" applyFont="1" applyFill="1" applyBorder="1" applyAlignment="1">
      <alignment vertical="top"/>
    </xf>
    <xf numFmtId="0" fontId="1" fillId="7" borderId="67" xfId="0" applyNumberFormat="1" applyFont="1" applyFill="1" applyBorder="1" applyAlignment="1">
      <alignment vertical="top"/>
    </xf>
    <xf numFmtId="0" fontId="1" fillId="7" borderId="104" xfId="0" applyFont="1" applyFill="1" applyBorder="1" applyAlignment="1">
      <alignment horizontal="center" vertical="top"/>
    </xf>
    <xf numFmtId="0" fontId="1" fillId="7" borderId="76" xfId="0" applyNumberFormat="1" applyFont="1" applyFill="1" applyBorder="1" applyAlignment="1">
      <alignment horizontal="center" vertical="top"/>
    </xf>
    <xf numFmtId="167" fontId="1" fillId="7" borderId="35" xfId="0" applyNumberFormat="1" applyFont="1" applyFill="1" applyBorder="1" applyAlignment="1">
      <alignment horizontal="center" vertical="top"/>
    </xf>
    <xf numFmtId="0" fontId="1" fillId="7" borderId="0" xfId="0" applyFont="1" applyFill="1" applyBorder="1" applyAlignment="1">
      <alignment vertical="top"/>
    </xf>
    <xf numFmtId="0" fontId="1" fillId="0" borderId="0" xfId="0" applyFont="1" applyBorder="1" applyAlignment="1">
      <alignment vertical="top" wrapText="1"/>
    </xf>
    <xf numFmtId="49" fontId="2" fillId="7" borderId="17" xfId="0" applyNumberFormat="1" applyFont="1" applyFill="1" applyBorder="1" applyAlignment="1">
      <alignment horizontal="center" vertical="top"/>
    </xf>
    <xf numFmtId="165" fontId="1" fillId="7" borderId="110" xfId="0" applyNumberFormat="1" applyFont="1" applyFill="1" applyBorder="1" applyAlignment="1">
      <alignment horizontal="left" vertical="top" wrapText="1"/>
    </xf>
    <xf numFmtId="165" fontId="1" fillId="7" borderId="71" xfId="0" applyNumberFormat="1" applyFont="1" applyFill="1" applyBorder="1" applyAlignment="1">
      <alignment horizontal="center" vertical="top"/>
    </xf>
    <xf numFmtId="165" fontId="1" fillId="7" borderId="115" xfId="0" applyNumberFormat="1" applyFont="1" applyFill="1" applyBorder="1" applyAlignment="1">
      <alignment horizontal="left" vertical="top" wrapText="1"/>
    </xf>
    <xf numFmtId="167" fontId="1" fillId="0" borderId="117" xfId="0" applyNumberFormat="1" applyFont="1" applyBorder="1" applyAlignment="1">
      <alignment horizontal="center" vertical="top"/>
    </xf>
    <xf numFmtId="0" fontId="1" fillId="0" borderId="93" xfId="0" applyFont="1" applyBorder="1" applyAlignment="1">
      <alignment horizontal="center" vertical="top"/>
    </xf>
    <xf numFmtId="167" fontId="1" fillId="0" borderId="105" xfId="0" applyNumberFormat="1" applyFont="1" applyBorder="1" applyAlignment="1">
      <alignment horizontal="center" vertical="top"/>
    </xf>
    <xf numFmtId="0" fontId="1" fillId="0" borderId="91" xfId="0" applyFont="1" applyBorder="1" applyAlignment="1">
      <alignment horizontal="center" vertical="top"/>
    </xf>
    <xf numFmtId="167" fontId="1" fillId="0" borderId="24" xfId="0" applyNumberFormat="1" applyFont="1" applyBorder="1" applyAlignment="1">
      <alignment horizontal="center" vertical="top"/>
    </xf>
    <xf numFmtId="165" fontId="1" fillId="7" borderId="105" xfId="0" applyNumberFormat="1" applyFont="1" applyFill="1" applyBorder="1" applyAlignment="1">
      <alignment horizontal="center" vertical="top"/>
    </xf>
    <xf numFmtId="165" fontId="1" fillId="7" borderId="116" xfId="1" applyNumberFormat="1" applyFont="1" applyFill="1" applyBorder="1" applyAlignment="1">
      <alignment horizontal="center" vertical="top"/>
    </xf>
    <xf numFmtId="165" fontId="1" fillId="7" borderId="65" xfId="0" applyNumberFormat="1" applyFont="1" applyFill="1" applyBorder="1" applyAlignment="1">
      <alignment horizontal="left" vertical="top" wrapText="1"/>
    </xf>
    <xf numFmtId="0" fontId="1" fillId="7" borderId="6" xfId="0" applyNumberFormat="1" applyFont="1" applyFill="1" applyBorder="1" applyAlignment="1">
      <alignment horizontal="center" vertical="top" wrapText="1"/>
    </xf>
    <xf numFmtId="0" fontId="1" fillId="7" borderId="90" xfId="0" applyNumberFormat="1" applyFont="1" applyFill="1" applyBorder="1" applyAlignment="1">
      <alignment horizontal="center" vertical="top" wrapText="1"/>
    </xf>
    <xf numFmtId="0" fontId="1" fillId="7" borderId="17" xfId="0" applyNumberFormat="1" applyFont="1" applyFill="1" applyBorder="1" applyAlignment="1">
      <alignment horizontal="center" vertical="top" wrapText="1"/>
    </xf>
    <xf numFmtId="0" fontId="1" fillId="7" borderId="18" xfId="0" applyNumberFormat="1" applyFont="1" applyFill="1" applyBorder="1" applyAlignment="1">
      <alignment horizontal="center" vertical="top" wrapText="1"/>
    </xf>
    <xf numFmtId="0" fontId="1" fillId="7" borderId="67" xfId="0" applyFont="1" applyFill="1" applyBorder="1" applyAlignment="1">
      <alignment horizontal="left" vertical="top" wrapText="1"/>
    </xf>
    <xf numFmtId="167" fontId="1" fillId="7" borderId="99" xfId="0" applyNumberFormat="1" applyFont="1" applyFill="1" applyBorder="1" applyAlignment="1">
      <alignment horizontal="center" vertical="top"/>
    </xf>
    <xf numFmtId="0" fontId="1" fillId="7" borderId="99" xfId="0" applyFont="1" applyFill="1" applyBorder="1" applyAlignment="1">
      <alignment horizontal="center" vertical="center"/>
    </xf>
    <xf numFmtId="165" fontId="24" fillId="0" borderId="0" xfId="0" applyNumberFormat="1" applyFont="1" applyAlignment="1">
      <alignment vertical="top"/>
    </xf>
    <xf numFmtId="0" fontId="24" fillId="0" borderId="0" xfId="0" applyFont="1" applyAlignment="1">
      <alignment vertical="top"/>
    </xf>
    <xf numFmtId="167" fontId="1" fillId="0" borderId="0" xfId="0" applyNumberFormat="1" applyFont="1" applyAlignment="1">
      <alignment vertical="top"/>
    </xf>
    <xf numFmtId="165" fontId="1" fillId="7" borderId="9" xfId="0" applyNumberFormat="1" applyFont="1" applyFill="1" applyBorder="1" applyAlignment="1">
      <alignment vertical="top" wrapText="1"/>
    </xf>
    <xf numFmtId="165" fontId="8" fillId="7" borderId="15" xfId="0" applyNumberFormat="1" applyFont="1" applyFill="1" applyBorder="1" applyAlignment="1">
      <alignment horizontal="center" vertical="top" wrapText="1"/>
    </xf>
    <xf numFmtId="0" fontId="2" fillId="0" borderId="85" xfId="0" applyFont="1" applyBorder="1" applyAlignment="1">
      <alignment horizontal="center" vertical="center" textRotation="90" wrapText="1"/>
    </xf>
    <xf numFmtId="3" fontId="1" fillId="7" borderId="6" xfId="0" applyNumberFormat="1" applyFont="1" applyFill="1" applyBorder="1" applyAlignment="1">
      <alignment horizontal="center" vertical="center"/>
    </xf>
    <xf numFmtId="3" fontId="1" fillId="7" borderId="36" xfId="0" applyNumberFormat="1" applyFont="1" applyFill="1" applyBorder="1" applyAlignment="1">
      <alignment horizontal="center" vertical="center"/>
    </xf>
    <xf numFmtId="3" fontId="1" fillId="7" borderId="46" xfId="0" applyNumberFormat="1" applyFont="1" applyFill="1" applyBorder="1" applyAlignment="1">
      <alignment horizontal="center" vertical="center"/>
    </xf>
    <xf numFmtId="3" fontId="1" fillId="7" borderId="18" xfId="0" applyNumberFormat="1" applyFont="1" applyFill="1" applyBorder="1" applyAlignment="1">
      <alignment horizontal="center" vertical="center"/>
    </xf>
    <xf numFmtId="49" fontId="2" fillId="7" borderId="17" xfId="0" applyNumberFormat="1" applyFont="1" applyFill="1" applyBorder="1" applyAlignment="1">
      <alignment horizontal="center" vertical="top"/>
    </xf>
    <xf numFmtId="165" fontId="1" fillId="7" borderId="62" xfId="0" applyNumberFormat="1" applyFont="1" applyFill="1" applyBorder="1" applyAlignment="1">
      <alignment vertical="top" wrapText="1"/>
    </xf>
    <xf numFmtId="0" fontId="1" fillId="7" borderId="62" xfId="0" applyFont="1" applyFill="1" applyBorder="1" applyAlignment="1">
      <alignment vertical="top" wrapText="1"/>
    </xf>
    <xf numFmtId="0" fontId="2" fillId="0" borderId="9" xfId="0" applyFont="1" applyBorder="1" applyAlignment="1">
      <alignment horizontal="center" vertical="center"/>
    </xf>
    <xf numFmtId="3" fontId="1" fillId="7" borderId="40" xfId="0" applyNumberFormat="1" applyFont="1" applyFill="1" applyBorder="1" applyAlignment="1">
      <alignment horizontal="center" vertical="top"/>
    </xf>
    <xf numFmtId="0" fontId="1" fillId="0" borderId="71" xfId="0" applyFont="1" applyBorder="1" applyAlignment="1">
      <alignment vertical="top"/>
    </xf>
    <xf numFmtId="165" fontId="1" fillId="7" borderId="9" xfId="0" applyNumberFormat="1" applyFont="1" applyFill="1" applyBorder="1" applyAlignment="1">
      <alignment vertical="top" wrapText="1"/>
    </xf>
    <xf numFmtId="49" fontId="2" fillId="7"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1" fillId="7" borderId="115" xfId="0" applyNumberFormat="1" applyFont="1" applyFill="1" applyBorder="1" applyAlignment="1">
      <alignment horizontal="left" vertical="top" wrapText="1"/>
    </xf>
    <xf numFmtId="49" fontId="1" fillId="0" borderId="79" xfId="0" applyNumberFormat="1" applyFont="1" applyFill="1" applyBorder="1" applyAlignment="1">
      <alignment horizontal="left" vertical="top" wrapText="1"/>
    </xf>
    <xf numFmtId="167" fontId="1" fillId="0" borderId="92" xfId="0" applyNumberFormat="1" applyFont="1" applyBorder="1" applyAlignment="1">
      <alignment horizontal="center" vertical="top"/>
    </xf>
    <xf numFmtId="0" fontId="1" fillId="7" borderId="5" xfId="0" applyNumberFormat="1" applyFont="1" applyFill="1" applyBorder="1" applyAlignment="1">
      <alignment horizontal="center" vertical="top"/>
    </xf>
    <xf numFmtId="165" fontId="1" fillId="7" borderId="9" xfId="0" applyNumberFormat="1" applyFont="1" applyFill="1" applyBorder="1" applyAlignment="1">
      <alignment horizontal="left" vertical="top" wrapText="1"/>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0" fontId="5" fillId="7" borderId="15" xfId="0" applyFont="1" applyFill="1" applyBorder="1" applyAlignment="1">
      <alignment horizontal="center" vertical="top" wrapText="1"/>
    </xf>
    <xf numFmtId="165" fontId="2" fillId="9" borderId="5"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165" fontId="1" fillId="7" borderId="71"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0" fontId="1" fillId="7" borderId="18" xfId="0" applyFont="1" applyFill="1" applyBorder="1" applyAlignment="1">
      <alignment horizontal="center" vertical="top" wrapText="1"/>
    </xf>
    <xf numFmtId="49" fontId="2" fillId="7" borderId="17"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49" fontId="2" fillId="7" borderId="24" xfId="0" applyNumberFormat="1" applyFont="1" applyFill="1" applyBorder="1" applyAlignment="1">
      <alignment horizontal="center" vertical="top"/>
    </xf>
    <xf numFmtId="0" fontId="5" fillId="7" borderId="9" xfId="0" applyFont="1" applyFill="1" applyBorder="1" applyAlignment="1">
      <alignment vertical="top" wrapText="1"/>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49" fontId="2" fillId="7" borderId="17" xfId="0" applyNumberFormat="1" applyFont="1" applyFill="1" applyBorder="1" applyAlignment="1">
      <alignment horizontal="center" vertical="top" wrapText="1"/>
    </xf>
    <xf numFmtId="165" fontId="1" fillId="7" borderId="15" xfId="0" applyNumberFormat="1" applyFont="1" applyFill="1" applyBorder="1" applyAlignment="1">
      <alignment horizontal="center" vertical="top" wrapText="1"/>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165" fontId="1" fillId="7" borderId="71"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0" fontId="1" fillId="7" borderId="28" xfId="0" applyFont="1" applyFill="1" applyBorder="1" applyAlignment="1">
      <alignment horizontal="left" vertical="top" wrapText="1"/>
    </xf>
    <xf numFmtId="0" fontId="1" fillId="7" borderId="36" xfId="0" applyFont="1" applyFill="1" applyBorder="1" applyAlignment="1">
      <alignment horizontal="center" vertical="top"/>
    </xf>
    <xf numFmtId="165" fontId="2" fillId="7" borderId="24" xfId="0" applyNumberFormat="1" applyFont="1" applyFill="1" applyBorder="1" applyAlignment="1">
      <alignment horizontal="center" vertical="top" wrapText="1"/>
    </xf>
    <xf numFmtId="49" fontId="2" fillId="7" borderId="39" xfId="0" applyNumberFormat="1" applyFont="1" applyFill="1" applyBorder="1" applyAlignment="1">
      <alignment horizontal="center" vertical="top"/>
    </xf>
    <xf numFmtId="0" fontId="1" fillId="0" borderId="9" xfId="0" applyFont="1" applyBorder="1" applyAlignment="1">
      <alignment horizontal="center" vertical="top"/>
    </xf>
    <xf numFmtId="167" fontId="1" fillId="0" borderId="93" xfId="0" applyNumberFormat="1" applyFont="1" applyBorder="1" applyAlignment="1">
      <alignment horizontal="center" vertical="top"/>
    </xf>
    <xf numFmtId="165" fontId="1" fillId="7" borderId="15" xfId="0" applyNumberFormat="1" applyFont="1" applyFill="1" applyBorder="1" applyAlignment="1">
      <alignment horizontal="center" vertical="top" wrapText="1"/>
    </xf>
    <xf numFmtId="0" fontId="2" fillId="7" borderId="37" xfId="0" applyFont="1" applyFill="1" applyBorder="1" applyAlignment="1">
      <alignment horizontal="center" vertical="top" wrapText="1"/>
    </xf>
    <xf numFmtId="167" fontId="1" fillId="0" borderId="99" xfId="0" applyNumberFormat="1" applyFont="1" applyBorder="1" applyAlignment="1">
      <alignment horizontal="center" vertical="top"/>
    </xf>
    <xf numFmtId="165" fontId="1" fillId="0" borderId="72" xfId="0" applyNumberFormat="1" applyFont="1" applyBorder="1" applyAlignment="1">
      <alignment vertical="top"/>
    </xf>
    <xf numFmtId="0" fontId="8" fillId="7" borderId="28" xfId="0" applyFont="1" applyFill="1" applyBorder="1" applyAlignment="1">
      <alignment vertical="top" wrapText="1"/>
    </xf>
    <xf numFmtId="0" fontId="1" fillId="7" borderId="71" xfId="0" applyFont="1" applyFill="1" applyBorder="1" applyAlignment="1">
      <alignment vertical="top" wrapText="1"/>
    </xf>
    <xf numFmtId="0" fontId="1" fillId="0" borderId="23" xfId="0" applyFont="1" applyBorder="1" applyAlignment="1">
      <alignment vertical="top"/>
    </xf>
    <xf numFmtId="165" fontId="1" fillId="7" borderId="24" xfId="0" applyNumberFormat="1" applyFont="1" applyFill="1" applyBorder="1" applyAlignment="1">
      <alignment vertical="top"/>
    </xf>
    <xf numFmtId="165" fontId="1" fillId="7" borderId="23" xfId="0" applyNumberFormat="1" applyFont="1" applyFill="1" applyBorder="1" applyAlignment="1">
      <alignment vertical="top"/>
    </xf>
    <xf numFmtId="0" fontId="25" fillId="7" borderId="72" xfId="0" applyFont="1" applyFill="1" applyBorder="1" applyAlignment="1">
      <alignment vertical="top"/>
    </xf>
    <xf numFmtId="0" fontId="25" fillId="7" borderId="98" xfId="0" applyFont="1" applyFill="1" applyBorder="1" applyAlignment="1">
      <alignment vertical="top"/>
    </xf>
    <xf numFmtId="0" fontId="1" fillId="7" borderId="83" xfId="0" applyFont="1" applyFill="1" applyBorder="1" applyAlignment="1">
      <alignment horizontal="center" vertical="top"/>
    </xf>
    <xf numFmtId="0" fontId="1" fillId="7" borderId="59" xfId="0" applyFont="1" applyFill="1" applyBorder="1" applyAlignment="1">
      <alignment horizontal="center" vertical="top"/>
    </xf>
    <xf numFmtId="0" fontId="1" fillId="0" borderId="72" xfId="0" applyFont="1" applyBorder="1" applyAlignment="1">
      <alignment vertical="top" wrapText="1"/>
    </xf>
    <xf numFmtId="165" fontId="1" fillId="0" borderId="98" xfId="0" applyNumberFormat="1" applyFont="1" applyBorder="1" applyAlignment="1">
      <alignment horizontal="center" vertical="top"/>
    </xf>
    <xf numFmtId="165" fontId="24" fillId="0" borderId="0" xfId="0" applyNumberFormat="1" applyFont="1" applyAlignment="1">
      <alignment horizontal="right" vertical="top"/>
    </xf>
    <xf numFmtId="0" fontId="24" fillId="0" borderId="0" xfId="0" applyFont="1" applyAlignment="1">
      <alignment horizontal="right" vertical="top"/>
    </xf>
    <xf numFmtId="165" fontId="1" fillId="7" borderId="35" xfId="0" applyNumberFormat="1" applyFont="1" applyFill="1" applyBorder="1" applyAlignment="1">
      <alignment horizontal="center" vertical="top" wrapText="1"/>
    </xf>
    <xf numFmtId="165" fontId="2" fillId="2" borderId="9"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3" fontId="1" fillId="7" borderId="16" xfId="0" applyNumberFormat="1" applyFont="1" applyFill="1" applyBorder="1" applyAlignment="1">
      <alignment horizontal="center" vertical="top" wrapText="1"/>
    </xf>
    <xf numFmtId="165" fontId="1" fillId="7" borderId="71" xfId="0" applyNumberFormat="1" applyFont="1" applyFill="1" applyBorder="1" applyAlignment="1">
      <alignment horizontal="center" vertical="top"/>
    </xf>
    <xf numFmtId="0" fontId="1" fillId="7" borderId="36" xfId="0" applyFont="1" applyFill="1" applyBorder="1" applyAlignment="1">
      <alignment horizontal="center" vertical="top"/>
    </xf>
    <xf numFmtId="0" fontId="1" fillId="7" borderId="38" xfId="0" applyNumberFormat="1" applyFont="1" applyFill="1" applyBorder="1" applyAlignment="1">
      <alignment horizontal="center" vertical="top" wrapText="1"/>
    </xf>
    <xf numFmtId="0" fontId="1" fillId="7" borderId="70" xfId="0" applyFont="1" applyFill="1" applyBorder="1" applyAlignment="1">
      <alignment horizontal="center" vertical="top" wrapText="1"/>
    </xf>
    <xf numFmtId="49" fontId="2" fillId="7" borderId="9" xfId="0" applyNumberFormat="1" applyFont="1" applyFill="1" applyBorder="1" applyAlignment="1">
      <alignment horizontal="center" vertical="top"/>
    </xf>
    <xf numFmtId="165" fontId="1" fillId="7" borderId="40" xfId="0" applyNumberFormat="1" applyFont="1" applyFill="1" applyBorder="1" applyAlignment="1">
      <alignment horizontal="left" vertical="top" wrapText="1"/>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49" fontId="2" fillId="7" borderId="70" xfId="0" applyNumberFormat="1" applyFont="1" applyFill="1" applyBorder="1" applyAlignment="1">
      <alignment horizontal="center" vertical="top"/>
    </xf>
    <xf numFmtId="165" fontId="2" fillId="7" borderId="70" xfId="0" applyNumberFormat="1" applyFont="1" applyFill="1" applyBorder="1" applyAlignment="1">
      <alignment horizontal="center" vertical="top" wrapText="1"/>
    </xf>
    <xf numFmtId="165" fontId="1" fillId="7" borderId="83" xfId="0" applyNumberFormat="1" applyFont="1" applyFill="1" applyBorder="1" applyAlignment="1">
      <alignment horizontal="center" vertical="top" wrapText="1"/>
    </xf>
    <xf numFmtId="165" fontId="1" fillId="7" borderId="6" xfId="1" applyNumberFormat="1" applyFont="1" applyFill="1" applyBorder="1" applyAlignment="1">
      <alignment horizontal="center" vertical="top"/>
    </xf>
    <xf numFmtId="3" fontId="1" fillId="7" borderId="4" xfId="1" applyNumberFormat="1" applyFont="1" applyFill="1" applyBorder="1" applyAlignment="1">
      <alignment horizontal="center" vertical="top" wrapText="1"/>
    </xf>
    <xf numFmtId="3" fontId="1" fillId="7" borderId="99" xfId="1" applyNumberFormat="1" applyFont="1" applyFill="1" applyBorder="1" applyAlignment="1">
      <alignment horizontal="center" vertical="top" wrapText="1"/>
    </xf>
    <xf numFmtId="3" fontId="1" fillId="7" borderId="9" xfId="1" applyNumberFormat="1" applyFont="1" applyFill="1" applyBorder="1" applyAlignment="1">
      <alignment horizontal="center" vertical="top" wrapText="1"/>
    </xf>
    <xf numFmtId="3" fontId="1" fillId="7" borderId="35" xfId="1" applyNumberFormat="1" applyFont="1" applyFill="1" applyBorder="1" applyAlignment="1">
      <alignment horizontal="center" vertical="top" wrapText="1"/>
    </xf>
    <xf numFmtId="49" fontId="1" fillId="7" borderId="60" xfId="0" applyNumberFormat="1" applyFont="1" applyFill="1" applyBorder="1" applyAlignment="1">
      <alignment horizontal="center" vertical="top"/>
    </xf>
    <xf numFmtId="165" fontId="1" fillId="7" borderId="67" xfId="0" applyNumberFormat="1" applyFont="1" applyFill="1" applyBorder="1" applyAlignment="1">
      <alignment vertical="top"/>
    </xf>
    <xf numFmtId="49" fontId="2" fillId="7" borderId="9" xfId="0" applyNumberFormat="1" applyFont="1" applyFill="1" applyBorder="1" applyAlignment="1">
      <alignment horizontal="center" vertical="top"/>
    </xf>
    <xf numFmtId="165" fontId="1" fillId="7" borderId="9" xfId="0" applyNumberFormat="1" applyFont="1" applyFill="1" applyBorder="1" applyAlignment="1">
      <alignment horizontal="left" vertical="top" wrapText="1"/>
    </xf>
    <xf numFmtId="165" fontId="1" fillId="7" borderId="24" xfId="0" applyNumberFormat="1" applyFont="1" applyFill="1" applyBorder="1" applyAlignment="1">
      <alignment horizontal="left" vertical="top" wrapText="1"/>
    </xf>
    <xf numFmtId="49" fontId="2" fillId="7" borderId="17"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165" fontId="1" fillId="7" borderId="15" xfId="0" applyNumberFormat="1" applyFont="1" applyFill="1" applyBorder="1" applyAlignment="1">
      <alignment horizontal="center" vertical="top" wrapText="1"/>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165" fontId="2" fillId="2" borderId="39" xfId="0" applyNumberFormat="1" applyFont="1" applyFill="1" applyBorder="1" applyAlignment="1">
      <alignment horizontal="center" vertical="top"/>
    </xf>
    <xf numFmtId="0" fontId="13" fillId="7" borderId="15" xfId="0" applyFont="1" applyFill="1" applyBorder="1" applyAlignment="1">
      <alignment vertical="top" wrapText="1"/>
    </xf>
    <xf numFmtId="165" fontId="2" fillId="7" borderId="24" xfId="0" applyNumberFormat="1" applyFont="1" applyFill="1" applyBorder="1" applyAlignment="1">
      <alignment horizontal="center" vertical="top" wrapText="1"/>
    </xf>
    <xf numFmtId="0" fontId="1" fillId="7" borderId="17" xfId="0" applyFont="1" applyFill="1" applyBorder="1" applyAlignment="1">
      <alignment horizontal="center" vertical="top"/>
    </xf>
    <xf numFmtId="49" fontId="2" fillId="7" borderId="17"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49" fontId="2" fillId="7" borderId="24" xfId="0" applyNumberFormat="1" applyFont="1" applyFill="1" applyBorder="1" applyAlignment="1">
      <alignment horizontal="center" vertical="top"/>
    </xf>
    <xf numFmtId="165" fontId="1" fillId="7" borderId="15" xfId="0" applyNumberFormat="1" applyFont="1" applyFill="1" applyBorder="1" applyAlignment="1">
      <alignment horizontal="center" vertical="top" wrapText="1"/>
    </xf>
    <xf numFmtId="49" fontId="2" fillId="7" borderId="39" xfId="0" applyNumberFormat="1" applyFont="1" applyFill="1" applyBorder="1" applyAlignment="1">
      <alignment horizontal="center" vertical="top"/>
    </xf>
    <xf numFmtId="0" fontId="1" fillId="7" borderId="17" xfId="0" applyFont="1" applyFill="1" applyBorder="1" applyAlignment="1">
      <alignment horizontal="center" vertical="top"/>
    </xf>
    <xf numFmtId="49" fontId="1" fillId="7" borderId="24"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165" fontId="1" fillId="7" borderId="24" xfId="0" applyNumberFormat="1" applyFont="1" applyFill="1" applyBorder="1" applyAlignment="1">
      <alignment vertical="top" wrapText="1"/>
    </xf>
    <xf numFmtId="0" fontId="1" fillId="7" borderId="31"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1" fillId="7" borderId="28" xfId="0" applyNumberFormat="1" applyFont="1" applyFill="1" applyBorder="1" applyAlignment="1">
      <alignment horizontal="left" vertical="top" wrapText="1"/>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165" fontId="2" fillId="7" borderId="24" xfId="0" applyNumberFormat="1" applyFont="1" applyFill="1" applyBorder="1" applyAlignment="1">
      <alignment horizontal="center" vertical="top" wrapText="1"/>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165" fontId="1" fillId="7" borderId="39" xfId="0" applyNumberFormat="1" applyFont="1" applyFill="1" applyBorder="1" applyAlignment="1">
      <alignment horizontal="left" vertical="top" wrapText="1"/>
    </xf>
    <xf numFmtId="165" fontId="1" fillId="7" borderId="15" xfId="0" applyNumberFormat="1" applyFont="1" applyFill="1" applyBorder="1" applyAlignment="1">
      <alignment horizontal="center" vertical="center" wrapText="1"/>
    </xf>
    <xf numFmtId="167" fontId="1" fillId="7" borderId="0" xfId="0" applyNumberFormat="1" applyFont="1" applyFill="1" applyBorder="1" applyAlignment="1">
      <alignment horizontal="center" vertical="center"/>
    </xf>
    <xf numFmtId="167" fontId="1" fillId="7" borderId="70" xfId="0" applyNumberFormat="1" applyFont="1" applyFill="1" applyBorder="1" applyAlignment="1">
      <alignment horizontal="center" vertical="center"/>
    </xf>
    <xf numFmtId="167" fontId="1" fillId="7" borderId="15" xfId="0" applyNumberFormat="1" applyFont="1" applyFill="1" applyBorder="1" applyAlignment="1">
      <alignment horizontal="center" vertical="center"/>
    </xf>
    <xf numFmtId="3" fontId="1" fillId="0" borderId="72"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xf>
    <xf numFmtId="0" fontId="1" fillId="0" borderId="38" xfId="0" applyFont="1" applyBorder="1" applyAlignment="1">
      <alignment horizontal="center" vertical="top"/>
    </xf>
    <xf numFmtId="165" fontId="1" fillId="7" borderId="14" xfId="0" applyNumberFormat="1" applyFont="1" applyFill="1" applyBorder="1" applyAlignment="1">
      <alignment horizontal="center" vertical="top"/>
    </xf>
    <xf numFmtId="0" fontId="1" fillId="7" borderId="90" xfId="0" applyFont="1" applyFill="1" applyBorder="1" applyAlignment="1">
      <alignment horizontal="center" vertical="top"/>
    </xf>
    <xf numFmtId="0" fontId="1" fillId="7" borderId="18" xfId="0" applyNumberFormat="1" applyFont="1" applyFill="1" applyBorder="1" applyAlignment="1">
      <alignment horizontal="center" vertical="top"/>
    </xf>
    <xf numFmtId="165" fontId="1" fillId="7" borderId="72" xfId="0" applyNumberFormat="1" applyFont="1" applyFill="1" applyBorder="1" applyAlignment="1">
      <alignment horizontal="left" vertical="top" wrapText="1"/>
    </xf>
    <xf numFmtId="0" fontId="1" fillId="0" borderId="72" xfId="0" applyNumberFormat="1" applyFont="1" applyFill="1" applyBorder="1" applyAlignment="1">
      <alignment horizontal="center" vertical="top"/>
    </xf>
    <xf numFmtId="0" fontId="1" fillId="0" borderId="63" xfId="0" applyNumberFormat="1" applyFont="1" applyFill="1" applyBorder="1" applyAlignment="1">
      <alignment horizontal="center" vertical="top"/>
    </xf>
    <xf numFmtId="167" fontId="1" fillId="7" borderId="15" xfId="0" applyNumberFormat="1" applyFont="1" applyFill="1" applyBorder="1" applyAlignment="1">
      <alignment horizontal="center" vertical="top"/>
    </xf>
    <xf numFmtId="0" fontId="1" fillId="0" borderId="67" xfId="0" applyFont="1" applyBorder="1" applyAlignment="1">
      <alignment horizontal="center" vertical="top"/>
    </xf>
    <xf numFmtId="165" fontId="1" fillId="7" borderId="23" xfId="0" applyNumberFormat="1" applyFont="1" applyFill="1" applyBorder="1" applyAlignment="1">
      <alignment vertical="top" wrapText="1"/>
    </xf>
    <xf numFmtId="3" fontId="1" fillId="7" borderId="19" xfId="0" applyNumberFormat="1" applyFont="1" applyFill="1" applyBorder="1" applyAlignment="1">
      <alignment horizontal="center" vertical="top"/>
    </xf>
    <xf numFmtId="165" fontId="1" fillId="7" borderId="19" xfId="0" applyNumberFormat="1" applyFont="1" applyFill="1" applyBorder="1" applyAlignment="1">
      <alignment vertical="top" wrapText="1"/>
    </xf>
    <xf numFmtId="3" fontId="1" fillId="7" borderId="13" xfId="0" applyNumberFormat="1" applyFont="1" applyFill="1" applyBorder="1" applyAlignment="1">
      <alignment horizontal="center" vertical="top"/>
    </xf>
    <xf numFmtId="3" fontId="1" fillId="7" borderId="1" xfId="0" applyNumberFormat="1" applyFont="1" applyFill="1" applyBorder="1" applyAlignment="1">
      <alignment horizontal="center" vertical="top"/>
    </xf>
    <xf numFmtId="3" fontId="1" fillId="7" borderId="14" xfId="0" applyNumberFormat="1" applyFont="1" applyFill="1" applyBorder="1" applyAlignment="1">
      <alignment horizontal="center" vertical="top"/>
    </xf>
    <xf numFmtId="167" fontId="1" fillId="0" borderId="79" xfId="0" applyNumberFormat="1" applyFont="1" applyBorder="1" applyAlignment="1">
      <alignment horizontal="center" vertical="top"/>
    </xf>
    <xf numFmtId="165" fontId="2" fillId="9" borderId="5"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49" fontId="2" fillId="7" borderId="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165" fontId="1" fillId="7" borderId="51" xfId="0" applyNumberFormat="1" applyFont="1" applyFill="1" applyBorder="1" applyAlignment="1">
      <alignment horizontal="left" vertical="top" wrapText="1"/>
    </xf>
    <xf numFmtId="3" fontId="1" fillId="0" borderId="4" xfId="0" applyNumberFormat="1" applyFont="1" applyFill="1" applyBorder="1" applyAlignment="1">
      <alignment horizontal="center" vertical="top"/>
    </xf>
    <xf numFmtId="3" fontId="1" fillId="0" borderId="15" xfId="0" applyNumberFormat="1" applyFont="1" applyFill="1" applyBorder="1" applyAlignment="1">
      <alignment horizontal="center" vertical="top"/>
    </xf>
    <xf numFmtId="0" fontId="2" fillId="7" borderId="17" xfId="0" applyNumberFormat="1" applyFont="1" applyFill="1" applyBorder="1" applyAlignment="1">
      <alignment horizontal="center" vertical="top"/>
    </xf>
    <xf numFmtId="165" fontId="1" fillId="7" borderId="106" xfId="0" applyNumberFormat="1" applyFont="1" applyFill="1" applyBorder="1" applyAlignment="1">
      <alignment horizontal="center" vertical="top"/>
    </xf>
    <xf numFmtId="165" fontId="1" fillId="7" borderId="34" xfId="0" applyNumberFormat="1" applyFont="1" applyFill="1" applyBorder="1" applyAlignment="1">
      <alignment horizontal="center" vertical="top"/>
    </xf>
    <xf numFmtId="165" fontId="1" fillId="7" borderId="28" xfId="0" applyNumberFormat="1" applyFont="1" applyFill="1" applyBorder="1" applyAlignment="1">
      <alignment horizontal="left" vertical="top" wrapText="1"/>
    </xf>
    <xf numFmtId="49" fontId="2" fillId="7" borderId="9" xfId="0" applyNumberFormat="1" applyFont="1" applyFill="1" applyBorder="1" applyAlignment="1">
      <alignment horizontal="center" vertical="top"/>
    </xf>
    <xf numFmtId="49" fontId="2" fillId="7" borderId="17"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49" fontId="1" fillId="7" borderId="24"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0" fontId="1" fillId="0" borderId="93" xfId="0" applyFont="1" applyBorder="1" applyAlignment="1">
      <alignment vertical="top"/>
    </xf>
    <xf numFmtId="0" fontId="1" fillId="0" borderId="82" xfId="0" applyFont="1" applyBorder="1" applyAlignment="1">
      <alignment vertical="top"/>
    </xf>
    <xf numFmtId="0" fontId="1" fillId="7" borderId="28" xfId="0" applyFont="1" applyFill="1" applyBorder="1" applyAlignment="1">
      <alignment horizontal="left" vertical="top" wrapText="1"/>
    </xf>
    <xf numFmtId="165" fontId="1" fillId="7" borderId="71" xfId="0" applyNumberFormat="1" applyFont="1" applyFill="1" applyBorder="1" applyAlignment="1">
      <alignment horizontal="center" vertical="top"/>
    </xf>
    <xf numFmtId="0" fontId="1" fillId="7" borderId="40" xfId="0" applyFont="1" applyFill="1" applyBorder="1" applyAlignment="1">
      <alignment horizontal="left" vertical="top" wrapText="1"/>
    </xf>
    <xf numFmtId="165" fontId="1" fillId="7" borderId="18" xfId="0" applyNumberFormat="1" applyFont="1" applyFill="1" applyBorder="1" applyAlignment="1">
      <alignment horizontal="center" vertical="top" wrapText="1"/>
    </xf>
    <xf numFmtId="165" fontId="1" fillId="7" borderId="71"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0" fontId="1" fillId="7" borderId="17" xfId="0" applyFont="1" applyFill="1" applyBorder="1" applyAlignment="1">
      <alignment horizontal="center" vertical="top"/>
    </xf>
    <xf numFmtId="165" fontId="1" fillId="7" borderId="40" xfId="0" applyNumberFormat="1" applyFont="1" applyFill="1" applyBorder="1" applyAlignment="1">
      <alignment horizontal="left" vertical="top" wrapText="1"/>
    </xf>
    <xf numFmtId="0" fontId="1" fillId="0" borderId="65" xfId="0" applyFont="1" applyBorder="1" applyAlignment="1">
      <alignment vertical="top"/>
    </xf>
    <xf numFmtId="0" fontId="1" fillId="7" borderId="92" xfId="0" applyFont="1" applyFill="1" applyBorder="1" applyAlignment="1">
      <alignment horizontal="center" vertical="top"/>
    </xf>
    <xf numFmtId="0" fontId="1" fillId="7" borderId="78" xfId="0" applyFont="1" applyFill="1" applyBorder="1" applyAlignment="1">
      <alignment horizontal="center" vertical="top"/>
    </xf>
    <xf numFmtId="167" fontId="1" fillId="7" borderId="63" xfId="0" applyNumberFormat="1" applyFont="1" applyFill="1" applyBorder="1" applyAlignment="1">
      <alignment horizontal="center" vertical="top"/>
    </xf>
    <xf numFmtId="0" fontId="1" fillId="7" borderId="98" xfId="0" applyFont="1" applyFill="1" applyBorder="1" applyAlignment="1">
      <alignment horizontal="center" vertical="top"/>
    </xf>
    <xf numFmtId="0" fontId="1" fillId="7" borderId="0" xfId="0" applyFont="1" applyFill="1" applyBorder="1" applyAlignment="1">
      <alignment horizontal="center" vertical="top"/>
    </xf>
    <xf numFmtId="0" fontId="1" fillId="7" borderId="62" xfId="0" applyFont="1" applyFill="1" applyBorder="1" applyAlignment="1">
      <alignment horizontal="center" vertical="top"/>
    </xf>
    <xf numFmtId="0" fontId="1" fillId="7" borderId="72" xfId="0" applyFont="1" applyFill="1" applyBorder="1" applyAlignment="1">
      <alignment vertical="top"/>
    </xf>
    <xf numFmtId="165" fontId="1" fillId="7" borderId="65" xfId="0" applyNumberFormat="1" applyFont="1" applyFill="1" applyBorder="1" applyAlignment="1">
      <alignment vertical="top"/>
    </xf>
    <xf numFmtId="0" fontId="1" fillId="7" borderId="69" xfId="0" applyFont="1" applyFill="1" applyBorder="1" applyAlignment="1">
      <alignment horizontal="center" vertical="top" wrapText="1"/>
    </xf>
    <xf numFmtId="0" fontId="1" fillId="7" borderId="71" xfId="0" applyNumberFormat="1" applyFont="1" applyFill="1" applyBorder="1" applyAlignment="1">
      <alignment horizontal="center" vertical="top"/>
    </xf>
    <xf numFmtId="0" fontId="1" fillId="7" borderId="64" xfId="0" applyNumberFormat="1" applyFont="1" applyFill="1" applyBorder="1" applyAlignment="1">
      <alignment horizontal="center" vertical="top"/>
    </xf>
    <xf numFmtId="0" fontId="1" fillId="7" borderId="95" xfId="0" applyNumberFormat="1" applyFont="1" applyFill="1" applyBorder="1" applyAlignment="1">
      <alignment horizontal="center" vertical="top"/>
    </xf>
    <xf numFmtId="167" fontId="1" fillId="7" borderId="40" xfId="0" applyNumberFormat="1" applyFont="1" applyFill="1" applyBorder="1" applyAlignment="1">
      <alignment horizontal="center" vertical="top"/>
    </xf>
    <xf numFmtId="167" fontId="1" fillId="7" borderId="108" xfId="0" applyNumberFormat="1" applyFont="1" applyFill="1" applyBorder="1" applyAlignment="1">
      <alignment horizontal="center" vertical="top"/>
    </xf>
    <xf numFmtId="3" fontId="1" fillId="7" borderId="18" xfId="0" applyNumberFormat="1" applyFont="1" applyFill="1" applyBorder="1" applyAlignment="1">
      <alignment horizontal="center" vertical="top" wrapText="1"/>
    </xf>
    <xf numFmtId="3" fontId="1" fillId="7" borderId="69" xfId="0" applyNumberFormat="1" applyFont="1" applyFill="1" applyBorder="1" applyAlignment="1">
      <alignment horizontal="center" vertical="top"/>
    </xf>
    <xf numFmtId="0" fontId="1" fillId="7" borderId="72" xfId="0" applyFont="1" applyFill="1" applyBorder="1" applyAlignment="1">
      <alignment horizontal="center" vertical="top"/>
    </xf>
    <xf numFmtId="0" fontId="1" fillId="7" borderId="64" xfId="0" applyFont="1" applyFill="1" applyBorder="1" applyAlignment="1">
      <alignment horizontal="center" vertical="top"/>
    </xf>
    <xf numFmtId="3" fontId="1" fillId="7" borderId="98" xfId="0" applyNumberFormat="1" applyFont="1" applyFill="1" applyBorder="1" applyAlignment="1">
      <alignment horizontal="center" vertical="top"/>
    </xf>
    <xf numFmtId="167" fontId="1" fillId="7" borderId="40" xfId="0" applyNumberFormat="1" applyFont="1" applyFill="1" applyBorder="1" applyAlignment="1">
      <alignment horizontal="center" vertical="top" wrapText="1"/>
    </xf>
    <xf numFmtId="167" fontId="1" fillId="7" borderId="17" xfId="0" applyNumberFormat="1" applyFont="1" applyFill="1" applyBorder="1" applyAlignment="1">
      <alignment horizontal="center" vertical="top"/>
    </xf>
    <xf numFmtId="0" fontId="1" fillId="7" borderId="15" xfId="0" applyFont="1" applyFill="1" applyBorder="1" applyAlignment="1">
      <alignment vertical="top"/>
    </xf>
    <xf numFmtId="165" fontId="1" fillId="7" borderId="49" xfId="0" applyNumberFormat="1" applyFont="1" applyFill="1" applyBorder="1" applyAlignment="1">
      <alignment vertical="top"/>
    </xf>
    <xf numFmtId="3" fontId="1" fillId="7" borderId="29" xfId="0" applyNumberFormat="1" applyFont="1" applyFill="1" applyBorder="1" applyAlignment="1">
      <alignment horizontal="center" vertical="top"/>
    </xf>
    <xf numFmtId="3" fontId="1" fillId="7" borderId="49" xfId="0" applyNumberFormat="1" applyFont="1" applyFill="1" applyBorder="1" applyAlignment="1">
      <alignment horizontal="center" vertical="top"/>
    </xf>
    <xf numFmtId="3" fontId="22" fillId="7" borderId="36" xfId="0" applyNumberFormat="1" applyFont="1" applyFill="1" applyBorder="1" applyAlignment="1">
      <alignment horizontal="center" vertical="top"/>
    </xf>
    <xf numFmtId="0" fontId="1" fillId="7" borderId="65" xfId="0" applyFont="1" applyFill="1" applyBorder="1" applyAlignment="1">
      <alignment vertical="top"/>
    </xf>
    <xf numFmtId="3" fontId="22" fillId="7" borderId="93" xfId="0" applyNumberFormat="1" applyFont="1" applyFill="1" applyBorder="1" applyAlignment="1">
      <alignment horizontal="center" vertical="top"/>
    </xf>
    <xf numFmtId="165" fontId="2" fillId="7" borderId="17" xfId="0" applyNumberFormat="1" applyFont="1" applyFill="1" applyBorder="1" applyAlignment="1">
      <alignment horizontal="center" vertical="top" wrapText="1"/>
    </xf>
    <xf numFmtId="165" fontId="1" fillId="7" borderId="15" xfId="0" applyNumberFormat="1" applyFont="1" applyFill="1" applyBorder="1" applyAlignment="1">
      <alignment horizontal="center" vertical="top" wrapText="1"/>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7" fontId="1" fillId="7" borderId="93" xfId="0" applyNumberFormat="1" applyFont="1" applyFill="1" applyBorder="1" applyAlignment="1">
      <alignment horizontal="center" vertical="top"/>
    </xf>
    <xf numFmtId="165" fontId="1" fillId="7" borderId="114" xfId="0" applyNumberFormat="1" applyFont="1" applyFill="1" applyBorder="1" applyAlignment="1">
      <alignment horizontal="center" vertical="top"/>
    </xf>
    <xf numFmtId="0" fontId="1" fillId="7" borderId="98" xfId="0" applyFont="1" applyFill="1" applyBorder="1" applyAlignment="1">
      <alignment vertical="top"/>
    </xf>
    <xf numFmtId="3" fontId="1" fillId="7" borderId="116" xfId="0" applyNumberFormat="1" applyFont="1" applyFill="1" applyBorder="1" applyAlignment="1">
      <alignment horizontal="center" vertical="top"/>
    </xf>
    <xf numFmtId="0" fontId="1" fillId="7" borderId="23" xfId="0" applyFont="1" applyFill="1" applyBorder="1" applyAlignment="1">
      <alignment vertical="top"/>
    </xf>
    <xf numFmtId="3" fontId="1" fillId="7" borderId="70" xfId="0" applyNumberFormat="1" applyFont="1" applyFill="1" applyBorder="1" applyAlignment="1">
      <alignment horizontal="center" vertical="top" wrapText="1"/>
    </xf>
    <xf numFmtId="3" fontId="1" fillId="7" borderId="109" xfId="0" applyNumberFormat="1" applyFont="1" applyFill="1" applyBorder="1" applyAlignment="1">
      <alignment horizontal="center" vertical="top" wrapText="1"/>
    </xf>
    <xf numFmtId="0" fontId="1" fillId="7" borderId="90" xfId="0" applyFont="1" applyFill="1" applyBorder="1" applyAlignment="1">
      <alignment vertical="top"/>
    </xf>
    <xf numFmtId="0" fontId="1" fillId="7" borderId="18" xfId="0" applyFont="1" applyFill="1" applyBorder="1" applyAlignment="1">
      <alignment vertical="top"/>
    </xf>
    <xf numFmtId="0" fontId="5" fillId="10" borderId="53" xfId="0" applyFont="1" applyFill="1" applyBorder="1"/>
    <xf numFmtId="0" fontId="5" fillId="11" borderId="34" xfId="0" applyFont="1" applyFill="1" applyBorder="1"/>
    <xf numFmtId="0" fontId="1" fillId="12" borderId="42" xfId="0" applyFont="1" applyFill="1" applyBorder="1" applyAlignment="1">
      <alignment vertical="top"/>
    </xf>
    <xf numFmtId="0" fontId="1" fillId="9" borderId="34" xfId="0" applyFont="1" applyFill="1" applyBorder="1" applyAlignment="1">
      <alignment vertical="top"/>
    </xf>
    <xf numFmtId="0" fontId="1" fillId="7" borderId="69" xfId="0" applyFont="1" applyFill="1" applyBorder="1" applyAlignment="1">
      <alignment horizontal="center" vertical="top"/>
    </xf>
    <xf numFmtId="0" fontId="1" fillId="7" borderId="4" xfId="0" applyFont="1" applyFill="1" applyBorder="1" applyAlignment="1">
      <alignment horizontal="center" vertical="center"/>
    </xf>
    <xf numFmtId="0" fontId="1" fillId="7" borderId="93" xfId="0" applyFont="1" applyFill="1" applyBorder="1" applyAlignment="1">
      <alignment horizontal="center" vertical="center"/>
    </xf>
    <xf numFmtId="165" fontId="1" fillId="0" borderId="79" xfId="0" applyNumberFormat="1" applyFont="1" applyBorder="1" applyAlignment="1">
      <alignment horizontal="center" vertical="top"/>
    </xf>
    <xf numFmtId="165" fontId="1" fillId="7" borderId="60" xfId="0" applyNumberFormat="1" applyFont="1" applyFill="1" applyBorder="1" applyAlignment="1">
      <alignment horizontal="center" vertical="center"/>
    </xf>
    <xf numFmtId="0" fontId="1" fillId="7" borderId="75" xfId="0" applyNumberFormat="1" applyFont="1" applyFill="1" applyBorder="1" applyAlignment="1">
      <alignment horizontal="center" vertical="top"/>
    </xf>
    <xf numFmtId="0" fontId="1" fillId="7" borderId="15" xfId="0" applyFont="1" applyFill="1" applyBorder="1" applyAlignment="1">
      <alignment horizontal="center" vertical="top"/>
    </xf>
    <xf numFmtId="0" fontId="1" fillId="7" borderId="0" xfId="0" applyFont="1" applyFill="1" applyBorder="1" applyAlignment="1">
      <alignment horizontal="center" vertical="center"/>
    </xf>
    <xf numFmtId="0" fontId="1" fillId="7" borderId="70" xfId="0" applyFont="1" applyFill="1" applyBorder="1" applyAlignment="1">
      <alignment horizontal="center" vertical="center"/>
    </xf>
    <xf numFmtId="165" fontId="1" fillId="7" borderId="24" xfId="0" applyNumberFormat="1" applyFont="1" applyFill="1" applyBorder="1" applyAlignment="1">
      <alignment vertical="top" wrapText="1"/>
    </xf>
    <xf numFmtId="165" fontId="2" fillId="2"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165" fontId="1" fillId="7" borderId="71" xfId="0" applyNumberFormat="1" applyFont="1" applyFill="1" applyBorder="1" applyAlignment="1">
      <alignment horizontal="center" vertical="top"/>
    </xf>
    <xf numFmtId="0" fontId="1" fillId="7" borderId="92" xfId="0" applyFont="1" applyFill="1" applyBorder="1" applyAlignment="1">
      <alignment horizontal="center" vertical="center"/>
    </xf>
    <xf numFmtId="0" fontId="1" fillId="0" borderId="72" xfId="0" applyFont="1" applyBorder="1" applyAlignment="1">
      <alignment vertical="top"/>
    </xf>
    <xf numFmtId="49" fontId="2" fillId="7" borderId="9" xfId="0" applyNumberFormat="1" applyFont="1" applyFill="1" applyBorder="1" applyAlignment="1">
      <alignment horizontal="center" vertical="top"/>
    </xf>
    <xf numFmtId="49" fontId="2" fillId="7" borderId="17" xfId="0" applyNumberFormat="1" applyFont="1" applyFill="1" applyBorder="1" applyAlignment="1">
      <alignment horizontal="center" vertical="top"/>
    </xf>
    <xf numFmtId="49" fontId="2" fillId="7" borderId="24"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49" fontId="2" fillId="7" borderId="39"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165" fontId="2" fillId="7" borderId="24" xfId="0" applyNumberFormat="1" applyFont="1" applyFill="1" applyBorder="1" applyAlignment="1">
      <alignment horizontal="center" vertical="top" wrapText="1"/>
    </xf>
    <xf numFmtId="0" fontId="1" fillId="7" borderId="71" xfId="0" applyFont="1" applyFill="1" applyBorder="1" applyAlignment="1">
      <alignment vertical="center" wrapText="1"/>
    </xf>
    <xf numFmtId="0" fontId="1" fillId="7" borderId="71" xfId="0" applyFont="1" applyFill="1" applyBorder="1" applyAlignment="1">
      <alignment horizontal="center" vertical="center"/>
    </xf>
    <xf numFmtId="0" fontId="1" fillId="13" borderId="20" xfId="0" applyFont="1" applyFill="1" applyBorder="1" applyAlignment="1">
      <alignment horizontal="center" vertical="center"/>
    </xf>
    <xf numFmtId="0" fontId="1" fillId="13" borderId="91" xfId="0" applyFont="1" applyFill="1" applyBorder="1" applyAlignment="1">
      <alignment horizontal="center" vertical="center"/>
    </xf>
    <xf numFmtId="0" fontId="1" fillId="13" borderId="24" xfId="0" applyFont="1" applyFill="1" applyBorder="1" applyAlignment="1">
      <alignment horizontal="center" vertical="center"/>
    </xf>
    <xf numFmtId="0" fontId="1" fillId="13" borderId="23" xfId="0" applyFont="1" applyFill="1" applyBorder="1" applyAlignment="1">
      <alignment horizontal="center" vertical="center"/>
    </xf>
    <xf numFmtId="0" fontId="2" fillId="7" borderId="17" xfId="0" applyFont="1" applyFill="1" applyBorder="1" applyAlignment="1">
      <alignment vertical="top" wrapText="1"/>
    </xf>
    <xf numFmtId="165" fontId="1" fillId="7" borderId="20" xfId="0" applyNumberFormat="1" applyFont="1" applyFill="1" applyBorder="1" applyAlignment="1">
      <alignment horizontal="center" vertical="top"/>
    </xf>
    <xf numFmtId="0" fontId="1" fillId="7" borderId="98"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0" fontId="1" fillId="7" borderId="60" xfId="0" applyFont="1" applyFill="1" applyBorder="1" applyAlignment="1">
      <alignment horizontal="left" vertical="top" wrapText="1"/>
    </xf>
    <xf numFmtId="165" fontId="1" fillId="7" borderId="109" xfId="0" applyNumberFormat="1" applyFont="1" applyFill="1" applyBorder="1" applyAlignment="1">
      <alignment horizontal="center" vertical="center"/>
    </xf>
    <xf numFmtId="3" fontId="1" fillId="7" borderId="71" xfId="0" applyNumberFormat="1" applyFont="1" applyFill="1" applyBorder="1" applyAlignment="1">
      <alignment horizontal="center" vertical="top" wrapText="1"/>
    </xf>
    <xf numFmtId="3" fontId="1" fillId="7" borderId="82" xfId="0" applyNumberFormat="1" applyFont="1" applyFill="1" applyBorder="1" applyAlignment="1">
      <alignment horizontal="center" vertical="top" wrapText="1"/>
    </xf>
    <xf numFmtId="165" fontId="1" fillId="7" borderId="5" xfId="0" applyNumberFormat="1" applyFont="1" applyFill="1" applyBorder="1" applyAlignment="1">
      <alignment horizontal="center" vertical="top"/>
    </xf>
    <xf numFmtId="165" fontId="1" fillId="7" borderId="17" xfId="0" applyNumberFormat="1" applyFont="1" applyFill="1" applyBorder="1" applyAlignment="1">
      <alignment horizontal="center" vertical="top"/>
    </xf>
    <xf numFmtId="165" fontId="1" fillId="7" borderId="9" xfId="0" applyNumberFormat="1" applyFont="1" applyFill="1" applyBorder="1" applyAlignment="1">
      <alignment horizontal="center" vertical="top"/>
    </xf>
    <xf numFmtId="165" fontId="1" fillId="7" borderId="15"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165" fontId="2" fillId="7" borderId="17" xfId="0" applyNumberFormat="1" applyFont="1" applyFill="1" applyBorder="1" applyAlignment="1">
      <alignment horizontal="center" vertical="top" wrapText="1"/>
    </xf>
    <xf numFmtId="0" fontId="13" fillId="7" borderId="15" xfId="0" applyFont="1" applyFill="1" applyBorder="1" applyAlignment="1">
      <alignment vertical="top" wrapText="1"/>
    </xf>
    <xf numFmtId="49" fontId="1" fillId="8" borderId="9" xfId="0" applyNumberFormat="1" applyFont="1" applyFill="1" applyBorder="1" applyAlignment="1">
      <alignment horizontal="center" vertical="center" textRotation="90" wrapText="1"/>
    </xf>
    <xf numFmtId="165" fontId="1" fillId="7" borderId="71" xfId="0" applyNumberFormat="1" applyFont="1" applyFill="1" applyBorder="1" applyAlignment="1">
      <alignment horizontal="center" vertical="top"/>
    </xf>
    <xf numFmtId="3" fontId="1" fillId="7" borderId="36" xfId="0" applyNumberFormat="1" applyFont="1" applyFill="1" applyBorder="1" applyAlignment="1">
      <alignment horizontal="center" vertical="top" wrapText="1"/>
    </xf>
    <xf numFmtId="0" fontId="1" fillId="7" borderId="107" xfId="0" applyNumberFormat="1" applyFont="1" applyFill="1" applyBorder="1" applyAlignment="1">
      <alignment horizontal="center" vertical="top"/>
    </xf>
    <xf numFmtId="165" fontId="1" fillId="7" borderId="93" xfId="0" applyNumberFormat="1" applyFont="1" applyFill="1" applyBorder="1" applyAlignment="1">
      <alignment horizontal="center" vertical="center"/>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5" fontId="2" fillId="7" borderId="60" xfId="0" applyNumberFormat="1" applyFont="1" applyFill="1" applyBorder="1" applyAlignment="1">
      <alignment horizontal="center" vertical="top" wrapText="1"/>
    </xf>
    <xf numFmtId="0" fontId="1" fillId="7" borderId="108" xfId="0" applyFont="1" applyFill="1" applyBorder="1" applyAlignment="1">
      <alignment vertical="center" wrapText="1"/>
    </xf>
    <xf numFmtId="165" fontId="1" fillId="7" borderId="9"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0" fontId="1" fillId="7" borderId="15" xfId="0" applyFont="1" applyFill="1" applyBorder="1" applyAlignment="1">
      <alignment horizontal="center" vertical="top" wrapText="1"/>
    </xf>
    <xf numFmtId="0" fontId="1" fillId="7" borderId="82" xfId="0" applyFont="1" applyFill="1" applyBorder="1" applyAlignment="1">
      <alignment horizontal="center" vertical="top" wrapText="1"/>
    </xf>
    <xf numFmtId="49" fontId="2" fillId="2" borderId="1"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0" fontId="1" fillId="7" borderId="70" xfId="0" applyFont="1" applyFill="1" applyBorder="1" applyAlignment="1">
      <alignment horizontal="left" vertical="top" wrapText="1"/>
    </xf>
    <xf numFmtId="165" fontId="1" fillId="7" borderId="24" xfId="0" applyNumberFormat="1" applyFont="1" applyFill="1" applyBorder="1" applyAlignment="1">
      <alignment vertical="top" wrapText="1"/>
    </xf>
    <xf numFmtId="165" fontId="1" fillId="7" borderId="17" xfId="0" applyNumberFormat="1" applyFont="1" applyFill="1" applyBorder="1" applyAlignment="1">
      <alignment horizontal="left" vertical="top" wrapText="1"/>
    </xf>
    <xf numFmtId="165" fontId="1" fillId="7" borderId="9" xfId="0" applyNumberFormat="1" applyFont="1" applyFill="1" applyBorder="1" applyAlignment="1">
      <alignment horizontal="left" vertical="top" wrapText="1"/>
    </xf>
    <xf numFmtId="165" fontId="1" fillId="7" borderId="37" xfId="0" applyNumberFormat="1" applyFont="1" applyFill="1" applyBorder="1" applyAlignment="1">
      <alignment horizontal="left" vertical="top" wrapText="1"/>
    </xf>
    <xf numFmtId="165" fontId="1" fillId="7" borderId="39" xfId="0" applyNumberFormat="1" applyFont="1" applyFill="1" applyBorder="1" applyAlignment="1">
      <alignment horizontal="left" vertical="top" wrapText="1"/>
    </xf>
    <xf numFmtId="165" fontId="1" fillId="7" borderId="4" xfId="0" applyNumberFormat="1" applyFont="1" applyFill="1" applyBorder="1" applyAlignment="1">
      <alignment horizontal="left" vertical="top" wrapText="1"/>
    </xf>
    <xf numFmtId="49" fontId="1" fillId="8" borderId="9" xfId="0" applyNumberFormat="1" applyFont="1" applyFill="1" applyBorder="1" applyAlignment="1">
      <alignment horizontal="center" vertical="center" textRotation="90" wrapText="1"/>
    </xf>
    <xf numFmtId="165" fontId="2" fillId="9" borderId="28" xfId="0" applyNumberFormat="1" applyFont="1" applyFill="1" applyBorder="1" applyAlignment="1">
      <alignment horizontal="center" vertical="top"/>
    </xf>
    <xf numFmtId="165" fontId="1" fillId="7" borderId="40" xfId="0" applyNumberFormat="1" applyFont="1" applyFill="1" applyBorder="1" applyAlignment="1">
      <alignment horizontal="left" vertical="top" wrapText="1"/>
    </xf>
    <xf numFmtId="165" fontId="1" fillId="7" borderId="28" xfId="0" applyNumberFormat="1" applyFont="1" applyFill="1" applyBorder="1" applyAlignment="1">
      <alignment horizontal="left" vertical="top" wrapText="1"/>
    </xf>
    <xf numFmtId="0" fontId="5" fillId="7" borderId="9" xfId="0" applyFont="1" applyFill="1" applyBorder="1" applyAlignment="1">
      <alignment vertical="top" wrapText="1"/>
    </xf>
    <xf numFmtId="165" fontId="2" fillId="2"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1" fillId="7" borderId="6" xfId="0" applyNumberFormat="1" applyFont="1" applyFill="1" applyBorder="1" applyAlignment="1">
      <alignment horizontal="left" vertical="top" wrapText="1"/>
    </xf>
    <xf numFmtId="165" fontId="2" fillId="8" borderId="9" xfId="0" applyNumberFormat="1" applyFont="1" applyFill="1" applyBorder="1" applyAlignment="1">
      <alignment horizontal="center" vertical="top"/>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49" fontId="2" fillId="8" borderId="9"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0" fontId="1" fillId="7" borderId="31" xfId="0" applyNumberFormat="1" applyFont="1" applyFill="1" applyBorder="1" applyAlignment="1">
      <alignment horizontal="center" vertical="top"/>
    </xf>
    <xf numFmtId="0" fontId="1" fillId="7" borderId="17" xfId="0" applyFont="1" applyFill="1" applyBorder="1" applyAlignment="1">
      <alignment horizontal="center" vertical="top"/>
    </xf>
    <xf numFmtId="0" fontId="1" fillId="7" borderId="36" xfId="0" applyFont="1" applyFill="1" applyBorder="1" applyAlignment="1">
      <alignment horizontal="center" vertical="top"/>
    </xf>
    <xf numFmtId="165" fontId="2" fillId="7" borderId="24" xfId="0" applyNumberFormat="1" applyFont="1" applyFill="1" applyBorder="1" applyAlignment="1">
      <alignment horizontal="center" vertical="top" wrapText="1"/>
    </xf>
    <xf numFmtId="0" fontId="1" fillId="7" borderId="67" xfId="0" applyFont="1" applyFill="1" applyBorder="1" applyAlignment="1">
      <alignment horizontal="center" vertical="top"/>
    </xf>
    <xf numFmtId="165" fontId="1" fillId="7" borderId="67" xfId="0" applyNumberFormat="1" applyFont="1" applyFill="1" applyBorder="1" applyAlignment="1">
      <alignment horizontal="left" vertical="top" wrapText="1"/>
    </xf>
    <xf numFmtId="165" fontId="2" fillId="0" borderId="0" xfId="0" applyNumberFormat="1" applyFont="1" applyFill="1" applyBorder="1" applyAlignment="1">
      <alignment horizontal="center" vertical="top" wrapText="1"/>
    </xf>
    <xf numFmtId="165" fontId="1" fillId="7" borderId="71" xfId="0" applyNumberFormat="1" applyFont="1" applyFill="1" applyBorder="1" applyAlignment="1">
      <alignment horizontal="center" vertical="top"/>
    </xf>
    <xf numFmtId="49" fontId="2" fillId="9" borderId="5" xfId="0" applyNumberFormat="1" applyFont="1" applyFill="1" applyBorder="1" applyAlignment="1">
      <alignment horizontal="center" vertical="top"/>
    </xf>
    <xf numFmtId="167" fontId="1" fillId="7" borderId="93" xfId="0" applyNumberFormat="1" applyFont="1" applyFill="1" applyBorder="1" applyAlignment="1">
      <alignment horizontal="center" vertical="top"/>
    </xf>
    <xf numFmtId="167" fontId="1" fillId="7" borderId="70" xfId="0" applyNumberFormat="1" applyFont="1" applyFill="1" applyBorder="1" applyAlignment="1">
      <alignment horizontal="center" vertical="top"/>
    </xf>
    <xf numFmtId="0" fontId="1" fillId="7" borderId="6" xfId="0" applyFont="1" applyFill="1" applyBorder="1" applyAlignment="1">
      <alignment horizontal="left" vertical="top" wrapText="1"/>
    </xf>
    <xf numFmtId="0" fontId="1" fillId="7" borderId="4" xfId="0" applyFont="1" applyFill="1" applyBorder="1" applyAlignment="1">
      <alignment horizontal="left" vertical="top" wrapText="1"/>
    </xf>
    <xf numFmtId="165" fontId="1" fillId="7" borderId="39" xfId="0" applyNumberFormat="1" applyFont="1" applyFill="1" applyBorder="1" applyAlignment="1">
      <alignment vertical="top" wrapText="1"/>
    </xf>
    <xf numFmtId="49" fontId="2" fillId="7" borderId="39" xfId="0" applyNumberFormat="1" applyFont="1" applyFill="1" applyBorder="1" applyAlignment="1">
      <alignment horizontal="center" vertical="top"/>
    </xf>
    <xf numFmtId="165" fontId="1" fillId="7" borderId="90" xfId="0" applyNumberFormat="1" applyFont="1" applyFill="1" applyBorder="1" applyAlignment="1">
      <alignment horizontal="center" vertical="top"/>
    </xf>
    <xf numFmtId="165" fontId="1" fillId="7" borderId="94" xfId="0" applyNumberFormat="1" applyFont="1" applyFill="1" applyBorder="1" applyAlignment="1">
      <alignment horizontal="center" vertical="top"/>
    </xf>
    <xf numFmtId="165" fontId="1" fillId="7" borderId="17" xfId="0" applyNumberFormat="1" applyFont="1" applyFill="1" applyBorder="1" applyAlignment="1">
      <alignment horizontal="center" vertical="top"/>
    </xf>
    <xf numFmtId="165" fontId="1" fillId="7" borderId="9" xfId="0" applyNumberFormat="1" applyFont="1" applyFill="1" applyBorder="1" applyAlignment="1">
      <alignment horizontal="center" vertical="top"/>
    </xf>
    <xf numFmtId="165" fontId="1" fillId="7" borderId="1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0" fontId="1" fillId="7" borderId="20" xfId="0" applyFont="1" applyFill="1" applyBorder="1" applyAlignment="1">
      <alignment horizontal="left" vertical="top" wrapText="1"/>
    </xf>
    <xf numFmtId="0" fontId="1" fillId="7" borderId="4" xfId="0" applyFont="1" applyFill="1" applyBorder="1" applyAlignment="1">
      <alignment vertical="top" wrapText="1"/>
    </xf>
    <xf numFmtId="165" fontId="1" fillId="7" borderId="19" xfId="0" applyNumberFormat="1" applyFont="1" applyFill="1" applyBorder="1" applyAlignment="1">
      <alignment horizontal="left" vertical="top" wrapText="1"/>
    </xf>
    <xf numFmtId="0" fontId="1" fillId="7" borderId="6" xfId="0" applyFont="1" applyFill="1" applyBorder="1" applyAlignment="1">
      <alignment vertical="top" wrapText="1"/>
    </xf>
    <xf numFmtId="0" fontId="8" fillId="7" borderId="108" xfId="0" applyFont="1" applyFill="1" applyBorder="1" applyAlignment="1">
      <alignment vertical="top" wrapText="1"/>
    </xf>
    <xf numFmtId="0" fontId="8" fillId="7" borderId="67" xfId="0" applyFont="1" applyFill="1" applyBorder="1" applyAlignment="1">
      <alignment vertical="top" wrapText="1"/>
    </xf>
    <xf numFmtId="3" fontId="22" fillId="7" borderId="99" xfId="0" applyNumberFormat="1" applyFont="1" applyFill="1" applyBorder="1" applyAlignment="1">
      <alignment horizontal="center" vertical="top"/>
    </xf>
    <xf numFmtId="165" fontId="2" fillId="7" borderId="15" xfId="0" applyNumberFormat="1" applyFont="1" applyFill="1" applyBorder="1" applyAlignment="1">
      <alignment horizontal="center" vertical="top" wrapText="1"/>
    </xf>
    <xf numFmtId="0" fontId="2" fillId="7" borderId="15" xfId="0" applyFont="1" applyFill="1" applyBorder="1" applyAlignment="1">
      <alignment horizontal="center" vertical="top" wrapText="1"/>
    </xf>
    <xf numFmtId="165" fontId="2" fillId="7" borderId="23" xfId="0" applyNumberFormat="1" applyFont="1" applyFill="1" applyBorder="1" applyAlignment="1">
      <alignment horizontal="center" vertical="top" wrapText="1"/>
    </xf>
    <xf numFmtId="165" fontId="7" fillId="7" borderId="84" xfId="0" applyNumberFormat="1" applyFont="1" applyFill="1" applyBorder="1" applyAlignment="1">
      <alignment horizontal="left" vertical="top" wrapText="1"/>
    </xf>
    <xf numFmtId="0" fontId="1" fillId="7" borderId="71" xfId="0" applyFont="1" applyFill="1" applyBorder="1" applyAlignment="1">
      <alignment horizontal="left" vertical="top" wrapText="1"/>
    </xf>
    <xf numFmtId="0" fontId="25" fillId="7" borderId="105" xfId="0" applyFont="1" applyFill="1" applyBorder="1" applyAlignment="1">
      <alignment vertical="top"/>
    </xf>
    <xf numFmtId="0" fontId="1" fillId="7" borderId="4" xfId="0" applyFont="1" applyFill="1" applyBorder="1" applyAlignment="1">
      <alignment vertical="center" wrapText="1"/>
    </xf>
    <xf numFmtId="3" fontId="1" fillId="7" borderId="90" xfId="0" applyNumberFormat="1" applyFont="1" applyFill="1" applyBorder="1" applyAlignment="1">
      <alignment horizontal="center" vertical="top" wrapText="1"/>
    </xf>
    <xf numFmtId="3" fontId="1" fillId="7" borderId="106" xfId="0" applyNumberFormat="1" applyFont="1" applyFill="1" applyBorder="1" applyAlignment="1">
      <alignment horizontal="center" vertical="top" wrapText="1"/>
    </xf>
    <xf numFmtId="0" fontId="2" fillId="7" borderId="29" xfId="0" applyFont="1" applyFill="1" applyBorder="1" applyAlignment="1">
      <alignment horizontal="center" vertical="top"/>
    </xf>
    <xf numFmtId="0" fontId="26" fillId="0" borderId="0" xfId="0" applyFont="1" applyBorder="1" applyAlignment="1">
      <alignment vertical="top"/>
    </xf>
    <xf numFmtId="0" fontId="1" fillId="0" borderId="15" xfId="0" applyFont="1" applyBorder="1" applyAlignment="1">
      <alignment vertical="top"/>
    </xf>
    <xf numFmtId="0" fontId="1" fillId="7" borderId="0" xfId="0" applyFont="1" applyFill="1" applyAlignment="1">
      <alignment vertical="top"/>
    </xf>
    <xf numFmtId="0" fontId="1" fillId="7" borderId="5" xfId="0" applyFont="1" applyFill="1" applyBorder="1" applyAlignment="1">
      <alignment horizontal="center" vertical="top"/>
    </xf>
    <xf numFmtId="0" fontId="1" fillId="0" borderId="39" xfId="0" applyFont="1" applyBorder="1" applyAlignment="1">
      <alignment vertical="top"/>
    </xf>
    <xf numFmtId="0" fontId="1" fillId="7" borderId="61" xfId="0" applyNumberFormat="1" applyFont="1" applyFill="1" applyBorder="1" applyAlignment="1">
      <alignment horizontal="center" vertical="top"/>
    </xf>
    <xf numFmtId="0" fontId="1" fillId="0" borderId="92" xfId="0" applyFont="1" applyBorder="1" applyAlignment="1">
      <alignment horizontal="center" vertical="top"/>
    </xf>
    <xf numFmtId="167" fontId="1" fillId="7" borderId="82" xfId="0" applyNumberFormat="1" applyFont="1" applyFill="1" applyBorder="1" applyAlignment="1">
      <alignment horizontal="center" vertical="top"/>
    </xf>
    <xf numFmtId="0" fontId="1" fillId="7" borderId="68" xfId="0" applyFont="1" applyFill="1" applyBorder="1" applyAlignment="1">
      <alignment vertical="top"/>
    </xf>
    <xf numFmtId="0" fontId="1" fillId="7" borderId="61" xfId="0" applyFont="1" applyFill="1" applyBorder="1" applyAlignment="1">
      <alignment vertical="top"/>
    </xf>
    <xf numFmtId="0" fontId="1" fillId="7" borderId="69" xfId="0" applyNumberFormat="1" applyFont="1" applyFill="1" applyBorder="1" applyAlignment="1">
      <alignment horizontal="center" vertical="top"/>
    </xf>
    <xf numFmtId="165" fontId="2" fillId="0" borderId="23" xfId="0" applyNumberFormat="1" applyFont="1" applyFill="1" applyBorder="1" applyAlignment="1">
      <alignment horizontal="center" vertical="top" wrapText="1"/>
    </xf>
    <xf numFmtId="3" fontId="8" fillId="7" borderId="90" xfId="0" applyNumberFormat="1" applyFont="1" applyFill="1" applyBorder="1" applyAlignment="1">
      <alignment horizontal="center" vertical="top"/>
    </xf>
    <xf numFmtId="3" fontId="8" fillId="7" borderId="18" xfId="0" applyNumberFormat="1" applyFont="1" applyFill="1" applyBorder="1" applyAlignment="1">
      <alignment horizontal="center" vertical="top"/>
    </xf>
    <xf numFmtId="0" fontId="2" fillId="7" borderId="39" xfId="0" applyFont="1" applyFill="1" applyBorder="1" applyAlignment="1">
      <alignment horizontal="center" vertical="top"/>
    </xf>
    <xf numFmtId="165" fontId="2" fillId="7" borderId="109" xfId="0" applyNumberFormat="1" applyFont="1" applyFill="1" applyBorder="1" applyAlignment="1">
      <alignment horizontal="center" vertical="top" wrapText="1"/>
    </xf>
    <xf numFmtId="165" fontId="1" fillId="7" borderId="9" xfId="0" applyNumberFormat="1" applyFont="1" applyFill="1" applyBorder="1" applyAlignment="1">
      <alignment vertical="top"/>
    </xf>
    <xf numFmtId="165" fontId="1" fillId="7" borderId="15" xfId="0" applyNumberFormat="1" applyFont="1" applyFill="1" applyBorder="1" applyAlignment="1">
      <alignment vertical="top"/>
    </xf>
    <xf numFmtId="0" fontId="1" fillId="7" borderId="62" xfId="0" applyNumberFormat="1" applyFont="1" applyFill="1" applyBorder="1" applyAlignment="1">
      <alignment horizontal="center" vertical="top"/>
    </xf>
    <xf numFmtId="0" fontId="1" fillId="7" borderId="63" xfId="0" applyNumberFormat="1" applyFont="1" applyFill="1" applyBorder="1" applyAlignment="1">
      <alignment horizontal="center" vertical="top"/>
    </xf>
    <xf numFmtId="0" fontId="1" fillId="0" borderId="19" xfId="0" applyFont="1" applyBorder="1" applyAlignment="1">
      <alignment vertical="top"/>
    </xf>
    <xf numFmtId="3" fontId="1" fillId="7" borderId="15" xfId="0" applyNumberFormat="1" applyFont="1" applyFill="1" applyBorder="1" applyAlignment="1">
      <alignment horizontal="center" vertical="top" wrapText="1"/>
    </xf>
    <xf numFmtId="0" fontId="1" fillId="7" borderId="18" xfId="0" applyFont="1" applyFill="1" applyBorder="1" applyAlignment="1">
      <alignment horizontal="center" vertical="center"/>
    </xf>
    <xf numFmtId="0" fontId="1" fillId="0" borderId="57" xfId="0" applyFont="1" applyFill="1" applyBorder="1" applyAlignment="1">
      <alignment horizontal="center" vertical="top"/>
    </xf>
    <xf numFmtId="0" fontId="1" fillId="0" borderId="57" xfId="0" applyFont="1" applyBorder="1" applyAlignment="1">
      <alignment vertical="top"/>
    </xf>
    <xf numFmtId="165" fontId="1" fillId="7" borderId="87" xfId="0" applyNumberFormat="1" applyFont="1" applyFill="1" applyBorder="1" applyAlignment="1">
      <alignment horizontal="center" vertical="top"/>
    </xf>
    <xf numFmtId="3" fontId="4" fillId="7" borderId="89" xfId="0" applyNumberFormat="1" applyFont="1" applyFill="1" applyBorder="1" applyAlignment="1">
      <alignment horizontal="center" vertical="top" wrapText="1"/>
    </xf>
    <xf numFmtId="0" fontId="1" fillId="7" borderId="5" xfId="0" applyFont="1" applyFill="1" applyBorder="1" applyAlignment="1">
      <alignment vertical="top"/>
    </xf>
    <xf numFmtId="0" fontId="1" fillId="7" borderId="17" xfId="0" applyFont="1" applyFill="1" applyBorder="1" applyAlignment="1">
      <alignment vertical="top"/>
    </xf>
    <xf numFmtId="165" fontId="2" fillId="8" borderId="96" xfId="0" applyNumberFormat="1" applyFont="1" applyFill="1" applyBorder="1" applyAlignment="1">
      <alignment horizontal="center" vertical="top"/>
    </xf>
    <xf numFmtId="165" fontId="2" fillId="8" borderId="87" xfId="0" applyNumberFormat="1" applyFont="1" applyFill="1" applyBorder="1" applyAlignment="1">
      <alignment horizontal="center" vertical="top"/>
    </xf>
    <xf numFmtId="165" fontId="2" fillId="8" borderId="124" xfId="0" applyNumberFormat="1" applyFont="1" applyFill="1" applyBorder="1" applyAlignment="1">
      <alignment horizontal="center" vertical="top"/>
    </xf>
    <xf numFmtId="165" fontId="2" fillId="7" borderId="39" xfId="0" applyNumberFormat="1" applyFont="1" applyFill="1" applyBorder="1" applyAlignment="1">
      <alignment vertical="top" wrapText="1"/>
    </xf>
    <xf numFmtId="165" fontId="2" fillId="7" borderId="18" xfId="0" applyNumberFormat="1" applyFont="1" applyFill="1" applyBorder="1" applyAlignment="1">
      <alignment horizontal="center" vertical="top" wrapText="1"/>
    </xf>
    <xf numFmtId="165" fontId="2" fillId="7" borderId="22" xfId="0" applyNumberFormat="1" applyFont="1" applyFill="1" applyBorder="1" applyAlignment="1">
      <alignment horizontal="center" vertical="top" wrapText="1"/>
    </xf>
    <xf numFmtId="165" fontId="1" fillId="7" borderId="32" xfId="0" applyNumberFormat="1" applyFont="1" applyFill="1" applyBorder="1" applyAlignment="1">
      <alignment vertical="top"/>
    </xf>
    <xf numFmtId="165" fontId="1" fillId="7" borderId="3" xfId="0" applyNumberFormat="1" applyFont="1" applyFill="1" applyBorder="1" applyAlignment="1">
      <alignment vertical="top"/>
    </xf>
    <xf numFmtId="165" fontId="1" fillId="7" borderId="21" xfId="0" applyNumberFormat="1" applyFont="1" applyFill="1" applyBorder="1" applyAlignment="1">
      <alignment vertical="top"/>
    </xf>
    <xf numFmtId="165" fontId="1" fillId="7" borderId="88" xfId="0" applyNumberFormat="1" applyFont="1" applyFill="1" applyBorder="1" applyAlignment="1">
      <alignment vertical="top"/>
    </xf>
    <xf numFmtId="165" fontId="1" fillId="7" borderId="0" xfId="0" applyNumberFormat="1" applyFont="1" applyFill="1" applyBorder="1" applyAlignment="1">
      <alignment vertical="top"/>
    </xf>
    <xf numFmtId="165" fontId="1" fillId="7" borderId="35" xfId="0" applyNumberFormat="1" applyFont="1" applyFill="1" applyBorder="1" applyAlignment="1">
      <alignment vertical="top"/>
    </xf>
    <xf numFmtId="165" fontId="1" fillId="7" borderId="125" xfId="0" applyNumberFormat="1" applyFont="1" applyFill="1" applyBorder="1" applyAlignment="1">
      <alignment horizontal="center" vertical="top"/>
    </xf>
    <xf numFmtId="165" fontId="1" fillId="7" borderId="126" xfId="0" applyNumberFormat="1" applyFont="1" applyFill="1" applyBorder="1" applyAlignment="1">
      <alignment horizontal="center" vertical="top"/>
    </xf>
    <xf numFmtId="165" fontId="2" fillId="8" borderId="113" xfId="0" applyNumberFormat="1" applyFont="1" applyFill="1" applyBorder="1" applyAlignment="1">
      <alignment horizontal="center" vertical="top"/>
    </xf>
    <xf numFmtId="49" fontId="2" fillId="7" borderId="23" xfId="0" applyNumberFormat="1" applyFont="1" applyFill="1" applyBorder="1" applyAlignment="1">
      <alignment horizontal="center" vertical="top"/>
    </xf>
    <xf numFmtId="49" fontId="2" fillId="7" borderId="22" xfId="0" applyNumberFormat="1" applyFont="1" applyFill="1" applyBorder="1" applyAlignment="1">
      <alignment horizontal="center" vertical="top"/>
    </xf>
    <xf numFmtId="49" fontId="2" fillId="7" borderId="15" xfId="0" applyNumberFormat="1" applyFont="1" applyFill="1" applyBorder="1" applyAlignment="1">
      <alignment horizontal="center" vertical="top"/>
    </xf>
    <xf numFmtId="165" fontId="1" fillId="7" borderId="32" xfId="0" applyNumberFormat="1" applyFont="1" applyFill="1" applyBorder="1" applyAlignment="1">
      <alignment horizontal="left" vertical="top" wrapText="1"/>
    </xf>
    <xf numFmtId="165" fontId="2" fillId="7" borderId="9" xfId="0" applyNumberFormat="1" applyFont="1" applyFill="1" applyBorder="1" applyAlignment="1">
      <alignment vertical="top" wrapText="1"/>
    </xf>
    <xf numFmtId="165" fontId="6" fillId="7" borderId="9" xfId="0" applyNumberFormat="1" applyFont="1" applyFill="1" applyBorder="1" applyAlignment="1">
      <alignment horizontal="center" vertical="top" wrapText="1"/>
    </xf>
    <xf numFmtId="165" fontId="5" fillId="7" borderId="28" xfId="0" applyNumberFormat="1" applyFont="1" applyFill="1" applyBorder="1" applyAlignment="1">
      <alignment vertical="top" wrapText="1"/>
    </xf>
    <xf numFmtId="165" fontId="5" fillId="7" borderId="127" xfId="0" applyNumberFormat="1" applyFont="1" applyFill="1" applyBorder="1" applyAlignment="1">
      <alignment vertical="top" wrapText="1"/>
    </xf>
    <xf numFmtId="165" fontId="5" fillId="7" borderId="4" xfId="0" applyNumberFormat="1" applyFont="1" applyFill="1" applyBorder="1" applyAlignment="1">
      <alignment vertical="top" wrapText="1"/>
    </xf>
    <xf numFmtId="165" fontId="1" fillId="7" borderId="128" xfId="0" applyNumberFormat="1" applyFont="1" applyFill="1" applyBorder="1" applyAlignment="1">
      <alignment horizontal="center" vertical="top"/>
    </xf>
    <xf numFmtId="165" fontId="1" fillId="7" borderId="129" xfId="0" applyNumberFormat="1" applyFont="1" applyFill="1" applyBorder="1" applyAlignment="1">
      <alignment horizontal="center" vertical="top"/>
    </xf>
    <xf numFmtId="0" fontId="1" fillId="7" borderId="115" xfId="0" applyFont="1" applyFill="1" applyBorder="1" applyAlignment="1">
      <alignment vertical="top" wrapText="1"/>
    </xf>
    <xf numFmtId="3" fontId="1" fillId="7" borderId="14" xfId="0" applyNumberFormat="1" applyFont="1" applyFill="1" applyBorder="1" applyAlignment="1">
      <alignment vertical="top"/>
    </xf>
    <xf numFmtId="165" fontId="2" fillId="8" borderId="86" xfId="0" applyNumberFormat="1" applyFont="1" applyFill="1" applyBorder="1" applyAlignment="1">
      <alignment horizontal="center" vertical="top"/>
    </xf>
    <xf numFmtId="0" fontId="26" fillId="7" borderId="65" xfId="0" applyFont="1" applyFill="1" applyBorder="1" applyAlignment="1">
      <alignment horizontal="center" vertical="top"/>
    </xf>
    <xf numFmtId="165" fontId="26" fillId="7" borderId="5" xfId="0" applyNumberFormat="1" applyFont="1" applyFill="1" applyBorder="1" applyAlignment="1">
      <alignment horizontal="center" vertical="top"/>
    </xf>
    <xf numFmtId="165" fontId="26" fillId="7" borderId="62" xfId="0" applyNumberFormat="1" applyFont="1" applyFill="1" applyBorder="1" applyAlignment="1">
      <alignment horizontal="center" vertical="top"/>
    </xf>
    <xf numFmtId="165" fontId="26" fillId="7" borderId="15" xfId="0" applyNumberFormat="1" applyFont="1" applyFill="1" applyBorder="1" applyAlignment="1">
      <alignment horizontal="center" vertical="top"/>
    </xf>
    <xf numFmtId="0" fontId="26" fillId="7" borderId="67" xfId="0" applyFont="1" applyFill="1" applyBorder="1" applyAlignment="1">
      <alignment horizontal="center" vertical="top"/>
    </xf>
    <xf numFmtId="165" fontId="26" fillId="7" borderId="92" xfId="0" applyNumberFormat="1" applyFont="1" applyFill="1" applyBorder="1" applyAlignment="1">
      <alignment horizontal="center" vertical="top"/>
    </xf>
    <xf numFmtId="165" fontId="26" fillId="7" borderId="9" xfId="0" applyNumberFormat="1" applyFont="1" applyFill="1" applyBorder="1" applyAlignment="1">
      <alignment horizontal="center" vertical="top"/>
    </xf>
    <xf numFmtId="165" fontId="26" fillId="7" borderId="63" xfId="0" applyNumberFormat="1" applyFont="1" applyFill="1" applyBorder="1" applyAlignment="1">
      <alignment horizontal="center" vertical="top"/>
    </xf>
    <xf numFmtId="165" fontId="26" fillId="7" borderId="71" xfId="0" applyNumberFormat="1" applyFont="1" applyFill="1" applyBorder="1" applyAlignment="1">
      <alignment horizontal="center" vertical="top"/>
    </xf>
    <xf numFmtId="165" fontId="26" fillId="7" borderId="93" xfId="0" applyNumberFormat="1" applyFont="1" applyFill="1" applyBorder="1" applyAlignment="1">
      <alignment horizontal="center" vertical="top"/>
    </xf>
    <xf numFmtId="165" fontId="27" fillId="7" borderId="70" xfId="0" applyNumberFormat="1" applyFont="1" applyFill="1" applyBorder="1" applyAlignment="1">
      <alignment horizontal="center" vertical="top"/>
    </xf>
    <xf numFmtId="165" fontId="27" fillId="7" borderId="82" xfId="0" applyNumberFormat="1" applyFont="1" applyFill="1" applyBorder="1" applyAlignment="1">
      <alignment horizontal="center" vertical="top"/>
    </xf>
    <xf numFmtId="165" fontId="26" fillId="7" borderId="67" xfId="0" applyNumberFormat="1" applyFont="1" applyFill="1" applyBorder="1" applyAlignment="1">
      <alignment horizontal="center" vertical="top"/>
    </xf>
    <xf numFmtId="165" fontId="27" fillId="7" borderId="94" xfId="0" applyNumberFormat="1" applyFont="1" applyFill="1" applyBorder="1" applyAlignment="1">
      <alignment horizontal="center" vertical="top"/>
    </xf>
    <xf numFmtId="165" fontId="27" fillId="7" borderId="9" xfId="0" applyNumberFormat="1" applyFont="1" applyFill="1" applyBorder="1" applyAlignment="1">
      <alignment horizontal="center" vertical="top"/>
    </xf>
    <xf numFmtId="165" fontId="27" fillId="7" borderId="23" xfId="0" applyNumberFormat="1" applyFont="1" applyFill="1" applyBorder="1" applyAlignment="1">
      <alignment horizontal="center" vertical="top"/>
    </xf>
    <xf numFmtId="165" fontId="26" fillId="7" borderId="6" xfId="0" applyNumberFormat="1" applyFont="1" applyFill="1" applyBorder="1" applyAlignment="1">
      <alignment horizontal="center" vertical="top"/>
    </xf>
    <xf numFmtId="167" fontId="26" fillId="7" borderId="90" xfId="0" applyNumberFormat="1" applyFont="1" applyFill="1" applyBorder="1" applyAlignment="1">
      <alignment horizontal="center" vertical="top"/>
    </xf>
    <xf numFmtId="0" fontId="26" fillId="7" borderId="17" xfId="0" applyFont="1" applyFill="1" applyBorder="1" applyAlignment="1">
      <alignment horizontal="center" vertical="top"/>
    </xf>
    <xf numFmtId="0" fontId="26" fillId="7" borderId="18" xfId="0" applyFont="1" applyFill="1" applyBorder="1" applyAlignment="1">
      <alignment horizontal="center" vertical="top"/>
    </xf>
    <xf numFmtId="0" fontId="26" fillId="7" borderId="60" xfId="0" applyFont="1" applyFill="1" applyBorder="1" applyAlignment="1">
      <alignment horizontal="center" vertical="top"/>
    </xf>
    <xf numFmtId="0" fontId="26" fillId="7" borderId="61" xfId="0" applyFont="1" applyFill="1" applyBorder="1" applyAlignment="1">
      <alignment horizontal="center" vertical="top"/>
    </xf>
    <xf numFmtId="165" fontId="26" fillId="7" borderId="65" xfId="0" applyNumberFormat="1" applyFont="1" applyFill="1" applyBorder="1" applyAlignment="1">
      <alignment horizontal="center" vertical="top"/>
    </xf>
    <xf numFmtId="165" fontId="26" fillId="7" borderId="60" xfId="0" applyNumberFormat="1" applyFont="1" applyFill="1" applyBorder="1" applyAlignment="1">
      <alignment horizontal="center" vertical="top"/>
    </xf>
    <xf numFmtId="0" fontId="26" fillId="7" borderId="4" xfId="0" applyFont="1" applyFill="1" applyBorder="1" applyAlignment="1">
      <alignment horizontal="center" vertical="top"/>
    </xf>
    <xf numFmtId="0" fontId="26" fillId="7" borderId="5" xfId="0" applyFont="1" applyFill="1" applyBorder="1" applyAlignment="1">
      <alignment horizontal="center" vertical="top"/>
    </xf>
    <xf numFmtId="0" fontId="26" fillId="7" borderId="0" xfId="0" applyFont="1" applyFill="1" applyBorder="1" applyAlignment="1">
      <alignment horizontal="center" vertical="top"/>
    </xf>
    <xf numFmtId="0" fontId="26" fillId="7" borderId="15" xfId="0" applyFont="1" applyFill="1" applyBorder="1" applyAlignment="1">
      <alignment horizontal="center" vertical="top"/>
    </xf>
    <xf numFmtId="0" fontId="26" fillId="7" borderId="20" xfId="0" applyFont="1" applyFill="1" applyBorder="1" applyAlignment="1">
      <alignment horizontal="center" vertical="top"/>
    </xf>
    <xf numFmtId="0" fontId="26" fillId="7" borderId="91" xfId="0" applyFont="1" applyFill="1" applyBorder="1" applyAlignment="1">
      <alignment vertical="top"/>
    </xf>
    <xf numFmtId="0" fontId="26" fillId="7" borderId="0" xfId="0" applyFont="1" applyFill="1" applyAlignment="1">
      <alignment vertical="top"/>
    </xf>
    <xf numFmtId="0" fontId="26" fillId="7" borderId="23" xfId="0" applyFont="1" applyFill="1" applyBorder="1" applyAlignment="1">
      <alignment vertical="top"/>
    </xf>
    <xf numFmtId="165" fontId="26" fillId="7" borderId="99" xfId="0" applyNumberFormat="1" applyFont="1" applyFill="1" applyBorder="1" applyAlignment="1">
      <alignment horizontal="center" vertical="top"/>
    </xf>
    <xf numFmtId="165" fontId="26" fillId="7" borderId="79" xfId="0" applyNumberFormat="1" applyFont="1" applyFill="1" applyBorder="1" applyAlignment="1">
      <alignment horizontal="center" vertical="top"/>
    </xf>
    <xf numFmtId="165" fontId="26" fillId="7" borderId="83" xfId="0" applyNumberFormat="1" applyFont="1" applyFill="1" applyBorder="1" applyAlignment="1">
      <alignment horizontal="center" vertical="top"/>
    </xf>
    <xf numFmtId="165" fontId="26" fillId="7" borderId="70" xfId="0" applyNumberFormat="1" applyFont="1" applyFill="1" applyBorder="1" applyAlignment="1">
      <alignment horizontal="center" vertical="top"/>
    </xf>
    <xf numFmtId="165" fontId="26" fillId="7" borderId="82" xfId="0" applyNumberFormat="1" applyFont="1" applyFill="1" applyBorder="1" applyAlignment="1">
      <alignment horizontal="center" vertical="top"/>
    </xf>
    <xf numFmtId="165" fontId="26" fillId="7" borderId="38" xfId="0" applyNumberFormat="1" applyFont="1" applyFill="1" applyBorder="1" applyAlignment="1">
      <alignment horizontal="center" vertical="top"/>
    </xf>
    <xf numFmtId="165" fontId="26" fillId="7" borderId="20" xfId="0" applyNumberFormat="1" applyFont="1" applyFill="1" applyBorder="1" applyAlignment="1">
      <alignment horizontal="center" vertical="top"/>
    </xf>
    <xf numFmtId="165" fontId="26" fillId="7" borderId="91" xfId="0" applyNumberFormat="1" applyFont="1" applyFill="1" applyBorder="1" applyAlignment="1">
      <alignment horizontal="center" vertical="top"/>
    </xf>
    <xf numFmtId="165" fontId="26" fillId="7" borderId="24" xfId="0" applyNumberFormat="1" applyFont="1" applyFill="1" applyBorder="1" applyAlignment="1">
      <alignment horizontal="center" vertical="top"/>
    </xf>
    <xf numFmtId="165" fontId="26" fillId="7" borderId="23" xfId="0" applyNumberFormat="1" applyFont="1" applyFill="1" applyBorder="1" applyAlignment="1">
      <alignment horizontal="center" vertical="top"/>
    </xf>
    <xf numFmtId="165" fontId="26" fillId="7" borderId="4" xfId="0" applyNumberFormat="1" applyFont="1" applyFill="1" applyBorder="1" applyAlignment="1">
      <alignment horizontal="center" vertical="top"/>
    </xf>
    <xf numFmtId="165" fontId="26" fillId="7" borderId="90" xfId="0" applyNumberFormat="1" applyFont="1" applyFill="1" applyBorder="1" applyAlignment="1">
      <alignment horizontal="center" vertical="top"/>
    </xf>
    <xf numFmtId="165" fontId="26" fillId="7" borderId="17" xfId="0" applyNumberFormat="1" applyFont="1" applyFill="1" applyBorder="1" applyAlignment="1">
      <alignment horizontal="center" vertical="top"/>
    </xf>
    <xf numFmtId="165" fontId="26" fillId="7" borderId="18" xfId="0" applyNumberFormat="1" applyFont="1" applyFill="1" applyBorder="1" applyAlignment="1">
      <alignment horizontal="center" vertical="top"/>
    </xf>
    <xf numFmtId="165" fontId="26" fillId="7" borderId="0" xfId="0" applyNumberFormat="1" applyFont="1" applyFill="1" applyBorder="1" applyAlignment="1">
      <alignment horizontal="center" vertical="top"/>
    </xf>
    <xf numFmtId="165" fontId="26" fillId="0" borderId="0" xfId="0" applyNumberFormat="1" applyFont="1" applyBorder="1" applyAlignment="1">
      <alignment vertical="top"/>
    </xf>
    <xf numFmtId="167" fontId="26" fillId="0" borderId="0" xfId="0" applyNumberFormat="1" applyFont="1" applyBorder="1" applyAlignment="1">
      <alignment vertical="top"/>
    </xf>
    <xf numFmtId="167" fontId="26" fillId="0" borderId="92" xfId="0" applyNumberFormat="1" applyFont="1" applyBorder="1" applyAlignment="1">
      <alignment horizontal="center" vertical="top"/>
    </xf>
    <xf numFmtId="165" fontId="26" fillId="7" borderId="0" xfId="0" applyNumberFormat="1" applyFont="1" applyFill="1" applyAlignment="1">
      <alignment horizontal="center" vertical="top"/>
    </xf>
    <xf numFmtId="165" fontId="26" fillId="7" borderId="61" xfId="0" applyNumberFormat="1" applyFont="1" applyFill="1" applyBorder="1" applyAlignment="1">
      <alignment horizontal="center" vertical="top"/>
    </xf>
    <xf numFmtId="165" fontId="26" fillId="7" borderId="16" xfId="0" applyNumberFormat="1" applyFont="1" applyFill="1" applyBorder="1" applyAlignment="1">
      <alignment horizontal="center" vertical="top"/>
    </xf>
    <xf numFmtId="165" fontId="26" fillId="7" borderId="59" xfId="0" applyNumberFormat="1" applyFont="1" applyFill="1" applyBorder="1" applyAlignment="1">
      <alignment horizontal="center" vertical="top"/>
    </xf>
    <xf numFmtId="0" fontId="26" fillId="7" borderId="99" xfId="0" applyFont="1" applyFill="1" applyBorder="1" applyAlignment="1">
      <alignment horizontal="center" vertical="top"/>
    </xf>
    <xf numFmtId="167" fontId="26" fillId="7" borderId="79" xfId="0" applyNumberFormat="1" applyFont="1" applyFill="1" applyBorder="1" applyAlignment="1">
      <alignment horizontal="center" vertical="top"/>
    </xf>
    <xf numFmtId="167" fontId="26" fillId="7" borderId="83" xfId="0" applyNumberFormat="1" applyFont="1" applyFill="1" applyBorder="1" applyAlignment="1">
      <alignment horizontal="center" vertical="top"/>
    </xf>
    <xf numFmtId="165" fontId="26" fillId="7" borderId="72" xfId="0" applyNumberFormat="1" applyFont="1" applyFill="1" applyBorder="1" applyAlignment="1">
      <alignment horizontal="center" vertical="top"/>
    </xf>
    <xf numFmtId="165" fontId="26" fillId="7" borderId="64" xfId="0" applyNumberFormat="1" applyFont="1" applyFill="1" applyBorder="1" applyAlignment="1">
      <alignment horizontal="center" vertical="top"/>
    </xf>
    <xf numFmtId="165" fontId="26" fillId="7" borderId="19" xfId="0" applyNumberFormat="1" applyFont="1" applyFill="1" applyBorder="1" applyAlignment="1">
      <alignment horizontal="center" vertical="top"/>
    </xf>
    <xf numFmtId="165" fontId="26" fillId="7" borderId="94" xfId="0" applyNumberFormat="1" applyFont="1" applyFill="1" applyBorder="1" applyAlignment="1">
      <alignment horizontal="center" vertical="top"/>
    </xf>
    <xf numFmtId="165" fontId="26" fillId="7" borderId="66" xfId="0" applyNumberFormat="1" applyFont="1" applyFill="1" applyBorder="1" applyAlignment="1">
      <alignment horizontal="center" vertical="top"/>
    </xf>
    <xf numFmtId="165" fontId="26" fillId="7" borderId="98" xfId="0" applyNumberFormat="1" applyFont="1" applyFill="1" applyBorder="1" applyAlignment="1">
      <alignment horizontal="center" vertical="top"/>
    </xf>
    <xf numFmtId="165" fontId="26" fillId="7" borderId="69" xfId="0" applyNumberFormat="1" applyFont="1" applyFill="1" applyBorder="1" applyAlignment="1">
      <alignment horizontal="center" vertical="top"/>
    </xf>
    <xf numFmtId="167" fontId="26" fillId="7" borderId="99" xfId="0" applyNumberFormat="1" applyFont="1" applyFill="1" applyBorder="1" applyAlignment="1">
      <alignment horizontal="center" vertical="top"/>
    </xf>
    <xf numFmtId="167" fontId="26" fillId="7" borderId="18" xfId="0" applyNumberFormat="1" applyFont="1" applyFill="1" applyBorder="1" applyAlignment="1">
      <alignment horizontal="center" vertical="top"/>
    </xf>
    <xf numFmtId="165" fontId="26" fillId="7" borderId="38" xfId="0" applyNumberFormat="1" applyFont="1" applyFill="1" applyBorder="1" applyAlignment="1">
      <alignment horizontal="center" vertical="center"/>
    </xf>
    <xf numFmtId="165" fontId="26" fillId="7" borderId="60" xfId="0" applyNumberFormat="1" applyFont="1" applyFill="1" applyBorder="1" applyAlignment="1">
      <alignment horizontal="center" vertical="center"/>
    </xf>
    <xf numFmtId="165" fontId="26" fillId="7" borderId="83" xfId="0" applyNumberFormat="1" applyFont="1" applyFill="1" applyBorder="1" applyAlignment="1">
      <alignment horizontal="center" vertical="center"/>
    </xf>
    <xf numFmtId="165" fontId="26" fillId="7" borderId="93" xfId="0" applyNumberFormat="1" applyFont="1" applyFill="1" applyBorder="1" applyAlignment="1">
      <alignment horizontal="center" vertical="center"/>
    </xf>
    <xf numFmtId="165" fontId="26" fillId="7" borderId="62" xfId="0" applyNumberFormat="1" applyFont="1" applyFill="1" applyBorder="1" applyAlignment="1">
      <alignment horizontal="center" vertical="center"/>
    </xf>
    <xf numFmtId="165" fontId="26" fillId="7" borderId="82" xfId="0" applyNumberFormat="1" applyFont="1" applyFill="1" applyBorder="1" applyAlignment="1">
      <alignment horizontal="center" vertical="center"/>
    </xf>
    <xf numFmtId="165" fontId="26" fillId="7" borderId="90" xfId="0" applyNumberFormat="1" applyFont="1" applyFill="1" applyBorder="1" applyAlignment="1">
      <alignment vertical="top" wrapText="1"/>
    </xf>
    <xf numFmtId="165" fontId="26" fillId="0" borderId="98" xfId="0" applyNumberFormat="1" applyFont="1" applyBorder="1" applyAlignment="1">
      <alignment horizontal="center" vertical="top"/>
    </xf>
    <xf numFmtId="165" fontId="26" fillId="7" borderId="24" xfId="0" applyNumberFormat="1" applyFont="1" applyFill="1" applyBorder="1" applyAlignment="1">
      <alignment vertical="top"/>
    </xf>
    <xf numFmtId="165" fontId="26" fillId="7" borderId="23" xfId="0" applyNumberFormat="1" applyFont="1" applyFill="1" applyBorder="1" applyAlignment="1">
      <alignment vertical="top"/>
    </xf>
    <xf numFmtId="165" fontId="26" fillId="0" borderId="79" xfId="0" applyNumberFormat="1" applyFont="1" applyBorder="1" applyAlignment="1">
      <alignment horizontal="center" vertical="top"/>
    </xf>
    <xf numFmtId="165" fontId="26" fillId="7" borderId="17" xfId="0" applyNumberFormat="1" applyFont="1" applyFill="1" applyBorder="1" applyAlignment="1">
      <alignment vertical="top"/>
    </xf>
    <xf numFmtId="165" fontId="26" fillId="7" borderId="18" xfId="0" applyNumberFormat="1" applyFont="1" applyFill="1" applyBorder="1" applyAlignment="1">
      <alignment vertical="top"/>
    </xf>
    <xf numFmtId="165" fontId="26" fillId="7" borderId="5" xfId="0" applyNumberFormat="1" applyFont="1" applyFill="1" applyBorder="1" applyAlignment="1">
      <alignment vertical="top"/>
    </xf>
    <xf numFmtId="165" fontId="26" fillId="7" borderId="9" xfId="0" applyNumberFormat="1" applyFont="1" applyFill="1" applyBorder="1" applyAlignment="1">
      <alignment vertical="top"/>
    </xf>
    <xf numFmtId="165" fontId="26" fillId="7" borderId="15" xfId="0" applyNumberFormat="1" applyFont="1" applyFill="1" applyBorder="1" applyAlignment="1">
      <alignment vertical="top"/>
    </xf>
    <xf numFmtId="0" fontId="26" fillId="0" borderId="0" xfId="0" applyFont="1" applyAlignment="1">
      <alignment vertical="top"/>
    </xf>
    <xf numFmtId="165" fontId="26" fillId="0" borderId="92" xfId="0" applyNumberFormat="1" applyFont="1" applyFill="1" applyBorder="1" applyAlignment="1">
      <alignment horizontal="center" vertical="top"/>
    </xf>
    <xf numFmtId="165" fontId="26" fillId="0" borderId="70" xfId="0" applyNumberFormat="1" applyFont="1" applyFill="1" applyBorder="1" applyAlignment="1">
      <alignment horizontal="center" vertical="top"/>
    </xf>
    <xf numFmtId="165" fontId="26" fillId="0" borderId="63" xfId="0" applyNumberFormat="1" applyFont="1" applyFill="1" applyBorder="1" applyAlignment="1">
      <alignment horizontal="center" vertical="top"/>
    </xf>
    <xf numFmtId="0" fontId="26" fillId="0" borderId="49" xfId="0" applyFont="1" applyBorder="1" applyAlignment="1">
      <alignment vertical="top"/>
    </xf>
    <xf numFmtId="0" fontId="26" fillId="0" borderId="91" xfId="0" applyFont="1" applyBorder="1" applyAlignment="1">
      <alignment vertical="top"/>
    </xf>
    <xf numFmtId="0" fontId="26" fillId="0" borderId="24" xfId="0" applyFont="1" applyBorder="1" applyAlignment="1">
      <alignment vertical="top"/>
    </xf>
    <xf numFmtId="0" fontId="26" fillId="0" borderId="23" xfId="0" applyFont="1" applyBorder="1" applyAlignment="1">
      <alignment vertical="top"/>
    </xf>
    <xf numFmtId="165" fontId="26" fillId="7" borderId="31" xfId="0" applyNumberFormat="1" applyFont="1" applyFill="1" applyBorder="1" applyAlignment="1">
      <alignment horizontal="center" vertical="top"/>
    </xf>
    <xf numFmtId="0" fontId="26" fillId="0" borderId="20" xfId="0" applyFont="1" applyBorder="1" applyAlignment="1">
      <alignment vertical="top"/>
    </xf>
    <xf numFmtId="0" fontId="26" fillId="0" borderId="16" xfId="0" applyFont="1" applyBorder="1" applyAlignment="1">
      <alignment vertical="top"/>
    </xf>
    <xf numFmtId="0" fontId="26" fillId="0" borderId="9" xfId="0" applyFont="1" applyBorder="1" applyAlignment="1">
      <alignment vertical="top"/>
    </xf>
    <xf numFmtId="165" fontId="26" fillId="7" borderId="37" xfId="0" applyNumberFormat="1" applyFont="1" applyFill="1" applyBorder="1" applyAlignment="1">
      <alignment horizontal="center" vertical="top"/>
    </xf>
    <xf numFmtId="165" fontId="26" fillId="7" borderId="39" xfId="0" applyNumberFormat="1" applyFont="1" applyFill="1" applyBorder="1" applyAlignment="1">
      <alignment horizontal="center" vertical="top"/>
    </xf>
    <xf numFmtId="0" fontId="26" fillId="7" borderId="6" xfId="0" applyFont="1" applyFill="1" applyBorder="1" applyAlignment="1">
      <alignment horizontal="center" vertical="top"/>
    </xf>
    <xf numFmtId="0" fontId="26" fillId="7" borderId="72" xfId="0" applyFont="1" applyFill="1" applyBorder="1" applyAlignment="1">
      <alignment horizontal="center" vertical="top"/>
    </xf>
    <xf numFmtId="0" fontId="26" fillId="7" borderId="98" xfId="0" applyFont="1" applyFill="1" applyBorder="1" applyAlignment="1">
      <alignment horizontal="center" vertical="top"/>
    </xf>
    <xf numFmtId="0" fontId="26" fillId="7" borderId="64" xfId="0" applyFont="1" applyFill="1" applyBorder="1" applyAlignment="1">
      <alignment horizontal="center" vertical="top"/>
    </xf>
    <xf numFmtId="0" fontId="26" fillId="7" borderId="59" xfId="0" applyFont="1" applyFill="1" applyBorder="1" applyAlignment="1">
      <alignment horizontal="center" vertical="top"/>
    </xf>
    <xf numFmtId="167" fontId="26" fillId="7" borderId="40" xfId="0" applyNumberFormat="1" applyFont="1" applyFill="1" applyBorder="1" applyAlignment="1">
      <alignment horizontal="center" vertical="top" wrapText="1"/>
    </xf>
    <xf numFmtId="167" fontId="26" fillId="7" borderId="17" xfId="0" applyNumberFormat="1" applyFont="1" applyFill="1" applyBorder="1" applyAlignment="1">
      <alignment horizontal="center" vertical="top"/>
    </xf>
    <xf numFmtId="3" fontId="26" fillId="7" borderId="37" xfId="0" applyNumberFormat="1" applyFont="1" applyFill="1" applyBorder="1" applyAlignment="1">
      <alignment horizontal="center" vertical="top"/>
    </xf>
    <xf numFmtId="165" fontId="26" fillId="7" borderId="49" xfId="0" applyNumberFormat="1" applyFont="1" applyFill="1" applyBorder="1" applyAlignment="1">
      <alignment vertical="top"/>
    </xf>
    <xf numFmtId="165" fontId="26" fillId="7" borderId="49" xfId="0" applyNumberFormat="1" applyFont="1" applyFill="1" applyBorder="1" applyAlignment="1">
      <alignment vertical="top" wrapText="1"/>
    </xf>
    <xf numFmtId="3" fontId="26" fillId="7" borderId="24" xfId="0" applyNumberFormat="1" applyFont="1" applyFill="1" applyBorder="1" applyAlignment="1">
      <alignment horizontal="center" vertical="top"/>
    </xf>
    <xf numFmtId="3" fontId="26" fillId="7" borderId="29" xfId="0" applyNumberFormat="1" applyFont="1" applyFill="1" applyBorder="1" applyAlignment="1">
      <alignment horizontal="center" vertical="top"/>
    </xf>
    <xf numFmtId="0" fontId="26" fillId="0" borderId="71" xfId="0" applyFont="1" applyBorder="1" applyAlignment="1">
      <alignment horizontal="center" vertical="top"/>
    </xf>
    <xf numFmtId="165" fontId="26" fillId="7" borderId="108" xfId="1" applyNumberFormat="1" applyFont="1" applyFill="1" applyBorder="1" applyAlignment="1">
      <alignment horizontal="center" vertical="top" wrapText="1"/>
    </xf>
    <xf numFmtId="0" fontId="26" fillId="7" borderId="71" xfId="0" applyFont="1" applyFill="1" applyBorder="1" applyAlignment="1">
      <alignment horizontal="center" vertical="top"/>
    </xf>
    <xf numFmtId="0" fontId="26" fillId="7" borderId="28" xfId="0" applyFont="1" applyFill="1" applyBorder="1" applyAlignment="1">
      <alignment horizontal="center" vertical="top"/>
    </xf>
    <xf numFmtId="0" fontId="26" fillId="0" borderId="5" xfId="0" applyFont="1" applyBorder="1" applyAlignment="1">
      <alignment vertical="top"/>
    </xf>
    <xf numFmtId="165" fontId="26" fillId="0" borderId="4" xfId="0" applyNumberFormat="1" applyFont="1" applyFill="1" applyBorder="1" applyAlignment="1">
      <alignment horizontal="center" vertical="top"/>
    </xf>
    <xf numFmtId="165" fontId="26" fillId="7" borderId="29" xfId="0" applyNumberFormat="1" applyFont="1" applyFill="1" applyBorder="1" applyAlignment="1">
      <alignment horizontal="center" vertical="top"/>
    </xf>
    <xf numFmtId="0" fontId="26" fillId="7" borderId="108" xfId="0" applyFont="1" applyFill="1" applyBorder="1" applyAlignment="1">
      <alignment horizontal="center" vertical="top"/>
    </xf>
    <xf numFmtId="165" fontId="26" fillId="7" borderId="117" xfId="0" applyNumberFormat="1" applyFont="1" applyFill="1" applyBorder="1" applyAlignment="1">
      <alignment horizontal="center" vertical="top"/>
    </xf>
    <xf numFmtId="165" fontId="26" fillId="7" borderId="36" xfId="0" applyNumberFormat="1" applyFont="1" applyFill="1" applyBorder="1" applyAlignment="1">
      <alignment horizontal="center" vertical="top"/>
    </xf>
    <xf numFmtId="165" fontId="26" fillId="7" borderId="46" xfId="0" applyNumberFormat="1" applyFont="1" applyFill="1" applyBorder="1" applyAlignment="1">
      <alignment horizontal="center" vertical="top"/>
    </xf>
    <xf numFmtId="165" fontId="26" fillId="7" borderId="70" xfId="0" applyNumberFormat="1" applyFont="1" applyFill="1" applyBorder="1" applyAlignment="1">
      <alignment horizontal="center" vertical="center"/>
    </xf>
    <xf numFmtId="165" fontId="26" fillId="7" borderId="63" xfId="0" applyNumberFormat="1" applyFont="1" applyFill="1" applyBorder="1" applyAlignment="1">
      <alignment horizontal="center" vertical="center"/>
    </xf>
    <xf numFmtId="167" fontId="26" fillId="7" borderId="93" xfId="0" applyNumberFormat="1" applyFont="1" applyFill="1" applyBorder="1" applyAlignment="1">
      <alignment horizontal="center" vertical="top"/>
    </xf>
    <xf numFmtId="3" fontId="26" fillId="7" borderId="70" xfId="0" applyNumberFormat="1" applyFont="1" applyFill="1" applyBorder="1" applyAlignment="1">
      <alignment horizontal="center" vertical="top" wrapText="1"/>
    </xf>
    <xf numFmtId="165" fontId="26" fillId="7" borderId="114" xfId="0" applyNumberFormat="1" applyFont="1" applyFill="1" applyBorder="1" applyAlignment="1">
      <alignment horizontal="center" vertical="top"/>
    </xf>
    <xf numFmtId="0" fontId="26" fillId="7" borderId="98" xfId="0" applyFont="1" applyFill="1" applyBorder="1" applyAlignment="1">
      <alignment vertical="top"/>
    </xf>
    <xf numFmtId="3" fontId="26" fillId="7" borderId="116" xfId="0" applyNumberFormat="1" applyFont="1" applyFill="1" applyBorder="1" applyAlignment="1">
      <alignment horizontal="center" vertical="top"/>
    </xf>
    <xf numFmtId="165" fontId="26" fillId="7" borderId="68" xfId="0" applyNumberFormat="1" applyFont="1" applyFill="1" applyBorder="1" applyAlignment="1">
      <alignment horizontal="center" vertical="top"/>
    </xf>
    <xf numFmtId="165" fontId="26" fillId="7" borderId="75" xfId="0" applyNumberFormat="1" applyFont="1" applyFill="1" applyBorder="1" applyAlignment="1">
      <alignment horizontal="center" vertical="top"/>
    </xf>
    <xf numFmtId="165" fontId="26" fillId="7" borderId="109" xfId="0" applyNumberFormat="1" applyFont="1" applyFill="1" applyBorder="1" applyAlignment="1">
      <alignment horizontal="center" vertical="top"/>
    </xf>
    <xf numFmtId="165" fontId="26" fillId="7" borderId="108" xfId="0" applyNumberFormat="1" applyFont="1" applyFill="1" applyBorder="1" applyAlignment="1">
      <alignment horizontal="center" vertical="top"/>
    </xf>
    <xf numFmtId="165" fontId="26" fillId="7" borderId="110" xfId="0" applyNumberFormat="1" applyFont="1" applyFill="1" applyBorder="1" applyAlignment="1">
      <alignment horizontal="center" vertical="top"/>
    </xf>
    <xf numFmtId="0" fontId="26" fillId="0" borderId="67" xfId="0" applyFont="1" applyBorder="1" applyAlignment="1">
      <alignment horizontal="center" vertical="top"/>
    </xf>
    <xf numFmtId="0" fontId="26" fillId="0" borderId="115" xfId="0" applyFont="1" applyBorder="1" applyAlignment="1">
      <alignment horizontal="center" vertical="top"/>
    </xf>
    <xf numFmtId="0" fontId="26" fillId="0" borderId="65" xfId="0" applyFont="1" applyBorder="1" applyAlignment="1">
      <alignment horizontal="center" vertical="top"/>
    </xf>
    <xf numFmtId="0" fontId="26" fillId="0" borderId="20" xfId="0" applyFont="1" applyBorder="1" applyAlignment="1">
      <alignment horizontal="center" vertical="top"/>
    </xf>
    <xf numFmtId="167" fontId="26" fillId="0" borderId="90" xfId="0" applyNumberFormat="1" applyFont="1" applyBorder="1" applyAlignment="1">
      <alignment horizontal="center" vertical="top"/>
    </xf>
    <xf numFmtId="167" fontId="26" fillId="0" borderId="17" xfId="0" applyNumberFormat="1" applyFont="1" applyBorder="1" applyAlignment="1">
      <alignment horizontal="center" vertical="top"/>
    </xf>
    <xf numFmtId="167" fontId="26" fillId="0" borderId="37" xfId="0" applyNumberFormat="1" applyFont="1" applyBorder="1" applyAlignment="1">
      <alignment horizontal="center" vertical="top"/>
    </xf>
    <xf numFmtId="165" fontId="26" fillId="7" borderId="13" xfId="0" applyNumberFormat="1" applyFont="1" applyFill="1" applyBorder="1" applyAlignment="1">
      <alignment horizontal="center" vertical="top"/>
    </xf>
    <xf numFmtId="165" fontId="26" fillId="7" borderId="108" xfId="0" applyNumberFormat="1" applyFont="1" applyFill="1" applyBorder="1" applyAlignment="1">
      <alignment horizontal="center" vertical="top" wrapText="1"/>
    </xf>
    <xf numFmtId="165" fontId="26" fillId="7" borderId="4" xfId="0" applyNumberFormat="1" applyFont="1" applyFill="1" applyBorder="1" applyAlignment="1">
      <alignment horizontal="center" vertical="top" wrapText="1"/>
    </xf>
    <xf numFmtId="165" fontId="26" fillId="7" borderId="71" xfId="0" applyNumberFormat="1" applyFont="1" applyFill="1" applyBorder="1" applyAlignment="1">
      <alignment horizontal="center" vertical="top" wrapText="1"/>
    </xf>
    <xf numFmtId="0" fontId="26" fillId="0" borderId="4" xfId="0" applyFont="1" applyBorder="1" applyAlignment="1">
      <alignment horizontal="center" vertical="top"/>
    </xf>
    <xf numFmtId="165" fontId="26" fillId="7" borderId="20" xfId="0" applyNumberFormat="1" applyFont="1" applyFill="1" applyBorder="1" applyAlignment="1">
      <alignment horizontal="center" vertical="top" wrapText="1"/>
    </xf>
    <xf numFmtId="0" fontId="26" fillId="7" borderId="5" xfId="0" applyFont="1" applyFill="1" applyBorder="1" applyAlignment="1">
      <alignment horizontal="center" vertical="center"/>
    </xf>
    <xf numFmtId="0" fontId="26" fillId="7" borderId="92" xfId="0" applyFont="1" applyFill="1" applyBorder="1" applyAlignment="1">
      <alignment horizontal="center" vertical="center"/>
    </xf>
    <xf numFmtId="165" fontId="26" fillId="7" borderId="104" xfId="0" applyNumberFormat="1" applyFont="1" applyFill="1" applyBorder="1" applyAlignment="1">
      <alignment horizontal="center" vertical="top"/>
    </xf>
    <xf numFmtId="0" fontId="26" fillId="0" borderId="91" xfId="0" applyFont="1" applyBorder="1" applyAlignment="1">
      <alignment horizontal="center" vertical="top"/>
    </xf>
    <xf numFmtId="0" fontId="26" fillId="0" borderId="24" xfId="0" applyFont="1" applyBorder="1" applyAlignment="1">
      <alignment horizontal="center" vertical="top"/>
    </xf>
    <xf numFmtId="0" fontId="26" fillId="0" borderId="59" xfId="0" applyFont="1" applyBorder="1" applyAlignment="1">
      <alignment horizontal="center" vertical="top"/>
    </xf>
    <xf numFmtId="0" fontId="26" fillId="0" borderId="29" xfId="0" applyFont="1" applyBorder="1" applyAlignment="1">
      <alignment vertical="top"/>
    </xf>
    <xf numFmtId="167" fontId="26" fillId="0" borderId="93" xfId="0" applyNumberFormat="1" applyFont="1" applyBorder="1" applyAlignment="1">
      <alignment horizontal="center" vertical="top"/>
    </xf>
    <xf numFmtId="167" fontId="26" fillId="0" borderId="62" xfId="0" applyNumberFormat="1" applyFont="1" applyBorder="1" applyAlignment="1">
      <alignment horizontal="center" vertical="top"/>
    </xf>
    <xf numFmtId="0" fontId="26" fillId="7" borderId="9" xfId="0" applyFont="1" applyFill="1" applyBorder="1" applyAlignment="1">
      <alignment vertical="top"/>
    </xf>
    <xf numFmtId="0" fontId="26" fillId="7" borderId="15" xfId="0" applyFont="1" applyFill="1" applyBorder="1" applyAlignment="1">
      <alignment vertical="top"/>
    </xf>
    <xf numFmtId="0" fontId="26" fillId="7" borderId="91" xfId="0" applyFont="1" applyFill="1" applyBorder="1" applyAlignment="1">
      <alignment horizontal="center" vertical="top"/>
    </xf>
    <xf numFmtId="0" fontId="26" fillId="7" borderId="24" xfId="0" applyFont="1" applyFill="1" applyBorder="1" applyAlignment="1">
      <alignment horizontal="center" vertical="top"/>
    </xf>
    <xf numFmtId="165" fontId="26" fillId="7" borderId="121" xfId="0" applyNumberFormat="1" applyFont="1" applyFill="1" applyBorder="1" applyAlignment="1">
      <alignment horizontal="center" vertical="top"/>
    </xf>
    <xf numFmtId="165" fontId="26" fillId="7" borderId="122" xfId="0" applyNumberFormat="1" applyFont="1" applyFill="1" applyBorder="1" applyAlignment="1">
      <alignment horizontal="center" vertical="top"/>
    </xf>
    <xf numFmtId="0" fontId="26" fillId="7" borderId="122" xfId="0" applyFont="1" applyFill="1" applyBorder="1" applyAlignment="1">
      <alignment horizontal="center" vertical="top"/>
    </xf>
    <xf numFmtId="165" fontId="26" fillId="7" borderId="122" xfId="0" applyNumberFormat="1" applyFont="1" applyFill="1" applyBorder="1" applyAlignment="1">
      <alignment horizontal="center" vertical="top" wrapText="1"/>
    </xf>
    <xf numFmtId="0" fontId="26" fillId="0" borderId="122" xfId="0" applyFont="1" applyBorder="1" applyAlignment="1">
      <alignment horizontal="center" vertical="top"/>
    </xf>
    <xf numFmtId="165" fontId="26" fillId="7" borderId="123" xfId="0" applyNumberFormat="1" applyFont="1" applyFill="1" applyBorder="1" applyAlignment="1">
      <alignment horizontal="center" vertical="top"/>
    </xf>
    <xf numFmtId="0" fontId="26" fillId="0" borderId="6" xfId="0" applyFont="1" applyBorder="1" applyAlignment="1">
      <alignment horizontal="center" vertical="top"/>
    </xf>
    <xf numFmtId="0" fontId="26" fillId="0" borderId="90" xfId="0" applyFont="1" applyBorder="1" applyAlignment="1">
      <alignment vertical="top"/>
    </xf>
    <xf numFmtId="0" fontId="26" fillId="7" borderId="0" xfId="0" applyFont="1" applyFill="1" applyAlignment="1">
      <alignment horizontal="center" vertical="top"/>
    </xf>
    <xf numFmtId="165" fontId="26" fillId="7" borderId="28" xfId="0" applyNumberFormat="1" applyFont="1" applyFill="1" applyBorder="1" applyAlignment="1">
      <alignment horizontal="center" vertical="top"/>
    </xf>
    <xf numFmtId="0" fontId="26" fillId="7" borderId="4" xfId="0" applyFont="1" applyFill="1" applyBorder="1" applyAlignment="1">
      <alignment vertical="top"/>
    </xf>
    <xf numFmtId="0" fontId="26" fillId="7" borderId="20" xfId="0" applyFont="1" applyFill="1" applyBorder="1" applyAlignment="1">
      <alignment vertical="top"/>
    </xf>
    <xf numFmtId="165" fontId="1" fillId="7" borderId="6" xfId="0" applyNumberFormat="1" applyFont="1" applyFill="1" applyBorder="1" applyAlignment="1">
      <alignment horizontal="left" vertical="top" wrapText="1"/>
    </xf>
    <xf numFmtId="165" fontId="1" fillId="7" borderId="71" xfId="0" applyNumberFormat="1" applyFont="1" applyFill="1" applyBorder="1" applyAlignment="1">
      <alignment horizontal="left" vertical="top" wrapText="1"/>
    </xf>
    <xf numFmtId="165" fontId="22" fillId="7" borderId="0" xfId="0" applyNumberFormat="1" applyFont="1" applyFill="1" applyAlignment="1">
      <alignment horizontal="center" vertical="top"/>
    </xf>
    <xf numFmtId="165" fontId="22" fillId="7" borderId="4" xfId="0" applyNumberFormat="1" applyFont="1" applyFill="1" applyBorder="1" applyAlignment="1">
      <alignment horizontal="center" vertical="top"/>
    </xf>
    <xf numFmtId="165" fontId="22" fillId="7" borderId="38" xfId="0" applyNumberFormat="1" applyFont="1" applyFill="1" applyBorder="1" applyAlignment="1">
      <alignment horizontal="center" vertical="top"/>
    </xf>
    <xf numFmtId="165" fontId="22" fillId="7" borderId="9" xfId="0" applyNumberFormat="1" applyFont="1" applyFill="1" applyBorder="1" applyAlignment="1">
      <alignment horizontal="center" vertical="top"/>
    </xf>
    <xf numFmtId="165" fontId="22" fillId="7" borderId="5" xfId="0" applyNumberFormat="1" applyFont="1" applyFill="1" applyBorder="1" applyAlignment="1">
      <alignment horizontal="center" vertical="top"/>
    </xf>
    <xf numFmtId="165" fontId="22" fillId="7" borderId="39" xfId="0" applyNumberFormat="1" applyFont="1" applyFill="1" applyBorder="1" applyAlignment="1">
      <alignment horizontal="center" vertical="top"/>
    </xf>
    <xf numFmtId="165" fontId="22" fillId="7" borderId="0" xfId="0" applyNumberFormat="1" applyFont="1" applyFill="1" applyBorder="1" applyAlignment="1">
      <alignment horizontal="center" vertical="top"/>
    </xf>
    <xf numFmtId="0" fontId="1" fillId="7" borderId="92" xfId="0" applyFont="1" applyFill="1" applyBorder="1" applyAlignment="1">
      <alignment vertical="top"/>
    </xf>
    <xf numFmtId="0" fontId="1" fillId="0" borderId="62" xfId="0" applyFont="1" applyBorder="1" applyAlignment="1">
      <alignment vertical="top"/>
    </xf>
    <xf numFmtId="0" fontId="1" fillId="0" borderId="63" xfId="0" applyFont="1" applyBorder="1" applyAlignment="1">
      <alignment vertical="top"/>
    </xf>
    <xf numFmtId="0" fontId="26" fillId="7" borderId="92" xfId="0" applyFont="1" applyFill="1" applyBorder="1" applyAlignment="1">
      <alignment vertical="top"/>
    </xf>
    <xf numFmtId="3" fontId="26" fillId="7" borderId="39" xfId="0" applyNumberFormat="1" applyFont="1" applyFill="1" applyBorder="1" applyAlignment="1">
      <alignment horizontal="center" vertical="top"/>
    </xf>
    <xf numFmtId="3" fontId="26" fillId="7" borderId="63" xfId="0" applyNumberFormat="1" applyFont="1" applyFill="1" applyBorder="1" applyAlignment="1">
      <alignment horizontal="center" vertical="top" wrapText="1"/>
    </xf>
    <xf numFmtId="0" fontId="1" fillId="7" borderId="82" xfId="0" applyFont="1" applyFill="1" applyBorder="1" applyAlignment="1">
      <alignment vertical="top"/>
    </xf>
    <xf numFmtId="0" fontId="1" fillId="7" borderId="67" xfId="0" applyFont="1" applyFill="1" applyBorder="1" applyAlignment="1">
      <alignment vertical="top" wrapText="1"/>
    </xf>
    <xf numFmtId="3" fontId="1" fillId="7" borderId="67" xfId="0" applyNumberFormat="1" applyFont="1" applyFill="1" applyBorder="1" applyAlignment="1">
      <alignment horizontal="center" vertical="top" wrapText="1"/>
    </xf>
    <xf numFmtId="3" fontId="1" fillId="7" borderId="93" xfId="0" applyNumberFormat="1" applyFont="1" applyFill="1" applyBorder="1" applyAlignment="1">
      <alignment horizontal="center" vertical="top" wrapText="1"/>
    </xf>
    <xf numFmtId="3" fontId="1" fillId="7" borderId="94" xfId="0" applyNumberFormat="1" applyFont="1" applyFill="1" applyBorder="1" applyAlignment="1">
      <alignment horizontal="center" vertical="top" wrapText="1"/>
    </xf>
    <xf numFmtId="3" fontId="1" fillId="7" borderId="60" xfId="0" applyNumberFormat="1" applyFont="1" applyFill="1" applyBorder="1" applyAlignment="1">
      <alignment horizontal="center" vertical="top" wrapText="1"/>
    </xf>
    <xf numFmtId="3" fontId="1" fillId="7" borderId="61" xfId="0" applyNumberFormat="1" applyFont="1" applyFill="1" applyBorder="1" applyAlignment="1">
      <alignment horizontal="center" vertical="top" wrapText="1"/>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165" fontId="2" fillId="9" borderId="28"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1" fillId="7" borderId="9"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5" fontId="22" fillId="7" borderId="93" xfId="0" applyNumberFormat="1" applyFont="1" applyFill="1" applyBorder="1" applyAlignment="1">
      <alignment horizontal="center" vertical="top"/>
    </xf>
    <xf numFmtId="165" fontId="22" fillId="7" borderId="70" xfId="0" applyNumberFormat="1" applyFont="1" applyFill="1" applyBorder="1" applyAlignment="1">
      <alignment horizontal="center" vertical="top"/>
    </xf>
    <xf numFmtId="165" fontId="22" fillId="7" borderId="92" xfId="0" applyNumberFormat="1" applyFont="1" applyFill="1" applyBorder="1" applyAlignment="1">
      <alignment horizontal="center" vertical="top"/>
    </xf>
    <xf numFmtId="165" fontId="22" fillId="7" borderId="62" xfId="0" applyNumberFormat="1" applyFont="1" applyFill="1" applyBorder="1" applyAlignment="1">
      <alignment horizontal="center" vertical="top"/>
    </xf>
    <xf numFmtId="165" fontId="26" fillId="7" borderId="103" xfId="0" applyNumberFormat="1" applyFont="1" applyFill="1" applyBorder="1" applyAlignment="1">
      <alignment horizontal="center" vertical="top"/>
    </xf>
    <xf numFmtId="167" fontId="26" fillId="7" borderId="40" xfId="0" applyNumberFormat="1" applyFont="1" applyFill="1" applyBorder="1" applyAlignment="1">
      <alignment horizontal="center" vertical="top"/>
    </xf>
    <xf numFmtId="0" fontId="28" fillId="0" borderId="0" xfId="0" applyFont="1" applyAlignment="1">
      <alignment vertical="top" wrapText="1"/>
    </xf>
    <xf numFmtId="3" fontId="26" fillId="0" borderId="0" xfId="0" applyNumberFormat="1" applyFont="1" applyBorder="1" applyAlignment="1">
      <alignment vertical="top"/>
    </xf>
    <xf numFmtId="0" fontId="29" fillId="0" borderId="0" xfId="0" applyFont="1"/>
    <xf numFmtId="164" fontId="26" fillId="0" borderId="0" xfId="1" applyFont="1" applyBorder="1" applyAlignment="1">
      <alignment vertical="top"/>
    </xf>
    <xf numFmtId="0" fontId="26" fillId="0" borderId="0" xfId="0" applyFont="1" applyFill="1" applyBorder="1" applyAlignment="1">
      <alignment vertical="top"/>
    </xf>
    <xf numFmtId="165" fontId="22" fillId="7" borderId="20" xfId="0" applyNumberFormat="1" applyFont="1" applyFill="1" applyBorder="1" applyAlignment="1">
      <alignment vertical="top" wrapText="1"/>
    </xf>
    <xf numFmtId="0" fontId="1" fillId="0" borderId="17" xfId="0" applyFont="1" applyBorder="1" applyAlignment="1">
      <alignment vertical="top"/>
    </xf>
    <xf numFmtId="49" fontId="30" fillId="7" borderId="1" xfId="0" applyNumberFormat="1" applyFont="1" applyFill="1" applyBorder="1" applyAlignment="1">
      <alignment horizontal="center" vertical="top"/>
    </xf>
    <xf numFmtId="165" fontId="22" fillId="7" borderId="9" xfId="0" applyNumberFormat="1" applyFont="1" applyFill="1" applyBorder="1" applyAlignment="1">
      <alignment horizontal="left" vertical="top" wrapText="1"/>
    </xf>
    <xf numFmtId="165" fontId="30" fillId="7" borderId="9" xfId="0" applyNumberFormat="1" applyFont="1" applyFill="1" applyBorder="1" applyAlignment="1">
      <alignment horizontal="center" vertical="top" wrapText="1"/>
    </xf>
    <xf numFmtId="0" fontId="22" fillId="7" borderId="19" xfId="0" applyFont="1" applyFill="1" applyBorder="1" applyAlignment="1">
      <alignment vertical="top"/>
    </xf>
    <xf numFmtId="0" fontId="22" fillId="7" borderId="4" xfId="0" applyFont="1" applyFill="1" applyBorder="1" applyAlignment="1">
      <alignment vertical="top"/>
    </xf>
    <xf numFmtId="0" fontId="22" fillId="7" borderId="38" xfId="0" applyFont="1" applyFill="1" applyBorder="1" applyAlignment="1">
      <alignment horizontal="center" vertical="top"/>
    </xf>
    <xf numFmtId="165" fontId="22" fillId="7" borderId="14" xfId="0" applyNumberFormat="1" applyFont="1" applyFill="1" applyBorder="1" applyAlignment="1">
      <alignment horizontal="center" vertical="top" wrapText="1"/>
    </xf>
    <xf numFmtId="165" fontId="22" fillId="7" borderId="67" xfId="0" applyNumberFormat="1" applyFont="1" applyFill="1" applyBorder="1" applyAlignment="1">
      <alignment horizontal="center" vertical="top"/>
    </xf>
    <xf numFmtId="165" fontId="31" fillId="7" borderId="71" xfId="0" applyNumberFormat="1" applyFont="1" applyFill="1" applyBorder="1" applyAlignment="1">
      <alignment vertical="top" wrapText="1"/>
    </xf>
    <xf numFmtId="3" fontId="31" fillId="7" borderId="82" xfId="0" applyNumberFormat="1" applyFont="1" applyFill="1" applyBorder="1" applyAlignment="1">
      <alignment horizontal="center" vertical="top"/>
    </xf>
    <xf numFmtId="165" fontId="31" fillId="7" borderId="63" xfId="0" applyNumberFormat="1" applyFont="1" applyFill="1" applyBorder="1" applyAlignment="1">
      <alignment horizontal="center" vertical="top"/>
    </xf>
    <xf numFmtId="165" fontId="31" fillId="7" borderId="82" xfId="0" applyNumberFormat="1" applyFont="1" applyFill="1" applyBorder="1" applyAlignment="1">
      <alignment horizontal="center" vertical="top"/>
    </xf>
    <xf numFmtId="165" fontId="31" fillId="7" borderId="65" xfId="0" applyNumberFormat="1" applyFont="1" applyFill="1" applyBorder="1" applyAlignment="1">
      <alignment horizontal="center" vertical="top"/>
    </xf>
    <xf numFmtId="165" fontId="31" fillId="7" borderId="71" xfId="0" applyNumberFormat="1" applyFont="1" applyFill="1" applyBorder="1" applyAlignment="1">
      <alignment horizontal="center" vertical="top"/>
    </xf>
    <xf numFmtId="165" fontId="1" fillId="7" borderId="81" xfId="0" applyNumberFormat="1" applyFont="1" applyFill="1" applyBorder="1" applyAlignment="1">
      <alignment vertical="top" wrapText="1"/>
    </xf>
    <xf numFmtId="165" fontId="1" fillId="7" borderId="9" xfId="0" applyNumberFormat="1" applyFont="1" applyFill="1" applyBorder="1" applyAlignment="1">
      <alignment horizontal="left" vertical="top" wrapText="1"/>
    </xf>
    <xf numFmtId="165" fontId="1" fillId="7" borderId="9" xfId="0" applyNumberFormat="1" applyFont="1" applyFill="1" applyBorder="1" applyAlignment="1">
      <alignment vertical="top" wrapText="1"/>
    </xf>
    <xf numFmtId="0" fontId="1" fillId="7" borderId="70" xfId="0" applyFont="1" applyFill="1" applyBorder="1" applyAlignment="1">
      <alignment horizontal="left" vertical="top" wrapText="1"/>
    </xf>
    <xf numFmtId="165" fontId="1" fillId="7" borderId="9" xfId="0" applyNumberFormat="1" applyFont="1" applyFill="1" applyBorder="1" applyAlignment="1">
      <alignment horizontal="left" vertical="top" wrapText="1"/>
    </xf>
    <xf numFmtId="165" fontId="1" fillId="7" borderId="24" xfId="0" applyNumberFormat="1" applyFont="1" applyFill="1" applyBorder="1" applyAlignment="1">
      <alignment vertical="top" wrapText="1"/>
    </xf>
    <xf numFmtId="165" fontId="1" fillId="7" borderId="17" xfId="0" applyNumberFormat="1" applyFont="1" applyFill="1" applyBorder="1" applyAlignment="1">
      <alignment horizontal="left" vertical="top" wrapText="1"/>
    </xf>
    <xf numFmtId="165" fontId="1" fillId="7" borderId="37" xfId="0" applyNumberFormat="1" applyFont="1" applyFill="1" applyBorder="1" applyAlignment="1">
      <alignment horizontal="left" vertical="top" wrapText="1"/>
    </xf>
    <xf numFmtId="165" fontId="1" fillId="7" borderId="39" xfId="0" applyNumberFormat="1" applyFont="1" applyFill="1" applyBorder="1" applyAlignment="1">
      <alignment horizontal="left" vertical="top" wrapText="1"/>
    </xf>
    <xf numFmtId="165" fontId="1" fillId="7" borderId="71" xfId="0" applyNumberFormat="1" applyFont="1" applyFill="1" applyBorder="1" applyAlignment="1">
      <alignment horizontal="left" vertical="top" wrapText="1"/>
    </xf>
    <xf numFmtId="165" fontId="1" fillId="7" borderId="4" xfId="0" applyNumberFormat="1" applyFont="1" applyFill="1" applyBorder="1" applyAlignment="1">
      <alignment horizontal="left" vertical="top" wrapText="1"/>
    </xf>
    <xf numFmtId="49" fontId="1" fillId="8" borderId="9" xfId="0" applyNumberFormat="1" applyFont="1" applyFill="1" applyBorder="1" applyAlignment="1">
      <alignment horizontal="center" vertical="center" textRotation="90" wrapText="1"/>
    </xf>
    <xf numFmtId="165" fontId="2" fillId="9" borderId="28" xfId="0" applyNumberFormat="1" applyFont="1" applyFill="1" applyBorder="1" applyAlignment="1">
      <alignment horizontal="center" vertical="top"/>
    </xf>
    <xf numFmtId="165" fontId="1" fillId="7" borderId="40" xfId="0" applyNumberFormat="1" applyFont="1" applyFill="1" applyBorder="1" applyAlignment="1">
      <alignment horizontal="left" vertical="top" wrapText="1"/>
    </xf>
    <xf numFmtId="165" fontId="1" fillId="7" borderId="28" xfId="0" applyNumberFormat="1" applyFont="1" applyFill="1" applyBorder="1" applyAlignment="1">
      <alignment horizontal="left" vertical="top" wrapText="1"/>
    </xf>
    <xf numFmtId="0" fontId="5" fillId="7" borderId="9" xfId="0" applyFont="1" applyFill="1" applyBorder="1" applyAlignment="1">
      <alignment vertical="top" wrapText="1"/>
    </xf>
    <xf numFmtId="165" fontId="2" fillId="2"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1" fillId="7" borderId="6" xfId="0" applyNumberFormat="1" applyFont="1" applyFill="1" applyBorder="1" applyAlignment="1">
      <alignment horizontal="left" vertical="top" wrapText="1"/>
    </xf>
    <xf numFmtId="165" fontId="2" fillId="8" borderId="9" xfId="0" applyNumberFormat="1" applyFont="1" applyFill="1" applyBorder="1" applyAlignment="1">
      <alignment horizontal="center" vertical="top"/>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49" fontId="2" fillId="8" borderId="9"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0" fontId="1" fillId="7" borderId="67" xfId="0" applyFont="1" applyFill="1" applyBorder="1" applyAlignment="1">
      <alignment horizontal="center" vertical="top"/>
    </xf>
    <xf numFmtId="165" fontId="1" fillId="7" borderId="67" xfId="0" applyNumberFormat="1" applyFont="1" applyFill="1" applyBorder="1" applyAlignment="1">
      <alignment horizontal="left" vertical="top" wrapText="1"/>
    </xf>
    <xf numFmtId="0" fontId="1" fillId="7" borderId="31" xfId="0" applyNumberFormat="1" applyFont="1" applyFill="1" applyBorder="1" applyAlignment="1">
      <alignment horizontal="center" vertical="top"/>
    </xf>
    <xf numFmtId="0" fontId="1" fillId="7" borderId="17" xfId="0" applyFont="1" applyFill="1" applyBorder="1" applyAlignment="1">
      <alignment horizontal="center" vertical="top"/>
    </xf>
    <xf numFmtId="0" fontId="1" fillId="7" borderId="36" xfId="0" applyFont="1" applyFill="1" applyBorder="1" applyAlignment="1">
      <alignment horizontal="center" vertical="top"/>
    </xf>
    <xf numFmtId="165" fontId="2" fillId="7" borderId="24" xfId="0" applyNumberFormat="1" applyFont="1" applyFill="1" applyBorder="1" applyAlignment="1">
      <alignment horizontal="center" vertical="top" wrapText="1"/>
    </xf>
    <xf numFmtId="165" fontId="2" fillId="0" borderId="0" xfId="0" applyNumberFormat="1" applyFont="1" applyFill="1" applyBorder="1" applyAlignment="1">
      <alignment horizontal="center" vertical="top" wrapText="1"/>
    </xf>
    <xf numFmtId="165" fontId="1" fillId="7" borderId="71" xfId="0" applyNumberFormat="1" applyFont="1" applyFill="1" applyBorder="1" applyAlignment="1">
      <alignment horizontal="center" vertical="top"/>
    </xf>
    <xf numFmtId="49" fontId="2" fillId="9" borderId="5" xfId="0" applyNumberFormat="1" applyFont="1" applyFill="1" applyBorder="1" applyAlignment="1">
      <alignment horizontal="center" vertical="top"/>
    </xf>
    <xf numFmtId="167" fontId="1" fillId="7" borderId="93" xfId="0" applyNumberFormat="1" applyFont="1" applyFill="1" applyBorder="1" applyAlignment="1">
      <alignment horizontal="center" vertical="top"/>
    </xf>
    <xf numFmtId="167" fontId="1" fillId="7" borderId="70" xfId="0" applyNumberFormat="1" applyFont="1" applyFill="1" applyBorder="1" applyAlignment="1">
      <alignment horizontal="center" vertical="top"/>
    </xf>
    <xf numFmtId="0" fontId="1" fillId="7" borderId="6" xfId="0" applyFont="1" applyFill="1" applyBorder="1" applyAlignment="1">
      <alignment horizontal="left" vertical="top" wrapText="1"/>
    </xf>
    <xf numFmtId="0" fontId="1" fillId="7" borderId="4" xfId="0" applyFont="1" applyFill="1" applyBorder="1" applyAlignment="1">
      <alignment horizontal="left" vertical="top" wrapText="1"/>
    </xf>
    <xf numFmtId="165" fontId="1" fillId="7" borderId="39" xfId="0" applyNumberFormat="1" applyFont="1" applyFill="1" applyBorder="1" applyAlignment="1">
      <alignment vertical="top" wrapText="1"/>
    </xf>
    <xf numFmtId="49" fontId="2" fillId="7" borderId="39" xfId="0" applyNumberFormat="1" applyFont="1" applyFill="1" applyBorder="1" applyAlignment="1">
      <alignment horizontal="center" vertical="top"/>
    </xf>
    <xf numFmtId="165" fontId="1" fillId="7" borderId="90" xfId="0" applyNumberFormat="1" applyFont="1" applyFill="1" applyBorder="1" applyAlignment="1">
      <alignment horizontal="center" vertical="top"/>
    </xf>
    <xf numFmtId="165" fontId="1" fillId="7" borderId="94" xfId="0" applyNumberFormat="1" applyFont="1" applyFill="1" applyBorder="1" applyAlignment="1">
      <alignment horizontal="center" vertical="top"/>
    </xf>
    <xf numFmtId="165" fontId="1" fillId="7" borderId="17" xfId="0" applyNumberFormat="1" applyFont="1" applyFill="1" applyBorder="1" applyAlignment="1">
      <alignment horizontal="center" vertical="top"/>
    </xf>
    <xf numFmtId="165" fontId="1" fillId="7" borderId="9" xfId="0" applyNumberFormat="1" applyFont="1" applyFill="1" applyBorder="1" applyAlignment="1">
      <alignment horizontal="center" vertical="top"/>
    </xf>
    <xf numFmtId="165" fontId="1" fillId="7" borderId="1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0" fontId="1" fillId="7" borderId="20" xfId="0" applyFont="1" applyFill="1" applyBorder="1" applyAlignment="1">
      <alignment horizontal="left" vertical="top" wrapText="1"/>
    </xf>
    <xf numFmtId="165" fontId="26" fillId="0" borderId="4" xfId="0" applyNumberFormat="1" applyFont="1" applyFill="1" applyBorder="1" applyAlignment="1">
      <alignment horizontal="center" vertical="top"/>
    </xf>
    <xf numFmtId="165" fontId="1" fillId="7" borderId="19" xfId="0" applyNumberFormat="1" applyFont="1" applyFill="1" applyBorder="1" applyAlignment="1">
      <alignment horizontal="center" vertical="top" wrapText="1"/>
    </xf>
    <xf numFmtId="165" fontId="22" fillId="7" borderId="15" xfId="0" applyNumberFormat="1" applyFont="1" applyFill="1" applyBorder="1" applyAlignment="1">
      <alignment horizontal="center" vertical="top"/>
    </xf>
    <xf numFmtId="165" fontId="22" fillId="7" borderId="91" xfId="0" applyNumberFormat="1" applyFont="1" applyFill="1" applyBorder="1" applyAlignment="1">
      <alignment horizontal="center" vertical="top"/>
    </xf>
    <xf numFmtId="165" fontId="22" fillId="7" borderId="24" xfId="0" applyNumberFormat="1" applyFont="1" applyFill="1" applyBorder="1" applyAlignment="1">
      <alignment horizontal="center" vertical="top"/>
    </xf>
    <xf numFmtId="165" fontId="22" fillId="7" borderId="23" xfId="0" applyNumberFormat="1" applyFont="1" applyFill="1" applyBorder="1" applyAlignment="1">
      <alignment horizontal="center" vertical="top"/>
    </xf>
    <xf numFmtId="165" fontId="22" fillId="7" borderId="65" xfId="0" applyNumberFormat="1" applyFont="1" applyFill="1" applyBorder="1" applyAlignment="1">
      <alignment horizontal="center" vertical="top"/>
    </xf>
    <xf numFmtId="165" fontId="22" fillId="7" borderId="63" xfId="0" applyNumberFormat="1" applyFont="1" applyFill="1" applyBorder="1" applyAlignment="1">
      <alignment horizontal="center" vertical="top"/>
    </xf>
    <xf numFmtId="165" fontId="22" fillId="7" borderId="71" xfId="0" applyNumberFormat="1" applyFont="1" applyFill="1" applyBorder="1" applyAlignment="1">
      <alignment horizontal="center" vertical="top"/>
    </xf>
    <xf numFmtId="165" fontId="22" fillId="7" borderId="20" xfId="0" applyNumberFormat="1" applyFont="1" applyFill="1" applyBorder="1" applyAlignment="1">
      <alignment horizontal="center" vertical="top"/>
    </xf>
    <xf numFmtId="3" fontId="31" fillId="7" borderId="15" xfId="0" applyNumberFormat="1" applyFont="1" applyFill="1" applyBorder="1" applyAlignment="1">
      <alignment horizontal="center" vertical="top"/>
    </xf>
    <xf numFmtId="0" fontId="26" fillId="0" borderId="23" xfId="0" applyFont="1" applyBorder="1" applyAlignment="1">
      <alignment horizontal="center" vertical="top"/>
    </xf>
    <xf numFmtId="167" fontId="26" fillId="0" borderId="18" xfId="0" applyNumberFormat="1" applyFont="1" applyBorder="1" applyAlignment="1">
      <alignment horizontal="center" vertical="top"/>
    </xf>
    <xf numFmtId="0" fontId="26" fillId="0" borderId="15" xfId="0" applyFont="1" applyBorder="1" applyAlignment="1">
      <alignment vertical="top"/>
    </xf>
    <xf numFmtId="3" fontId="26" fillId="7" borderId="15" xfId="0" applyNumberFormat="1" applyFont="1" applyFill="1" applyBorder="1" applyAlignment="1">
      <alignment horizontal="center" vertical="top"/>
    </xf>
    <xf numFmtId="3" fontId="26" fillId="7" borderId="69" xfId="0" applyNumberFormat="1" applyFont="1" applyFill="1" applyBorder="1" applyAlignment="1">
      <alignment horizontal="center" vertical="top"/>
    </xf>
    <xf numFmtId="0" fontId="26" fillId="7" borderId="69" xfId="0" applyFont="1" applyFill="1" applyBorder="1" applyAlignment="1">
      <alignment horizontal="center" vertical="top"/>
    </xf>
    <xf numFmtId="3" fontId="26" fillId="7" borderId="18" xfId="0" applyNumberFormat="1" applyFont="1" applyFill="1" applyBorder="1" applyAlignment="1">
      <alignment horizontal="center" vertical="top"/>
    </xf>
    <xf numFmtId="3" fontId="26" fillId="7" borderId="23" xfId="0" applyNumberFormat="1" applyFont="1" applyFill="1" applyBorder="1" applyAlignment="1">
      <alignment horizontal="center" vertical="top"/>
    </xf>
    <xf numFmtId="165" fontId="31" fillId="7" borderId="92" xfId="0" applyNumberFormat="1" applyFont="1" applyFill="1" applyBorder="1" applyAlignment="1">
      <alignment horizontal="center" vertical="top"/>
    </xf>
    <xf numFmtId="165" fontId="31" fillId="7" borderId="62" xfId="0" applyNumberFormat="1" applyFont="1" applyFill="1" applyBorder="1" applyAlignment="1">
      <alignment horizontal="center" vertical="top"/>
    </xf>
    <xf numFmtId="165" fontId="31" fillId="7" borderId="93" xfId="0" applyNumberFormat="1" applyFont="1" applyFill="1" applyBorder="1" applyAlignment="1">
      <alignment horizontal="center" vertical="top"/>
    </xf>
    <xf numFmtId="165" fontId="31" fillId="7" borderId="70" xfId="0" applyNumberFormat="1" applyFont="1" applyFill="1" applyBorder="1" applyAlignment="1">
      <alignment horizontal="center" vertical="top"/>
    </xf>
    <xf numFmtId="165" fontId="31" fillId="7" borderId="4" xfId="0" applyNumberFormat="1" applyFont="1" applyFill="1" applyBorder="1" applyAlignment="1">
      <alignment horizontal="center" vertical="top"/>
    </xf>
    <xf numFmtId="165" fontId="31" fillId="7" borderId="5" xfId="0" applyNumberFormat="1" applyFont="1" applyFill="1" applyBorder="1" applyAlignment="1">
      <alignment horizontal="center" vertical="top"/>
    </xf>
    <xf numFmtId="165" fontId="31" fillId="7" borderId="9" xfId="0" applyNumberFormat="1" applyFont="1" applyFill="1" applyBorder="1" applyAlignment="1">
      <alignment horizontal="center" vertical="top"/>
    </xf>
    <xf numFmtId="165" fontId="1" fillId="7" borderId="9" xfId="0" applyNumberFormat="1" applyFont="1" applyFill="1" applyBorder="1" applyAlignment="1">
      <alignment horizontal="left" vertical="top" wrapText="1"/>
    </xf>
    <xf numFmtId="3" fontId="31" fillId="7" borderId="63" xfId="0" applyNumberFormat="1" applyFont="1" applyFill="1" applyBorder="1" applyAlignment="1">
      <alignment horizontal="center" vertical="top"/>
    </xf>
    <xf numFmtId="0" fontId="22" fillId="7" borderId="4" xfId="0" applyFont="1" applyFill="1" applyBorder="1" applyAlignment="1">
      <alignment horizontal="center" vertical="top"/>
    </xf>
    <xf numFmtId="165" fontId="22" fillId="7" borderId="82" xfId="0" applyNumberFormat="1" applyFont="1" applyFill="1" applyBorder="1" applyAlignment="1">
      <alignment horizontal="center" vertical="top"/>
    </xf>
    <xf numFmtId="165" fontId="22" fillId="7" borderId="6" xfId="0" applyNumberFormat="1" applyFont="1" applyFill="1" applyBorder="1" applyAlignment="1">
      <alignment horizontal="center" vertical="top"/>
    </xf>
    <xf numFmtId="167" fontId="22" fillId="7" borderId="40" xfId="0" applyNumberFormat="1" applyFont="1" applyFill="1" applyBorder="1" applyAlignment="1">
      <alignment horizontal="center" vertical="top"/>
    </xf>
    <xf numFmtId="0" fontId="22" fillId="7" borderId="17" xfId="0" applyFont="1" applyFill="1" applyBorder="1" applyAlignment="1">
      <alignment horizontal="center" vertical="top"/>
    </xf>
    <xf numFmtId="165" fontId="22" fillId="7" borderId="83" xfId="0" applyNumberFormat="1" applyFont="1" applyFill="1" applyBorder="1" applyAlignment="1">
      <alignment horizontal="center" vertical="top"/>
    </xf>
    <xf numFmtId="0" fontId="31" fillId="0" borderId="15" xfId="0" applyFont="1" applyBorder="1" applyAlignment="1">
      <alignment vertical="top"/>
    </xf>
    <xf numFmtId="165" fontId="2" fillId="9" borderId="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1" fillId="7" borderId="9" xfId="0" applyNumberFormat="1" applyFont="1" applyFill="1" applyBorder="1" applyAlignment="1">
      <alignment horizontal="center" vertical="top"/>
    </xf>
    <xf numFmtId="165" fontId="1" fillId="7" borderId="15"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0" fontId="22" fillId="7" borderId="71" xfId="0" applyFont="1" applyFill="1" applyBorder="1" applyAlignment="1">
      <alignment horizontal="center" vertical="top"/>
    </xf>
    <xf numFmtId="0" fontId="22" fillId="0" borderId="5" xfId="0" applyFont="1" applyBorder="1" applyAlignment="1">
      <alignment vertical="top"/>
    </xf>
    <xf numFmtId="165" fontId="22" fillId="7" borderId="60" xfId="0" applyNumberFormat="1" applyFont="1" applyFill="1" applyBorder="1" applyAlignment="1">
      <alignment horizontal="center" vertical="top"/>
    </xf>
    <xf numFmtId="165" fontId="22" fillId="7" borderId="61" xfId="0" applyNumberFormat="1" applyFont="1" applyFill="1" applyBorder="1" applyAlignment="1">
      <alignment horizontal="center" vertical="top"/>
    </xf>
    <xf numFmtId="0" fontId="22" fillId="7" borderId="28" xfId="0" applyFont="1" applyFill="1" applyBorder="1" applyAlignment="1">
      <alignment horizontal="center" vertical="top"/>
    </xf>
    <xf numFmtId="165" fontId="22" fillId="7" borderId="94" xfId="0" applyNumberFormat="1" applyFont="1" applyFill="1" applyBorder="1" applyAlignment="1">
      <alignment horizontal="center" vertical="top"/>
    </xf>
    <xf numFmtId="0" fontId="22" fillId="7" borderId="20" xfId="0" applyFont="1" applyFill="1" applyBorder="1" applyAlignment="1">
      <alignment horizontal="center" vertical="top"/>
    </xf>
    <xf numFmtId="0" fontId="22" fillId="7" borderId="0" xfId="0" applyFont="1" applyFill="1" applyAlignment="1">
      <alignment vertical="top"/>
    </xf>
    <xf numFmtId="0" fontId="22" fillId="7" borderId="29" xfId="0" applyFont="1" applyFill="1" applyBorder="1" applyAlignment="1">
      <alignment vertical="top"/>
    </xf>
    <xf numFmtId="0" fontId="22" fillId="7" borderId="23" xfId="0" applyFont="1" applyFill="1" applyBorder="1" applyAlignment="1">
      <alignment vertical="top"/>
    </xf>
    <xf numFmtId="49" fontId="1" fillId="7" borderId="91" xfId="0" applyNumberFormat="1" applyFont="1" applyFill="1" applyBorder="1" applyAlignment="1">
      <alignment horizontal="center" vertical="top" wrapText="1"/>
    </xf>
    <xf numFmtId="0" fontId="22" fillId="0" borderId="108" xfId="0" applyFont="1" applyBorder="1" applyAlignment="1">
      <alignment vertical="top" wrapText="1"/>
    </xf>
    <xf numFmtId="0" fontId="22" fillId="0" borderId="0" xfId="0" applyFont="1" applyAlignment="1">
      <alignment horizontal="center" vertical="top"/>
    </xf>
    <xf numFmtId="3" fontId="22" fillId="7" borderId="92" xfId="0" applyNumberFormat="1" applyFont="1" applyFill="1" applyBorder="1" applyAlignment="1">
      <alignment horizontal="center" vertical="top"/>
    </xf>
    <xf numFmtId="3" fontId="31" fillId="7" borderId="62"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2" fillId="7" borderId="65" xfId="0" applyNumberFormat="1" applyFont="1" applyFill="1" applyBorder="1" applyAlignment="1">
      <alignment vertical="top" wrapText="1"/>
    </xf>
    <xf numFmtId="3" fontId="24" fillId="7" borderId="42"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49" fontId="2" fillId="7" borderId="17"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49" fontId="2" fillId="7" borderId="24" xfId="0" applyNumberFormat="1" applyFont="1" applyFill="1" applyBorder="1" applyAlignment="1">
      <alignment horizontal="center" vertical="top"/>
    </xf>
    <xf numFmtId="165" fontId="1" fillId="7" borderId="37" xfId="0" applyNumberFormat="1" applyFont="1" applyFill="1" applyBorder="1" applyAlignment="1">
      <alignment horizontal="left" vertical="top" wrapText="1"/>
    </xf>
    <xf numFmtId="165" fontId="1" fillId="7" borderId="39" xfId="0" applyNumberFormat="1" applyFont="1" applyFill="1" applyBorder="1" applyAlignment="1">
      <alignment horizontal="left" vertical="top" wrapText="1"/>
    </xf>
    <xf numFmtId="165" fontId="1" fillId="7" borderId="18" xfId="0" applyNumberFormat="1" applyFont="1" applyFill="1" applyBorder="1" applyAlignment="1">
      <alignment horizontal="center" vertical="top" wrapText="1"/>
    </xf>
    <xf numFmtId="165" fontId="1" fillId="7" borderId="15" xfId="0" applyNumberFormat="1" applyFont="1" applyFill="1" applyBorder="1" applyAlignment="1">
      <alignment horizontal="center" vertical="top" wrapText="1"/>
    </xf>
    <xf numFmtId="165" fontId="1" fillId="7" borderId="6" xfId="0" applyNumberFormat="1" applyFont="1" applyFill="1" applyBorder="1" applyAlignment="1">
      <alignment horizontal="left" vertical="top" wrapText="1"/>
    </xf>
    <xf numFmtId="165" fontId="1" fillId="7" borderId="4" xfId="0" applyNumberFormat="1" applyFont="1" applyFill="1" applyBorder="1" applyAlignment="1">
      <alignment horizontal="left" vertical="top" wrapText="1"/>
    </xf>
    <xf numFmtId="165" fontId="1" fillId="7" borderId="20" xfId="0" applyNumberFormat="1" applyFont="1" applyFill="1" applyBorder="1" applyAlignment="1">
      <alignment horizontal="left" vertical="top" wrapText="1"/>
    </xf>
    <xf numFmtId="165" fontId="2" fillId="9" borderId="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1" fillId="7" borderId="110" xfId="0" applyNumberFormat="1" applyFont="1" applyFill="1" applyBorder="1" applyAlignment="1">
      <alignment horizontal="left" vertical="top" wrapText="1"/>
    </xf>
    <xf numFmtId="165" fontId="1" fillId="7" borderId="49" xfId="0" applyNumberFormat="1" applyFont="1" applyFill="1" applyBorder="1" applyAlignment="1">
      <alignment horizontal="left" vertical="top" wrapText="1"/>
    </xf>
    <xf numFmtId="0" fontId="1" fillId="0" borderId="70" xfId="0" applyNumberFormat="1" applyFont="1" applyFill="1" applyBorder="1" applyAlignment="1">
      <alignment horizontal="left" vertical="top" wrapText="1"/>
    </xf>
    <xf numFmtId="0" fontId="1" fillId="0" borderId="9" xfId="0" applyNumberFormat="1" applyFont="1" applyFill="1" applyBorder="1" applyAlignment="1">
      <alignment horizontal="left" vertical="top" wrapText="1"/>
    </xf>
    <xf numFmtId="165" fontId="1" fillId="7" borderId="17" xfId="0" applyNumberFormat="1" applyFont="1" applyFill="1" applyBorder="1" applyAlignment="1">
      <alignment horizontal="left" vertical="top" wrapText="1"/>
    </xf>
    <xf numFmtId="165" fontId="1" fillId="7" borderId="24" xfId="0" applyNumberFormat="1" applyFont="1" applyFill="1" applyBorder="1" applyAlignment="1">
      <alignment horizontal="left" vertical="top" wrapText="1"/>
    </xf>
    <xf numFmtId="165" fontId="1" fillId="7" borderId="37" xfId="0" applyNumberFormat="1" applyFont="1" applyFill="1" applyBorder="1" applyAlignment="1">
      <alignment vertical="top" wrapText="1"/>
    </xf>
    <xf numFmtId="165" fontId="1" fillId="7" borderId="39" xfId="0" applyNumberFormat="1" applyFont="1" applyFill="1" applyBorder="1" applyAlignment="1">
      <alignment vertical="top" wrapText="1"/>
    </xf>
    <xf numFmtId="0" fontId="1" fillId="7" borderId="70" xfId="0" applyNumberFormat="1" applyFont="1" applyFill="1" applyBorder="1" applyAlignment="1">
      <alignment horizontal="left" vertical="top" wrapText="1"/>
    </xf>
    <xf numFmtId="0" fontId="1" fillId="7" borderId="60" xfId="0" applyNumberFormat="1" applyFont="1" applyFill="1" applyBorder="1" applyAlignment="1">
      <alignment horizontal="left" vertical="top" wrapText="1"/>
    </xf>
    <xf numFmtId="0" fontId="1" fillId="7" borderId="70" xfId="0" applyFont="1" applyFill="1" applyBorder="1" applyAlignment="1">
      <alignment horizontal="left" vertical="top" wrapText="1"/>
    </xf>
    <xf numFmtId="0" fontId="1" fillId="7" borderId="24" xfId="0" applyFont="1" applyFill="1" applyBorder="1" applyAlignment="1">
      <alignment horizontal="left" vertical="top" wrapText="1"/>
    </xf>
    <xf numFmtId="0" fontId="5" fillId="7" borderId="15" xfId="0" applyFont="1" applyFill="1" applyBorder="1" applyAlignment="1">
      <alignment horizontal="center" vertical="top" wrapText="1"/>
    </xf>
    <xf numFmtId="49" fontId="2" fillId="8" borderId="9" xfId="0" applyNumberFormat="1" applyFont="1" applyFill="1" applyBorder="1" applyAlignment="1">
      <alignment horizontal="center" vertical="top"/>
    </xf>
    <xf numFmtId="49" fontId="2" fillId="0" borderId="17" xfId="0" applyNumberFormat="1" applyFont="1" applyBorder="1" applyAlignment="1">
      <alignment horizontal="center" vertical="top"/>
    </xf>
    <xf numFmtId="49" fontId="2" fillId="0" borderId="9" xfId="0" applyNumberFormat="1" applyFont="1" applyBorder="1" applyAlignment="1">
      <alignment horizontal="center" vertical="top"/>
    </xf>
    <xf numFmtId="49" fontId="2" fillId="0" borderId="24" xfId="0" applyNumberFormat="1" applyFont="1" applyBorder="1" applyAlignment="1">
      <alignment horizontal="center" vertical="top"/>
    </xf>
    <xf numFmtId="165" fontId="1" fillId="7" borderId="17" xfId="0" applyNumberFormat="1" applyFont="1" applyFill="1" applyBorder="1" applyAlignment="1">
      <alignment vertical="top" wrapText="1"/>
    </xf>
    <xf numFmtId="165" fontId="1" fillId="7" borderId="9" xfId="0" applyNumberFormat="1" applyFont="1" applyFill="1" applyBorder="1" applyAlignment="1">
      <alignment vertical="top" wrapText="1"/>
    </xf>
    <xf numFmtId="165" fontId="1" fillId="7" borderId="24" xfId="0" applyNumberFormat="1" applyFont="1" applyFill="1" applyBorder="1" applyAlignment="1">
      <alignment vertical="top" wrapText="1"/>
    </xf>
    <xf numFmtId="165" fontId="1" fillId="7" borderId="23" xfId="0" applyNumberFormat="1" applyFont="1" applyFill="1" applyBorder="1" applyAlignment="1">
      <alignment horizontal="center" vertical="top" wrapText="1"/>
    </xf>
    <xf numFmtId="0" fontId="1" fillId="0" borderId="70" xfId="0" applyFont="1" applyBorder="1" applyAlignment="1">
      <alignment horizontal="left" vertical="top" wrapText="1"/>
    </xf>
    <xf numFmtId="0" fontId="1" fillId="0" borderId="60" xfId="0" applyFont="1" applyBorder="1" applyAlignment="1">
      <alignment horizontal="left" vertical="top" wrapText="1"/>
    </xf>
    <xf numFmtId="167" fontId="1" fillId="7" borderId="93" xfId="0" applyNumberFormat="1" applyFont="1" applyFill="1" applyBorder="1" applyAlignment="1">
      <alignment horizontal="center" vertical="top"/>
    </xf>
    <xf numFmtId="167" fontId="1" fillId="7" borderId="94" xfId="0" applyNumberFormat="1" applyFont="1" applyFill="1" applyBorder="1" applyAlignment="1">
      <alignment horizontal="center" vertical="top"/>
    </xf>
    <xf numFmtId="167" fontId="1" fillId="7" borderId="70" xfId="0" applyNumberFormat="1" applyFont="1" applyFill="1" applyBorder="1" applyAlignment="1">
      <alignment horizontal="center" vertical="top"/>
    </xf>
    <xf numFmtId="167" fontId="1" fillId="7" borderId="60" xfId="0" applyNumberFormat="1" applyFont="1" applyFill="1" applyBorder="1" applyAlignment="1">
      <alignment horizontal="center" vertical="top"/>
    </xf>
    <xf numFmtId="165" fontId="1" fillId="7" borderId="70" xfId="0" applyNumberFormat="1" applyFont="1" applyFill="1" applyBorder="1" applyAlignment="1">
      <alignment vertical="top" wrapText="1"/>
    </xf>
    <xf numFmtId="165" fontId="2" fillId="2" borderId="58" xfId="0" applyNumberFormat="1" applyFont="1" applyFill="1" applyBorder="1" applyAlignment="1">
      <alignment horizontal="right" vertical="top"/>
    </xf>
    <xf numFmtId="165" fontId="2" fillId="2" borderId="54" xfId="0" applyNumberFormat="1" applyFont="1" applyFill="1" applyBorder="1" applyAlignment="1">
      <alignment horizontal="right" vertical="top"/>
    </xf>
    <xf numFmtId="165" fontId="2" fillId="2" borderId="55" xfId="0" applyNumberFormat="1" applyFont="1" applyFill="1" applyBorder="1" applyAlignment="1">
      <alignment horizontal="right" vertical="top"/>
    </xf>
    <xf numFmtId="165" fontId="1" fillId="7" borderId="115" xfId="0" applyNumberFormat="1" applyFont="1" applyFill="1" applyBorder="1" applyAlignment="1">
      <alignment horizontal="left" vertical="top" wrapText="1"/>
    </xf>
    <xf numFmtId="165" fontId="1" fillId="0" borderId="71" xfId="0" applyNumberFormat="1" applyFont="1" applyFill="1" applyBorder="1" applyAlignment="1">
      <alignment horizontal="center" vertical="top" wrapText="1"/>
    </xf>
    <xf numFmtId="0" fontId="5" fillId="0" borderId="67" xfId="0" applyFont="1" applyFill="1" applyBorder="1" applyAlignment="1">
      <alignment horizontal="center" vertical="top" wrapText="1"/>
    </xf>
    <xf numFmtId="165" fontId="1" fillId="7" borderId="67" xfId="0" applyNumberFormat="1" applyFont="1" applyFill="1" applyBorder="1" applyAlignment="1">
      <alignment horizontal="left" vertical="top" wrapText="1"/>
    </xf>
    <xf numFmtId="0" fontId="1" fillId="7" borderId="6"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0" borderId="71" xfId="0" applyFont="1" applyBorder="1" applyAlignment="1">
      <alignment horizontal="left" vertical="top" wrapText="1"/>
    </xf>
    <xf numFmtId="0" fontId="1" fillId="0" borderId="4" xfId="0" applyFont="1" applyBorder="1" applyAlignment="1">
      <alignment horizontal="left" vertical="top" wrapText="1"/>
    </xf>
    <xf numFmtId="165" fontId="1" fillId="7" borderId="29" xfId="0" applyNumberFormat="1" applyFont="1" applyFill="1" applyBorder="1" applyAlignment="1">
      <alignment vertical="top" wrapText="1"/>
    </xf>
    <xf numFmtId="165" fontId="1" fillId="7" borderId="82" xfId="0" applyNumberFormat="1" applyFont="1" applyFill="1" applyBorder="1" applyAlignment="1">
      <alignment horizontal="center" vertical="center" wrapText="1"/>
    </xf>
    <xf numFmtId="165" fontId="1" fillId="7" borderId="23" xfId="0" applyNumberFormat="1" applyFont="1" applyFill="1" applyBorder="1" applyAlignment="1">
      <alignment horizontal="center" vertical="center" wrapText="1"/>
    </xf>
    <xf numFmtId="49" fontId="2" fillId="7" borderId="37" xfId="0" applyNumberFormat="1" applyFont="1" applyFill="1" applyBorder="1" applyAlignment="1">
      <alignment horizontal="center" vertical="top"/>
    </xf>
    <xf numFmtId="49" fontId="2" fillId="7" borderId="39" xfId="0" applyNumberFormat="1" applyFont="1" applyFill="1" applyBorder="1" applyAlignment="1">
      <alignment horizontal="center" vertical="top"/>
    </xf>
    <xf numFmtId="49" fontId="2" fillId="7" borderId="29" xfId="0" applyNumberFormat="1" applyFont="1" applyFill="1" applyBorder="1" applyAlignment="1">
      <alignment horizontal="center" vertical="top"/>
    </xf>
    <xf numFmtId="165" fontId="1" fillId="7" borderId="9" xfId="0" applyNumberFormat="1" applyFont="1" applyFill="1" applyBorder="1" applyAlignment="1">
      <alignment horizontal="left" vertical="top" wrapText="1"/>
    </xf>
    <xf numFmtId="165" fontId="1" fillId="2" borderId="54" xfId="0" applyNumberFormat="1" applyFont="1" applyFill="1" applyBorder="1" applyAlignment="1">
      <alignment horizontal="center" vertical="top" wrapText="1"/>
    </xf>
    <xf numFmtId="165" fontId="1" fillId="2" borderId="55" xfId="0" applyNumberFormat="1" applyFont="1" applyFill="1" applyBorder="1" applyAlignment="1">
      <alignment horizontal="center" vertical="top" wrapText="1"/>
    </xf>
    <xf numFmtId="167" fontId="1" fillId="7" borderId="6" xfId="0" applyNumberFormat="1" applyFont="1" applyFill="1" applyBorder="1" applyAlignment="1">
      <alignment horizontal="center" vertical="top"/>
    </xf>
    <xf numFmtId="167" fontId="1" fillId="7" borderId="4" xfId="0" applyNumberFormat="1" applyFont="1" applyFill="1" applyBorder="1" applyAlignment="1">
      <alignment horizontal="center" vertical="top"/>
    </xf>
    <xf numFmtId="165" fontId="1" fillId="7" borderId="90" xfId="0" applyNumberFormat="1" applyFont="1" applyFill="1" applyBorder="1" applyAlignment="1">
      <alignment horizontal="center" vertical="top"/>
    </xf>
    <xf numFmtId="165" fontId="1" fillId="7" borderId="94" xfId="0" applyNumberFormat="1" applyFont="1" applyFill="1" applyBorder="1" applyAlignment="1">
      <alignment horizontal="center" vertical="top"/>
    </xf>
    <xf numFmtId="165" fontId="1" fillId="7" borderId="17" xfId="0" applyNumberFormat="1" applyFont="1" applyFill="1" applyBorder="1" applyAlignment="1">
      <alignment horizontal="center" vertical="top"/>
    </xf>
    <xf numFmtId="165" fontId="1" fillId="7" borderId="9" xfId="0" applyNumberFormat="1" applyFont="1" applyFill="1" applyBorder="1" applyAlignment="1">
      <alignment horizontal="center" vertical="top"/>
    </xf>
    <xf numFmtId="165" fontId="1" fillId="7" borderId="18" xfId="0" applyNumberFormat="1" applyFont="1" applyFill="1" applyBorder="1" applyAlignment="1">
      <alignment horizontal="center" vertical="top"/>
    </xf>
    <xf numFmtId="165" fontId="1" fillId="7" borderId="15" xfId="0" applyNumberFormat="1" applyFont="1" applyFill="1" applyBorder="1" applyAlignment="1">
      <alignment horizontal="center" vertical="top"/>
    </xf>
    <xf numFmtId="0" fontId="1" fillId="7" borderId="40" xfId="0" applyFont="1" applyFill="1" applyBorder="1" applyAlignment="1">
      <alignment horizontal="left" vertical="top" wrapText="1"/>
    </xf>
    <xf numFmtId="0" fontId="1" fillId="7" borderId="49" xfId="0" applyFont="1" applyFill="1" applyBorder="1" applyAlignment="1">
      <alignment horizontal="left" vertical="top" wrapText="1"/>
    </xf>
    <xf numFmtId="165" fontId="1" fillId="7" borderId="70" xfId="0" applyNumberFormat="1" applyFont="1" applyFill="1" applyBorder="1" applyAlignment="1">
      <alignment horizontal="left" vertical="top" wrapText="1"/>
    </xf>
    <xf numFmtId="49" fontId="2" fillId="7" borderId="17" xfId="0" applyNumberFormat="1" applyFont="1" applyFill="1" applyBorder="1" applyAlignment="1">
      <alignment horizontal="center" vertical="top" wrapText="1"/>
    </xf>
    <xf numFmtId="0" fontId="5" fillId="7" borderId="24" xfId="0" applyFont="1" applyFill="1" applyBorder="1" applyAlignment="1">
      <alignment horizontal="center" vertical="top" wrapText="1"/>
    </xf>
    <xf numFmtId="49" fontId="2" fillId="7" borderId="9" xfId="0" applyNumberFormat="1" applyFont="1" applyFill="1" applyBorder="1" applyAlignment="1">
      <alignment horizontal="center" vertical="top" wrapText="1"/>
    </xf>
    <xf numFmtId="165" fontId="1" fillId="12" borderId="44" xfId="0" applyNumberFormat="1" applyFont="1" applyFill="1" applyBorder="1" applyAlignment="1">
      <alignment horizontal="center" vertical="top" wrapText="1"/>
    </xf>
    <xf numFmtId="165" fontId="1" fillId="12" borderId="54" xfId="0" applyNumberFormat="1" applyFont="1" applyFill="1" applyBorder="1" applyAlignment="1">
      <alignment horizontal="center" vertical="top" wrapText="1"/>
    </xf>
    <xf numFmtId="165" fontId="1" fillId="12" borderId="55" xfId="0" applyNumberFormat="1" applyFont="1" applyFill="1" applyBorder="1" applyAlignment="1">
      <alignment horizontal="center" vertical="top" wrapText="1"/>
    </xf>
    <xf numFmtId="165" fontId="1" fillId="7" borderId="100" xfId="0" applyNumberFormat="1" applyFont="1" applyFill="1" applyBorder="1" applyAlignment="1">
      <alignment horizontal="center" vertical="top" wrapText="1"/>
    </xf>
    <xf numFmtId="0" fontId="5" fillId="7" borderId="80" xfId="0" applyFont="1" applyFill="1" applyBorder="1" applyAlignment="1">
      <alignment horizontal="center" vertical="top" wrapText="1"/>
    </xf>
    <xf numFmtId="3" fontId="1" fillId="7" borderId="6" xfId="0" applyNumberFormat="1" applyFont="1" applyFill="1" applyBorder="1" applyAlignment="1">
      <alignment horizontal="left" vertical="top" wrapText="1"/>
    </xf>
    <xf numFmtId="0" fontId="5" fillId="0" borderId="20" xfId="0" applyFont="1" applyBorder="1" applyAlignment="1">
      <alignment horizontal="left" vertical="top" wrapText="1"/>
    </xf>
    <xf numFmtId="3" fontId="1" fillId="7" borderId="36" xfId="0" applyNumberFormat="1" applyFont="1" applyFill="1" applyBorder="1" applyAlignment="1">
      <alignment horizontal="left" vertical="top" wrapText="1"/>
    </xf>
    <xf numFmtId="0" fontId="5" fillId="0" borderId="16" xfId="0" applyFont="1" applyBorder="1" applyAlignment="1">
      <alignment horizontal="left" vertical="top" wrapText="1"/>
    </xf>
    <xf numFmtId="3" fontId="1" fillId="7" borderId="17" xfId="0" applyNumberFormat="1" applyFont="1" applyFill="1" applyBorder="1" applyAlignment="1">
      <alignment horizontal="left" vertical="top" wrapText="1"/>
    </xf>
    <xf numFmtId="0" fontId="5" fillId="0" borderId="24" xfId="0" applyFont="1" applyBorder="1" applyAlignment="1">
      <alignment horizontal="left" vertical="top" wrapText="1"/>
    </xf>
    <xf numFmtId="3" fontId="1" fillId="7" borderId="31" xfId="0" applyNumberFormat="1" applyFont="1" applyFill="1" applyBorder="1" applyAlignment="1">
      <alignment horizontal="left" vertical="top" wrapText="1"/>
    </xf>
    <xf numFmtId="0" fontId="5" fillId="0" borderId="42" xfId="0" applyFont="1" applyBorder="1" applyAlignment="1">
      <alignment horizontal="left" vertical="top" wrapText="1"/>
    </xf>
    <xf numFmtId="165" fontId="1" fillId="7" borderId="40" xfId="0" applyNumberFormat="1" applyFont="1" applyFill="1" applyBorder="1" applyAlignment="1">
      <alignment horizontal="left" vertical="top" wrapText="1"/>
    </xf>
    <xf numFmtId="0" fontId="5" fillId="7" borderId="24" xfId="0" applyFont="1" applyFill="1" applyBorder="1" applyAlignment="1">
      <alignment vertical="top" wrapText="1"/>
    </xf>
    <xf numFmtId="165" fontId="1" fillId="0" borderId="51" xfId="0" applyNumberFormat="1" applyFont="1" applyBorder="1" applyAlignment="1">
      <alignment horizontal="left" vertical="top" wrapText="1"/>
    </xf>
    <xf numFmtId="165" fontId="1" fillId="0" borderId="48" xfId="0" applyNumberFormat="1" applyFont="1" applyBorder="1" applyAlignment="1">
      <alignment horizontal="left" vertical="top" wrapText="1"/>
    </xf>
    <xf numFmtId="165" fontId="1" fillId="0" borderId="34" xfId="0" applyNumberFormat="1" applyFont="1" applyBorder="1" applyAlignment="1">
      <alignment horizontal="left" vertical="top" wrapText="1"/>
    </xf>
    <xf numFmtId="0" fontId="1" fillId="3" borderId="49" xfId="0" applyFont="1" applyFill="1" applyBorder="1" applyAlignment="1">
      <alignment horizontal="left" vertical="top" wrapText="1"/>
    </xf>
    <xf numFmtId="0" fontId="1" fillId="3" borderId="59" xfId="0" applyFont="1" applyFill="1" applyBorder="1" applyAlignment="1">
      <alignment horizontal="left" vertical="top" wrapText="1"/>
    </xf>
    <xf numFmtId="0" fontId="1" fillId="3" borderId="42" xfId="0" applyFont="1" applyFill="1" applyBorder="1" applyAlignment="1">
      <alignment horizontal="left" vertical="top" wrapText="1"/>
    </xf>
    <xf numFmtId="165" fontId="2" fillId="4" borderId="56" xfId="0" applyNumberFormat="1" applyFont="1" applyFill="1" applyBorder="1" applyAlignment="1">
      <alignment horizontal="right" vertical="top" wrapText="1"/>
    </xf>
    <xf numFmtId="165" fontId="2" fillId="4" borderId="26" xfId="0" applyNumberFormat="1" applyFont="1" applyFill="1" applyBorder="1" applyAlignment="1">
      <alignment horizontal="right" vertical="top" wrapText="1"/>
    </xf>
    <xf numFmtId="165" fontId="2" fillId="4" borderId="27" xfId="0" applyNumberFormat="1" applyFont="1" applyFill="1" applyBorder="1" applyAlignment="1">
      <alignment horizontal="right" vertical="top" wrapText="1"/>
    </xf>
    <xf numFmtId="165" fontId="2" fillId="8" borderId="51" xfId="0" applyNumberFormat="1" applyFont="1" applyFill="1" applyBorder="1" applyAlignment="1">
      <alignment horizontal="right" vertical="top" wrapText="1"/>
    </xf>
    <xf numFmtId="165" fontId="5" fillId="8" borderId="48" xfId="0" applyNumberFormat="1" applyFont="1" applyFill="1" applyBorder="1" applyAlignment="1">
      <alignment horizontal="right" vertical="top" wrapText="1"/>
    </xf>
    <xf numFmtId="165" fontId="5" fillId="8" borderId="34" xfId="0" applyNumberFormat="1" applyFont="1" applyFill="1" applyBorder="1" applyAlignment="1">
      <alignment horizontal="right" vertical="top" wrapText="1"/>
    </xf>
    <xf numFmtId="165" fontId="2" fillId="9" borderId="58" xfId="0" applyNumberFormat="1" applyFont="1" applyFill="1" applyBorder="1" applyAlignment="1">
      <alignment horizontal="right" vertical="top"/>
    </xf>
    <xf numFmtId="165" fontId="2" fillId="9" borderId="54" xfId="0" applyNumberFormat="1" applyFont="1" applyFill="1" applyBorder="1" applyAlignment="1">
      <alignment horizontal="right" vertical="top"/>
    </xf>
    <xf numFmtId="165" fontId="2" fillId="9" borderId="55" xfId="0" applyNumberFormat="1" applyFont="1" applyFill="1" applyBorder="1" applyAlignment="1">
      <alignment horizontal="right" vertical="top"/>
    </xf>
    <xf numFmtId="165" fontId="2" fillId="5" borderId="58" xfId="0" applyNumberFormat="1" applyFont="1" applyFill="1" applyBorder="1" applyAlignment="1">
      <alignment horizontal="right" vertical="top"/>
    </xf>
    <xf numFmtId="165" fontId="2" fillId="5" borderId="54" xfId="0" applyNumberFormat="1" applyFont="1" applyFill="1" applyBorder="1" applyAlignment="1">
      <alignment horizontal="right" vertical="top"/>
    </xf>
    <xf numFmtId="165" fontId="2" fillId="5" borderId="55" xfId="0" applyNumberFormat="1" applyFont="1" applyFill="1" applyBorder="1" applyAlignment="1">
      <alignment horizontal="right" vertical="top"/>
    </xf>
    <xf numFmtId="165" fontId="1" fillId="7" borderId="18" xfId="0" applyNumberFormat="1" applyFont="1" applyFill="1" applyBorder="1" applyAlignment="1">
      <alignment horizontal="center" wrapText="1"/>
    </xf>
    <xf numFmtId="165" fontId="1" fillId="7" borderId="15" xfId="0" applyNumberFormat="1" applyFont="1" applyFill="1" applyBorder="1" applyAlignment="1">
      <alignment horizontal="center" wrapText="1"/>
    </xf>
    <xf numFmtId="49" fontId="2" fillId="9" borderId="5" xfId="0" applyNumberFormat="1" applyFont="1" applyFill="1" applyBorder="1" applyAlignment="1">
      <alignment horizontal="center" vertical="top"/>
    </xf>
    <xf numFmtId="165" fontId="2" fillId="5" borderId="51" xfId="0" applyNumberFormat="1" applyFont="1" applyFill="1" applyBorder="1" applyAlignment="1">
      <alignment horizontal="right" vertical="top" wrapText="1"/>
    </xf>
    <xf numFmtId="165" fontId="2" fillId="5" borderId="48" xfId="0" applyNumberFormat="1" applyFont="1" applyFill="1" applyBorder="1" applyAlignment="1">
      <alignment horizontal="right" vertical="top" wrapText="1"/>
    </xf>
    <xf numFmtId="165" fontId="2" fillId="5" borderId="34" xfId="0" applyNumberFormat="1" applyFont="1" applyFill="1" applyBorder="1" applyAlignment="1">
      <alignment horizontal="right" vertical="top" wrapText="1"/>
    </xf>
    <xf numFmtId="165" fontId="1" fillId="3" borderId="49" xfId="0" applyNumberFormat="1" applyFont="1" applyFill="1" applyBorder="1" applyAlignment="1">
      <alignment horizontal="left" vertical="top" wrapText="1"/>
    </xf>
    <xf numFmtId="165" fontId="1" fillId="3" borderId="59" xfId="0" applyNumberFormat="1" applyFont="1" applyFill="1" applyBorder="1" applyAlignment="1">
      <alignment horizontal="left" vertical="top" wrapText="1"/>
    </xf>
    <xf numFmtId="165" fontId="1" fillId="3" borderId="42" xfId="0" applyNumberFormat="1" applyFont="1" applyFill="1" applyBorder="1" applyAlignment="1">
      <alignment horizontal="left" vertical="top" wrapText="1"/>
    </xf>
    <xf numFmtId="165" fontId="1" fillId="3" borderId="51" xfId="0" applyNumberFormat="1" applyFont="1" applyFill="1" applyBorder="1" applyAlignment="1">
      <alignment horizontal="left" vertical="top" wrapText="1"/>
    </xf>
    <xf numFmtId="165" fontId="1" fillId="3" borderId="48" xfId="0" applyNumberFormat="1" applyFont="1" applyFill="1" applyBorder="1" applyAlignment="1">
      <alignment horizontal="left" vertical="top" wrapText="1"/>
    </xf>
    <xf numFmtId="165" fontId="1" fillId="3" borderId="34" xfId="0" applyNumberFormat="1" applyFont="1" applyFill="1" applyBorder="1" applyAlignment="1">
      <alignment horizontal="left" vertical="top" wrapText="1"/>
    </xf>
    <xf numFmtId="3" fontId="2" fillId="0" borderId="44" xfId="0" applyNumberFormat="1" applyFont="1" applyBorder="1" applyAlignment="1">
      <alignment horizontal="center" vertical="center" wrapText="1"/>
    </xf>
    <xf numFmtId="3" fontId="2" fillId="0" borderId="54" xfId="0" applyNumberFormat="1" applyFont="1" applyBorder="1" applyAlignment="1">
      <alignment horizontal="center" vertical="center" wrapText="1"/>
    </xf>
    <xf numFmtId="3" fontId="2" fillId="0" borderId="55" xfId="0" applyNumberFormat="1" applyFont="1" applyBorder="1" applyAlignment="1">
      <alignment horizontal="center" vertical="center" wrapText="1"/>
    </xf>
    <xf numFmtId="165" fontId="2" fillId="5" borderId="52" xfId="0" applyNumberFormat="1" applyFont="1" applyFill="1" applyBorder="1" applyAlignment="1">
      <alignment horizontal="right" vertical="top" wrapText="1"/>
    </xf>
    <xf numFmtId="165" fontId="2" fillId="5" borderId="57" xfId="0" applyNumberFormat="1" applyFont="1" applyFill="1" applyBorder="1" applyAlignment="1">
      <alignment horizontal="right" vertical="top" wrapText="1"/>
    </xf>
    <xf numFmtId="165" fontId="2" fillId="5" borderId="53" xfId="0" applyNumberFormat="1" applyFont="1" applyFill="1" applyBorder="1" applyAlignment="1">
      <alignment horizontal="right" vertical="top" wrapText="1"/>
    </xf>
    <xf numFmtId="3" fontId="1" fillId="0" borderId="0" xfId="0" applyNumberFormat="1" applyFont="1" applyFill="1" applyBorder="1" applyAlignment="1">
      <alignment horizontal="left" vertical="top" wrapText="1"/>
    </xf>
    <xf numFmtId="165" fontId="2" fillId="0" borderId="0" xfId="0" applyNumberFormat="1" applyFont="1" applyFill="1" applyBorder="1" applyAlignment="1">
      <alignment horizontal="center" vertical="top" wrapText="1"/>
    </xf>
    <xf numFmtId="165" fontId="1" fillId="11" borderId="44" xfId="0" applyNumberFormat="1" applyFont="1" applyFill="1" applyBorder="1" applyAlignment="1">
      <alignment horizontal="center" vertical="top"/>
    </xf>
    <xf numFmtId="165" fontId="1" fillId="11" borderId="54" xfId="0" applyNumberFormat="1" applyFont="1" applyFill="1" applyBorder="1" applyAlignment="1">
      <alignment horizontal="center" vertical="top"/>
    </xf>
    <xf numFmtId="165" fontId="1" fillId="11" borderId="55" xfId="0" applyNumberFormat="1" applyFont="1" applyFill="1" applyBorder="1" applyAlignment="1">
      <alignment horizontal="center" vertical="top"/>
    </xf>
    <xf numFmtId="165" fontId="1" fillId="9" borderId="44" xfId="0" applyNumberFormat="1" applyFont="1" applyFill="1" applyBorder="1" applyAlignment="1">
      <alignment horizontal="center" vertical="top"/>
    </xf>
    <xf numFmtId="165" fontId="1" fillId="9" borderId="54" xfId="0" applyNumberFormat="1" applyFont="1" applyFill="1" applyBorder="1" applyAlignment="1">
      <alignment horizontal="center" vertical="top"/>
    </xf>
    <xf numFmtId="165" fontId="1" fillId="9" borderId="55" xfId="0" applyNumberFormat="1" applyFont="1" applyFill="1" applyBorder="1" applyAlignment="1">
      <alignment horizontal="center" vertical="top"/>
    </xf>
    <xf numFmtId="165" fontId="1" fillId="2" borderId="44" xfId="0" applyNumberFormat="1" applyFont="1" applyFill="1" applyBorder="1" applyAlignment="1">
      <alignment horizontal="center" vertical="top" wrapText="1"/>
    </xf>
    <xf numFmtId="165" fontId="31" fillId="7" borderId="82" xfId="0" applyNumberFormat="1" applyFont="1" applyFill="1" applyBorder="1" applyAlignment="1">
      <alignment horizontal="center" vertical="top" wrapText="1"/>
    </xf>
    <xf numFmtId="165" fontId="31" fillId="7" borderId="15" xfId="0" applyNumberFormat="1" applyFont="1" applyFill="1" applyBorder="1" applyAlignment="1">
      <alignment horizontal="center" vertical="top" wrapText="1"/>
    </xf>
    <xf numFmtId="165" fontId="31" fillId="7" borderId="23" xfId="0" applyNumberFormat="1" applyFont="1" applyFill="1" applyBorder="1" applyAlignment="1">
      <alignment horizontal="center" vertical="top" wrapText="1"/>
    </xf>
    <xf numFmtId="0" fontId="5" fillId="0" borderId="61" xfId="0" applyFont="1" applyBorder="1" applyAlignment="1">
      <alignment horizontal="center" vertical="top" wrapText="1"/>
    </xf>
    <xf numFmtId="165" fontId="2" fillId="2" borderId="58" xfId="0" applyNumberFormat="1" applyFont="1" applyFill="1" applyBorder="1" applyAlignment="1">
      <alignment horizontal="left" vertical="top"/>
    </xf>
    <xf numFmtId="165" fontId="2" fillId="2" borderId="54" xfId="0" applyNumberFormat="1" applyFont="1" applyFill="1" applyBorder="1" applyAlignment="1">
      <alignment horizontal="left" vertical="top"/>
    </xf>
    <xf numFmtId="165" fontId="2" fillId="2" borderId="55" xfId="0" applyNumberFormat="1" applyFont="1" applyFill="1" applyBorder="1" applyAlignment="1">
      <alignment horizontal="left" vertical="top"/>
    </xf>
    <xf numFmtId="165" fontId="1" fillId="7" borderId="71" xfId="0" applyNumberFormat="1" applyFont="1" applyFill="1" applyBorder="1" applyAlignment="1">
      <alignment horizontal="left" vertical="top" wrapText="1"/>
    </xf>
    <xf numFmtId="165" fontId="1" fillId="0" borderId="71" xfId="0" applyNumberFormat="1" applyFont="1" applyFill="1" applyBorder="1" applyAlignment="1">
      <alignment horizontal="center" vertical="top"/>
    </xf>
    <xf numFmtId="165" fontId="1" fillId="0" borderId="20" xfId="0" applyNumberFormat="1" applyFont="1" applyFill="1" applyBorder="1" applyAlignment="1">
      <alignment horizontal="center" vertical="top"/>
    </xf>
    <xf numFmtId="165" fontId="1" fillId="7" borderId="71"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0" fontId="1" fillId="7" borderId="31" xfId="0" applyNumberFormat="1" applyFont="1" applyFill="1" applyBorder="1" applyAlignment="1">
      <alignment horizontal="center" vertical="top"/>
    </xf>
    <xf numFmtId="49" fontId="1" fillId="7" borderId="42" xfId="0" applyNumberFormat="1" applyFont="1" applyFill="1" applyBorder="1" applyAlignment="1">
      <alignment horizontal="center" vertical="top"/>
    </xf>
    <xf numFmtId="165" fontId="1" fillId="7" borderId="75" xfId="0" applyNumberFormat="1" applyFont="1" applyFill="1" applyBorder="1" applyAlignment="1">
      <alignment horizontal="center" vertical="top" wrapText="1"/>
    </xf>
    <xf numFmtId="0" fontId="5" fillId="7" borderId="103" xfId="0" applyFont="1" applyFill="1" applyBorder="1" applyAlignment="1">
      <alignment horizontal="center" vertical="top" wrapText="1"/>
    </xf>
    <xf numFmtId="0" fontId="1" fillId="0" borderId="6" xfId="0" applyNumberFormat="1" applyFont="1" applyFill="1" applyBorder="1" applyAlignment="1">
      <alignment horizontal="center" vertical="top"/>
    </xf>
    <xf numFmtId="49" fontId="1" fillId="0" borderId="20" xfId="0" applyNumberFormat="1" applyFont="1" applyFill="1" applyBorder="1" applyAlignment="1">
      <alignment horizontal="center" vertical="top"/>
    </xf>
    <xf numFmtId="165" fontId="1" fillId="7" borderId="82" xfId="0" applyNumberFormat="1" applyFont="1" applyFill="1" applyBorder="1" applyAlignment="1">
      <alignment horizontal="center" vertical="top" wrapText="1"/>
    </xf>
    <xf numFmtId="0" fontId="5" fillId="7" borderId="61" xfId="0" applyFont="1" applyFill="1" applyBorder="1" applyAlignment="1">
      <alignment horizontal="center" vertical="top" wrapText="1"/>
    </xf>
    <xf numFmtId="165" fontId="1" fillId="0" borderId="40" xfId="0" applyNumberFormat="1" applyFont="1" applyFill="1" applyBorder="1" applyAlignment="1">
      <alignment horizontal="left" vertical="top" wrapText="1"/>
    </xf>
    <xf numFmtId="165" fontId="1" fillId="0" borderId="49" xfId="0" applyNumberFormat="1" applyFont="1" applyFill="1" applyBorder="1" applyAlignment="1">
      <alignment horizontal="left" vertical="top" wrapText="1"/>
    </xf>
    <xf numFmtId="0" fontId="1" fillId="7" borderId="17" xfId="0" applyFont="1" applyFill="1" applyBorder="1" applyAlignment="1">
      <alignment horizontal="center" vertical="top"/>
    </xf>
    <xf numFmtId="49" fontId="1" fillId="7" borderId="24" xfId="0" applyNumberFormat="1" applyFont="1" applyFill="1" applyBorder="1" applyAlignment="1">
      <alignment horizontal="center" vertical="top"/>
    </xf>
    <xf numFmtId="0" fontId="1" fillId="12" borderId="54" xfId="0" applyFont="1" applyFill="1" applyBorder="1" applyAlignment="1">
      <alignment vertical="top"/>
    </xf>
    <xf numFmtId="0" fontId="1" fillId="12" borderId="55" xfId="0" applyFont="1" applyFill="1" applyBorder="1" applyAlignment="1">
      <alignment vertical="top"/>
    </xf>
    <xf numFmtId="0" fontId="1" fillId="7" borderId="36" xfId="0" applyFont="1" applyFill="1" applyBorder="1" applyAlignment="1">
      <alignment horizontal="center" vertical="top"/>
    </xf>
    <xf numFmtId="49" fontId="1" fillId="7" borderId="16" xfId="0" applyNumberFormat="1" applyFont="1" applyFill="1" applyBorder="1" applyAlignment="1">
      <alignment horizontal="center" vertical="top"/>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165" fontId="2" fillId="7" borderId="24" xfId="0" applyNumberFormat="1" applyFont="1" applyFill="1" applyBorder="1" applyAlignment="1">
      <alignment horizontal="center" vertical="top" wrapText="1"/>
    </xf>
    <xf numFmtId="0" fontId="13" fillId="7" borderId="15" xfId="0" applyFont="1" applyFill="1" applyBorder="1" applyAlignment="1">
      <alignment vertical="top" wrapText="1"/>
    </xf>
    <xf numFmtId="165" fontId="1" fillId="7" borderId="28" xfId="0" applyNumberFormat="1" applyFont="1" applyFill="1" applyBorder="1" applyAlignment="1">
      <alignment horizontal="left" vertical="top" wrapText="1"/>
    </xf>
    <xf numFmtId="0" fontId="1" fillId="7" borderId="6" xfId="0" applyFont="1" applyFill="1" applyBorder="1" applyAlignment="1">
      <alignment horizontal="center" vertical="top"/>
    </xf>
    <xf numFmtId="0" fontId="1" fillId="7" borderId="67" xfId="0" applyFont="1" applyFill="1" applyBorder="1" applyAlignment="1">
      <alignment horizontal="center" vertical="top"/>
    </xf>
    <xf numFmtId="165" fontId="1" fillId="7" borderId="36" xfId="0" applyNumberFormat="1" applyFont="1" applyFill="1" applyBorder="1" applyAlignment="1">
      <alignment horizontal="left" vertical="top" wrapText="1"/>
    </xf>
    <xf numFmtId="165" fontId="1" fillId="7" borderId="38" xfId="0" applyNumberFormat="1" applyFont="1" applyFill="1" applyBorder="1" applyAlignment="1">
      <alignment horizontal="left" vertical="top" wrapText="1"/>
    </xf>
    <xf numFmtId="165" fontId="1" fillId="8" borderId="51" xfId="0" applyNumberFormat="1" applyFont="1" applyFill="1" applyBorder="1" applyAlignment="1">
      <alignment horizontal="left" vertical="top" wrapText="1"/>
    </xf>
    <xf numFmtId="165" fontId="2" fillId="8" borderId="48" xfId="0" applyNumberFormat="1" applyFont="1" applyFill="1" applyBorder="1" applyAlignment="1">
      <alignment horizontal="left" vertical="top" wrapText="1"/>
    </xf>
    <xf numFmtId="165" fontId="2" fillId="8" borderId="34" xfId="0" applyNumberFormat="1" applyFont="1" applyFill="1" applyBorder="1" applyAlignment="1">
      <alignment horizontal="left" vertical="top" wrapText="1"/>
    </xf>
    <xf numFmtId="165" fontId="1" fillId="8" borderId="51" xfId="0" applyNumberFormat="1" applyFont="1" applyFill="1" applyBorder="1" applyAlignment="1">
      <alignment vertical="top" wrapText="1"/>
    </xf>
    <xf numFmtId="165" fontId="5" fillId="8" borderId="48" xfId="0" applyNumberFormat="1" applyFont="1" applyFill="1" applyBorder="1" applyAlignment="1">
      <alignment vertical="top" wrapText="1"/>
    </xf>
    <xf numFmtId="165" fontId="5" fillId="8" borderId="34" xfId="0" applyNumberFormat="1" applyFont="1" applyFill="1" applyBorder="1" applyAlignment="1">
      <alignment vertical="top" wrapText="1"/>
    </xf>
    <xf numFmtId="165" fontId="1" fillId="7" borderId="51" xfId="0" applyNumberFormat="1" applyFont="1" applyFill="1" applyBorder="1" applyAlignment="1">
      <alignment horizontal="left" vertical="top" wrapText="1"/>
    </xf>
    <xf numFmtId="165" fontId="1" fillId="7" borderId="48" xfId="0" applyNumberFormat="1" applyFont="1" applyFill="1" applyBorder="1" applyAlignment="1">
      <alignment horizontal="left" vertical="top" wrapText="1"/>
    </xf>
    <xf numFmtId="165" fontId="1" fillId="7" borderId="34" xfId="0" applyNumberFormat="1" applyFont="1" applyFill="1" applyBorder="1" applyAlignment="1">
      <alignment horizontal="left" vertical="top" wrapText="1"/>
    </xf>
    <xf numFmtId="165" fontId="1" fillId="8" borderId="48" xfId="0" applyNumberFormat="1" applyFont="1" applyFill="1" applyBorder="1" applyAlignment="1">
      <alignment horizontal="left" vertical="top" wrapText="1"/>
    </xf>
    <xf numFmtId="165" fontId="1" fillId="8" borderId="34" xfId="0" applyNumberFormat="1" applyFont="1" applyFill="1" applyBorder="1" applyAlignment="1">
      <alignment horizontal="left" vertical="top" wrapText="1"/>
    </xf>
    <xf numFmtId="165" fontId="1" fillId="7" borderId="59" xfId="0" applyNumberFormat="1" applyFont="1" applyFill="1" applyBorder="1" applyAlignment="1">
      <alignment horizontal="left" vertical="top" wrapText="1"/>
    </xf>
    <xf numFmtId="165" fontId="1" fillId="7" borderId="42" xfId="0" applyNumberFormat="1" applyFont="1" applyFill="1" applyBorder="1" applyAlignment="1">
      <alignment horizontal="left" vertical="top" wrapText="1"/>
    </xf>
    <xf numFmtId="165" fontId="2" fillId="8" borderId="51" xfId="0" applyNumberFormat="1" applyFont="1" applyFill="1" applyBorder="1" applyAlignment="1">
      <alignment horizontal="left" vertical="top" wrapText="1"/>
    </xf>
    <xf numFmtId="49" fontId="2" fillId="2" borderId="9" xfId="0" applyNumberFormat="1" applyFont="1" applyFill="1" applyBorder="1" applyAlignment="1">
      <alignment horizontal="center" vertical="top"/>
    </xf>
    <xf numFmtId="3" fontId="1" fillId="0" borderId="41" xfId="0" applyNumberFormat="1" applyFont="1" applyFill="1" applyBorder="1" applyAlignment="1">
      <alignment horizontal="left" vertical="top" wrapText="1"/>
    </xf>
    <xf numFmtId="0" fontId="1" fillId="0" borderId="17" xfId="0" applyFont="1" applyBorder="1" applyAlignment="1">
      <alignment horizontal="left" vertical="top"/>
    </xf>
    <xf numFmtId="0" fontId="1" fillId="0" borderId="9" xfId="0" applyFont="1" applyBorder="1" applyAlignment="1">
      <alignment horizontal="left" vertical="top"/>
    </xf>
    <xf numFmtId="165" fontId="1" fillId="7" borderId="61" xfId="0" applyNumberFormat="1" applyFont="1" applyFill="1" applyBorder="1" applyAlignment="1">
      <alignment horizontal="center" vertical="top" wrapText="1"/>
    </xf>
    <xf numFmtId="0" fontId="16" fillId="7" borderId="70" xfId="0" applyFont="1" applyFill="1" applyBorder="1" applyAlignment="1">
      <alignment horizontal="left" vertical="top" wrapText="1"/>
    </xf>
    <xf numFmtId="0" fontId="16" fillId="7" borderId="9" xfId="0" applyFont="1" applyFill="1" applyBorder="1" applyAlignment="1">
      <alignment horizontal="left" vertical="top" wrapText="1"/>
    </xf>
    <xf numFmtId="165" fontId="8" fillId="7" borderId="15" xfId="0" applyNumberFormat="1" applyFont="1" applyFill="1" applyBorder="1" applyAlignment="1">
      <alignment horizontal="center" vertical="top" wrapText="1"/>
    </xf>
    <xf numFmtId="165" fontId="8" fillId="7" borderId="23" xfId="0" applyNumberFormat="1" applyFont="1" applyFill="1" applyBorder="1" applyAlignment="1">
      <alignment horizontal="center" vertical="top" wrapText="1"/>
    </xf>
    <xf numFmtId="0" fontId="1" fillId="7" borderId="17" xfId="0" applyFont="1" applyFill="1" applyBorder="1" applyAlignment="1">
      <alignment horizontal="left" vertical="top" wrapText="1"/>
    </xf>
    <xf numFmtId="165" fontId="8" fillId="7" borderId="18" xfId="0" applyNumberFormat="1" applyFont="1" applyFill="1" applyBorder="1" applyAlignment="1">
      <alignment horizontal="center" vertical="top" wrapText="1"/>
    </xf>
    <xf numFmtId="0" fontId="1" fillId="7" borderId="18" xfId="0" applyFont="1" applyFill="1" applyBorder="1" applyAlignment="1">
      <alignment horizontal="center" vertical="top" wrapText="1"/>
    </xf>
    <xf numFmtId="0" fontId="1" fillId="7" borderId="15" xfId="0" applyFont="1" applyFill="1" applyBorder="1" applyAlignment="1">
      <alignment horizontal="center" vertical="top" wrapText="1"/>
    </xf>
    <xf numFmtId="0" fontId="1" fillId="7" borderId="23" xfId="0" applyFont="1" applyFill="1" applyBorder="1" applyAlignment="1">
      <alignment horizontal="center" vertical="top" wrapText="1"/>
    </xf>
    <xf numFmtId="0" fontId="5" fillId="7" borderId="9" xfId="0" applyFont="1" applyFill="1" applyBorder="1" applyAlignment="1">
      <alignment vertical="top" wrapText="1"/>
    </xf>
    <xf numFmtId="165" fontId="1" fillId="8" borderId="9" xfId="0" applyNumberFormat="1" applyFont="1" applyFill="1" applyBorder="1" applyAlignment="1">
      <alignment horizontal="center" vertical="center" textRotation="90" wrapText="1"/>
    </xf>
    <xf numFmtId="165" fontId="1" fillId="0" borderId="17" xfId="0" applyNumberFormat="1" applyFont="1" applyFill="1" applyBorder="1" applyAlignment="1">
      <alignment horizontal="left" vertical="top" wrapText="1"/>
    </xf>
    <xf numFmtId="165" fontId="1" fillId="0" borderId="9" xfId="0" applyNumberFormat="1" applyFont="1" applyFill="1" applyBorder="1" applyAlignment="1">
      <alignment horizontal="left" vertical="top" wrapText="1"/>
    </xf>
    <xf numFmtId="165" fontId="1" fillId="0" borderId="24" xfId="0" applyNumberFormat="1" applyFont="1" applyFill="1" applyBorder="1" applyAlignment="1">
      <alignment horizontal="left" vertical="top" wrapText="1"/>
    </xf>
    <xf numFmtId="0" fontId="1" fillId="7" borderId="17" xfId="0" applyFont="1" applyFill="1" applyBorder="1" applyAlignment="1">
      <alignment vertical="top" wrapText="1"/>
    </xf>
    <xf numFmtId="165" fontId="5" fillId="7" borderId="24" xfId="0" applyNumberFormat="1" applyFont="1" applyFill="1" applyBorder="1" applyAlignment="1">
      <alignment horizontal="left" vertical="top" wrapText="1"/>
    </xf>
    <xf numFmtId="0" fontId="11" fillId="0" borderId="0" xfId="0" applyFont="1" applyAlignment="1">
      <alignment horizontal="center" vertical="top"/>
    </xf>
    <xf numFmtId="0" fontId="1" fillId="0" borderId="3" xfId="0" applyFont="1" applyBorder="1" applyAlignment="1">
      <alignment horizontal="center" vertical="center" textRotation="90" wrapText="1"/>
    </xf>
    <xf numFmtId="0" fontId="1" fillId="0" borderId="5"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1" fillId="0" borderId="15" xfId="0" applyFont="1" applyBorder="1" applyAlignment="1">
      <alignment horizontal="center" vertical="center" textRotation="90" wrapText="1"/>
    </xf>
    <xf numFmtId="0" fontId="1" fillId="0" borderId="101" xfId="0" applyFont="1" applyBorder="1" applyAlignment="1">
      <alignment horizontal="center" vertical="center" textRotation="90" wrapText="1"/>
    </xf>
    <xf numFmtId="0" fontId="1" fillId="0" borderId="32"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26" xfId="0" applyFont="1" applyBorder="1" applyAlignment="1">
      <alignment horizontal="right" vertical="top"/>
    </xf>
    <xf numFmtId="165" fontId="1" fillId="7" borderId="40" xfId="3" applyNumberFormat="1" applyFont="1" applyFill="1" applyBorder="1" applyAlignment="1">
      <alignment horizontal="left" vertical="top" wrapText="1"/>
    </xf>
    <xf numFmtId="165" fontId="1" fillId="7" borderId="28" xfId="3" applyNumberFormat="1" applyFont="1" applyFill="1" applyBorder="1" applyAlignment="1">
      <alignment horizontal="left" vertical="top" wrapText="1"/>
    </xf>
    <xf numFmtId="49" fontId="1" fillId="8" borderId="9" xfId="0" applyNumberFormat="1" applyFont="1" applyFill="1" applyBorder="1" applyAlignment="1">
      <alignment horizontal="center" vertical="center" textRotation="90" wrapText="1"/>
    </xf>
    <xf numFmtId="165" fontId="1" fillId="7" borderId="18" xfId="0" applyNumberFormat="1" applyFont="1" applyFill="1" applyBorder="1" applyAlignment="1">
      <alignment horizontal="center" vertical="center" wrapText="1"/>
    </xf>
    <xf numFmtId="165" fontId="1" fillId="7" borderId="15" xfId="0" applyNumberFormat="1" applyFont="1" applyFill="1" applyBorder="1" applyAlignment="1">
      <alignment horizontal="center" vertical="center" wrapText="1"/>
    </xf>
    <xf numFmtId="0" fontId="3" fillId="5" borderId="51" xfId="0" applyFont="1" applyFill="1" applyBorder="1" applyAlignment="1">
      <alignment horizontal="left" vertical="top" wrapText="1"/>
    </xf>
    <xf numFmtId="0" fontId="3" fillId="5" borderId="48" xfId="0" applyFont="1" applyFill="1" applyBorder="1" applyAlignment="1">
      <alignment horizontal="left" vertical="top" wrapText="1"/>
    </xf>
    <xf numFmtId="0" fontId="5" fillId="0" borderId="48" xfId="0" applyFont="1" applyBorder="1" applyAlignment="1">
      <alignment horizontal="left" vertical="top" wrapText="1"/>
    </xf>
    <xf numFmtId="0" fontId="2" fillId="9" borderId="37" xfId="0" applyFont="1" applyFill="1" applyBorder="1" applyAlignment="1">
      <alignment horizontal="left" vertical="top" wrapText="1"/>
    </xf>
    <xf numFmtId="0" fontId="2" fillId="9" borderId="46" xfId="0" applyFont="1" applyFill="1" applyBorder="1" applyAlignment="1">
      <alignment horizontal="left" vertical="top" wrapText="1"/>
    </xf>
    <xf numFmtId="0" fontId="5" fillId="0" borderId="46" xfId="0" applyFont="1" applyBorder="1" applyAlignment="1">
      <alignment horizontal="left" vertical="top" wrapText="1"/>
    </xf>
    <xf numFmtId="0" fontId="2" fillId="2" borderId="30" xfId="0" applyFont="1" applyFill="1" applyBorder="1" applyAlignment="1">
      <alignment horizontal="left" vertical="top" wrapText="1"/>
    </xf>
    <xf numFmtId="0" fontId="2" fillId="2" borderId="48" xfId="0" applyFont="1" applyFill="1" applyBorder="1" applyAlignment="1">
      <alignment horizontal="left" vertical="top" wrapText="1"/>
    </xf>
    <xf numFmtId="0" fontId="2" fillId="2" borderId="46" xfId="0" applyFont="1" applyFill="1" applyBorder="1" applyAlignment="1">
      <alignment horizontal="left" vertical="top" wrapText="1"/>
    </xf>
    <xf numFmtId="0" fontId="1" fillId="7" borderId="37" xfId="0" applyFont="1" applyFill="1" applyBorder="1" applyAlignment="1">
      <alignment horizontal="left" vertical="top" wrapText="1"/>
    </xf>
    <xf numFmtId="0" fontId="1" fillId="7" borderId="39" xfId="0" applyFont="1" applyFill="1" applyBorder="1" applyAlignment="1">
      <alignment horizontal="left" vertical="top" wrapText="1"/>
    </xf>
    <xf numFmtId="0" fontId="1" fillId="7" borderId="29" xfId="0" applyFont="1" applyFill="1" applyBorder="1" applyAlignment="1">
      <alignment horizontal="left" vertical="top" wrapText="1"/>
    </xf>
    <xf numFmtId="0" fontId="1" fillId="7" borderId="110" xfId="0" applyFont="1" applyFill="1" applyBorder="1" applyAlignment="1">
      <alignment horizontal="left" vertical="top" wrapText="1"/>
    </xf>
    <xf numFmtId="0" fontId="1" fillId="7" borderId="28" xfId="0" applyFont="1" applyFill="1" applyBorder="1" applyAlignment="1">
      <alignment horizontal="left" vertical="top" wrapText="1"/>
    </xf>
    <xf numFmtId="0" fontId="11" fillId="0" borderId="0" xfId="0" applyFont="1" applyAlignment="1">
      <alignment horizontal="right" vertical="top"/>
    </xf>
    <xf numFmtId="49" fontId="3" fillId="6" borderId="52" xfId="0" applyNumberFormat="1" applyFont="1" applyFill="1" applyBorder="1" applyAlignment="1">
      <alignment horizontal="left" vertical="top" wrapText="1"/>
    </xf>
    <xf numFmtId="49" fontId="3" fillId="6" borderId="57" xfId="0" applyNumberFormat="1" applyFont="1" applyFill="1" applyBorder="1" applyAlignment="1">
      <alignment horizontal="left" vertical="top" wrapText="1"/>
    </xf>
    <xf numFmtId="3" fontId="1" fillId="0" borderId="21" xfId="0" applyNumberFormat="1" applyFont="1" applyBorder="1" applyAlignment="1">
      <alignment horizontal="center" vertical="center" textRotation="90" shrinkToFit="1"/>
    </xf>
    <xf numFmtId="3" fontId="1" fillId="0" borderId="9" xfId="0" applyNumberFormat="1" applyFont="1" applyBorder="1" applyAlignment="1">
      <alignment horizontal="center" vertical="center" textRotation="90" shrinkToFit="1"/>
    </xf>
    <xf numFmtId="3" fontId="1" fillId="0" borderId="25" xfId="0" applyNumberFormat="1" applyFont="1" applyBorder="1" applyAlignment="1">
      <alignment horizontal="center" vertical="center" textRotation="90" shrinkToFit="1"/>
    </xf>
    <xf numFmtId="3" fontId="1" fillId="0" borderId="22" xfId="0" applyNumberFormat="1" applyFont="1" applyFill="1" applyBorder="1" applyAlignment="1">
      <alignment horizontal="center" vertical="center" wrapText="1" shrinkToFit="1"/>
    </xf>
    <xf numFmtId="3" fontId="1" fillId="0" borderId="15" xfId="0" applyNumberFormat="1" applyFont="1" applyFill="1" applyBorder="1" applyAlignment="1">
      <alignment horizontal="center" vertical="center" wrapText="1" shrinkToFit="1"/>
    </xf>
    <xf numFmtId="3" fontId="1" fillId="0" borderId="101" xfId="0" applyNumberFormat="1" applyFont="1" applyFill="1" applyBorder="1" applyAlignment="1">
      <alignment horizontal="center" vertical="center" wrapText="1" shrinkToFit="1"/>
    </xf>
    <xf numFmtId="3" fontId="1" fillId="0" borderId="32" xfId="0" applyNumberFormat="1" applyFont="1" applyBorder="1" applyAlignment="1">
      <alignment horizontal="center" vertical="center" textRotation="90" wrapText="1" shrinkToFit="1"/>
    </xf>
    <xf numFmtId="3" fontId="1" fillId="0" borderId="4" xfId="0" applyNumberFormat="1" applyFont="1" applyBorder="1" applyAlignment="1">
      <alignment horizontal="center" vertical="center" textRotation="90" wrapText="1" shrinkToFit="1"/>
    </xf>
    <xf numFmtId="3" fontId="1" fillId="0" borderId="50" xfId="0" applyNumberFormat="1" applyFont="1" applyBorder="1" applyAlignment="1">
      <alignment horizontal="center" vertical="center" textRotation="90" wrapText="1" shrinkToFit="1"/>
    </xf>
    <xf numFmtId="0" fontId="1" fillId="0" borderId="32"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50" xfId="0" applyFont="1" applyBorder="1" applyAlignment="1">
      <alignment horizontal="center" vertical="center" textRotation="90" wrapText="1"/>
    </xf>
    <xf numFmtId="3" fontId="1" fillId="0" borderId="3" xfId="0" applyNumberFormat="1" applyFont="1" applyBorder="1" applyAlignment="1">
      <alignment horizontal="center" vertical="center" textRotation="90" shrinkToFit="1"/>
    </xf>
    <xf numFmtId="3" fontId="1" fillId="0" borderId="5" xfId="0" applyNumberFormat="1" applyFont="1" applyBorder="1" applyAlignment="1">
      <alignment horizontal="center" vertical="center" textRotation="90" shrinkToFit="1"/>
    </xf>
    <xf numFmtId="3" fontId="1" fillId="0" borderId="7" xfId="0" applyNumberFormat="1" applyFont="1" applyBorder="1" applyAlignment="1">
      <alignment horizontal="center" vertical="center" textRotation="90" shrinkToFit="1"/>
    </xf>
    <xf numFmtId="49" fontId="1" fillId="0" borderId="21" xfId="0" applyNumberFormat="1" applyFont="1" applyBorder="1" applyAlignment="1">
      <alignment horizontal="center" vertical="center" textRotation="90" shrinkToFit="1"/>
    </xf>
    <xf numFmtId="49" fontId="1" fillId="0" borderId="9" xfId="0" applyNumberFormat="1" applyFont="1" applyBorder="1" applyAlignment="1">
      <alignment horizontal="center" vertical="center" textRotation="90" shrinkToFit="1"/>
    </xf>
    <xf numFmtId="49" fontId="1" fillId="0" borderId="25" xfId="0" applyNumberFormat="1" applyFont="1" applyBorder="1" applyAlignment="1">
      <alignment horizontal="center" vertical="center" textRotation="90" shrinkToFit="1"/>
    </xf>
    <xf numFmtId="3" fontId="1" fillId="0" borderId="33" xfId="0" applyNumberFormat="1" applyFont="1" applyBorder="1" applyAlignment="1">
      <alignment horizontal="center" vertical="center" shrinkToFit="1"/>
    </xf>
    <xf numFmtId="3" fontId="1" fillId="0" borderId="39" xfId="0" applyNumberFormat="1" applyFont="1" applyBorder="1" applyAlignment="1">
      <alignment horizontal="center" vertical="center" shrinkToFit="1"/>
    </xf>
    <xf numFmtId="3" fontId="1" fillId="0" borderId="45" xfId="0" applyNumberFormat="1" applyFont="1" applyBorder="1" applyAlignment="1">
      <alignment horizontal="center" vertical="center" shrinkToFit="1"/>
    </xf>
    <xf numFmtId="0" fontId="2" fillId="0" borderId="44"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3" fontId="1" fillId="0" borderId="52" xfId="0" applyNumberFormat="1" applyFont="1" applyBorder="1" applyAlignment="1">
      <alignment horizontal="center" vertical="center"/>
    </xf>
    <xf numFmtId="3" fontId="1" fillId="0" borderId="57" xfId="0" applyNumberFormat="1" applyFont="1" applyBorder="1" applyAlignment="1">
      <alignment horizontal="center" vertical="center"/>
    </xf>
    <xf numFmtId="3" fontId="1" fillId="0" borderId="53" xfId="0" applyNumberFormat="1" applyFont="1" applyBorder="1" applyAlignment="1">
      <alignment horizontal="center" vertical="center"/>
    </xf>
    <xf numFmtId="0" fontId="1" fillId="0" borderId="32" xfId="0" applyFont="1" applyBorder="1" applyAlignment="1">
      <alignment horizontal="center" vertical="center" textRotation="90"/>
    </xf>
    <xf numFmtId="0" fontId="1" fillId="0" borderId="50" xfId="0" applyFont="1" applyBorder="1" applyAlignment="1">
      <alignment horizontal="center" vertical="center" textRotation="90"/>
    </xf>
    <xf numFmtId="3" fontId="17" fillId="0" borderId="0" xfId="0" applyNumberFormat="1" applyFont="1" applyAlignment="1">
      <alignment horizontal="center" vertical="top"/>
    </xf>
    <xf numFmtId="0" fontId="12" fillId="0" borderId="0" xfId="0" applyFont="1" applyAlignment="1">
      <alignment horizontal="center" vertical="top" wrapText="1"/>
    </xf>
    <xf numFmtId="0" fontId="1" fillId="7" borderId="60" xfId="0" applyFont="1" applyFill="1" applyBorder="1" applyAlignment="1">
      <alignment horizontal="left" vertical="top" wrapText="1"/>
    </xf>
    <xf numFmtId="165" fontId="2" fillId="7" borderId="21" xfId="0" applyNumberFormat="1" applyFont="1" applyFill="1" applyBorder="1" applyAlignment="1">
      <alignment horizontal="left" vertical="top" wrapText="1"/>
    </xf>
    <xf numFmtId="165" fontId="2" fillId="7" borderId="9" xfId="0" applyNumberFormat="1" applyFont="1" applyFill="1" applyBorder="1" applyAlignment="1">
      <alignment horizontal="left" vertical="top" wrapText="1"/>
    </xf>
    <xf numFmtId="0" fontId="19" fillId="0" borderId="0" xfId="0" applyFont="1" applyFill="1" applyAlignment="1">
      <alignment horizontal="left" vertical="top" wrapText="1"/>
    </xf>
    <xf numFmtId="165" fontId="1" fillId="7" borderId="6" xfId="3" applyNumberFormat="1" applyFont="1" applyFill="1" applyBorder="1" applyAlignment="1">
      <alignment horizontal="left" vertical="top" wrapText="1"/>
    </xf>
    <xf numFmtId="165" fontId="1" fillId="7" borderId="4" xfId="3" applyNumberFormat="1" applyFont="1" applyFill="1" applyBorder="1" applyAlignment="1">
      <alignment horizontal="left" vertical="top" wrapText="1"/>
    </xf>
    <xf numFmtId="165" fontId="1" fillId="7" borderId="20" xfId="3" applyNumberFormat="1" applyFont="1" applyFill="1" applyBorder="1" applyAlignment="1">
      <alignment horizontal="left" vertical="top" wrapText="1"/>
    </xf>
    <xf numFmtId="165" fontId="1" fillId="0" borderId="6" xfId="0" applyNumberFormat="1" applyFont="1" applyFill="1" applyBorder="1" applyAlignment="1">
      <alignment horizontal="left" vertical="top" wrapText="1"/>
    </xf>
    <xf numFmtId="165" fontId="1" fillId="0" borderId="20" xfId="0" applyNumberFormat="1" applyFont="1" applyFill="1" applyBorder="1" applyAlignment="1">
      <alignment horizontal="left" vertical="top" wrapText="1"/>
    </xf>
    <xf numFmtId="0" fontId="1" fillId="7" borderId="20" xfId="0" applyFont="1" applyFill="1" applyBorder="1" applyAlignment="1">
      <alignment horizontal="left" vertical="top" wrapText="1"/>
    </xf>
    <xf numFmtId="165" fontId="26" fillId="0" borderId="4" xfId="0" applyNumberFormat="1" applyFont="1" applyFill="1" applyBorder="1" applyAlignment="1">
      <alignment horizontal="center" vertical="top"/>
    </xf>
    <xf numFmtId="165" fontId="26" fillId="0" borderId="20" xfId="0" applyNumberFormat="1" applyFont="1" applyFill="1" applyBorder="1" applyAlignment="1">
      <alignment horizontal="center" vertical="top"/>
    </xf>
  </cellXfs>
  <cellStyles count="4">
    <cellStyle name="Excel Built-in Normal" xfId="3"/>
    <cellStyle name="Įprastas" xfId="0" builtinId="0"/>
    <cellStyle name="Įprastas 2" xfId="2"/>
    <cellStyle name="Kablelis" xfId="1" builtinId="3"/>
  </cellStyles>
  <dxfs count="0"/>
  <tableStyles count="0" defaultTableStyle="TableStyleMedium2" defaultPivotStyle="PivotStyleLight16"/>
  <colors>
    <mruColors>
      <color rgb="FFFFD5FF"/>
      <color rgb="FFCCFFCC"/>
      <color rgb="FF99FF99"/>
      <color rgb="FFFFCCFF"/>
      <color rgb="FFE9C9C7"/>
      <color rgb="FFFFDD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51"/>
  <sheetViews>
    <sheetView zoomScaleNormal="100" zoomScaleSheetLayoutView="100" workbookViewId="0">
      <selection activeCell="E145" sqref="E145:E147"/>
    </sheetView>
  </sheetViews>
  <sheetFormatPr defaultColWidth="9.08984375" defaultRowHeight="13" x14ac:dyDescent="0.25"/>
  <cols>
    <col min="1" max="3" width="2.90625" style="2" customWidth="1"/>
    <col min="4" max="4" width="3.08984375" style="57" customWidth="1"/>
    <col min="5" max="5" width="39.54296875" style="2" customWidth="1"/>
    <col min="6" max="6" width="4.453125" style="73" customWidth="1"/>
    <col min="7" max="7" width="13.453125" style="8" customWidth="1"/>
    <col min="8" max="8" width="8.90625" style="3" customWidth="1"/>
    <col min="9" max="9" width="9.453125" style="2" customWidth="1"/>
    <col min="10" max="12" width="9.54296875" style="2" customWidth="1"/>
    <col min="13" max="13" width="37.453125" style="2" customWidth="1"/>
    <col min="14" max="17" width="8.453125" style="2" customWidth="1"/>
    <col min="18" max="16384" width="9.08984375" style="1"/>
  </cols>
  <sheetData>
    <row r="1" spans="1:20" s="2" customFormat="1" ht="15.5" x14ac:dyDescent="0.25">
      <c r="F1" s="119"/>
      <c r="H1" s="3"/>
      <c r="M1" s="1702" t="s">
        <v>352</v>
      </c>
      <c r="N1" s="1702"/>
      <c r="O1" s="1702"/>
      <c r="P1" s="1702"/>
      <c r="Q1" s="1702"/>
      <c r="R1" s="548"/>
      <c r="S1" s="548"/>
      <c r="T1" s="548"/>
    </row>
    <row r="2" spans="1:20" s="2" customFormat="1" ht="15" customHeight="1" x14ac:dyDescent="0.25">
      <c r="F2" s="71"/>
      <c r="H2" s="3"/>
      <c r="I2" s="3"/>
      <c r="J2" s="3"/>
      <c r="K2" s="3"/>
      <c r="L2" s="3"/>
      <c r="M2" s="3"/>
      <c r="N2" s="3"/>
      <c r="O2" s="3"/>
      <c r="P2" s="3"/>
      <c r="Q2" s="3"/>
      <c r="R2" s="381"/>
      <c r="S2" s="381"/>
      <c r="T2" s="381"/>
    </row>
    <row r="3" spans="1:20" s="2" customFormat="1" ht="15" customHeight="1" x14ac:dyDescent="0.25">
      <c r="A3" s="1734" t="s">
        <v>253</v>
      </c>
      <c r="B3" s="1734"/>
      <c r="C3" s="1734"/>
      <c r="D3" s="1734"/>
      <c r="E3" s="1734"/>
      <c r="F3" s="1734"/>
      <c r="G3" s="1734"/>
      <c r="H3" s="1734"/>
      <c r="I3" s="1734"/>
      <c r="J3" s="1734"/>
      <c r="K3" s="1734"/>
      <c r="L3" s="1734"/>
      <c r="M3" s="1734"/>
      <c r="N3" s="1734"/>
      <c r="O3" s="1734"/>
      <c r="P3" s="1734"/>
      <c r="Q3" s="1734"/>
      <c r="R3" s="1734"/>
      <c r="S3" s="1734"/>
      <c r="T3" s="1734"/>
    </row>
    <row r="4" spans="1:20" s="2" customFormat="1" ht="15" customHeight="1" x14ac:dyDescent="0.25">
      <c r="A4" s="1735" t="s">
        <v>25</v>
      </c>
      <c r="B4" s="1735"/>
      <c r="C4" s="1735"/>
      <c r="D4" s="1735"/>
      <c r="E4" s="1735"/>
      <c r="F4" s="1735"/>
      <c r="G4" s="1735"/>
      <c r="H4" s="1735"/>
      <c r="I4" s="1735"/>
      <c r="J4" s="1735"/>
      <c r="K4" s="1735"/>
      <c r="L4" s="1735"/>
      <c r="M4" s="1735"/>
      <c r="N4" s="1735"/>
      <c r="O4" s="1735"/>
      <c r="P4" s="1735"/>
      <c r="Q4" s="1735"/>
      <c r="R4" s="1735"/>
      <c r="S4" s="1735"/>
      <c r="T4" s="1735"/>
    </row>
    <row r="5" spans="1:20" s="2" customFormat="1" ht="15" customHeight="1" x14ac:dyDescent="0.25">
      <c r="A5" s="1670" t="s">
        <v>14</v>
      </c>
      <c r="B5" s="1670"/>
      <c r="C5" s="1670"/>
      <c r="D5" s="1670"/>
      <c r="E5" s="1670"/>
      <c r="F5" s="1670"/>
      <c r="G5" s="1670"/>
      <c r="H5" s="1670"/>
      <c r="I5" s="1670"/>
      <c r="J5" s="1670"/>
      <c r="K5" s="1670"/>
      <c r="L5" s="1670"/>
      <c r="M5" s="1670"/>
      <c r="N5" s="1670"/>
      <c r="O5" s="1670"/>
      <c r="P5" s="1670"/>
      <c r="Q5" s="1670"/>
      <c r="R5" s="1670"/>
      <c r="S5" s="1670"/>
      <c r="T5" s="1670"/>
    </row>
    <row r="6" spans="1:20" ht="15" customHeight="1" x14ac:dyDescent="0.25">
      <c r="A6" s="1"/>
      <c r="B6" s="1"/>
      <c r="C6" s="1"/>
      <c r="D6" s="159"/>
      <c r="E6" s="1"/>
      <c r="F6" s="160"/>
      <c r="G6" s="161"/>
      <c r="H6" s="158"/>
      <c r="I6" s="1"/>
      <c r="J6" s="383"/>
      <c r="K6" s="383"/>
      <c r="L6" s="383"/>
      <c r="M6" s="1"/>
      <c r="N6" s="1"/>
      <c r="O6" s="1"/>
      <c r="P6" s="1"/>
      <c r="Q6" s="1"/>
    </row>
    <row r="7" spans="1:20" ht="15" customHeight="1" thickBot="1" x14ac:dyDescent="0.3">
      <c r="A7" s="1"/>
      <c r="B7" s="1"/>
      <c r="C7" s="1"/>
      <c r="D7" s="159"/>
      <c r="E7" s="1"/>
      <c r="F7" s="160"/>
      <c r="G7" s="161"/>
      <c r="H7" s="158"/>
      <c r="I7" s="1"/>
      <c r="K7" s="163"/>
      <c r="L7" s="163"/>
      <c r="M7" s="1682" t="s">
        <v>66</v>
      </c>
      <c r="N7" s="1682"/>
      <c r="O7" s="1682"/>
      <c r="P7" s="1682"/>
      <c r="Q7" s="1682"/>
    </row>
    <row r="8" spans="1:20" s="11" customFormat="1" ht="21" customHeight="1" thickBot="1" x14ac:dyDescent="0.3">
      <c r="A8" s="1717" t="s">
        <v>15</v>
      </c>
      <c r="B8" s="1705" t="s">
        <v>0</v>
      </c>
      <c r="C8" s="1705" t="s">
        <v>1</v>
      </c>
      <c r="D8" s="1720" t="s">
        <v>23</v>
      </c>
      <c r="E8" s="1723" t="s">
        <v>9</v>
      </c>
      <c r="F8" s="1705" t="s">
        <v>174</v>
      </c>
      <c r="G8" s="1708" t="s">
        <v>175</v>
      </c>
      <c r="H8" s="1711" t="s">
        <v>2</v>
      </c>
      <c r="I8" s="1714" t="s">
        <v>250</v>
      </c>
      <c r="J8" s="1671" t="s">
        <v>255</v>
      </c>
      <c r="K8" s="1674" t="s">
        <v>176</v>
      </c>
      <c r="L8" s="1677" t="s">
        <v>256</v>
      </c>
      <c r="M8" s="1726" t="s">
        <v>161</v>
      </c>
      <c r="N8" s="1727"/>
      <c r="O8" s="1727"/>
      <c r="P8" s="1727"/>
      <c r="Q8" s="1728"/>
    </row>
    <row r="9" spans="1:20" s="11" customFormat="1" ht="21" customHeight="1" x14ac:dyDescent="0.25">
      <c r="A9" s="1718"/>
      <c r="B9" s="1706"/>
      <c r="C9" s="1706"/>
      <c r="D9" s="1721"/>
      <c r="E9" s="1724"/>
      <c r="F9" s="1706"/>
      <c r="G9" s="1709"/>
      <c r="H9" s="1712"/>
      <c r="I9" s="1715"/>
      <c r="J9" s="1672"/>
      <c r="K9" s="1675"/>
      <c r="L9" s="1678"/>
      <c r="M9" s="1680" t="s">
        <v>9</v>
      </c>
      <c r="N9" s="1732" t="s">
        <v>257</v>
      </c>
      <c r="O9" s="1729" t="s">
        <v>248</v>
      </c>
      <c r="P9" s="1730"/>
      <c r="Q9" s="1731"/>
    </row>
    <row r="10" spans="1:20" s="11" customFormat="1" ht="88.5" customHeight="1" thickBot="1" x14ac:dyDescent="0.3">
      <c r="A10" s="1719"/>
      <c r="B10" s="1707"/>
      <c r="C10" s="1707"/>
      <c r="D10" s="1722"/>
      <c r="E10" s="1725"/>
      <c r="F10" s="1707"/>
      <c r="G10" s="1710"/>
      <c r="H10" s="1713"/>
      <c r="I10" s="1716"/>
      <c r="J10" s="1673"/>
      <c r="K10" s="1676"/>
      <c r="L10" s="1679"/>
      <c r="M10" s="1681"/>
      <c r="N10" s="1733"/>
      <c r="O10" s="481" t="s">
        <v>172</v>
      </c>
      <c r="P10" s="164" t="s">
        <v>173</v>
      </c>
      <c r="Q10" s="386" t="s">
        <v>254</v>
      </c>
    </row>
    <row r="11" spans="1:20" s="7" customFormat="1" ht="15" customHeight="1" x14ac:dyDescent="0.25">
      <c r="A11" s="1703" t="s">
        <v>47</v>
      </c>
      <c r="B11" s="1704"/>
      <c r="C11" s="1704"/>
      <c r="D11" s="1704"/>
      <c r="E11" s="1704"/>
      <c r="F11" s="1704"/>
      <c r="G11" s="1704"/>
      <c r="H11" s="1704"/>
      <c r="I11" s="1704"/>
      <c r="J11" s="1704"/>
      <c r="K11" s="1704"/>
      <c r="L11" s="1704"/>
      <c r="M11" s="1704"/>
      <c r="N11" s="1704"/>
      <c r="O11" s="388"/>
      <c r="P11" s="388"/>
      <c r="Q11" s="936"/>
      <c r="R11" s="364"/>
    </row>
    <row r="12" spans="1:20" s="7" customFormat="1" ht="15" customHeight="1" x14ac:dyDescent="0.25">
      <c r="A12" s="1688" t="s">
        <v>22</v>
      </c>
      <c r="B12" s="1689"/>
      <c r="C12" s="1689"/>
      <c r="D12" s="1689"/>
      <c r="E12" s="1689"/>
      <c r="F12" s="1689"/>
      <c r="G12" s="1689"/>
      <c r="H12" s="1689"/>
      <c r="I12" s="1689"/>
      <c r="J12" s="1689"/>
      <c r="K12" s="1689"/>
      <c r="L12" s="1689"/>
      <c r="M12" s="1689"/>
      <c r="N12" s="1690"/>
      <c r="O12" s="387"/>
      <c r="P12" s="479"/>
      <c r="Q12" s="937"/>
      <c r="R12" s="364"/>
    </row>
    <row r="13" spans="1:20" ht="15" customHeight="1" x14ac:dyDescent="0.25">
      <c r="A13" s="10" t="s">
        <v>3</v>
      </c>
      <c r="B13" s="1691" t="s">
        <v>26</v>
      </c>
      <c r="C13" s="1692"/>
      <c r="D13" s="1692"/>
      <c r="E13" s="1692"/>
      <c r="F13" s="1692"/>
      <c r="G13" s="1692"/>
      <c r="H13" s="1692"/>
      <c r="I13" s="1692"/>
      <c r="J13" s="1692"/>
      <c r="K13" s="1692"/>
      <c r="L13" s="1692"/>
      <c r="M13" s="1692"/>
      <c r="N13" s="1693"/>
      <c r="O13" s="389"/>
      <c r="P13" s="480"/>
      <c r="Q13" s="939"/>
      <c r="R13" s="340"/>
    </row>
    <row r="14" spans="1:20" ht="15" customHeight="1" x14ac:dyDescent="0.25">
      <c r="A14" s="30" t="s">
        <v>3</v>
      </c>
      <c r="B14" s="1009" t="s">
        <v>3</v>
      </c>
      <c r="C14" s="1694" t="s">
        <v>118</v>
      </c>
      <c r="D14" s="1695"/>
      <c r="E14" s="1695"/>
      <c r="F14" s="1695"/>
      <c r="G14" s="1695"/>
      <c r="H14" s="1695"/>
      <c r="I14" s="1696"/>
      <c r="J14" s="1695"/>
      <c r="K14" s="1695"/>
      <c r="L14" s="1695"/>
      <c r="M14" s="1695"/>
      <c r="N14" s="1693"/>
      <c r="O14" s="390"/>
      <c r="P14" s="390"/>
      <c r="Q14" s="938"/>
      <c r="R14" s="340"/>
    </row>
    <row r="15" spans="1:20" ht="15.65" customHeight="1" x14ac:dyDescent="0.25">
      <c r="A15" s="526" t="s">
        <v>3</v>
      </c>
      <c r="B15" s="527" t="s">
        <v>3</v>
      </c>
      <c r="C15" s="524" t="s">
        <v>3</v>
      </c>
      <c r="D15" s="77"/>
      <c r="E15" s="972" t="s">
        <v>110</v>
      </c>
      <c r="F15" s="92"/>
      <c r="G15" s="109"/>
      <c r="H15" s="373"/>
      <c r="I15" s="58"/>
      <c r="J15" s="206"/>
      <c r="K15" s="207"/>
      <c r="L15" s="583"/>
      <c r="M15" s="474"/>
      <c r="N15" s="474"/>
      <c r="O15" s="584"/>
      <c r="P15" s="402"/>
      <c r="Q15" s="391"/>
    </row>
    <row r="16" spans="1:20" ht="15" customHeight="1" x14ac:dyDescent="0.25">
      <c r="A16" s="522"/>
      <c r="B16" s="537"/>
      <c r="C16" s="538"/>
      <c r="D16" s="542" t="s">
        <v>3</v>
      </c>
      <c r="E16" s="1480" t="s">
        <v>71</v>
      </c>
      <c r="F16" s="342" t="s">
        <v>113</v>
      </c>
      <c r="G16" s="1468" t="s">
        <v>343</v>
      </c>
      <c r="H16" s="380" t="s">
        <v>21</v>
      </c>
      <c r="I16" s="692">
        <f>9.5+352.5</f>
        <v>362</v>
      </c>
      <c r="J16" s="239"/>
      <c r="K16" s="98"/>
      <c r="L16" s="428"/>
      <c r="M16" s="669" t="s">
        <v>214</v>
      </c>
      <c r="N16" s="249">
        <v>85</v>
      </c>
      <c r="O16" s="195">
        <v>95</v>
      </c>
      <c r="P16" s="438">
        <v>100</v>
      </c>
      <c r="Q16" s="142"/>
    </row>
    <row r="17" spans="1:17" ht="42" customHeight="1" x14ac:dyDescent="0.25">
      <c r="A17" s="522"/>
      <c r="B17" s="537"/>
      <c r="C17" s="538"/>
      <c r="D17" s="543"/>
      <c r="E17" s="1521"/>
      <c r="F17" s="535" t="s">
        <v>243</v>
      </c>
      <c r="G17" s="1469"/>
      <c r="H17" s="332" t="s">
        <v>46</v>
      </c>
      <c r="I17" s="112">
        <f>1.5+1287+350</f>
        <v>1638.5</v>
      </c>
      <c r="J17" s="189"/>
      <c r="K17" s="112"/>
      <c r="L17" s="429"/>
      <c r="M17" s="352" t="s">
        <v>337</v>
      </c>
      <c r="N17" s="462"/>
      <c r="O17" s="170"/>
      <c r="P17" s="176"/>
      <c r="Q17" s="149">
        <v>100</v>
      </c>
    </row>
    <row r="18" spans="1:17" ht="15" customHeight="1" x14ac:dyDescent="0.25">
      <c r="A18" s="522"/>
      <c r="B18" s="537"/>
      <c r="C18" s="538"/>
      <c r="D18" s="349"/>
      <c r="E18" s="1521"/>
      <c r="F18" s="343" t="s">
        <v>194</v>
      </c>
      <c r="G18" s="1469"/>
      <c r="H18" s="100" t="s">
        <v>162</v>
      </c>
      <c r="I18" s="167">
        <f>5000-1400-752.6-870.8+2539+9692.4-5455.8+1032.7+4000</f>
        <v>13784.9</v>
      </c>
      <c r="J18" s="558"/>
      <c r="K18" s="88"/>
      <c r="L18" s="429"/>
      <c r="M18" s="1700" t="s">
        <v>219</v>
      </c>
      <c r="N18" s="265">
        <v>60</v>
      </c>
      <c r="O18" s="257"/>
      <c r="P18" s="191"/>
      <c r="Q18" s="81"/>
    </row>
    <row r="19" spans="1:17" ht="15" customHeight="1" x14ac:dyDescent="0.25">
      <c r="A19" s="522"/>
      <c r="B19" s="537"/>
      <c r="C19" s="538"/>
      <c r="D19" s="349"/>
      <c r="E19" s="1521"/>
      <c r="F19" s="321" t="s">
        <v>40</v>
      </c>
      <c r="G19" s="1469" t="s">
        <v>346</v>
      </c>
      <c r="H19" s="294" t="s">
        <v>41</v>
      </c>
      <c r="I19" s="88">
        <v>1800</v>
      </c>
      <c r="J19" s="202">
        <v>1800</v>
      </c>
      <c r="K19" s="88"/>
      <c r="L19" s="384"/>
      <c r="M19" s="1701"/>
      <c r="N19" s="319"/>
      <c r="O19" s="320"/>
      <c r="P19" s="175"/>
      <c r="Q19" s="66"/>
    </row>
    <row r="20" spans="1:17" ht="15" customHeight="1" x14ac:dyDescent="0.25">
      <c r="A20" s="522"/>
      <c r="B20" s="537"/>
      <c r="C20" s="538"/>
      <c r="D20" s="349"/>
      <c r="E20" s="1521"/>
      <c r="F20" s="535" t="s">
        <v>160</v>
      </c>
      <c r="G20" s="1469"/>
      <c r="H20" s="14" t="s">
        <v>93</v>
      </c>
      <c r="I20" s="429"/>
      <c r="J20" s="558">
        <v>6000</v>
      </c>
      <c r="K20" s="167">
        <v>1000</v>
      </c>
      <c r="L20" s="429">
        <v>4125</v>
      </c>
      <c r="M20" s="1701"/>
      <c r="N20" s="319"/>
      <c r="O20" s="320"/>
      <c r="P20" s="175"/>
      <c r="Q20" s="66"/>
    </row>
    <row r="21" spans="1:17" ht="15" customHeight="1" x14ac:dyDescent="0.25">
      <c r="A21" s="738"/>
      <c r="B21" s="741"/>
      <c r="C21" s="742"/>
      <c r="D21" s="349"/>
      <c r="E21" s="1521"/>
      <c r="F21" s="739"/>
      <c r="G21" s="1469"/>
      <c r="H21" s="690" t="s">
        <v>62</v>
      </c>
      <c r="I21" s="112">
        <v>250</v>
      </c>
      <c r="J21" s="693"/>
      <c r="K21" s="763"/>
      <c r="L21" s="408"/>
      <c r="M21" s="1701"/>
      <c r="N21" s="319"/>
      <c r="O21" s="320"/>
      <c r="P21" s="175"/>
      <c r="Q21" s="66"/>
    </row>
    <row r="22" spans="1:17" ht="15" customHeight="1" x14ac:dyDescent="0.25">
      <c r="A22" s="738"/>
      <c r="B22" s="741"/>
      <c r="C22" s="742"/>
      <c r="D22" s="349"/>
      <c r="E22" s="1521"/>
      <c r="F22" s="739"/>
      <c r="G22" s="1469"/>
      <c r="H22" s="740" t="s">
        <v>53</v>
      </c>
      <c r="I22" s="115"/>
      <c r="J22" s="764">
        <v>500</v>
      </c>
      <c r="K22" s="423">
        <v>473</v>
      </c>
      <c r="L22" s="408"/>
      <c r="M22" s="1701"/>
      <c r="N22" s="319"/>
      <c r="O22" s="320"/>
      <c r="P22" s="175"/>
      <c r="Q22" s="66"/>
    </row>
    <row r="23" spans="1:17" ht="15" customHeight="1" x14ac:dyDescent="0.25">
      <c r="A23" s="522"/>
      <c r="B23" s="537"/>
      <c r="C23" s="538"/>
      <c r="D23" s="349"/>
      <c r="E23" s="1481"/>
      <c r="F23" s="535" t="s">
        <v>125</v>
      </c>
      <c r="G23" s="1469"/>
      <c r="H23" s="132" t="s">
        <v>226</v>
      </c>
      <c r="I23" s="1"/>
      <c r="J23" s="558"/>
      <c r="K23" s="197">
        <v>277</v>
      </c>
      <c r="L23" s="281"/>
      <c r="M23" s="1533"/>
      <c r="N23" s="250"/>
      <c r="O23" s="196"/>
      <c r="P23" s="179"/>
      <c r="Q23" s="67"/>
    </row>
    <row r="24" spans="1:17" ht="15" customHeight="1" x14ac:dyDescent="0.25">
      <c r="A24" s="750"/>
      <c r="B24" s="758"/>
      <c r="C24" s="751"/>
      <c r="D24" s="752" t="s">
        <v>5</v>
      </c>
      <c r="E24" s="1697" t="s">
        <v>309</v>
      </c>
      <c r="F24" s="754" t="s">
        <v>125</v>
      </c>
      <c r="G24" s="1468" t="s">
        <v>119</v>
      </c>
      <c r="H24" s="14" t="s">
        <v>93</v>
      </c>
      <c r="I24" s="580"/>
      <c r="J24" s="181">
        <v>400</v>
      </c>
      <c r="K24" s="112">
        <v>450</v>
      </c>
      <c r="L24" s="182"/>
      <c r="M24" s="759" t="s">
        <v>39</v>
      </c>
      <c r="N24" s="319"/>
      <c r="O24" s="320"/>
      <c r="P24" s="175">
        <v>1</v>
      </c>
      <c r="Q24" s="66"/>
    </row>
    <row r="25" spans="1:17" ht="15" customHeight="1" x14ac:dyDescent="0.25">
      <c r="A25" s="750"/>
      <c r="B25" s="758"/>
      <c r="C25" s="751"/>
      <c r="D25" s="349"/>
      <c r="E25" s="1698"/>
      <c r="F25" s="321" t="s">
        <v>40</v>
      </c>
      <c r="G25" s="1469"/>
      <c r="H25" s="14"/>
      <c r="I25" s="686"/>
      <c r="J25" s="166"/>
      <c r="K25" s="112"/>
      <c r="L25" s="235"/>
      <c r="M25" s="759"/>
      <c r="N25" s="319"/>
      <c r="O25" s="320"/>
      <c r="P25" s="175"/>
      <c r="Q25" s="66"/>
    </row>
    <row r="26" spans="1:17" ht="15" customHeight="1" x14ac:dyDescent="0.25">
      <c r="A26" s="750"/>
      <c r="B26" s="758"/>
      <c r="C26" s="751"/>
      <c r="D26" s="349"/>
      <c r="E26" s="1698"/>
      <c r="F26" s="343" t="s">
        <v>192</v>
      </c>
      <c r="G26" s="1469"/>
      <c r="H26" s="14"/>
      <c r="I26" s="686"/>
      <c r="J26" s="166"/>
      <c r="K26" s="112"/>
      <c r="L26" s="235"/>
      <c r="M26" s="759"/>
      <c r="N26" s="319"/>
      <c r="O26" s="320"/>
      <c r="P26" s="175"/>
      <c r="Q26" s="66"/>
    </row>
    <row r="27" spans="1:17" ht="15" customHeight="1" x14ac:dyDescent="0.25">
      <c r="A27" s="750"/>
      <c r="B27" s="758"/>
      <c r="C27" s="751"/>
      <c r="D27" s="349"/>
      <c r="E27" s="1698"/>
      <c r="F27" s="755" t="s">
        <v>160</v>
      </c>
      <c r="G27" s="1469"/>
      <c r="H27" s="14"/>
      <c r="I27" s="686"/>
      <c r="J27" s="166"/>
      <c r="K27" s="112"/>
      <c r="L27" s="235"/>
      <c r="M27" s="759"/>
      <c r="N27" s="319"/>
      <c r="O27" s="320"/>
      <c r="P27" s="175"/>
      <c r="Q27" s="66"/>
    </row>
    <row r="28" spans="1:17" ht="15" customHeight="1" x14ac:dyDescent="0.25">
      <c r="A28" s="750"/>
      <c r="B28" s="758"/>
      <c r="C28" s="751"/>
      <c r="D28" s="349"/>
      <c r="E28" s="1699"/>
      <c r="F28" s="343" t="s">
        <v>243</v>
      </c>
      <c r="G28" s="1496"/>
      <c r="H28" s="757"/>
      <c r="I28" s="686"/>
      <c r="J28" s="559"/>
      <c r="K28" s="112"/>
      <c r="L28" s="235"/>
      <c r="M28" s="759"/>
      <c r="N28" s="319"/>
      <c r="O28" s="320"/>
      <c r="P28" s="175"/>
      <c r="Q28" s="66"/>
    </row>
    <row r="29" spans="1:17" ht="15" customHeight="1" x14ac:dyDescent="0.25">
      <c r="A29" s="526"/>
      <c r="B29" s="527"/>
      <c r="C29" s="1685"/>
      <c r="D29" s="519" t="s">
        <v>24</v>
      </c>
      <c r="E29" s="1493" t="s">
        <v>204</v>
      </c>
      <c r="F29" s="342" t="s">
        <v>113</v>
      </c>
      <c r="G29" s="1686" t="s">
        <v>344</v>
      </c>
      <c r="H29" s="232" t="s">
        <v>46</v>
      </c>
      <c r="I29" s="98">
        <f>17.6+169.4</f>
        <v>187</v>
      </c>
      <c r="J29" s="591">
        <v>321.89999999999998</v>
      </c>
      <c r="K29" s="98"/>
      <c r="L29" s="278"/>
      <c r="M29" s="669" t="s">
        <v>214</v>
      </c>
      <c r="N29" s="289">
        <v>50</v>
      </c>
      <c r="O29" s="452">
        <v>100</v>
      </c>
      <c r="P29" s="273"/>
      <c r="Q29" s="392"/>
    </row>
    <row r="30" spans="1:17" ht="15" customHeight="1" x14ac:dyDescent="0.25">
      <c r="A30" s="526"/>
      <c r="B30" s="527"/>
      <c r="C30" s="1685"/>
      <c r="D30" s="520"/>
      <c r="E30" s="1494"/>
      <c r="F30" s="321" t="s">
        <v>40</v>
      </c>
      <c r="G30" s="1687"/>
      <c r="H30" s="14" t="s">
        <v>21</v>
      </c>
      <c r="I30" s="20">
        <f>36.6+40+60</f>
        <v>136.6</v>
      </c>
      <c r="J30" s="942"/>
      <c r="K30" s="165"/>
      <c r="L30" s="20"/>
      <c r="M30" s="363" t="s">
        <v>112</v>
      </c>
      <c r="N30" s="306">
        <v>4</v>
      </c>
      <c r="O30" s="453"/>
      <c r="P30" s="335"/>
      <c r="Q30" s="334"/>
    </row>
    <row r="31" spans="1:17" ht="15" customHeight="1" x14ac:dyDescent="0.25">
      <c r="A31" s="526"/>
      <c r="B31" s="527"/>
      <c r="C31" s="1685"/>
      <c r="D31" s="520"/>
      <c r="E31" s="1494"/>
      <c r="F31" s="535" t="s">
        <v>160</v>
      </c>
      <c r="G31" s="1469" t="s">
        <v>345</v>
      </c>
      <c r="H31" s="115" t="s">
        <v>226</v>
      </c>
      <c r="I31" s="115">
        <v>200</v>
      </c>
      <c r="J31" s="954">
        <v>241.7</v>
      </c>
      <c r="K31" s="167"/>
      <c r="L31" s="429"/>
      <c r="M31" s="366"/>
      <c r="N31" s="555"/>
      <c r="O31" s="454"/>
      <c r="P31" s="552"/>
      <c r="Q31" s="550"/>
    </row>
    <row r="32" spans="1:17" ht="15" customHeight="1" x14ac:dyDescent="0.25">
      <c r="A32" s="526"/>
      <c r="B32" s="527"/>
      <c r="C32" s="1685"/>
      <c r="D32" s="520"/>
      <c r="E32" s="1494"/>
      <c r="F32" s="321" t="s">
        <v>194</v>
      </c>
      <c r="G32" s="1469"/>
      <c r="H32" s="115" t="s">
        <v>89</v>
      </c>
      <c r="I32" s="165">
        <f>738.2+65</f>
        <v>803.2</v>
      </c>
      <c r="J32" s="202">
        <v>241.5</v>
      </c>
      <c r="K32" s="112"/>
      <c r="L32" s="20"/>
      <c r="M32" s="366"/>
      <c r="N32" s="555"/>
      <c r="O32" s="454"/>
      <c r="P32" s="552"/>
      <c r="Q32" s="550"/>
    </row>
    <row r="33" spans="1:17" ht="15" customHeight="1" x14ac:dyDescent="0.25">
      <c r="A33" s="526"/>
      <c r="B33" s="527"/>
      <c r="C33" s="1685"/>
      <c r="D33" s="78"/>
      <c r="E33" s="1494"/>
      <c r="F33" s="343" t="s">
        <v>91</v>
      </c>
      <c r="G33" s="1469"/>
      <c r="H33" s="100" t="s">
        <v>62</v>
      </c>
      <c r="I33" s="165">
        <f>636.5+39.6</f>
        <v>676.1</v>
      </c>
      <c r="J33" s="558">
        <v>350</v>
      </c>
      <c r="K33" s="88"/>
      <c r="L33" s="408"/>
      <c r="M33" s="352"/>
      <c r="N33" s="463"/>
      <c r="O33" s="184"/>
      <c r="P33" s="78"/>
      <c r="Q33" s="80"/>
    </row>
    <row r="34" spans="1:17" ht="15" customHeight="1" x14ac:dyDescent="0.25">
      <c r="A34" s="526"/>
      <c r="B34" s="63"/>
      <c r="C34" s="1685"/>
      <c r="D34" s="78"/>
      <c r="E34" s="1494"/>
      <c r="F34" s="343" t="s">
        <v>125</v>
      </c>
      <c r="G34" s="1469"/>
      <c r="H34" s="531" t="s">
        <v>55</v>
      </c>
      <c r="I34" s="694">
        <v>100</v>
      </c>
      <c r="J34" s="291"/>
      <c r="K34" s="197"/>
      <c r="L34" s="430"/>
      <c r="M34" s="439"/>
      <c r="N34" s="555"/>
      <c r="O34" s="454"/>
      <c r="P34" s="552"/>
      <c r="Q34" s="550"/>
    </row>
    <row r="35" spans="1:17" ht="14.9" customHeight="1" x14ac:dyDescent="0.25">
      <c r="A35" s="38"/>
      <c r="B35" s="63"/>
      <c r="C35" s="1685"/>
      <c r="D35" s="519" t="s">
        <v>28</v>
      </c>
      <c r="E35" s="1480" t="s">
        <v>141</v>
      </c>
      <c r="F35" s="534" t="s">
        <v>113</v>
      </c>
      <c r="G35" s="782"/>
      <c r="H35" s="232" t="s">
        <v>21</v>
      </c>
      <c r="I35" s="300">
        <f>84.3+46.3-0.7</f>
        <v>129.9</v>
      </c>
      <c r="J35" s="91">
        <v>397.1</v>
      </c>
      <c r="K35" s="112"/>
      <c r="L35" s="384"/>
      <c r="M35" s="1683" t="s">
        <v>214</v>
      </c>
      <c r="N35" s="305">
        <v>50</v>
      </c>
      <c r="O35" s="274">
        <v>100</v>
      </c>
      <c r="P35" s="204"/>
      <c r="Q35" s="560"/>
    </row>
    <row r="36" spans="1:17" ht="14.9" customHeight="1" x14ac:dyDescent="0.25">
      <c r="A36" s="38"/>
      <c r="B36" s="63"/>
      <c r="C36" s="1685"/>
      <c r="D36" s="520"/>
      <c r="E36" s="1521"/>
      <c r="F36" s="93" t="s">
        <v>40</v>
      </c>
      <c r="G36" s="753"/>
      <c r="H36" s="531" t="s">
        <v>89</v>
      </c>
      <c r="I36" s="165">
        <v>233.2</v>
      </c>
      <c r="J36" s="202">
        <v>117.1</v>
      </c>
      <c r="K36" s="408"/>
      <c r="L36" s="282"/>
      <c r="M36" s="1684"/>
      <c r="N36" s="464"/>
      <c r="O36" s="455"/>
      <c r="P36" s="403"/>
      <c r="Q36" s="393"/>
    </row>
    <row r="37" spans="1:17" ht="14.9" customHeight="1" x14ac:dyDescent="0.25">
      <c r="A37" s="38"/>
      <c r="B37" s="63"/>
      <c r="C37" s="1685"/>
      <c r="D37" s="520"/>
      <c r="E37" s="1521"/>
      <c r="F37" s="535" t="s">
        <v>160</v>
      </c>
      <c r="G37" s="753"/>
      <c r="H37" s="115" t="s">
        <v>157</v>
      </c>
      <c r="I37" s="408">
        <v>15.8</v>
      </c>
      <c r="J37" s="202"/>
      <c r="K37" s="167"/>
      <c r="L37" s="429"/>
      <c r="M37" s="1684"/>
      <c r="N37" s="463"/>
      <c r="O37" s="184"/>
      <c r="P37" s="78"/>
      <c r="Q37" s="80"/>
    </row>
    <row r="38" spans="1:17" ht="14.9" customHeight="1" x14ac:dyDescent="0.25">
      <c r="A38" s="38"/>
      <c r="B38" s="63"/>
      <c r="C38" s="1685"/>
      <c r="D38" s="520"/>
      <c r="E38" s="1521"/>
      <c r="F38" s="343" t="s">
        <v>194</v>
      </c>
      <c r="G38" s="753"/>
      <c r="H38" s="295" t="s">
        <v>55</v>
      </c>
      <c r="I38" s="408">
        <v>118.6</v>
      </c>
      <c r="J38" s="202"/>
      <c r="K38" s="167"/>
      <c r="L38" s="87"/>
      <c r="M38" s="1684"/>
      <c r="N38" s="463"/>
      <c r="O38" s="184"/>
      <c r="P38" s="78"/>
      <c r="Q38" s="80"/>
    </row>
    <row r="39" spans="1:17" ht="14.9" customHeight="1" x14ac:dyDescent="0.25">
      <c r="A39" s="38"/>
      <c r="B39" s="63"/>
      <c r="C39" s="1685"/>
      <c r="D39" s="520"/>
      <c r="E39" s="1521"/>
      <c r="F39" s="343" t="s">
        <v>125</v>
      </c>
      <c r="G39" s="753"/>
      <c r="H39" s="531" t="s">
        <v>168</v>
      </c>
      <c r="I39" s="115">
        <v>98.1</v>
      </c>
      <c r="J39" s="91"/>
      <c r="K39" s="167"/>
      <c r="L39" s="20"/>
      <c r="M39" s="1684"/>
      <c r="N39" s="463"/>
      <c r="O39" s="184"/>
      <c r="P39" s="78"/>
      <c r="Q39" s="80"/>
    </row>
    <row r="40" spans="1:17" ht="14.9" customHeight="1" x14ac:dyDescent="0.25">
      <c r="A40" s="38"/>
      <c r="B40" s="63"/>
      <c r="C40" s="1685"/>
      <c r="D40" s="520"/>
      <c r="E40" s="1521"/>
      <c r="F40" s="343"/>
      <c r="G40" s="753"/>
      <c r="H40" s="132" t="s">
        <v>226</v>
      </c>
      <c r="I40" s="197">
        <v>100</v>
      </c>
      <c r="J40" s="291"/>
      <c r="K40" s="112"/>
      <c r="L40" s="430"/>
      <c r="M40" s="1684"/>
      <c r="N40" s="463"/>
      <c r="O40" s="184"/>
      <c r="P40" s="78"/>
      <c r="Q40" s="80"/>
    </row>
    <row r="41" spans="1:17" ht="15" customHeight="1" x14ac:dyDescent="0.25">
      <c r="A41" s="1461"/>
      <c r="B41" s="1462"/>
      <c r="C41" s="1664"/>
      <c r="D41" s="688" t="s">
        <v>29</v>
      </c>
      <c r="E41" s="1493" t="s">
        <v>87</v>
      </c>
      <c r="F41" s="49" t="s">
        <v>113</v>
      </c>
      <c r="G41" s="1468" t="s">
        <v>119</v>
      </c>
      <c r="H41" s="61" t="s">
        <v>21</v>
      </c>
      <c r="I41" s="98">
        <f>105.6+40+23.3</f>
        <v>168.9</v>
      </c>
      <c r="J41" s="239">
        <v>56.9</v>
      </c>
      <c r="K41" s="98"/>
      <c r="L41" s="431"/>
      <c r="M41" s="361" t="s">
        <v>214</v>
      </c>
      <c r="N41" s="700">
        <v>100</v>
      </c>
      <c r="O41" s="701">
        <v>100</v>
      </c>
      <c r="P41" s="702"/>
      <c r="Q41" s="703"/>
    </row>
    <row r="42" spans="1:17" ht="15" customHeight="1" x14ac:dyDescent="0.25">
      <c r="A42" s="1461"/>
      <c r="B42" s="1462"/>
      <c r="C42" s="1664"/>
      <c r="D42" s="533"/>
      <c r="E42" s="1494"/>
      <c r="F42" s="321" t="s">
        <v>40</v>
      </c>
      <c r="G42" s="1469"/>
      <c r="H42" s="531" t="s">
        <v>62</v>
      </c>
      <c r="I42" s="88">
        <f>903.9-24</f>
        <v>879.9</v>
      </c>
      <c r="J42" s="202"/>
      <c r="K42" s="88"/>
      <c r="L42" s="408"/>
      <c r="M42" s="359"/>
      <c r="N42" s="253"/>
      <c r="O42" s="185"/>
      <c r="P42" s="299"/>
      <c r="Q42" s="138"/>
    </row>
    <row r="43" spans="1:17" ht="15" customHeight="1" x14ac:dyDescent="0.25">
      <c r="A43" s="1461"/>
      <c r="B43" s="1462"/>
      <c r="C43" s="1664"/>
      <c r="D43" s="27"/>
      <c r="E43" s="1494"/>
      <c r="F43" s="343" t="s">
        <v>160</v>
      </c>
      <c r="G43" s="1469"/>
      <c r="H43" s="115" t="s">
        <v>168</v>
      </c>
      <c r="I43" s="429">
        <f>300+203.7</f>
        <v>503.7</v>
      </c>
      <c r="J43" s="202"/>
      <c r="K43" s="88"/>
      <c r="L43" s="408"/>
      <c r="M43" s="359"/>
      <c r="N43" s="253"/>
      <c r="O43" s="185"/>
      <c r="P43" s="299"/>
      <c r="Q43" s="138"/>
    </row>
    <row r="44" spans="1:17" ht="15" customHeight="1" x14ac:dyDescent="0.25">
      <c r="A44" s="1461"/>
      <c r="B44" s="1462"/>
      <c r="C44" s="1664"/>
      <c r="D44" s="27"/>
      <c r="E44" s="518"/>
      <c r="F44" s="322" t="s">
        <v>125</v>
      </c>
      <c r="G44" s="1469"/>
      <c r="H44" s="531" t="s">
        <v>46</v>
      </c>
      <c r="I44" s="88">
        <v>28.3</v>
      </c>
      <c r="J44" s="558"/>
      <c r="K44" s="88"/>
      <c r="L44" s="408"/>
      <c r="M44" s="340"/>
      <c r="N44" s="114"/>
      <c r="O44" s="200"/>
      <c r="P44" s="177"/>
      <c r="Q44" s="134"/>
    </row>
    <row r="45" spans="1:17" ht="15" customHeight="1" x14ac:dyDescent="0.25">
      <c r="A45" s="1461"/>
      <c r="B45" s="1462"/>
      <c r="C45" s="1664"/>
      <c r="D45" s="27"/>
      <c r="E45" s="518"/>
      <c r="F45" s="322" t="s">
        <v>194</v>
      </c>
      <c r="G45" s="1469"/>
      <c r="H45" s="308"/>
      <c r="I45" s="288"/>
      <c r="J45" s="695"/>
      <c r="K45" s="385"/>
      <c r="L45" s="433"/>
      <c r="M45" s="359"/>
      <c r="N45" s="466"/>
      <c r="O45" s="554"/>
      <c r="P45" s="349"/>
      <c r="Q45" s="551"/>
    </row>
    <row r="46" spans="1:17" ht="15" customHeight="1" x14ac:dyDescent="0.25">
      <c r="A46" s="522"/>
      <c r="B46" s="537"/>
      <c r="C46" s="44"/>
      <c r="D46" s="1463" t="s">
        <v>30</v>
      </c>
      <c r="E46" s="1665" t="s">
        <v>142</v>
      </c>
      <c r="F46" s="534" t="s">
        <v>40</v>
      </c>
      <c r="G46" s="1469"/>
      <c r="H46" s="232" t="s">
        <v>46</v>
      </c>
      <c r="I46" s="232">
        <v>8.6</v>
      </c>
      <c r="J46" s="384"/>
      <c r="K46" s="98"/>
      <c r="L46" s="278"/>
      <c r="M46" s="362" t="s">
        <v>39</v>
      </c>
      <c r="N46" s="267"/>
      <c r="O46" s="195">
        <v>2</v>
      </c>
      <c r="P46" s="178"/>
      <c r="Q46" s="65"/>
    </row>
    <row r="47" spans="1:17" ht="27.75" customHeight="1" x14ac:dyDescent="0.25">
      <c r="A47" s="522"/>
      <c r="B47" s="537"/>
      <c r="C47" s="44"/>
      <c r="D47" s="1464"/>
      <c r="E47" s="1666"/>
      <c r="F47" s="535" t="s">
        <v>194</v>
      </c>
      <c r="G47" s="1469"/>
      <c r="H47" s="555" t="s">
        <v>21</v>
      </c>
      <c r="I47" s="236"/>
      <c r="J47" s="202">
        <v>91.8</v>
      </c>
      <c r="K47" s="112">
        <v>100</v>
      </c>
      <c r="L47" s="432">
        <v>150</v>
      </c>
      <c r="M47" s="226" t="s">
        <v>295</v>
      </c>
      <c r="N47" s="265"/>
      <c r="O47" s="170"/>
      <c r="P47" s="176">
        <v>40</v>
      </c>
      <c r="Q47" s="143">
        <v>100</v>
      </c>
    </row>
    <row r="48" spans="1:17" ht="28.5" customHeight="1" x14ac:dyDescent="0.25">
      <c r="A48" s="522"/>
      <c r="B48" s="537"/>
      <c r="C48" s="44"/>
      <c r="D48" s="1465"/>
      <c r="E48" s="1667"/>
      <c r="F48" s="536" t="s">
        <v>125</v>
      </c>
      <c r="G48" s="1469"/>
      <c r="H48" s="132" t="s">
        <v>62</v>
      </c>
      <c r="I48" s="132"/>
      <c r="J48" s="291"/>
      <c r="K48" s="197"/>
      <c r="L48" s="293">
        <v>500</v>
      </c>
      <c r="M48" s="1339" t="s">
        <v>362</v>
      </c>
      <c r="N48" s="252"/>
      <c r="O48" s="196"/>
      <c r="P48" s="179"/>
      <c r="Q48" s="67">
        <v>20</v>
      </c>
    </row>
    <row r="49" spans="1:17" ht="30.75" customHeight="1" x14ac:dyDescent="0.25">
      <c r="A49" s="522"/>
      <c r="B49" s="537"/>
      <c r="C49" s="538"/>
      <c r="D49" s="519" t="s">
        <v>31</v>
      </c>
      <c r="E49" s="1521" t="s">
        <v>304</v>
      </c>
      <c r="F49" s="92" t="s">
        <v>113</v>
      </c>
      <c r="G49" s="1469"/>
      <c r="H49" s="290" t="s">
        <v>21</v>
      </c>
      <c r="I49" s="98">
        <f>120+0.5+114-156</f>
        <v>78.5</v>
      </c>
      <c r="J49" s="239">
        <v>177.4</v>
      </c>
      <c r="K49" s="98">
        <v>455.2</v>
      </c>
      <c r="L49" s="431">
        <v>625.4</v>
      </c>
      <c r="M49" s="352" t="s">
        <v>222</v>
      </c>
      <c r="N49" s="467">
        <v>100</v>
      </c>
      <c r="O49" s="456"/>
      <c r="P49" s="284"/>
      <c r="Q49" s="285"/>
    </row>
    <row r="50" spans="1:17" ht="15" customHeight="1" x14ac:dyDescent="0.25">
      <c r="A50" s="522"/>
      <c r="B50" s="537"/>
      <c r="C50" s="538"/>
      <c r="D50" s="520"/>
      <c r="E50" s="1521"/>
      <c r="F50" s="321" t="s">
        <v>194</v>
      </c>
      <c r="G50" s="1469"/>
      <c r="H50" s="317" t="s">
        <v>62</v>
      </c>
      <c r="I50" s="432">
        <v>276.60000000000002</v>
      </c>
      <c r="J50" s="202">
        <v>200</v>
      </c>
      <c r="K50" s="112">
        <v>200</v>
      </c>
      <c r="L50" s="435">
        <v>200</v>
      </c>
      <c r="M50" s="1476" t="s">
        <v>223</v>
      </c>
      <c r="N50" s="265"/>
      <c r="O50" s="257">
        <v>15</v>
      </c>
      <c r="P50" s="419">
        <v>60</v>
      </c>
      <c r="Q50" s="148">
        <v>100</v>
      </c>
    </row>
    <row r="51" spans="1:17" ht="15" customHeight="1" x14ac:dyDescent="0.25">
      <c r="A51" s="522"/>
      <c r="B51" s="537"/>
      <c r="C51" s="538"/>
      <c r="D51" s="520"/>
      <c r="E51" s="1521"/>
      <c r="F51" s="535" t="s">
        <v>125</v>
      </c>
      <c r="G51" s="1469"/>
      <c r="H51" s="531" t="s">
        <v>168</v>
      </c>
      <c r="I51" s="167">
        <f>100+229.7-109</f>
        <v>220.7</v>
      </c>
      <c r="J51" s="558"/>
      <c r="K51" s="88"/>
      <c r="L51" s="432"/>
      <c r="M51" s="1630"/>
      <c r="N51" s="319"/>
      <c r="O51" s="320"/>
      <c r="P51" s="175"/>
      <c r="Q51" s="66"/>
    </row>
    <row r="52" spans="1:17" ht="15" customHeight="1" x14ac:dyDescent="0.25">
      <c r="A52" s="522"/>
      <c r="B52" s="537"/>
      <c r="C52" s="538"/>
      <c r="D52" s="79"/>
      <c r="E52" s="1521"/>
      <c r="F52" s="321" t="s">
        <v>40</v>
      </c>
      <c r="G52" s="1469"/>
      <c r="H52" s="531" t="s">
        <v>46</v>
      </c>
      <c r="I52" s="696">
        <f>50+5.5</f>
        <v>55.5</v>
      </c>
      <c r="J52" s="291"/>
      <c r="K52" s="88"/>
      <c r="L52" s="408"/>
      <c r="M52" s="298"/>
      <c r="N52" s="116"/>
      <c r="O52" s="311"/>
      <c r="P52" s="101"/>
      <c r="Q52" s="133"/>
    </row>
    <row r="53" spans="1:17" ht="27" customHeight="1" x14ac:dyDescent="0.25">
      <c r="A53" s="522"/>
      <c r="B53" s="523"/>
      <c r="C53" s="41"/>
      <c r="D53" s="1464" t="s">
        <v>84</v>
      </c>
      <c r="E53" s="1668" t="s">
        <v>134</v>
      </c>
      <c r="F53" s="534" t="s">
        <v>125</v>
      </c>
      <c r="G53" s="1469"/>
      <c r="H53" s="61" t="s">
        <v>21</v>
      </c>
      <c r="I53" s="232">
        <f>430-170+25.4</f>
        <v>285.39999999999998</v>
      </c>
      <c r="J53" s="384">
        <v>204.1</v>
      </c>
      <c r="K53" s="98">
        <v>765.9</v>
      </c>
      <c r="L53" s="431">
        <v>257.8</v>
      </c>
      <c r="M53" s="354" t="s">
        <v>276</v>
      </c>
      <c r="N53" s="265">
        <v>100</v>
      </c>
      <c r="O53" s="257"/>
      <c r="P53" s="191"/>
      <c r="Q53" s="81"/>
    </row>
    <row r="54" spans="1:17" ht="28.5" customHeight="1" x14ac:dyDescent="0.25">
      <c r="A54" s="546"/>
      <c r="B54" s="523"/>
      <c r="C54" s="42"/>
      <c r="D54" s="1464"/>
      <c r="E54" s="1663"/>
      <c r="F54" s="321" t="s">
        <v>113</v>
      </c>
      <c r="G54" s="1469"/>
      <c r="H54" s="531" t="s">
        <v>38</v>
      </c>
      <c r="I54" s="167">
        <v>293.60000000000002</v>
      </c>
      <c r="J54" s="202">
        <v>103.1</v>
      </c>
      <c r="K54" s="112"/>
      <c r="L54" s="432"/>
      <c r="M54" s="352" t="s">
        <v>277</v>
      </c>
      <c r="N54" s="265">
        <v>50</v>
      </c>
      <c r="O54" s="257">
        <v>100</v>
      </c>
      <c r="P54" s="191"/>
      <c r="Q54" s="81"/>
    </row>
    <row r="55" spans="1:17" ht="27" customHeight="1" x14ac:dyDescent="0.25">
      <c r="A55" s="546"/>
      <c r="B55" s="537"/>
      <c r="C55" s="42"/>
      <c r="D55" s="520"/>
      <c r="E55" s="544"/>
      <c r="F55" s="321" t="s">
        <v>194</v>
      </c>
      <c r="G55" s="1469"/>
      <c r="H55" s="531" t="s">
        <v>226</v>
      </c>
      <c r="I55" s="408">
        <v>120</v>
      </c>
      <c r="J55" s="558">
        <v>527.4</v>
      </c>
      <c r="K55" s="88"/>
      <c r="L55" s="408"/>
      <c r="M55" s="440" t="s">
        <v>278</v>
      </c>
      <c r="N55" s="265">
        <v>40</v>
      </c>
      <c r="O55" s="257">
        <v>70</v>
      </c>
      <c r="P55" s="266">
        <v>100</v>
      </c>
      <c r="Q55" s="143"/>
    </row>
    <row r="56" spans="1:17" ht="28.5" customHeight="1" x14ac:dyDescent="0.25">
      <c r="A56" s="546"/>
      <c r="B56" s="537"/>
      <c r="C56" s="42"/>
      <c r="D56" s="747"/>
      <c r="E56" s="544"/>
      <c r="F56" s="325" t="s">
        <v>40</v>
      </c>
      <c r="G56" s="1469"/>
      <c r="H56" s="14"/>
      <c r="I56" s="14"/>
      <c r="J56" s="166"/>
      <c r="K56" s="112"/>
      <c r="L56" s="432"/>
      <c r="M56" s="440" t="s">
        <v>279</v>
      </c>
      <c r="N56" s="265">
        <v>25</v>
      </c>
      <c r="O56" s="257">
        <v>60</v>
      </c>
      <c r="P56" s="191">
        <v>100</v>
      </c>
      <c r="Q56" s="81"/>
    </row>
    <row r="57" spans="1:17" ht="27.75" customHeight="1" x14ac:dyDescent="0.25">
      <c r="A57" s="743"/>
      <c r="B57" s="758"/>
      <c r="C57" s="42"/>
      <c r="D57" s="747"/>
      <c r="E57" s="749"/>
      <c r="F57" s="105"/>
      <c r="G57" s="1469"/>
      <c r="H57" s="14"/>
      <c r="I57" s="14"/>
      <c r="J57" s="20"/>
      <c r="K57" s="112"/>
      <c r="L57" s="432"/>
      <c r="M57" s="440" t="s">
        <v>313</v>
      </c>
      <c r="N57" s="265"/>
      <c r="O57" s="257">
        <v>35</v>
      </c>
      <c r="P57" s="176">
        <v>100</v>
      </c>
      <c r="Q57" s="81"/>
    </row>
    <row r="58" spans="1:17" ht="28.5" customHeight="1" x14ac:dyDescent="0.25">
      <c r="A58" s="743"/>
      <c r="B58" s="758"/>
      <c r="C58" s="42"/>
      <c r="D58" s="747"/>
      <c r="E58" s="749"/>
      <c r="F58" s="105"/>
      <c r="G58" s="1469"/>
      <c r="H58" s="14"/>
      <c r="I58" s="14"/>
      <c r="J58" s="20"/>
      <c r="K58" s="112"/>
      <c r="L58" s="432"/>
      <c r="M58" s="440" t="s">
        <v>280</v>
      </c>
      <c r="N58" s="265"/>
      <c r="O58" s="257">
        <v>30</v>
      </c>
      <c r="P58" s="191">
        <v>100</v>
      </c>
      <c r="Q58" s="81"/>
    </row>
    <row r="59" spans="1:17" ht="29.25" customHeight="1" x14ac:dyDescent="0.25">
      <c r="A59" s="743"/>
      <c r="B59" s="758"/>
      <c r="C59" s="42"/>
      <c r="D59" s="748"/>
      <c r="E59" s="749"/>
      <c r="F59" s="105"/>
      <c r="G59" s="1469"/>
      <c r="H59" s="14"/>
      <c r="I59" s="14"/>
      <c r="J59" s="559"/>
      <c r="K59" s="112"/>
      <c r="L59" s="432"/>
      <c r="M59" s="441" t="s">
        <v>281</v>
      </c>
      <c r="N59" s="252"/>
      <c r="O59" s="251">
        <v>20</v>
      </c>
      <c r="P59" s="192">
        <v>65</v>
      </c>
      <c r="Q59" s="145">
        <v>100</v>
      </c>
    </row>
    <row r="60" spans="1:17" ht="15" customHeight="1" x14ac:dyDescent="0.25">
      <c r="A60" s="546"/>
      <c r="B60" s="537"/>
      <c r="C60" s="42"/>
      <c r="D60" s="520" t="s">
        <v>114</v>
      </c>
      <c r="E60" s="1480" t="s">
        <v>177</v>
      </c>
      <c r="F60" s="92" t="s">
        <v>40</v>
      </c>
      <c r="G60" s="1469"/>
      <c r="H60" s="52" t="s">
        <v>21</v>
      </c>
      <c r="I60" s="907">
        <v>100</v>
      </c>
      <c r="J60" s="384">
        <v>594.20000000000005</v>
      </c>
      <c r="K60" s="98">
        <v>741.6</v>
      </c>
      <c r="L60" s="431"/>
      <c r="M60" s="887" t="s">
        <v>214</v>
      </c>
      <c r="N60" s="248">
        <v>20</v>
      </c>
      <c r="O60" s="615">
        <v>35</v>
      </c>
      <c r="P60" s="438">
        <v>100</v>
      </c>
      <c r="Q60" s="908"/>
    </row>
    <row r="61" spans="1:17" ht="15" customHeight="1" x14ac:dyDescent="0.25">
      <c r="A61" s="546"/>
      <c r="B61" s="537"/>
      <c r="C61" s="42"/>
      <c r="D61" s="520"/>
      <c r="E61" s="1521"/>
      <c r="F61" s="321" t="s">
        <v>113</v>
      </c>
      <c r="G61" s="1469"/>
      <c r="H61" s="315" t="s">
        <v>62</v>
      </c>
      <c r="I61" s="405">
        <v>824</v>
      </c>
      <c r="J61" s="558">
        <v>1200</v>
      </c>
      <c r="K61" s="112">
        <v>600</v>
      </c>
      <c r="L61" s="432"/>
      <c r="M61" s="885"/>
      <c r="N61" s="253"/>
      <c r="O61" s="185"/>
      <c r="P61" s="299"/>
      <c r="Q61" s="138"/>
    </row>
    <row r="62" spans="1:17" ht="15" customHeight="1" x14ac:dyDescent="0.25">
      <c r="A62" s="546"/>
      <c r="B62" s="537"/>
      <c r="C62" s="42"/>
      <c r="D62" s="520"/>
      <c r="E62" s="1521"/>
      <c r="F62" s="93" t="s">
        <v>194</v>
      </c>
      <c r="G62" s="1469"/>
      <c r="H62" s="307"/>
      <c r="I62" s="114"/>
      <c r="J62" s="384"/>
      <c r="K62" s="112"/>
      <c r="L62" s="432"/>
      <c r="M62" s="352"/>
      <c r="N62" s="253"/>
      <c r="O62" s="185"/>
      <c r="P62" s="299"/>
      <c r="Q62" s="138"/>
    </row>
    <row r="63" spans="1:17" ht="15" customHeight="1" x14ac:dyDescent="0.25">
      <c r="A63" s="546"/>
      <c r="B63" s="537"/>
      <c r="C63" s="42"/>
      <c r="D63" s="78"/>
      <c r="E63" s="1669"/>
      <c r="F63" s="536" t="s">
        <v>125</v>
      </c>
      <c r="G63" s="1496"/>
      <c r="H63" s="341"/>
      <c r="I63" s="237"/>
      <c r="J63" s="25"/>
      <c r="K63" s="168"/>
      <c r="L63" s="434"/>
      <c r="M63" s="298"/>
      <c r="N63" s="116"/>
      <c r="O63" s="311"/>
      <c r="P63" s="101"/>
      <c r="Q63" s="133"/>
    </row>
    <row r="64" spans="1:17" ht="20.149999999999999" customHeight="1" x14ac:dyDescent="0.25">
      <c r="A64" s="546"/>
      <c r="B64" s="537"/>
      <c r="C64" s="44"/>
      <c r="D64" s="519" t="s">
        <v>83</v>
      </c>
      <c r="E64" s="1480" t="s">
        <v>92</v>
      </c>
      <c r="F64" s="92" t="s">
        <v>40</v>
      </c>
      <c r="G64" s="745" t="s">
        <v>344</v>
      </c>
      <c r="H64" s="52" t="s">
        <v>21</v>
      </c>
      <c r="I64" s="668">
        <v>26</v>
      </c>
      <c r="J64" s="239">
        <v>169.6</v>
      </c>
      <c r="K64" s="98"/>
      <c r="L64" s="431"/>
      <c r="M64" s="440" t="s">
        <v>214</v>
      </c>
      <c r="N64" s="319">
        <v>50</v>
      </c>
      <c r="O64" s="320">
        <v>100</v>
      </c>
      <c r="P64" s="175"/>
      <c r="Q64" s="66"/>
    </row>
    <row r="65" spans="1:17" ht="22.5" customHeight="1" x14ac:dyDescent="0.25">
      <c r="A65" s="546"/>
      <c r="B65" s="537"/>
      <c r="C65" s="44"/>
      <c r="D65" s="520"/>
      <c r="E65" s="1521"/>
      <c r="F65" s="535" t="s">
        <v>125</v>
      </c>
      <c r="G65" s="1661" t="s">
        <v>119</v>
      </c>
      <c r="H65" s="301" t="s">
        <v>46</v>
      </c>
      <c r="I65" s="165">
        <v>5.5</v>
      </c>
      <c r="J65" s="365"/>
      <c r="K65" s="167"/>
      <c r="L65" s="432"/>
      <c r="M65" s="340"/>
      <c r="N65" s="114"/>
      <c r="O65" s="200"/>
      <c r="P65" s="177"/>
      <c r="Q65" s="134"/>
    </row>
    <row r="66" spans="1:17" ht="20.149999999999999" customHeight="1" x14ac:dyDescent="0.25">
      <c r="A66" s="546"/>
      <c r="B66" s="537"/>
      <c r="C66" s="44"/>
      <c r="D66" s="94"/>
      <c r="E66" s="1481"/>
      <c r="F66" s="536" t="s">
        <v>194</v>
      </c>
      <c r="G66" s="1662"/>
      <c r="H66" s="556" t="s">
        <v>89</v>
      </c>
      <c r="I66" s="132">
        <v>79.2</v>
      </c>
      <c r="J66" s="384">
        <v>79.2</v>
      </c>
      <c r="K66" s="88"/>
      <c r="L66" s="408"/>
      <c r="M66" s="352"/>
      <c r="N66" s="319"/>
      <c r="O66" s="320"/>
      <c r="P66" s="175"/>
      <c r="Q66" s="66"/>
    </row>
    <row r="67" spans="1:17" ht="15.65" customHeight="1" x14ac:dyDescent="0.25">
      <c r="A67" s="546"/>
      <c r="B67" s="537"/>
      <c r="C67" s="44"/>
      <c r="D67" s="519" t="s">
        <v>116</v>
      </c>
      <c r="E67" s="1480" t="s">
        <v>191</v>
      </c>
      <c r="F67" s="92" t="s">
        <v>40</v>
      </c>
      <c r="G67" s="1660" t="s">
        <v>193</v>
      </c>
      <c r="H67" s="52" t="s">
        <v>21</v>
      </c>
      <c r="I67" s="61">
        <f>87.4-34.4</f>
        <v>53</v>
      </c>
      <c r="J67" s="239"/>
      <c r="K67" s="98"/>
      <c r="L67" s="278"/>
      <c r="M67" s="585" t="s">
        <v>39</v>
      </c>
      <c r="N67" s="249">
        <v>1</v>
      </c>
      <c r="O67" s="187"/>
      <c r="P67" s="190"/>
      <c r="Q67" s="142"/>
    </row>
    <row r="68" spans="1:17" ht="15" customHeight="1" x14ac:dyDescent="0.25">
      <c r="A68" s="546"/>
      <c r="B68" s="537"/>
      <c r="C68" s="44"/>
      <c r="D68" s="520"/>
      <c r="E68" s="1521"/>
      <c r="F68" s="93" t="s">
        <v>194</v>
      </c>
      <c r="G68" s="1661"/>
      <c r="H68" s="306" t="s">
        <v>89</v>
      </c>
      <c r="I68" s="1052"/>
      <c r="J68" s="558">
        <f>86+28.7</f>
        <v>114.7</v>
      </c>
      <c r="K68" s="88"/>
      <c r="L68" s="281"/>
      <c r="M68" s="1605" t="s">
        <v>214</v>
      </c>
      <c r="N68" s="319">
        <v>30</v>
      </c>
      <c r="O68" s="320">
        <v>100</v>
      </c>
      <c r="P68" s="175"/>
      <c r="Q68" s="66"/>
    </row>
    <row r="69" spans="1:17" ht="15" customHeight="1" x14ac:dyDescent="0.25">
      <c r="A69" s="546"/>
      <c r="B69" s="537"/>
      <c r="C69" s="44"/>
      <c r="D69" s="94"/>
      <c r="E69" s="1481"/>
      <c r="F69" s="535" t="s">
        <v>125</v>
      </c>
      <c r="G69" s="1662"/>
      <c r="H69" s="556"/>
      <c r="I69" s="1053"/>
      <c r="J69" s="559"/>
      <c r="K69" s="168"/>
      <c r="L69" s="146"/>
      <c r="M69" s="1472"/>
      <c r="N69" s="250"/>
      <c r="O69" s="196"/>
      <c r="P69" s="179"/>
      <c r="Q69" s="67"/>
    </row>
    <row r="70" spans="1:17" ht="18" customHeight="1" x14ac:dyDescent="0.25">
      <c r="A70" s="522"/>
      <c r="B70" s="537"/>
      <c r="C70" s="41"/>
      <c r="D70" s="519" t="s">
        <v>117</v>
      </c>
      <c r="E70" s="1493" t="s">
        <v>233</v>
      </c>
      <c r="F70" s="107" t="s">
        <v>194</v>
      </c>
      <c r="G70" s="1469" t="s">
        <v>119</v>
      </c>
      <c r="H70" s="61" t="s">
        <v>21</v>
      </c>
      <c r="I70" s="431">
        <f>10.1+6+0.7</f>
        <v>16.8</v>
      </c>
      <c r="J70" s="767">
        <v>30</v>
      </c>
      <c r="K70" s="860">
        <v>30</v>
      </c>
      <c r="L70" s="692">
        <v>30</v>
      </c>
      <c r="M70" s="1551" t="s">
        <v>72</v>
      </c>
      <c r="N70" s="267">
        <v>100</v>
      </c>
      <c r="O70" s="195">
        <v>100</v>
      </c>
      <c r="P70" s="178">
        <v>100</v>
      </c>
      <c r="Q70" s="65">
        <v>100</v>
      </c>
    </row>
    <row r="71" spans="1:17" ht="18" customHeight="1" x14ac:dyDescent="0.25">
      <c r="A71" s="522"/>
      <c r="B71" s="537"/>
      <c r="C71" s="41"/>
      <c r="D71" s="78"/>
      <c r="E71" s="1663"/>
      <c r="F71" s="110"/>
      <c r="G71" s="1469"/>
      <c r="H71" s="301" t="s">
        <v>46</v>
      </c>
      <c r="I71" s="91">
        <v>12.3</v>
      </c>
      <c r="J71" s="202"/>
      <c r="K71" s="167"/>
      <c r="L71" s="20"/>
      <c r="M71" s="1630"/>
      <c r="N71" s="319"/>
      <c r="O71" s="320"/>
      <c r="P71" s="175"/>
      <c r="Q71" s="66"/>
    </row>
    <row r="72" spans="1:17" s="6" customFormat="1" ht="18" customHeight="1" x14ac:dyDescent="0.25">
      <c r="A72" s="522"/>
      <c r="B72" s="537"/>
      <c r="C72" s="538"/>
      <c r="D72" s="79"/>
      <c r="E72" s="1552"/>
      <c r="F72" s="111"/>
      <c r="G72" s="1496"/>
      <c r="H72" s="115" t="s">
        <v>168</v>
      </c>
      <c r="I72" s="698">
        <v>5.6</v>
      </c>
      <c r="J72" s="291"/>
      <c r="K72" s="197"/>
      <c r="L72" s="430"/>
      <c r="M72" s="1477"/>
      <c r="N72" s="468"/>
      <c r="O72" s="458"/>
      <c r="P72" s="193"/>
      <c r="Q72" s="144"/>
    </row>
    <row r="73" spans="1:17" ht="15.75" customHeight="1" x14ac:dyDescent="0.25">
      <c r="A73" s="522"/>
      <c r="B73" s="523"/>
      <c r="C73" s="42"/>
      <c r="D73" s="872">
        <v>13</v>
      </c>
      <c r="E73" s="96" t="s">
        <v>124</v>
      </c>
      <c r="F73" s="868" t="s">
        <v>160</v>
      </c>
      <c r="G73" s="377"/>
      <c r="H73" s="58"/>
      <c r="I73" s="58"/>
      <c r="J73" s="206"/>
      <c r="K73" s="168"/>
      <c r="L73" s="25"/>
      <c r="M73" s="869"/>
      <c r="N73" s="58"/>
      <c r="O73" s="873"/>
      <c r="P73" s="207"/>
      <c r="Q73" s="874"/>
    </row>
    <row r="74" spans="1:17" ht="15" customHeight="1" x14ac:dyDescent="0.25">
      <c r="A74" s="522"/>
      <c r="B74" s="523"/>
      <c r="C74" s="42"/>
      <c r="D74" s="272">
        <v>1</v>
      </c>
      <c r="E74" s="718" t="s">
        <v>260</v>
      </c>
      <c r="F74" s="107" t="s">
        <v>194</v>
      </c>
      <c r="G74" s="1660" t="s">
        <v>121</v>
      </c>
      <c r="H74" s="232" t="s">
        <v>21</v>
      </c>
      <c r="I74" s="232">
        <f>550-200-216+1.7</f>
        <v>135.69999999999999</v>
      </c>
      <c r="J74" s="239">
        <v>20</v>
      </c>
      <c r="K74" s="98">
        <v>20</v>
      </c>
      <c r="L74" s="384">
        <v>20</v>
      </c>
      <c r="M74" s="585" t="s">
        <v>51</v>
      </c>
      <c r="N74" s="232">
        <v>1.6</v>
      </c>
      <c r="O74" s="181"/>
      <c r="P74" s="98"/>
      <c r="Q74" s="278"/>
    </row>
    <row r="75" spans="1:17" ht="15" customHeight="1" x14ac:dyDescent="0.25">
      <c r="A75" s="522"/>
      <c r="B75" s="523"/>
      <c r="C75" s="44"/>
      <c r="D75" s="270">
        <v>2</v>
      </c>
      <c r="E75" s="718" t="s">
        <v>263</v>
      </c>
      <c r="F75" s="325" t="s">
        <v>125</v>
      </c>
      <c r="G75" s="1661"/>
      <c r="H75" s="14" t="s">
        <v>62</v>
      </c>
      <c r="I75" s="14">
        <f>726+2</f>
        <v>728</v>
      </c>
      <c r="J75" s="91">
        <v>525</v>
      </c>
      <c r="K75" s="112">
        <v>540</v>
      </c>
      <c r="L75" s="408">
        <v>602</v>
      </c>
      <c r="M75" s="1471" t="s">
        <v>261</v>
      </c>
      <c r="N75" s="14"/>
      <c r="O75" s="558">
        <v>10.5</v>
      </c>
      <c r="P75" s="112">
        <v>9</v>
      </c>
      <c r="Q75" s="235">
        <v>8.6</v>
      </c>
    </row>
    <row r="76" spans="1:17" ht="15" customHeight="1" x14ac:dyDescent="0.25">
      <c r="A76" s="522"/>
      <c r="B76" s="523"/>
      <c r="C76" s="44"/>
      <c r="D76" s="271">
        <v>3</v>
      </c>
      <c r="E76" s="718" t="s">
        <v>195</v>
      </c>
      <c r="F76" s="105"/>
      <c r="G76" s="1661"/>
      <c r="H76" s="14"/>
      <c r="I76" s="14"/>
      <c r="J76" s="166"/>
      <c r="K76" s="112"/>
      <c r="L76" s="384"/>
      <c r="M76" s="1471"/>
      <c r="N76" s="14"/>
      <c r="O76" s="91"/>
      <c r="P76" s="112"/>
      <c r="Q76" s="13"/>
    </row>
    <row r="77" spans="1:17" ht="15" customHeight="1" x14ac:dyDescent="0.25">
      <c r="A77" s="522"/>
      <c r="B77" s="523"/>
      <c r="C77" s="42"/>
      <c r="D77" s="271">
        <v>4</v>
      </c>
      <c r="E77" s="710" t="s">
        <v>262</v>
      </c>
      <c r="F77" s="325"/>
      <c r="G77" s="1661"/>
      <c r="H77" s="14"/>
      <c r="I77" s="14"/>
      <c r="J77" s="91"/>
      <c r="K77" s="112"/>
      <c r="L77" s="432"/>
      <c r="M77" s="650"/>
      <c r="N77" s="14"/>
      <c r="O77" s="91"/>
      <c r="P77" s="112"/>
      <c r="Q77" s="13"/>
    </row>
    <row r="78" spans="1:17" ht="15" customHeight="1" x14ac:dyDescent="0.25">
      <c r="A78" s="522"/>
      <c r="B78" s="523"/>
      <c r="C78" s="42"/>
      <c r="D78" s="271">
        <v>5</v>
      </c>
      <c r="E78" s="719" t="s">
        <v>183</v>
      </c>
      <c r="G78" s="1661"/>
      <c r="H78" s="14"/>
      <c r="I78" s="14"/>
      <c r="J78" s="166"/>
      <c r="K78" s="112"/>
      <c r="L78" s="432"/>
      <c r="M78" s="650"/>
      <c r="N78" s="14"/>
      <c r="O78" s="91"/>
      <c r="P78" s="112"/>
      <c r="Q78" s="13"/>
    </row>
    <row r="79" spans="1:17" ht="15.75" customHeight="1" x14ac:dyDescent="0.25">
      <c r="A79" s="522"/>
      <c r="B79" s="523"/>
      <c r="C79" s="42"/>
      <c r="D79" s="271">
        <v>6</v>
      </c>
      <c r="E79" s="719" t="s">
        <v>196</v>
      </c>
      <c r="F79" s="325"/>
      <c r="G79" s="1661"/>
      <c r="H79" s="14"/>
      <c r="I79" s="14"/>
      <c r="J79" s="91"/>
      <c r="K79" s="112"/>
      <c r="L79" s="20"/>
      <c r="M79" s="650"/>
      <c r="N79" s="14"/>
      <c r="O79" s="91"/>
      <c r="P79" s="112"/>
      <c r="Q79" s="13"/>
    </row>
    <row r="80" spans="1:17" ht="15" customHeight="1" x14ac:dyDescent="0.25">
      <c r="A80" s="522"/>
      <c r="B80" s="523"/>
      <c r="C80" s="42"/>
      <c r="D80" s="271">
        <v>7</v>
      </c>
      <c r="E80" s="719" t="s">
        <v>268</v>
      </c>
      <c r="F80" s="325"/>
      <c r="G80" s="1661"/>
      <c r="H80" s="14"/>
      <c r="I80" s="14"/>
      <c r="J80" s="91"/>
      <c r="K80" s="112"/>
      <c r="L80" s="384"/>
      <c r="M80" s="650"/>
      <c r="N80" s="14"/>
      <c r="O80" s="91"/>
      <c r="P80" s="112"/>
      <c r="Q80" s="13"/>
    </row>
    <row r="81" spans="1:17" ht="15" customHeight="1" x14ac:dyDescent="0.25">
      <c r="A81" s="522"/>
      <c r="B81" s="523"/>
      <c r="C81" s="44"/>
      <c r="D81" s="271">
        <v>8</v>
      </c>
      <c r="E81" s="719" t="s">
        <v>230</v>
      </c>
      <c r="F81" s="105"/>
      <c r="G81" s="1661"/>
      <c r="H81" s="14"/>
      <c r="I81" s="14"/>
      <c r="J81" s="676"/>
      <c r="K81" s="677"/>
      <c r="L81" s="678"/>
      <c r="M81" s="352"/>
      <c r="N81" s="14"/>
      <c r="O81" s="91"/>
      <c r="P81" s="112"/>
      <c r="Q81" s="13"/>
    </row>
    <row r="82" spans="1:17" ht="15" customHeight="1" x14ac:dyDescent="0.25">
      <c r="A82" s="522"/>
      <c r="B82" s="523"/>
      <c r="C82" s="44"/>
      <c r="D82" s="378">
        <v>9</v>
      </c>
      <c r="E82" s="719" t="s">
        <v>197</v>
      </c>
      <c r="F82" s="105"/>
      <c r="G82" s="1661"/>
      <c r="H82" s="14"/>
      <c r="I82" s="14"/>
      <c r="J82" s="82"/>
      <c r="K82" s="168"/>
      <c r="L82" s="434"/>
      <c r="M82" s="352"/>
      <c r="N82" s="14"/>
      <c r="O82" s="91"/>
      <c r="P82" s="112"/>
      <c r="Q82" s="13"/>
    </row>
    <row r="83" spans="1:17" ht="27" customHeight="1" x14ac:dyDescent="0.25">
      <c r="A83" s="522"/>
      <c r="B83" s="523"/>
      <c r="C83" s="42"/>
      <c r="D83" s="519" t="s">
        <v>316</v>
      </c>
      <c r="E83" s="1466" t="s">
        <v>305</v>
      </c>
      <c r="F83" s="534" t="s">
        <v>160</v>
      </c>
      <c r="G83" s="547"/>
      <c r="H83" s="61" t="s">
        <v>62</v>
      </c>
      <c r="I83" s="61">
        <f>500+109.5</f>
        <v>609.5</v>
      </c>
      <c r="J83" s="85">
        <f>500</f>
        <v>500</v>
      </c>
      <c r="K83" s="84">
        <f>500</f>
        <v>500</v>
      </c>
      <c r="L83" s="384">
        <f>500</f>
        <v>500</v>
      </c>
      <c r="M83" s="442" t="s">
        <v>101</v>
      </c>
      <c r="N83" s="232">
        <v>0.1</v>
      </c>
      <c r="O83" s="459"/>
      <c r="P83" s="663"/>
      <c r="Q83" s="421"/>
    </row>
    <row r="84" spans="1:17" ht="29.25" customHeight="1" x14ac:dyDescent="0.25">
      <c r="A84" s="640"/>
      <c r="B84" s="641"/>
      <c r="C84" s="42"/>
      <c r="D84" s="643"/>
      <c r="E84" s="1467"/>
      <c r="F84" s="535" t="s">
        <v>194</v>
      </c>
      <c r="G84" s="649"/>
      <c r="H84" s="100"/>
      <c r="I84" s="100"/>
      <c r="J84" s="189"/>
      <c r="K84" s="113"/>
      <c r="L84" s="384"/>
      <c r="M84" s="691" t="s">
        <v>264</v>
      </c>
      <c r="N84" s="14"/>
      <c r="O84" s="659">
        <v>0.5</v>
      </c>
      <c r="P84" s="158">
        <v>0.5</v>
      </c>
      <c r="Q84" s="660">
        <v>0.5</v>
      </c>
    </row>
    <row r="85" spans="1:17" ht="27" customHeight="1" x14ac:dyDescent="0.25">
      <c r="A85" s="522"/>
      <c r="B85" s="523"/>
      <c r="C85" s="42"/>
      <c r="D85" s="78"/>
      <c r="E85" s="1467"/>
      <c r="F85" s="325" t="s">
        <v>125</v>
      </c>
      <c r="G85" s="547"/>
      <c r="H85" s="14" t="s">
        <v>21</v>
      </c>
      <c r="I85" s="14">
        <f>521.8-50</f>
        <v>471.8</v>
      </c>
      <c r="J85" s="130">
        <v>549.79999999999995</v>
      </c>
      <c r="K85" s="130">
        <v>550</v>
      </c>
      <c r="L85" s="408">
        <v>550</v>
      </c>
      <c r="M85" s="443" t="s">
        <v>34</v>
      </c>
      <c r="N85" s="469">
        <v>4.4000000000000004</v>
      </c>
      <c r="O85" s="420"/>
      <c r="P85" s="423"/>
      <c r="Q85" s="379"/>
    </row>
    <row r="86" spans="1:17" ht="28.5" customHeight="1" x14ac:dyDescent="0.25">
      <c r="A86" s="640"/>
      <c r="B86" s="641"/>
      <c r="C86" s="42"/>
      <c r="D86" s="78"/>
      <c r="E86" s="1467"/>
      <c r="F86" s="642"/>
      <c r="G86" s="649"/>
      <c r="H86" s="14"/>
      <c r="I86" s="14"/>
      <c r="J86" s="91"/>
      <c r="K86" s="91"/>
      <c r="L86" s="432"/>
      <c r="M86" s="689" t="s">
        <v>265</v>
      </c>
      <c r="N86" s="469"/>
      <c r="O86" s="420">
        <v>39</v>
      </c>
      <c r="P86" s="661">
        <v>39</v>
      </c>
      <c r="Q86" s="662">
        <v>39</v>
      </c>
    </row>
    <row r="87" spans="1:17" ht="15" customHeight="1" x14ac:dyDescent="0.25">
      <c r="A87" s="522"/>
      <c r="B87" s="523"/>
      <c r="C87" s="42"/>
      <c r="D87" s="78"/>
      <c r="E87" s="1467"/>
      <c r="F87" s="720"/>
      <c r="G87" s="547"/>
      <c r="H87" s="14"/>
      <c r="I87" s="14"/>
      <c r="J87" s="91"/>
      <c r="K87" s="112"/>
      <c r="L87" s="432"/>
      <c r="M87" s="443" t="s">
        <v>50</v>
      </c>
      <c r="N87" s="470">
        <v>1.3</v>
      </c>
      <c r="O87" s="422"/>
      <c r="P87" s="296"/>
      <c r="Q87" s="276"/>
    </row>
    <row r="88" spans="1:17" ht="18" customHeight="1" x14ac:dyDescent="0.25">
      <c r="A88" s="640"/>
      <c r="B88" s="641"/>
      <c r="C88" s="42"/>
      <c r="D88" s="78"/>
      <c r="E88" s="648"/>
      <c r="F88" s="325"/>
      <c r="G88" s="649"/>
      <c r="H88" s="14"/>
      <c r="I88" s="100"/>
      <c r="J88" s="189"/>
      <c r="K88" s="113"/>
      <c r="L88" s="292"/>
      <c r="M88" s="831" t="s">
        <v>266</v>
      </c>
      <c r="N88" s="844"/>
      <c r="O88" s="845">
        <v>13</v>
      </c>
      <c r="P88" s="296">
        <v>13</v>
      </c>
      <c r="Q88" s="851">
        <v>13</v>
      </c>
    </row>
    <row r="89" spans="1:17" ht="31.5" customHeight="1" x14ac:dyDescent="0.25">
      <c r="A89" s="829"/>
      <c r="B89" s="830"/>
      <c r="C89" s="42"/>
      <c r="D89" s="78"/>
      <c r="E89" s="838"/>
      <c r="F89" s="325"/>
      <c r="G89" s="839"/>
      <c r="H89" s="132" t="s">
        <v>21</v>
      </c>
      <c r="I89" s="973"/>
      <c r="J89" s="166">
        <f>500-100</f>
        <v>400</v>
      </c>
      <c r="K89" s="168">
        <f>500-100</f>
        <v>400</v>
      </c>
      <c r="L89" s="146">
        <f>500-100</f>
        <v>400</v>
      </c>
      <c r="M89" s="849" t="s">
        <v>267</v>
      </c>
      <c r="N89" s="850"/>
      <c r="O89" s="974">
        <v>17.600000000000001</v>
      </c>
      <c r="P89" s="261">
        <v>17.600000000000001</v>
      </c>
      <c r="Q89" s="260">
        <v>17.600000000000001</v>
      </c>
    </row>
    <row r="90" spans="1:17" ht="17.25" customHeight="1" x14ac:dyDescent="0.25">
      <c r="A90" s="1473"/>
      <c r="B90" s="1462"/>
      <c r="C90" s="1475"/>
      <c r="D90" s="1463" t="s">
        <v>282</v>
      </c>
      <c r="E90" s="1493" t="s">
        <v>97</v>
      </c>
      <c r="F90" s="922" t="s">
        <v>160</v>
      </c>
      <c r="G90" s="37"/>
      <c r="H90" s="232" t="s">
        <v>62</v>
      </c>
      <c r="I90" s="232">
        <f>220+70+33.3</f>
        <v>323.3</v>
      </c>
      <c r="J90" s="239">
        <v>205</v>
      </c>
      <c r="K90" s="98"/>
      <c r="L90" s="431"/>
      <c r="M90" s="585" t="s">
        <v>100</v>
      </c>
      <c r="N90" s="471">
        <v>1.3</v>
      </c>
      <c r="O90" s="424"/>
      <c r="P90" s="418"/>
      <c r="Q90" s="259"/>
    </row>
    <row r="91" spans="1:17" ht="19.5" customHeight="1" x14ac:dyDescent="0.25">
      <c r="A91" s="1473"/>
      <c r="B91" s="1462"/>
      <c r="C91" s="1475"/>
      <c r="D91" s="1464"/>
      <c r="E91" s="1494"/>
      <c r="F91" s="833" t="s">
        <v>194</v>
      </c>
      <c r="G91" s="37"/>
      <c r="H91" s="582" t="s">
        <v>21</v>
      </c>
      <c r="I91" s="827">
        <f>740.4-374.3-33.3+84+216-18.3</f>
        <v>614.5</v>
      </c>
      <c r="J91" s="558">
        <v>381.1</v>
      </c>
      <c r="K91" s="88">
        <v>586.1</v>
      </c>
      <c r="L91" s="408">
        <f>+K91</f>
        <v>586.1</v>
      </c>
      <c r="M91" s="443" t="s">
        <v>310</v>
      </c>
      <c r="N91" s="664"/>
      <c r="O91" s="683">
        <v>15.5</v>
      </c>
      <c r="P91" s="683">
        <v>15.5</v>
      </c>
      <c r="Q91" s="684">
        <v>15.5</v>
      </c>
    </row>
    <row r="92" spans="1:17" ht="16.5" customHeight="1" x14ac:dyDescent="0.25">
      <c r="A92" s="1473"/>
      <c r="B92" s="1462"/>
      <c r="C92" s="1475"/>
      <c r="D92" s="1464"/>
      <c r="E92" s="1494"/>
      <c r="F92" s="535" t="s">
        <v>125</v>
      </c>
      <c r="G92" s="37"/>
      <c r="H92" s="853"/>
      <c r="I92" s="100"/>
      <c r="J92" s="189"/>
      <c r="K92" s="113"/>
      <c r="L92" s="292"/>
      <c r="M92" s="699" t="s">
        <v>102</v>
      </c>
      <c r="N92" s="471">
        <v>1.2</v>
      </c>
      <c r="O92" s="318"/>
      <c r="P92" s="318"/>
      <c r="Q92" s="275"/>
    </row>
    <row r="93" spans="1:17" ht="20.25" customHeight="1" x14ac:dyDescent="0.25">
      <c r="A93" s="1473"/>
      <c r="B93" s="1462"/>
      <c r="C93" s="1475"/>
      <c r="D93" s="1464"/>
      <c r="E93" s="1494"/>
      <c r="F93" s="642"/>
      <c r="G93" s="37"/>
      <c r="H93" s="665" t="s">
        <v>62</v>
      </c>
      <c r="I93" s="100"/>
      <c r="J93" s="617">
        <v>590</v>
      </c>
      <c r="K93" s="113">
        <v>500</v>
      </c>
      <c r="L93" s="435">
        <v>500</v>
      </c>
      <c r="M93" s="1605" t="s">
        <v>311</v>
      </c>
      <c r="N93" s="681"/>
      <c r="O93" s="1499">
        <v>12.1</v>
      </c>
      <c r="P93" s="1501">
        <v>8</v>
      </c>
      <c r="Q93" s="685">
        <v>8</v>
      </c>
    </row>
    <row r="94" spans="1:17" ht="18.75" customHeight="1" x14ac:dyDescent="0.25">
      <c r="A94" s="1473"/>
      <c r="B94" s="1462"/>
      <c r="C94" s="1475"/>
      <c r="D94" s="1464"/>
      <c r="E94" s="1494"/>
      <c r="F94" s="680"/>
      <c r="G94" s="37"/>
      <c r="H94" s="295" t="s">
        <v>21</v>
      </c>
      <c r="I94" s="827"/>
      <c r="J94" s="130">
        <v>205</v>
      </c>
      <c r="K94" s="167"/>
      <c r="L94" s="282"/>
      <c r="M94" s="1471"/>
      <c r="N94" s="682"/>
      <c r="O94" s="1500"/>
      <c r="P94" s="1502"/>
      <c r="Q94" s="852"/>
    </row>
    <row r="95" spans="1:17" ht="15" customHeight="1" x14ac:dyDescent="0.25">
      <c r="A95" s="829"/>
      <c r="B95" s="830"/>
      <c r="C95" s="836"/>
      <c r="D95" s="818"/>
      <c r="E95" s="824"/>
      <c r="F95" s="833"/>
      <c r="G95" s="37"/>
      <c r="H95" s="100" t="s">
        <v>21</v>
      </c>
      <c r="I95" s="901"/>
      <c r="J95" s="202">
        <v>40</v>
      </c>
      <c r="K95" s="113"/>
      <c r="L95" s="292"/>
      <c r="M95" s="226" t="s">
        <v>39</v>
      </c>
      <c r="N95" s="462"/>
      <c r="O95" s="451">
        <v>1</v>
      </c>
      <c r="P95" s="198"/>
      <c r="Q95" s="143"/>
    </row>
    <row r="96" spans="1:17" ht="15" customHeight="1" x14ac:dyDescent="0.25">
      <c r="A96" s="829"/>
      <c r="B96" s="830"/>
      <c r="C96" s="836"/>
      <c r="D96" s="818"/>
      <c r="E96" s="824"/>
      <c r="F96" s="833"/>
      <c r="G96" s="37"/>
      <c r="H96" s="14" t="s">
        <v>21</v>
      </c>
      <c r="I96" s="901"/>
      <c r="J96" s="202"/>
      <c r="K96" s="112">
        <v>300</v>
      </c>
      <c r="L96" s="235">
        <v>300</v>
      </c>
      <c r="M96" s="226" t="s">
        <v>214</v>
      </c>
      <c r="N96" s="254"/>
      <c r="O96" s="320"/>
      <c r="P96" s="175">
        <v>50</v>
      </c>
      <c r="Q96" s="297">
        <v>100</v>
      </c>
    </row>
    <row r="97" spans="1:17" ht="15" customHeight="1" x14ac:dyDescent="0.25">
      <c r="A97" s="829"/>
      <c r="B97" s="830"/>
      <c r="C97" s="836"/>
      <c r="D97" s="818"/>
      <c r="E97" s="824"/>
      <c r="F97" s="833"/>
      <c r="G97" s="37"/>
      <c r="H97" s="115" t="s">
        <v>21</v>
      </c>
      <c r="I97" s="803"/>
      <c r="J97" s="617">
        <v>22</v>
      </c>
      <c r="K97" s="167"/>
      <c r="L97" s="282"/>
      <c r="M97" s="247" t="s">
        <v>39</v>
      </c>
      <c r="N97" s="462"/>
      <c r="O97" s="170">
        <v>1</v>
      </c>
      <c r="P97" s="176"/>
      <c r="Q97" s="143"/>
    </row>
    <row r="98" spans="1:17" ht="15" customHeight="1" x14ac:dyDescent="0.25">
      <c r="A98" s="829"/>
      <c r="B98" s="830"/>
      <c r="C98" s="836"/>
      <c r="D98" s="818"/>
      <c r="E98" s="824"/>
      <c r="F98" s="833"/>
      <c r="G98" s="37"/>
      <c r="H98" s="14" t="s">
        <v>21</v>
      </c>
      <c r="I98" s="345"/>
      <c r="J98" s="91"/>
      <c r="K98" s="112">
        <v>502.4</v>
      </c>
      <c r="L98" s="235"/>
      <c r="M98" s="634" t="s">
        <v>214</v>
      </c>
      <c r="N98" s="319"/>
      <c r="O98" s="320"/>
      <c r="P98" s="175">
        <v>100</v>
      </c>
      <c r="Q98" s="297"/>
    </row>
    <row r="99" spans="1:17" ht="15.75" customHeight="1" x14ac:dyDescent="0.25">
      <c r="A99" s="522"/>
      <c r="B99" s="523"/>
      <c r="C99" s="538"/>
      <c r="D99" s="519" t="s">
        <v>299</v>
      </c>
      <c r="E99" s="1493" t="s">
        <v>242</v>
      </c>
      <c r="F99" s="107" t="s">
        <v>194</v>
      </c>
      <c r="G99" s="820"/>
      <c r="H99" s="232" t="s">
        <v>21</v>
      </c>
      <c r="I99" s="232">
        <f>543-443+65</f>
        <v>165</v>
      </c>
      <c r="J99" s="239">
        <v>307.5</v>
      </c>
      <c r="K99" s="98">
        <v>307.5</v>
      </c>
      <c r="L99" s="278">
        <v>307.5</v>
      </c>
      <c r="M99" s="1551" t="s">
        <v>76</v>
      </c>
      <c r="N99" s="267">
        <v>3</v>
      </c>
      <c r="O99" s="195">
        <v>2</v>
      </c>
      <c r="P99" s="178">
        <v>2</v>
      </c>
      <c r="Q99" s="65">
        <v>2</v>
      </c>
    </row>
    <row r="100" spans="1:17" ht="16.5" customHeight="1" x14ac:dyDescent="0.25">
      <c r="A100" s="522"/>
      <c r="B100" s="523"/>
      <c r="C100" s="538"/>
      <c r="D100" s="78"/>
      <c r="E100" s="1495"/>
      <c r="F100" s="325" t="s">
        <v>125</v>
      </c>
      <c r="G100" s="820"/>
      <c r="H100" s="532" t="s">
        <v>46</v>
      </c>
      <c r="I100" s="532">
        <v>200</v>
      </c>
      <c r="J100" s="291"/>
      <c r="K100" s="197"/>
      <c r="L100" s="430"/>
      <c r="M100" s="1477"/>
      <c r="N100" s="250"/>
      <c r="O100" s="196"/>
      <c r="P100" s="179"/>
      <c r="Q100" s="67"/>
    </row>
    <row r="101" spans="1:17" ht="15" customHeight="1" x14ac:dyDescent="0.25">
      <c r="A101" s="546"/>
      <c r="B101" s="523"/>
      <c r="C101" s="44"/>
      <c r="D101" s="519" t="s">
        <v>297</v>
      </c>
      <c r="E101" s="1480" t="s">
        <v>33</v>
      </c>
      <c r="F101" s="107" t="s">
        <v>194</v>
      </c>
      <c r="G101" s="820"/>
      <c r="H101" s="309" t="s">
        <v>62</v>
      </c>
      <c r="I101" s="14">
        <v>121</v>
      </c>
      <c r="J101" s="91">
        <v>160.80000000000001</v>
      </c>
      <c r="K101" s="113">
        <v>170</v>
      </c>
      <c r="L101" s="384">
        <v>170</v>
      </c>
      <c r="M101" s="351" t="s">
        <v>96</v>
      </c>
      <c r="N101" s="267">
        <v>16</v>
      </c>
      <c r="O101" s="171">
        <v>16</v>
      </c>
      <c r="P101" s="195">
        <v>16</v>
      </c>
      <c r="Q101" s="141">
        <v>16</v>
      </c>
    </row>
    <row r="102" spans="1:17" ht="15" customHeight="1" x14ac:dyDescent="0.25">
      <c r="A102" s="651"/>
      <c r="B102" s="652"/>
      <c r="C102" s="44"/>
      <c r="D102" s="653"/>
      <c r="E102" s="1521"/>
      <c r="F102" s="325"/>
      <c r="G102" s="820"/>
      <c r="H102" s="654" t="s">
        <v>21</v>
      </c>
      <c r="I102" s="115">
        <f>108.4+48</f>
        <v>156.4</v>
      </c>
      <c r="J102" s="202">
        <v>111.6</v>
      </c>
      <c r="K102" s="167">
        <v>100</v>
      </c>
      <c r="L102" s="429">
        <v>100</v>
      </c>
      <c r="M102" s="247"/>
      <c r="N102" s="462"/>
      <c r="O102" s="674"/>
      <c r="P102" s="675"/>
      <c r="Q102" s="679"/>
    </row>
    <row r="103" spans="1:17" ht="16.5" customHeight="1" x14ac:dyDescent="0.25">
      <c r="A103" s="546"/>
      <c r="B103" s="523"/>
      <c r="C103" s="44"/>
      <c r="D103" s="78"/>
      <c r="E103" s="1521"/>
      <c r="F103" s="105"/>
      <c r="G103" s="515"/>
      <c r="H103" s="132" t="s">
        <v>21</v>
      </c>
      <c r="I103" s="890"/>
      <c r="J103" s="897">
        <v>492.9</v>
      </c>
      <c r="K103" s="898">
        <v>234.1</v>
      </c>
      <c r="L103" s="293"/>
      <c r="M103" s="353" t="s">
        <v>214</v>
      </c>
      <c r="N103" s="250"/>
      <c r="O103" s="196">
        <v>65</v>
      </c>
      <c r="P103" s="179">
        <v>100</v>
      </c>
      <c r="Q103" s="67"/>
    </row>
    <row r="104" spans="1:17" ht="14.25" customHeight="1" x14ac:dyDescent="0.25">
      <c r="A104" s="546"/>
      <c r="B104" s="537"/>
      <c r="C104" s="41"/>
      <c r="D104" s="1463" t="s">
        <v>249</v>
      </c>
      <c r="E104" s="1480" t="s">
        <v>109</v>
      </c>
      <c r="F104" s="49" t="s">
        <v>194</v>
      </c>
      <c r="G104" s="55"/>
      <c r="H104" s="52" t="s">
        <v>62</v>
      </c>
      <c r="I104" s="61">
        <v>8</v>
      </c>
      <c r="J104" s="181">
        <v>8</v>
      </c>
      <c r="K104" s="84">
        <v>8</v>
      </c>
      <c r="L104" s="428">
        <v>8</v>
      </c>
      <c r="M104" s="361" t="s">
        <v>269</v>
      </c>
      <c r="N104" s="713">
        <v>10</v>
      </c>
      <c r="O104" s="714">
        <v>10</v>
      </c>
      <c r="P104" s="715">
        <v>10</v>
      </c>
      <c r="Q104" s="716">
        <v>10</v>
      </c>
    </row>
    <row r="105" spans="1:17" ht="15" customHeight="1" x14ac:dyDescent="0.25">
      <c r="A105" s="546"/>
      <c r="B105" s="537"/>
      <c r="C105" s="41"/>
      <c r="D105" s="1465"/>
      <c r="E105" s="1481"/>
      <c r="F105" s="70"/>
      <c r="G105" s="75"/>
      <c r="H105" s="556"/>
      <c r="I105" s="532"/>
      <c r="J105" s="559"/>
      <c r="K105" s="168"/>
      <c r="L105" s="434"/>
      <c r="M105" s="360"/>
      <c r="N105" s="250"/>
      <c r="O105" s="196"/>
      <c r="P105" s="179"/>
      <c r="Q105" s="67"/>
    </row>
    <row r="106" spans="1:17" ht="15" customHeight="1" x14ac:dyDescent="0.25">
      <c r="A106" s="546"/>
      <c r="B106" s="537"/>
      <c r="C106" s="41"/>
      <c r="D106" s="520" t="s">
        <v>232</v>
      </c>
      <c r="E106" s="1480" t="s">
        <v>307</v>
      </c>
      <c r="F106" s="49" t="s">
        <v>40</v>
      </c>
      <c r="G106" s="1468" t="s">
        <v>119</v>
      </c>
      <c r="H106" s="300" t="s">
        <v>21</v>
      </c>
      <c r="I106" s="232">
        <v>14</v>
      </c>
      <c r="J106" s="983"/>
      <c r="K106" s="98">
        <v>100</v>
      </c>
      <c r="L106" s="431">
        <v>167.1</v>
      </c>
      <c r="M106" s="444" t="s">
        <v>59</v>
      </c>
      <c r="N106" s="249">
        <v>1</v>
      </c>
      <c r="O106" s="320">
        <v>1</v>
      </c>
      <c r="P106" s="190"/>
      <c r="Q106" s="142"/>
    </row>
    <row r="107" spans="1:17" ht="15" customHeight="1" x14ac:dyDescent="0.25">
      <c r="A107" s="546"/>
      <c r="B107" s="537"/>
      <c r="C107" s="41"/>
      <c r="D107" s="520"/>
      <c r="E107" s="1521"/>
      <c r="F107" s="343" t="s">
        <v>125</v>
      </c>
      <c r="G107" s="1469"/>
      <c r="H107" s="294" t="s">
        <v>46</v>
      </c>
      <c r="I107" s="14">
        <v>5</v>
      </c>
      <c r="J107" s="202"/>
      <c r="K107" s="167"/>
      <c r="L107" s="282"/>
      <c r="M107" s="425" t="s">
        <v>214</v>
      </c>
      <c r="N107" s="265"/>
      <c r="O107" s="257"/>
      <c r="P107" s="175">
        <v>60</v>
      </c>
      <c r="Q107" s="66">
        <v>100</v>
      </c>
    </row>
    <row r="108" spans="1:17" ht="15.75" customHeight="1" x14ac:dyDescent="0.25">
      <c r="A108" s="546"/>
      <c r="B108" s="537"/>
      <c r="C108" s="41"/>
      <c r="D108" s="520"/>
      <c r="E108" s="1521"/>
      <c r="F108" s="336" t="s">
        <v>194</v>
      </c>
      <c r="G108" s="1469"/>
      <c r="H108" s="3" t="s">
        <v>62</v>
      </c>
      <c r="I108" s="768"/>
      <c r="J108" s="291"/>
      <c r="K108" s="112">
        <v>500</v>
      </c>
      <c r="L108" s="20">
        <v>400</v>
      </c>
      <c r="M108" s="298"/>
      <c r="N108" s="116"/>
      <c r="O108" s="311"/>
      <c r="P108" s="101"/>
      <c r="Q108" s="133"/>
    </row>
    <row r="109" spans="1:17" ht="18" customHeight="1" x14ac:dyDescent="0.25">
      <c r="A109" s="546"/>
      <c r="B109" s="537"/>
      <c r="C109" s="41"/>
      <c r="D109" s="519" t="s">
        <v>128</v>
      </c>
      <c r="E109" s="1480" t="s">
        <v>298</v>
      </c>
      <c r="F109" s="49" t="s">
        <v>194</v>
      </c>
      <c r="G109" s="76"/>
      <c r="H109" s="300" t="s">
        <v>21</v>
      </c>
      <c r="I109" s="232">
        <f>44.2-25.4</f>
        <v>18.8</v>
      </c>
      <c r="J109" s="85">
        <v>722.6</v>
      </c>
      <c r="K109" s="84">
        <v>550</v>
      </c>
      <c r="L109" s="86">
        <v>663.5</v>
      </c>
      <c r="M109" s="444" t="s">
        <v>225</v>
      </c>
      <c r="N109" s="249">
        <v>2</v>
      </c>
      <c r="O109" s="256"/>
      <c r="P109" s="190"/>
      <c r="Q109" s="68"/>
    </row>
    <row r="110" spans="1:17" ht="18" customHeight="1" x14ac:dyDescent="0.25">
      <c r="A110" s="743"/>
      <c r="B110" s="758"/>
      <c r="C110" s="41"/>
      <c r="D110" s="747"/>
      <c r="E110" s="1521"/>
      <c r="F110" s="102" t="s">
        <v>40</v>
      </c>
      <c r="G110" s="76"/>
      <c r="H110" s="108" t="s">
        <v>62</v>
      </c>
      <c r="I110" s="14"/>
      <c r="J110" s="558">
        <v>400</v>
      </c>
      <c r="K110" s="167">
        <v>800</v>
      </c>
      <c r="L110" s="429">
        <v>800</v>
      </c>
      <c r="M110" s="769"/>
      <c r="N110" s="254"/>
      <c r="O110" s="170"/>
      <c r="P110" s="175"/>
      <c r="Q110" s="143"/>
    </row>
    <row r="111" spans="1:17" ht="18" customHeight="1" x14ac:dyDescent="0.25">
      <c r="A111" s="546"/>
      <c r="B111" s="537"/>
      <c r="C111" s="41"/>
      <c r="D111" s="520"/>
      <c r="E111" s="1521"/>
      <c r="F111" s="326" t="s">
        <v>125</v>
      </c>
      <c r="G111" s="765"/>
      <c r="H111" s="108" t="s">
        <v>46</v>
      </c>
      <c r="I111" s="115">
        <v>1.4</v>
      </c>
      <c r="J111" s="558"/>
      <c r="K111" s="167"/>
      <c r="L111" s="429"/>
      <c r="M111" s="425" t="s">
        <v>214</v>
      </c>
      <c r="N111" s="472">
        <v>5</v>
      </c>
      <c r="O111" s="460">
        <v>40</v>
      </c>
      <c r="P111" s="475">
        <v>70</v>
      </c>
      <c r="Q111" s="395">
        <v>100</v>
      </c>
    </row>
    <row r="112" spans="1:17" ht="20.25" customHeight="1" x14ac:dyDescent="0.25">
      <c r="A112" s="546"/>
      <c r="B112" s="537"/>
      <c r="C112" s="41"/>
      <c r="D112" s="521"/>
      <c r="E112" s="1481"/>
      <c r="F112" s="536"/>
      <c r="G112" s="765"/>
      <c r="H112" s="555" t="s">
        <v>226</v>
      </c>
      <c r="I112" s="132">
        <v>84.6</v>
      </c>
      <c r="J112" s="291"/>
      <c r="K112" s="112"/>
      <c r="L112" s="384"/>
      <c r="M112" s="445"/>
      <c r="N112" s="250"/>
      <c r="O112" s="196"/>
      <c r="P112" s="179"/>
      <c r="Q112" s="67"/>
    </row>
    <row r="113" spans="1:19" ht="15" customHeight="1" x14ac:dyDescent="0.25">
      <c r="A113" s="546"/>
      <c r="B113" s="523"/>
      <c r="C113" s="131"/>
      <c r="D113" s="688" t="s">
        <v>129</v>
      </c>
      <c r="E113" s="511" t="s">
        <v>165</v>
      </c>
      <c r="F113" s="535" t="s">
        <v>125</v>
      </c>
      <c r="G113" s="1468" t="s">
        <v>121</v>
      </c>
      <c r="H113" s="300"/>
      <c r="I113" s="14"/>
      <c r="J113" s="239"/>
      <c r="K113" s="84"/>
      <c r="L113" s="86"/>
      <c r="M113" s="673"/>
      <c r="N113" s="267"/>
      <c r="O113" s="195"/>
      <c r="P113" s="178"/>
      <c r="Q113" s="65"/>
    </row>
    <row r="114" spans="1:19" ht="15" customHeight="1" x14ac:dyDescent="0.25">
      <c r="A114" s="546"/>
      <c r="B114" s="523"/>
      <c r="C114" s="131"/>
      <c r="D114" s="520"/>
      <c r="E114" s="539" t="s">
        <v>312</v>
      </c>
      <c r="F114" s="581" t="s">
        <v>194</v>
      </c>
      <c r="G114" s="1469"/>
      <c r="H114" s="306" t="s">
        <v>62</v>
      </c>
      <c r="I114" s="645">
        <f>320-123.2</f>
        <v>196.8</v>
      </c>
      <c r="J114" s="558">
        <v>103</v>
      </c>
      <c r="K114" s="671"/>
      <c r="L114" s="672"/>
      <c r="M114" s="425" t="s">
        <v>214</v>
      </c>
      <c r="N114" s="981">
        <v>50</v>
      </c>
      <c r="O114" s="1316">
        <v>100</v>
      </c>
      <c r="P114" s="932"/>
      <c r="Q114" s="982"/>
    </row>
    <row r="115" spans="1:19" ht="15" customHeight="1" x14ac:dyDescent="0.25">
      <c r="A115" s="978"/>
      <c r="B115" s="976"/>
      <c r="C115" s="131"/>
      <c r="D115" s="975"/>
      <c r="E115" s="979"/>
      <c r="F115" s="427"/>
      <c r="G115" s="1469"/>
      <c r="H115" s="306" t="s">
        <v>21</v>
      </c>
      <c r="I115" s="977">
        <v>1.6</v>
      </c>
      <c r="J115" s="558"/>
      <c r="K115" s="671"/>
      <c r="L115" s="980"/>
      <c r="M115" s="1314"/>
      <c r="N115" s="1315"/>
      <c r="O115" s="1317"/>
      <c r="P115" s="1318"/>
      <c r="Q115" s="1319"/>
    </row>
    <row r="116" spans="1:19" s="2" customFormat="1" ht="15" customHeight="1" x14ac:dyDescent="0.25">
      <c r="A116" s="546"/>
      <c r="B116" s="523"/>
      <c r="C116" s="426"/>
      <c r="D116" s="404"/>
      <c r="E116" s="539" t="s">
        <v>184</v>
      </c>
      <c r="F116" s="581" t="s">
        <v>192</v>
      </c>
      <c r="G116" s="1469"/>
      <c r="H116" s="301" t="s">
        <v>62</v>
      </c>
      <c r="I116" s="926"/>
      <c r="J116" s="927">
        <v>260</v>
      </c>
      <c r="K116" s="477"/>
      <c r="L116" s="933"/>
      <c r="M116" s="425" t="s">
        <v>214</v>
      </c>
      <c r="N116" s="893"/>
      <c r="O116" s="1077">
        <v>100</v>
      </c>
      <c r="P116" s="1308"/>
      <c r="Q116" s="1309"/>
      <c r="R116" s="340"/>
    </row>
    <row r="117" spans="1:19" s="2" customFormat="1" ht="15" customHeight="1" x14ac:dyDescent="0.25">
      <c r="A117" s="924"/>
      <c r="B117" s="925"/>
      <c r="C117" s="426"/>
      <c r="D117" s="404"/>
      <c r="E117" s="1486" t="s">
        <v>166</v>
      </c>
      <c r="F117" s="581" t="s">
        <v>192</v>
      </c>
      <c r="G117" s="923"/>
      <c r="H117" s="162" t="s">
        <v>38</v>
      </c>
      <c r="I117" s="115"/>
      <c r="J117" s="1307"/>
      <c r="K117" s="113">
        <v>49.4</v>
      </c>
      <c r="L117" s="143"/>
      <c r="M117" s="770" t="s">
        <v>214</v>
      </c>
      <c r="N117" s="236"/>
      <c r="O117" s="366"/>
      <c r="P117" s="552">
        <v>100</v>
      </c>
      <c r="Q117" s="915"/>
      <c r="R117" s="1"/>
      <c r="S117" s="1"/>
    </row>
    <row r="118" spans="1:19" s="2" customFormat="1" ht="15" customHeight="1" x14ac:dyDescent="0.25">
      <c r="A118" s="924"/>
      <c r="B118" s="925"/>
      <c r="C118" s="426"/>
      <c r="D118" s="404"/>
      <c r="E118" s="1736"/>
      <c r="F118" s="427"/>
      <c r="G118" s="923"/>
      <c r="H118" s="928" t="s">
        <v>62</v>
      </c>
      <c r="I118" s="928"/>
      <c r="J118" s="929"/>
      <c r="K118" s="197">
        <f>820-K117</f>
        <v>770.6</v>
      </c>
      <c r="L118" s="930"/>
      <c r="M118" s="223"/>
      <c r="N118" s="237"/>
      <c r="O118" s="137"/>
      <c r="P118" s="553"/>
      <c r="Q118" s="931"/>
      <c r="R118" s="1"/>
      <c r="S118" s="1"/>
    </row>
    <row r="119" spans="1:19" ht="15" customHeight="1" x14ac:dyDescent="0.25">
      <c r="A119" s="546"/>
      <c r="B119" s="523"/>
      <c r="C119" s="131"/>
      <c r="D119" s="1535" t="s">
        <v>130</v>
      </c>
      <c r="E119" s="1480" t="s">
        <v>185</v>
      </c>
      <c r="F119" s="49" t="s">
        <v>40</v>
      </c>
      <c r="G119" s="1468" t="s">
        <v>119</v>
      </c>
      <c r="H119" s="108" t="s">
        <v>21</v>
      </c>
      <c r="I119" s="14">
        <v>150</v>
      </c>
      <c r="J119" s="189">
        <f>154.3-100</f>
        <v>54.3</v>
      </c>
      <c r="K119" s="112">
        <v>100</v>
      </c>
      <c r="L119" s="435"/>
      <c r="M119" s="359" t="s">
        <v>214</v>
      </c>
      <c r="N119" s="319">
        <v>15</v>
      </c>
      <c r="O119" s="320">
        <v>99</v>
      </c>
      <c r="P119" s="175">
        <v>100</v>
      </c>
      <c r="Q119" s="66"/>
    </row>
    <row r="120" spans="1:19" ht="15" customHeight="1" x14ac:dyDescent="0.25">
      <c r="A120" s="546"/>
      <c r="B120" s="523"/>
      <c r="C120" s="131"/>
      <c r="D120" s="1537"/>
      <c r="E120" s="1521"/>
      <c r="F120" s="102" t="s">
        <v>194</v>
      </c>
      <c r="G120" s="1469"/>
      <c r="H120" s="555" t="s">
        <v>62</v>
      </c>
      <c r="I120" s="531"/>
      <c r="J120" s="202">
        <v>500</v>
      </c>
      <c r="K120" s="167"/>
      <c r="L120" s="282"/>
      <c r="M120" s="359"/>
      <c r="N120" s="319"/>
      <c r="O120" s="320"/>
      <c r="P120" s="175"/>
      <c r="Q120" s="66"/>
    </row>
    <row r="121" spans="1:19" ht="15" customHeight="1" x14ac:dyDescent="0.25">
      <c r="A121" s="546"/>
      <c r="B121" s="523"/>
      <c r="C121" s="131"/>
      <c r="D121" s="1536"/>
      <c r="E121" s="1521"/>
      <c r="F121" s="337" t="s">
        <v>125</v>
      </c>
      <c r="G121" s="1469"/>
      <c r="H121" s="910" t="s">
        <v>53</v>
      </c>
      <c r="I121" s="955"/>
      <c r="J121" s="82">
        <v>584</v>
      </c>
      <c r="K121" s="168"/>
      <c r="L121" s="25"/>
      <c r="M121" s="360"/>
      <c r="N121" s="319"/>
      <c r="O121" s="320"/>
      <c r="P121" s="175"/>
      <c r="Q121" s="66"/>
    </row>
    <row r="122" spans="1:19" ht="15" customHeight="1" x14ac:dyDescent="0.25">
      <c r="A122" s="546"/>
      <c r="B122" s="523"/>
      <c r="C122" s="131"/>
      <c r="D122" s="1535" t="s">
        <v>131</v>
      </c>
      <c r="E122" s="1480" t="s">
        <v>186</v>
      </c>
      <c r="F122" s="49" t="s">
        <v>194</v>
      </c>
      <c r="G122" s="76"/>
      <c r="H122" s="52" t="s">
        <v>21</v>
      </c>
      <c r="I122" s="61">
        <v>20</v>
      </c>
      <c r="J122" s="91">
        <v>302.10000000000002</v>
      </c>
      <c r="K122" s="112">
        <v>100</v>
      </c>
      <c r="L122" s="384"/>
      <c r="M122" s="448" t="s">
        <v>59</v>
      </c>
      <c r="N122" s="267">
        <v>1</v>
      </c>
      <c r="O122" s="195"/>
      <c r="P122" s="190"/>
      <c r="Q122" s="65"/>
    </row>
    <row r="123" spans="1:19" ht="15" customHeight="1" x14ac:dyDescent="0.25">
      <c r="A123" s="546"/>
      <c r="B123" s="523"/>
      <c r="C123" s="131"/>
      <c r="D123" s="1536"/>
      <c r="E123" s="1481"/>
      <c r="F123" s="102"/>
      <c r="G123" s="76"/>
      <c r="H123" s="556"/>
      <c r="I123" s="890"/>
      <c r="J123" s="91"/>
      <c r="K123" s="112"/>
      <c r="L123" s="384"/>
      <c r="M123" s="446" t="s">
        <v>214</v>
      </c>
      <c r="N123" s="252"/>
      <c r="O123" s="251">
        <v>75</v>
      </c>
      <c r="P123" s="179">
        <v>100</v>
      </c>
      <c r="Q123" s="909"/>
    </row>
    <row r="124" spans="1:19" ht="15.65" customHeight="1" x14ac:dyDescent="0.25">
      <c r="A124" s="546"/>
      <c r="B124" s="523"/>
      <c r="C124" s="131"/>
      <c r="D124" s="1535" t="s">
        <v>132</v>
      </c>
      <c r="E124" s="1480" t="s">
        <v>224</v>
      </c>
      <c r="F124" s="49" t="s">
        <v>194</v>
      </c>
      <c r="G124" s="76"/>
      <c r="H124" s="232" t="s">
        <v>226</v>
      </c>
      <c r="I124" s="531">
        <v>16</v>
      </c>
      <c r="J124" s="239"/>
      <c r="K124" s="98"/>
      <c r="L124" s="278"/>
      <c r="M124" s="448" t="s">
        <v>59</v>
      </c>
      <c r="N124" s="267">
        <v>1</v>
      </c>
      <c r="O124" s="195"/>
      <c r="P124" s="178"/>
      <c r="Q124" s="65"/>
    </row>
    <row r="125" spans="1:19" ht="15.65" customHeight="1" x14ac:dyDescent="0.25">
      <c r="A125" s="743"/>
      <c r="B125" s="744"/>
      <c r="C125" s="131"/>
      <c r="D125" s="1537"/>
      <c r="E125" s="1521"/>
      <c r="F125" s="102"/>
      <c r="G125" s="76"/>
      <c r="H125" s="20" t="s">
        <v>21</v>
      </c>
      <c r="I125" s="115"/>
      <c r="J125" s="91">
        <v>232.8</v>
      </c>
      <c r="K125" s="112">
        <v>100</v>
      </c>
      <c r="L125" s="282"/>
      <c r="M125" s="769"/>
      <c r="N125" s="319"/>
      <c r="O125" s="320"/>
      <c r="P125" s="175"/>
      <c r="Q125" s="66"/>
    </row>
    <row r="126" spans="1:19" ht="15.65" customHeight="1" x14ac:dyDescent="0.25">
      <c r="A126" s="546"/>
      <c r="B126" s="523"/>
      <c r="C126" s="131"/>
      <c r="D126" s="1537"/>
      <c r="E126" s="1521"/>
      <c r="F126" s="102" t="s">
        <v>40</v>
      </c>
      <c r="G126" s="76"/>
      <c r="H126" s="910" t="s">
        <v>53</v>
      </c>
      <c r="I126" s="900"/>
      <c r="J126" s="897">
        <v>166.2</v>
      </c>
      <c r="K126" s="911"/>
      <c r="L126" s="777"/>
      <c r="M126" s="449" t="s">
        <v>214</v>
      </c>
      <c r="N126" s="252"/>
      <c r="O126" s="912">
        <v>80</v>
      </c>
      <c r="P126" s="192">
        <v>100</v>
      </c>
      <c r="Q126" s="909"/>
    </row>
    <row r="127" spans="1:19" s="2" customFormat="1" ht="16.5" customHeight="1" x14ac:dyDescent="0.25">
      <c r="A127" s="522"/>
      <c r="B127" s="523"/>
      <c r="C127" s="42"/>
      <c r="D127" s="1535" t="s">
        <v>133</v>
      </c>
      <c r="E127" s="545" t="s">
        <v>209</v>
      </c>
      <c r="F127" s="342" t="s">
        <v>40</v>
      </c>
      <c r="G127" s="1660" t="s">
        <v>120</v>
      </c>
      <c r="H127" s="61" t="s">
        <v>21</v>
      </c>
      <c r="I127" s="384"/>
      <c r="J127" s="913"/>
      <c r="K127" s="914">
        <v>359</v>
      </c>
      <c r="L127" s="438"/>
      <c r="M127" s="361" t="s">
        <v>214</v>
      </c>
      <c r="N127" s="236"/>
      <c r="O127" s="454"/>
      <c r="P127" s="898">
        <v>100</v>
      </c>
      <c r="Q127" s="915"/>
    </row>
    <row r="128" spans="1:19" s="2" customFormat="1" ht="16.5" customHeight="1" x14ac:dyDescent="0.25">
      <c r="A128" s="522"/>
      <c r="B128" s="523"/>
      <c r="C128" s="41"/>
      <c r="D128" s="1537"/>
      <c r="E128" s="337"/>
      <c r="F128" s="337" t="s">
        <v>194</v>
      </c>
      <c r="G128" s="1662"/>
      <c r="H128" s="916"/>
      <c r="I128" s="234"/>
      <c r="J128" s="353"/>
      <c r="K128" s="179"/>
      <c r="L128" s="917"/>
      <c r="M128" s="918"/>
      <c r="N128" s="236"/>
      <c r="O128" s="137"/>
      <c r="P128" s="174"/>
      <c r="Q128" s="915"/>
    </row>
    <row r="129" spans="1:17" ht="15" customHeight="1" x14ac:dyDescent="0.25">
      <c r="A129" s="522"/>
      <c r="B129" s="523"/>
      <c r="C129" s="42"/>
      <c r="D129" s="519" t="s">
        <v>164</v>
      </c>
      <c r="E129" s="1493" t="s">
        <v>314</v>
      </c>
      <c r="F129" s="342" t="s">
        <v>40</v>
      </c>
      <c r="G129" s="1660" t="s">
        <v>119</v>
      </c>
      <c r="H129" s="61" t="s">
        <v>226</v>
      </c>
      <c r="I129" s="14">
        <v>20</v>
      </c>
      <c r="J129" s="239"/>
      <c r="K129" s="98"/>
      <c r="L129" s="20"/>
      <c r="M129" s="516" t="s">
        <v>39</v>
      </c>
      <c r="N129" s="267"/>
      <c r="O129" s="320">
        <v>1</v>
      </c>
      <c r="P129" s="175"/>
      <c r="Q129" s="141"/>
    </row>
    <row r="130" spans="1:17" ht="15" customHeight="1" x14ac:dyDescent="0.25">
      <c r="A130" s="522"/>
      <c r="B130" s="523"/>
      <c r="C130" s="42"/>
      <c r="D130" s="520"/>
      <c r="E130" s="1494"/>
      <c r="F130" s="343" t="s">
        <v>194</v>
      </c>
      <c r="G130" s="1661"/>
      <c r="H130" s="631" t="s">
        <v>21</v>
      </c>
      <c r="I130" s="722"/>
      <c r="J130" s="189">
        <v>25</v>
      </c>
      <c r="K130" s="167">
        <v>200</v>
      </c>
      <c r="L130" s="282">
        <v>319.3</v>
      </c>
      <c r="M130" s="770" t="s">
        <v>214</v>
      </c>
      <c r="N130" s="265"/>
      <c r="O130" s="188"/>
      <c r="P130" s="191">
        <v>25</v>
      </c>
      <c r="Q130" s="148">
        <v>75</v>
      </c>
    </row>
    <row r="131" spans="1:17" ht="15" customHeight="1" x14ac:dyDescent="0.25">
      <c r="A131" s="522"/>
      <c r="B131" s="523"/>
      <c r="C131" s="41"/>
      <c r="D131" s="78"/>
      <c r="E131" s="1494"/>
      <c r="F131" s="952" t="s">
        <v>125</v>
      </c>
      <c r="G131" s="1661"/>
      <c r="H131" s="953" t="s">
        <v>62</v>
      </c>
      <c r="I131" s="901"/>
      <c r="J131" s="202"/>
      <c r="K131" s="112">
        <v>600</v>
      </c>
      <c r="L131" s="281">
        <v>1000</v>
      </c>
      <c r="M131" s="366"/>
      <c r="N131" s="319"/>
      <c r="O131" s="169"/>
      <c r="P131" s="175"/>
      <c r="Q131" s="66"/>
    </row>
    <row r="132" spans="1:17" ht="15" customHeight="1" x14ac:dyDescent="0.25">
      <c r="A132" s="951"/>
      <c r="B132" s="950"/>
      <c r="C132" s="42"/>
      <c r="D132" s="78"/>
      <c r="E132" s="949"/>
      <c r="F132" s="343"/>
      <c r="G132" s="1661"/>
      <c r="H132" s="910" t="s">
        <v>53</v>
      </c>
      <c r="I132" s="345"/>
      <c r="J132" s="91"/>
      <c r="K132" s="197"/>
      <c r="L132" s="293">
        <v>80.7</v>
      </c>
      <c r="M132" s="237"/>
      <c r="N132" s="319"/>
      <c r="O132" s="320"/>
      <c r="P132" s="179"/>
      <c r="Q132" s="147"/>
    </row>
    <row r="133" spans="1:17" ht="15" customHeight="1" x14ac:dyDescent="0.25">
      <c r="A133" s="522"/>
      <c r="B133" s="523"/>
      <c r="C133" s="42"/>
      <c r="D133" s="519" t="s">
        <v>167</v>
      </c>
      <c r="E133" s="1493" t="s">
        <v>208</v>
      </c>
      <c r="F133" s="342" t="s">
        <v>40</v>
      </c>
      <c r="G133" s="1661"/>
      <c r="H133" s="232" t="s">
        <v>226</v>
      </c>
      <c r="I133" s="907">
        <v>0.9</v>
      </c>
      <c r="J133" s="239"/>
      <c r="K133" s="98"/>
      <c r="L133" s="384"/>
      <c r="M133" s="892" t="s">
        <v>39</v>
      </c>
      <c r="N133" s="267"/>
      <c r="O133" s="919"/>
      <c r="P133" s="190">
        <v>1</v>
      </c>
      <c r="Q133" s="142"/>
    </row>
    <row r="134" spans="1:17" ht="15" customHeight="1" x14ac:dyDescent="0.25">
      <c r="A134" s="522"/>
      <c r="B134" s="523"/>
      <c r="C134" s="42"/>
      <c r="D134" s="520"/>
      <c r="E134" s="1494"/>
      <c r="F134" s="343" t="s">
        <v>194</v>
      </c>
      <c r="G134" s="1661"/>
      <c r="H134" s="301" t="s">
        <v>21</v>
      </c>
      <c r="I134" s="920"/>
      <c r="J134" s="202"/>
      <c r="K134" s="113">
        <f>200+50</f>
        <v>250</v>
      </c>
      <c r="L134" s="282"/>
      <c r="M134" s="770" t="s">
        <v>214</v>
      </c>
      <c r="N134" s="265"/>
      <c r="O134" s="921"/>
      <c r="P134" s="175">
        <v>15</v>
      </c>
      <c r="Q134" s="66">
        <v>25</v>
      </c>
    </row>
    <row r="135" spans="1:17" ht="15" customHeight="1" x14ac:dyDescent="0.25">
      <c r="A135" s="522"/>
      <c r="B135" s="523"/>
      <c r="C135" s="41"/>
      <c r="D135" s="79"/>
      <c r="E135" s="1495"/>
      <c r="F135" s="337" t="s">
        <v>125</v>
      </c>
      <c r="G135" s="1662"/>
      <c r="H135" s="757" t="s">
        <v>62</v>
      </c>
      <c r="I135" s="234"/>
      <c r="J135" s="166"/>
      <c r="K135" s="168">
        <v>400</v>
      </c>
      <c r="L135" s="434">
        <v>800</v>
      </c>
      <c r="M135" s="340"/>
      <c r="N135" s="250"/>
      <c r="O135" s="196"/>
      <c r="P135" s="179"/>
      <c r="Q135" s="67"/>
    </row>
    <row r="136" spans="1:17" s="6" customFormat="1" ht="13.5" customHeight="1" x14ac:dyDescent="0.25">
      <c r="A136" s="522"/>
      <c r="B136" s="537"/>
      <c r="C136" s="44"/>
      <c r="D136" s="78"/>
      <c r="E136" s="303" t="s">
        <v>210</v>
      </c>
      <c r="F136" s="792"/>
      <c r="G136" s="796"/>
      <c r="H136" s="302"/>
      <c r="I136" s="797"/>
      <c r="J136" s="239"/>
      <c r="K136" s="98"/>
      <c r="L136" s="278"/>
      <c r="M136" s="791"/>
      <c r="N136" s="798"/>
      <c r="O136" s="799"/>
      <c r="P136" s="800"/>
      <c r="Q136" s="801"/>
    </row>
    <row r="137" spans="1:17" ht="16.5" customHeight="1" x14ac:dyDescent="0.25">
      <c r="A137" s="522"/>
      <c r="B137" s="523"/>
      <c r="C137" s="42"/>
      <c r="D137" s="794" t="s">
        <v>179</v>
      </c>
      <c r="E137" s="1534" t="s">
        <v>354</v>
      </c>
      <c r="F137" s="795" t="s">
        <v>194</v>
      </c>
      <c r="G137" s="1661" t="s">
        <v>347</v>
      </c>
      <c r="H137" s="115" t="s">
        <v>162</v>
      </c>
      <c r="I137" s="115">
        <v>28.5</v>
      </c>
      <c r="J137" s="189"/>
      <c r="K137" s="113"/>
      <c r="L137" s="292"/>
      <c r="M137" s="699" t="s">
        <v>39</v>
      </c>
      <c r="N137" s="254">
        <v>1</v>
      </c>
      <c r="O137" s="320"/>
      <c r="P137" s="176"/>
      <c r="Q137" s="143"/>
    </row>
    <row r="138" spans="1:17" ht="18" customHeight="1" x14ac:dyDescent="0.25">
      <c r="A138" s="522"/>
      <c r="B138" s="523"/>
      <c r="C138" s="41"/>
      <c r="D138" s="78"/>
      <c r="E138" s="1521"/>
      <c r="F138" s="346" t="s">
        <v>40</v>
      </c>
      <c r="G138" s="1661"/>
      <c r="H138" s="853" t="s">
        <v>93</v>
      </c>
      <c r="J138" s="202">
        <v>103.9</v>
      </c>
      <c r="K138" s="167"/>
      <c r="L138" s="432"/>
      <c r="M138" s="770" t="s">
        <v>214</v>
      </c>
      <c r="N138" s="265"/>
      <c r="O138" s="257">
        <v>100</v>
      </c>
      <c r="P138" s="191"/>
      <c r="Q138" s="148"/>
    </row>
    <row r="139" spans="1:17" ht="17.25" customHeight="1" x14ac:dyDescent="0.25">
      <c r="A139" s="522"/>
      <c r="B139" s="523"/>
      <c r="C139" s="42"/>
      <c r="D139" s="802"/>
      <c r="E139" s="1521"/>
      <c r="F139" s="793" t="s">
        <v>125</v>
      </c>
      <c r="G139" s="1661"/>
      <c r="H139" s="886" t="s">
        <v>226</v>
      </c>
      <c r="I139" s="690">
        <v>0.9</v>
      </c>
      <c r="J139" s="189"/>
      <c r="K139" s="113"/>
      <c r="L139" s="282"/>
      <c r="M139" s="352"/>
      <c r="N139" s="319"/>
      <c r="O139" s="674"/>
      <c r="P139" s="175"/>
      <c r="Q139" s="66"/>
    </row>
    <row r="140" spans="1:17" ht="21.65" customHeight="1" x14ac:dyDescent="0.25">
      <c r="A140" s="522"/>
      <c r="B140" s="523"/>
      <c r="C140" s="42"/>
      <c r="D140" s="790" t="s">
        <v>180</v>
      </c>
      <c r="E140" s="1503" t="s">
        <v>355</v>
      </c>
      <c r="F140" s="795" t="s">
        <v>194</v>
      </c>
      <c r="G140" s="1661"/>
      <c r="H140" s="115" t="s">
        <v>162</v>
      </c>
      <c r="I140" s="115">
        <v>99.8</v>
      </c>
      <c r="J140" s="166"/>
      <c r="K140" s="113"/>
      <c r="L140" s="282"/>
      <c r="M140" s="699" t="s">
        <v>39</v>
      </c>
      <c r="N140" s="254">
        <v>1</v>
      </c>
      <c r="O140" s="320"/>
      <c r="P140" s="176"/>
      <c r="Q140" s="143"/>
    </row>
    <row r="141" spans="1:17" ht="15.65" customHeight="1" x14ac:dyDescent="0.25">
      <c r="A141" s="522"/>
      <c r="B141" s="523"/>
      <c r="C141" s="42"/>
      <c r="D141" s="520"/>
      <c r="E141" s="1494"/>
      <c r="F141" s="535" t="s">
        <v>125</v>
      </c>
      <c r="G141" s="1661"/>
      <c r="H141" s="3" t="s">
        <v>93</v>
      </c>
      <c r="I141" s="893"/>
      <c r="J141" s="202">
        <v>1679.5</v>
      </c>
      <c r="K141" s="112"/>
      <c r="L141" s="282"/>
      <c r="M141" s="770" t="s">
        <v>214</v>
      </c>
      <c r="N141" s="265"/>
      <c r="O141" s="266">
        <v>100</v>
      </c>
      <c r="P141" s="191"/>
      <c r="Q141" s="148"/>
    </row>
    <row r="142" spans="1:17" ht="18" customHeight="1" x14ac:dyDescent="0.25">
      <c r="A142" s="522"/>
      <c r="B142" s="523"/>
      <c r="C142" s="41"/>
      <c r="D142" s="78"/>
      <c r="E142" s="1494"/>
      <c r="F142" s="1002" t="s">
        <v>40</v>
      </c>
      <c r="G142" s="1661"/>
      <c r="H142" s="690" t="s">
        <v>226</v>
      </c>
      <c r="I142" s="1001">
        <v>48.2</v>
      </c>
      <c r="J142" s="91"/>
      <c r="K142" s="167"/>
      <c r="L142" s="432"/>
      <c r="M142" s="352"/>
      <c r="N142" s="462"/>
      <c r="O142" s="320"/>
      <c r="P142" s="198"/>
      <c r="Q142" s="679"/>
    </row>
    <row r="143" spans="1:17" ht="39" customHeight="1" x14ac:dyDescent="0.25">
      <c r="A143" s="999"/>
      <c r="B143" s="1000"/>
      <c r="C143" s="131"/>
      <c r="D143" s="794" t="s">
        <v>181</v>
      </c>
      <c r="E143" s="1534" t="s">
        <v>320</v>
      </c>
      <c r="F143" s="1006" t="s">
        <v>192</v>
      </c>
      <c r="G143" s="1008" t="s">
        <v>122</v>
      </c>
      <c r="H143" s="1005" t="s">
        <v>37</v>
      </c>
      <c r="I143" s="1005"/>
      <c r="J143" s="558">
        <v>1100</v>
      </c>
      <c r="K143" s="1004"/>
      <c r="L143" s="281"/>
      <c r="M143" s="770" t="s">
        <v>214</v>
      </c>
      <c r="N143" s="319"/>
      <c r="O143" s="188">
        <v>100</v>
      </c>
      <c r="P143" s="175"/>
      <c r="Q143" s="66"/>
    </row>
    <row r="144" spans="1:17" ht="43.5" customHeight="1" x14ac:dyDescent="0.25">
      <c r="A144" s="999"/>
      <c r="B144" s="1000"/>
      <c r="C144" s="131"/>
      <c r="D144" s="78"/>
      <c r="E144" s="1481"/>
      <c r="F144" s="1006" t="s">
        <v>125</v>
      </c>
      <c r="G144" s="1007"/>
      <c r="H144" s="14"/>
      <c r="I144" s="14"/>
      <c r="J144" s="91"/>
      <c r="K144" s="1004"/>
      <c r="L144" s="146"/>
      <c r="M144" s="352"/>
      <c r="N144" s="250"/>
      <c r="O144" s="320"/>
      <c r="P144" s="175"/>
      <c r="Q144" s="66"/>
    </row>
    <row r="145" spans="1:18" s="666" customFormat="1" ht="17.25" customHeight="1" x14ac:dyDescent="0.25">
      <c r="A145" s="743"/>
      <c r="B145" s="744"/>
      <c r="C145" s="426"/>
      <c r="D145" s="746" t="s">
        <v>182</v>
      </c>
      <c r="E145" s="1480" t="s">
        <v>303</v>
      </c>
      <c r="F145" s="754" t="s">
        <v>192</v>
      </c>
      <c r="G145" s="1468" t="s">
        <v>283</v>
      </c>
      <c r="H145" s="61" t="s">
        <v>21</v>
      </c>
      <c r="I145" s="232"/>
      <c r="J145" s="239">
        <v>5</v>
      </c>
      <c r="K145" s="84"/>
      <c r="L145" s="20"/>
      <c r="M145" s="1003" t="s">
        <v>285</v>
      </c>
      <c r="N145" s="941"/>
      <c r="O145" s="589">
        <v>1</v>
      </c>
      <c r="P145" s="190"/>
      <c r="Q145" s="142"/>
    </row>
    <row r="146" spans="1:18" s="666" customFormat="1" ht="17.25" customHeight="1" x14ac:dyDescent="0.25">
      <c r="A146" s="743"/>
      <c r="B146" s="744"/>
      <c r="C146" s="426"/>
      <c r="D146" s="762"/>
      <c r="E146" s="1521"/>
      <c r="F146" s="755" t="s">
        <v>40</v>
      </c>
      <c r="G146" s="1469"/>
      <c r="H146" s="953" t="s">
        <v>53</v>
      </c>
      <c r="I146" s="345"/>
      <c r="J146" s="166"/>
      <c r="K146" s="88">
        <v>188</v>
      </c>
      <c r="L146" s="281"/>
      <c r="M146" s="966" t="s">
        <v>284</v>
      </c>
      <c r="N146" s="967"/>
      <c r="O146" s="942"/>
      <c r="P146" s="948">
        <v>1</v>
      </c>
      <c r="Q146" s="297"/>
    </row>
    <row r="147" spans="1:18" s="666" customFormat="1" ht="17.25" customHeight="1" x14ac:dyDescent="0.25">
      <c r="A147" s="743"/>
      <c r="B147" s="744"/>
      <c r="C147" s="426"/>
      <c r="D147" s="762"/>
      <c r="E147" s="1521"/>
      <c r="F147" s="755" t="s">
        <v>125</v>
      </c>
      <c r="G147" s="1469"/>
      <c r="H147" s="757"/>
      <c r="I147" s="234"/>
      <c r="J147" s="559"/>
      <c r="K147" s="168"/>
      <c r="L147" s="146"/>
      <c r="M147" s="224"/>
      <c r="N147" s="968"/>
      <c r="O147" s="969"/>
      <c r="P147" s="970"/>
      <c r="Q147" s="971"/>
    </row>
    <row r="148" spans="1:18" ht="15.75" customHeight="1" x14ac:dyDescent="0.25">
      <c r="A148" s="959"/>
      <c r="B148" s="960"/>
      <c r="C148" s="131"/>
      <c r="D148" s="957" t="s">
        <v>205</v>
      </c>
      <c r="E148" s="1480" t="s">
        <v>290</v>
      </c>
      <c r="F148" s="961" t="s">
        <v>287</v>
      </c>
      <c r="G148" s="1469"/>
      <c r="H148" s="14" t="s">
        <v>21</v>
      </c>
      <c r="I148" s="14"/>
      <c r="J148" s="181">
        <v>20</v>
      </c>
      <c r="K148" s="84">
        <v>80</v>
      </c>
      <c r="L148" s="20">
        <v>180</v>
      </c>
      <c r="M148" s="352" t="s">
        <v>39</v>
      </c>
      <c r="N148" s="319"/>
      <c r="O148" s="320"/>
      <c r="P148" s="190">
        <v>1</v>
      </c>
      <c r="Q148" s="142"/>
    </row>
    <row r="149" spans="1:18" ht="15.75" customHeight="1" x14ac:dyDescent="0.25">
      <c r="A149" s="959"/>
      <c r="B149" s="960"/>
      <c r="C149" s="131"/>
      <c r="D149" s="963"/>
      <c r="E149" s="1521"/>
      <c r="F149" s="962" t="s">
        <v>192</v>
      </c>
      <c r="G149" s="1469"/>
      <c r="H149" s="14"/>
      <c r="I149" s="14"/>
      <c r="J149" s="166"/>
      <c r="K149" s="112"/>
      <c r="L149" s="235"/>
      <c r="M149" s="238" t="s">
        <v>214</v>
      </c>
      <c r="N149" s="265"/>
      <c r="O149" s="188"/>
      <c r="P149" s="175"/>
      <c r="Q149" s="66">
        <v>20</v>
      </c>
    </row>
    <row r="150" spans="1:18" ht="15.75" customHeight="1" x14ac:dyDescent="0.25">
      <c r="A150" s="959"/>
      <c r="B150" s="960"/>
      <c r="C150" s="131"/>
      <c r="D150" s="963"/>
      <c r="E150" s="1481"/>
      <c r="F150" s="965" t="s">
        <v>40</v>
      </c>
      <c r="G150" s="1469"/>
      <c r="H150" s="964"/>
      <c r="I150" s="964"/>
      <c r="J150" s="559"/>
      <c r="K150" s="168"/>
      <c r="L150" s="20"/>
      <c r="M150" s="116"/>
      <c r="N150" s="319"/>
      <c r="O150" s="172"/>
      <c r="P150" s="179"/>
      <c r="Q150" s="771"/>
      <c r="R150" s="340"/>
    </row>
    <row r="151" spans="1:18" ht="15" customHeight="1" x14ac:dyDescent="0.25">
      <c r="A151" s="959"/>
      <c r="B151" s="960"/>
      <c r="C151" s="131"/>
      <c r="D151" s="957" t="s">
        <v>187</v>
      </c>
      <c r="E151" s="1480" t="s">
        <v>294</v>
      </c>
      <c r="F151" s="961" t="s">
        <v>291</v>
      </c>
      <c r="G151" s="1469"/>
      <c r="H151" s="14" t="s">
        <v>21</v>
      </c>
      <c r="I151" s="14"/>
      <c r="J151" s="181"/>
      <c r="K151" s="112">
        <v>40</v>
      </c>
      <c r="L151" s="182">
        <v>200</v>
      </c>
      <c r="M151" s="669" t="s">
        <v>39</v>
      </c>
      <c r="N151" s="249"/>
      <c r="O151" s="187"/>
      <c r="P151" s="190">
        <v>1</v>
      </c>
      <c r="Q151" s="142"/>
    </row>
    <row r="152" spans="1:18" ht="15" customHeight="1" x14ac:dyDescent="0.25">
      <c r="A152" s="959"/>
      <c r="B152" s="960"/>
      <c r="C152" s="131"/>
      <c r="D152" s="963"/>
      <c r="E152" s="1521"/>
      <c r="F152" s="962" t="s">
        <v>192</v>
      </c>
      <c r="G152" s="1469"/>
      <c r="H152" s="14"/>
      <c r="I152" s="14"/>
      <c r="J152" s="166"/>
      <c r="K152" s="112"/>
      <c r="L152" s="235"/>
      <c r="M152" s="352" t="s">
        <v>214</v>
      </c>
      <c r="N152" s="319"/>
      <c r="O152" s="320"/>
      <c r="P152" s="175"/>
      <c r="Q152" s="66">
        <v>100</v>
      </c>
    </row>
    <row r="153" spans="1:18" ht="15" customHeight="1" x14ac:dyDescent="0.25">
      <c r="A153" s="959"/>
      <c r="B153" s="960"/>
      <c r="C153" s="131"/>
      <c r="D153" s="963"/>
      <c r="E153" s="1481"/>
      <c r="F153" s="965" t="s">
        <v>40</v>
      </c>
      <c r="G153" s="1469"/>
      <c r="H153" s="14"/>
      <c r="I153" s="964"/>
      <c r="J153" s="166"/>
      <c r="K153" s="112"/>
      <c r="L153" s="20"/>
      <c r="M153" s="116"/>
      <c r="N153" s="250"/>
      <c r="O153" s="320"/>
      <c r="P153" s="179"/>
      <c r="Q153" s="771"/>
    </row>
    <row r="154" spans="1:18" ht="18.75" customHeight="1" x14ac:dyDescent="0.25">
      <c r="A154" s="743"/>
      <c r="B154" s="744"/>
      <c r="C154" s="131"/>
      <c r="D154" s="1463" t="s">
        <v>206</v>
      </c>
      <c r="E154" s="1480" t="s">
        <v>286</v>
      </c>
      <c r="F154" s="754" t="s">
        <v>287</v>
      </c>
      <c r="G154" s="1468" t="s">
        <v>348</v>
      </c>
      <c r="H154" s="61" t="s">
        <v>62</v>
      </c>
      <c r="I154" s="61"/>
      <c r="J154" s="181"/>
      <c r="K154" s="84"/>
      <c r="L154" s="182">
        <v>569.9</v>
      </c>
      <c r="M154" s="228" t="s">
        <v>214</v>
      </c>
      <c r="N154" s="267"/>
      <c r="O154" s="171"/>
      <c r="P154" s="178"/>
      <c r="Q154" s="141">
        <v>50</v>
      </c>
    </row>
    <row r="155" spans="1:18" ht="18.75" customHeight="1" x14ac:dyDescent="0.25">
      <c r="A155" s="743"/>
      <c r="B155" s="744"/>
      <c r="C155" s="131"/>
      <c r="D155" s="1464"/>
      <c r="E155" s="1521"/>
      <c r="F155" s="755" t="s">
        <v>40</v>
      </c>
      <c r="G155" s="1469"/>
      <c r="H155" s="14"/>
      <c r="I155" s="14"/>
      <c r="J155" s="166"/>
      <c r="K155" s="112"/>
      <c r="L155" s="20"/>
      <c r="M155" s="352"/>
      <c r="N155" s="319"/>
      <c r="O155" s="320"/>
      <c r="P155" s="175"/>
      <c r="Q155" s="66"/>
    </row>
    <row r="156" spans="1:18" ht="31.5" customHeight="1" x14ac:dyDescent="0.25">
      <c r="A156" s="743"/>
      <c r="B156" s="744"/>
      <c r="C156" s="131"/>
      <c r="D156" s="1465"/>
      <c r="E156" s="1481"/>
      <c r="F156" s="761" t="s">
        <v>192</v>
      </c>
      <c r="G156" s="1496"/>
      <c r="H156" s="298"/>
      <c r="I156" s="298"/>
      <c r="J156" s="136"/>
      <c r="K156" s="101"/>
      <c r="L156" s="771"/>
      <c r="M156" s="224"/>
      <c r="N156" s="250"/>
      <c r="O156" s="172"/>
      <c r="P156" s="179"/>
      <c r="Q156" s="147"/>
    </row>
    <row r="157" spans="1:18" ht="15.75" customHeight="1" x14ac:dyDescent="0.25">
      <c r="A157" s="743"/>
      <c r="B157" s="744"/>
      <c r="C157" s="131"/>
      <c r="D157" s="963" t="s">
        <v>207</v>
      </c>
      <c r="E157" s="1480" t="s">
        <v>288</v>
      </c>
      <c r="F157" s="754" t="s">
        <v>289</v>
      </c>
      <c r="G157" s="1468" t="s">
        <v>119</v>
      </c>
      <c r="H157" s="61" t="s">
        <v>21</v>
      </c>
      <c r="I157" s="61"/>
      <c r="J157" s="181"/>
      <c r="K157" s="84"/>
      <c r="L157" s="180">
        <v>500</v>
      </c>
      <c r="M157" s="352" t="s">
        <v>214</v>
      </c>
      <c r="N157" s="319"/>
      <c r="O157" s="320"/>
      <c r="P157" s="175"/>
      <c r="Q157" s="66">
        <v>10</v>
      </c>
    </row>
    <row r="158" spans="1:18" ht="15.75" customHeight="1" x14ac:dyDescent="0.25">
      <c r="A158" s="743"/>
      <c r="B158" s="744"/>
      <c r="C158" s="131"/>
      <c r="D158" s="956"/>
      <c r="E158" s="1521"/>
      <c r="F158" s="755" t="s">
        <v>192</v>
      </c>
      <c r="G158" s="1469"/>
      <c r="H158" s="14"/>
      <c r="I158" s="14"/>
      <c r="J158" s="166"/>
      <c r="K158" s="112"/>
      <c r="L158" s="235"/>
      <c r="M158" s="352"/>
      <c r="N158" s="319"/>
      <c r="O158" s="320"/>
      <c r="P158" s="175"/>
      <c r="Q158" s="66"/>
    </row>
    <row r="159" spans="1:18" ht="15.75" customHeight="1" x14ac:dyDescent="0.25">
      <c r="A159" s="743"/>
      <c r="B159" s="744"/>
      <c r="C159" s="131"/>
      <c r="D159" s="958"/>
      <c r="E159" s="1481"/>
      <c r="F159" s="761" t="s">
        <v>40</v>
      </c>
      <c r="G159" s="1469"/>
      <c r="H159" s="116"/>
      <c r="I159" s="116"/>
      <c r="J159" s="311"/>
      <c r="K159" s="177"/>
      <c r="L159" s="771"/>
      <c r="M159" s="224"/>
      <c r="N159" s="250"/>
      <c r="O159" s="172"/>
      <c r="P159" s="179"/>
      <c r="Q159" s="147"/>
    </row>
    <row r="160" spans="1:18" ht="16.5" customHeight="1" x14ac:dyDescent="0.25">
      <c r="A160" s="1461"/>
      <c r="B160" s="1462"/>
      <c r="C160" s="994"/>
      <c r="D160" s="1463" t="s">
        <v>317</v>
      </c>
      <c r="E160" s="1466" t="s">
        <v>275</v>
      </c>
      <c r="F160" s="766" t="s">
        <v>113</v>
      </c>
      <c r="G160" s="1468" t="s">
        <v>119</v>
      </c>
      <c r="H160" s="61" t="s">
        <v>21</v>
      </c>
      <c r="I160" s="14"/>
      <c r="J160" s="983"/>
      <c r="K160" s="984"/>
      <c r="L160" s="428"/>
      <c r="M160" s="1470" t="s">
        <v>306</v>
      </c>
      <c r="N160" s="248"/>
      <c r="O160" s="996"/>
      <c r="P160" s="183"/>
      <c r="Q160" s="140"/>
    </row>
    <row r="161" spans="1:17" ht="16.5" customHeight="1" x14ac:dyDescent="0.25">
      <c r="A161" s="1461"/>
      <c r="B161" s="1462"/>
      <c r="C161" s="994"/>
      <c r="D161" s="1464"/>
      <c r="E161" s="1467"/>
      <c r="F161" s="321" t="s">
        <v>40</v>
      </c>
      <c r="G161" s="1469"/>
      <c r="H161" s="14"/>
      <c r="I161" s="14"/>
      <c r="J161" s="91"/>
      <c r="K161" s="985"/>
      <c r="L161" s="986"/>
      <c r="M161" s="1471"/>
      <c r="N161" s="253"/>
      <c r="O161" s="185"/>
      <c r="P161" s="299"/>
      <c r="Q161" s="138"/>
    </row>
    <row r="162" spans="1:17" ht="16.5" customHeight="1" x14ac:dyDescent="0.25">
      <c r="A162" s="1461"/>
      <c r="B162" s="1462"/>
      <c r="C162" s="994"/>
      <c r="D162" s="1464"/>
      <c r="E162" s="1467"/>
      <c r="F162" s="321" t="s">
        <v>194</v>
      </c>
      <c r="G162" s="1469"/>
      <c r="H162" s="20"/>
      <c r="I162" s="162"/>
      <c r="J162" s="983"/>
      <c r="K162" s="985"/>
      <c r="L162" s="432"/>
      <c r="M162" s="1471"/>
      <c r="N162" s="253"/>
      <c r="O162" s="185"/>
      <c r="P162" s="299"/>
      <c r="Q162" s="138"/>
    </row>
    <row r="163" spans="1:17" ht="16.5" customHeight="1" x14ac:dyDescent="0.25">
      <c r="A163" s="1461"/>
      <c r="B163" s="1462"/>
      <c r="C163" s="994"/>
      <c r="D163" s="1465"/>
      <c r="E163" s="1467"/>
      <c r="F163" s="343" t="s">
        <v>160</v>
      </c>
      <c r="G163" s="1469"/>
      <c r="H163" s="1"/>
      <c r="I163" s="298"/>
      <c r="J163" s="136"/>
      <c r="K163" s="985"/>
      <c r="L163" s="432"/>
      <c r="M163" s="1472"/>
      <c r="N163" s="255"/>
      <c r="O163" s="785"/>
      <c r="P163" s="400"/>
      <c r="Q163" s="139"/>
    </row>
    <row r="164" spans="1:17" ht="15" customHeight="1" x14ac:dyDescent="0.25">
      <c r="A164" s="829"/>
      <c r="B164" s="835"/>
      <c r="C164" s="41"/>
      <c r="D164" s="1463" t="s">
        <v>319</v>
      </c>
      <c r="E164" s="1480" t="s">
        <v>169</v>
      </c>
      <c r="F164" s="992" t="s">
        <v>125</v>
      </c>
      <c r="G164" s="76"/>
      <c r="H164" s="232" t="s">
        <v>46</v>
      </c>
      <c r="I164" s="668">
        <v>2.5</v>
      </c>
      <c r="J164" s="239">
        <v>200</v>
      </c>
      <c r="K164" s="98"/>
      <c r="L164" s="431"/>
      <c r="M164" s="352" t="s">
        <v>214</v>
      </c>
      <c r="N164" s="319">
        <v>100</v>
      </c>
      <c r="O164" s="171">
        <v>100</v>
      </c>
      <c r="P164" s="175"/>
      <c r="Q164" s="141"/>
    </row>
    <row r="165" spans="1:17" ht="15" customHeight="1" x14ac:dyDescent="0.25">
      <c r="A165" s="829"/>
      <c r="B165" s="835"/>
      <c r="C165" s="41"/>
      <c r="D165" s="1464"/>
      <c r="E165" s="1521"/>
      <c r="F165" s="343" t="s">
        <v>40</v>
      </c>
      <c r="G165" s="76"/>
      <c r="H165" s="115" t="s">
        <v>226</v>
      </c>
      <c r="I165" s="87">
        <v>255</v>
      </c>
      <c r="J165" s="202"/>
      <c r="K165" s="88"/>
      <c r="L165" s="408"/>
      <c r="M165" s="366"/>
      <c r="N165" s="236"/>
      <c r="O165" s="367"/>
      <c r="P165" s="404"/>
      <c r="Q165" s="394"/>
    </row>
    <row r="166" spans="1:17" ht="15" customHeight="1" x14ac:dyDescent="0.25">
      <c r="A166" s="829"/>
      <c r="B166" s="835"/>
      <c r="C166" s="41"/>
      <c r="D166" s="1465"/>
      <c r="E166" s="1481"/>
      <c r="F166" s="834" t="s">
        <v>194</v>
      </c>
      <c r="G166" s="854"/>
      <c r="H166" s="1327" t="s">
        <v>168</v>
      </c>
      <c r="I166" s="697">
        <f>100-28</f>
        <v>72</v>
      </c>
      <c r="J166" s="558"/>
      <c r="K166" s="197"/>
      <c r="L166" s="293"/>
      <c r="M166" s="366"/>
      <c r="N166" s="237"/>
      <c r="O166" s="457"/>
      <c r="P166" s="174"/>
      <c r="Q166" s="135"/>
    </row>
    <row r="167" spans="1:17" ht="60.75" customHeight="1" x14ac:dyDescent="0.25">
      <c r="A167" s="1324"/>
      <c r="B167" s="1325"/>
      <c r="C167" s="41"/>
      <c r="D167" s="1341" t="s">
        <v>363</v>
      </c>
      <c r="E167" s="1342" t="s">
        <v>364</v>
      </c>
      <c r="F167" s="1343" t="s">
        <v>192</v>
      </c>
      <c r="G167" s="1347" t="s">
        <v>366</v>
      </c>
      <c r="H167" s="58"/>
      <c r="I167" s="20"/>
      <c r="J167" s="206"/>
      <c r="K167" s="1326"/>
      <c r="L167" s="432"/>
      <c r="M167" s="1344" t="s">
        <v>365</v>
      </c>
      <c r="N167" s="1345"/>
      <c r="O167" s="1346">
        <v>1</v>
      </c>
      <c r="P167" s="404"/>
      <c r="Q167" s="394"/>
    </row>
    <row r="168" spans="1:17" ht="28.4" customHeight="1" x14ac:dyDescent="0.25">
      <c r="A168" s="829"/>
      <c r="B168" s="835"/>
      <c r="C168" s="41"/>
      <c r="D168" s="818"/>
      <c r="E168" s="1480" t="s">
        <v>178</v>
      </c>
      <c r="F168" s="832" t="s">
        <v>192</v>
      </c>
      <c r="G168" s="76"/>
      <c r="H168" s="61" t="s">
        <v>21</v>
      </c>
      <c r="I168" s="61">
        <v>125</v>
      </c>
      <c r="J168" s="417"/>
      <c r="K168" s="1340"/>
      <c r="L168" s="436"/>
      <c r="M168" s="351" t="s">
        <v>214</v>
      </c>
      <c r="N168" s="267">
        <v>100</v>
      </c>
      <c r="O168" s="195"/>
      <c r="P168" s="178"/>
      <c r="Q168" s="65"/>
    </row>
    <row r="169" spans="1:17" ht="28.4" customHeight="1" x14ac:dyDescent="0.25">
      <c r="A169" s="829"/>
      <c r="B169" s="835"/>
      <c r="C169" s="41"/>
      <c r="D169" s="819"/>
      <c r="E169" s="1481"/>
      <c r="F169" s="834"/>
      <c r="G169" s="854"/>
      <c r="H169" s="828"/>
      <c r="I169" s="14"/>
      <c r="J169" s="549"/>
      <c r="K169" s="553"/>
      <c r="L169" s="437"/>
      <c r="M169" s="352"/>
      <c r="N169" s="250"/>
      <c r="O169" s="196"/>
      <c r="P169" s="179"/>
      <c r="Q169" s="67"/>
    </row>
    <row r="170" spans="1:17" ht="15" customHeight="1" x14ac:dyDescent="0.25">
      <c r="A170" s="1473"/>
      <c r="B170" s="1462"/>
      <c r="C170" s="1475"/>
      <c r="D170" s="817"/>
      <c r="E170" s="1480" t="s">
        <v>42</v>
      </c>
      <c r="F170" s="832" t="s">
        <v>160</v>
      </c>
      <c r="G170" s="1468" t="s">
        <v>121</v>
      </c>
      <c r="H170" s="61" t="s">
        <v>21</v>
      </c>
      <c r="I170" s="61">
        <f>500</f>
        <v>500</v>
      </c>
      <c r="J170" s="181"/>
      <c r="K170" s="84"/>
      <c r="L170" s="182"/>
      <c r="M170" s="1470" t="s">
        <v>99</v>
      </c>
      <c r="N170" s="305">
        <v>2.5</v>
      </c>
      <c r="O170" s="847"/>
      <c r="P170" s="822"/>
      <c r="Q170" s="848"/>
    </row>
    <row r="171" spans="1:17" ht="15" customHeight="1" x14ac:dyDescent="0.25">
      <c r="A171" s="1473"/>
      <c r="B171" s="1462"/>
      <c r="C171" s="1475"/>
      <c r="D171" s="818"/>
      <c r="E171" s="1521"/>
      <c r="F171" s="325" t="s">
        <v>125</v>
      </c>
      <c r="G171" s="1469"/>
      <c r="H171" s="14"/>
      <c r="I171" s="14"/>
      <c r="J171" s="91"/>
      <c r="K171" s="112"/>
      <c r="L171" s="384"/>
      <c r="M171" s="1471"/>
      <c r="N171" s="316"/>
      <c r="O171" s="324"/>
      <c r="P171" s="261"/>
      <c r="Q171" s="260"/>
    </row>
    <row r="172" spans="1:17" ht="15" customHeight="1" x14ac:dyDescent="0.25">
      <c r="A172" s="1473"/>
      <c r="B172" s="1462"/>
      <c r="C172" s="1475"/>
      <c r="D172" s="823"/>
      <c r="E172" s="1481"/>
      <c r="F172" s="277" t="s">
        <v>194</v>
      </c>
      <c r="G172" s="1469"/>
      <c r="H172" s="48"/>
      <c r="I172" s="48"/>
      <c r="J172" s="91"/>
      <c r="K172" s="112"/>
      <c r="L172" s="384"/>
      <c r="M172" s="1472"/>
      <c r="N172" s="828"/>
      <c r="O172" s="82"/>
      <c r="P172" s="168"/>
      <c r="Q172" s="194"/>
    </row>
    <row r="173" spans="1:17" ht="15.65" customHeight="1" x14ac:dyDescent="0.25">
      <c r="A173" s="837"/>
      <c r="B173" s="830"/>
      <c r="C173" s="44"/>
      <c r="D173" s="1463"/>
      <c r="E173" s="1480" t="s">
        <v>163</v>
      </c>
      <c r="F173" s="832" t="s">
        <v>194</v>
      </c>
      <c r="G173" s="820"/>
      <c r="H173" s="347" t="s">
        <v>62</v>
      </c>
      <c r="I173" s="232"/>
      <c r="J173" s="239"/>
      <c r="K173" s="98"/>
      <c r="L173" s="431"/>
      <c r="M173" s="1532" t="s">
        <v>95</v>
      </c>
      <c r="N173" s="1543"/>
      <c r="O173" s="1545"/>
      <c r="P173" s="1547"/>
      <c r="Q173" s="1549"/>
    </row>
    <row r="174" spans="1:17" ht="15.65" customHeight="1" x14ac:dyDescent="0.25">
      <c r="A174" s="837"/>
      <c r="B174" s="835"/>
      <c r="C174" s="44"/>
      <c r="D174" s="1465"/>
      <c r="E174" s="1481"/>
      <c r="F174" s="834"/>
      <c r="G174" s="820"/>
      <c r="H174" s="375" t="s">
        <v>21</v>
      </c>
      <c r="I174" s="14">
        <v>33.299999999999997</v>
      </c>
      <c r="J174" s="291"/>
      <c r="K174" s="112"/>
      <c r="L174" s="432"/>
      <c r="M174" s="1533"/>
      <c r="N174" s="1544"/>
      <c r="O174" s="1546"/>
      <c r="P174" s="1548"/>
      <c r="Q174" s="1550"/>
    </row>
    <row r="175" spans="1:17" ht="15" customHeight="1" x14ac:dyDescent="0.25">
      <c r="A175" s="837"/>
      <c r="B175" s="835"/>
      <c r="C175" s="41"/>
      <c r="D175" s="817"/>
      <c r="E175" s="1480" t="s">
        <v>135</v>
      </c>
      <c r="F175" s="49" t="s">
        <v>194</v>
      </c>
      <c r="G175" s="55"/>
      <c r="H175" s="300" t="s">
        <v>21</v>
      </c>
      <c r="I175" s="232">
        <v>58.3</v>
      </c>
      <c r="J175" s="91"/>
      <c r="K175" s="98"/>
      <c r="L175" s="431"/>
      <c r="M175" s="1532" t="s">
        <v>108</v>
      </c>
      <c r="N175" s="267">
        <v>100</v>
      </c>
      <c r="O175" s="195"/>
      <c r="P175" s="178"/>
      <c r="Q175" s="65"/>
    </row>
    <row r="176" spans="1:17" ht="15" customHeight="1" x14ac:dyDescent="0.25">
      <c r="A176" s="837"/>
      <c r="B176" s="835"/>
      <c r="C176" s="41"/>
      <c r="D176" s="818"/>
      <c r="E176" s="1481"/>
      <c r="F176" s="834" t="s">
        <v>40</v>
      </c>
      <c r="G176" s="55"/>
      <c r="H176" s="315" t="s">
        <v>46</v>
      </c>
      <c r="I176" s="132">
        <v>63.7</v>
      </c>
      <c r="J176" s="558"/>
      <c r="K176" s="88"/>
      <c r="L176" s="408"/>
      <c r="M176" s="1533"/>
      <c r="N176" s="250"/>
      <c r="O176" s="196"/>
      <c r="P176" s="179"/>
      <c r="Q176" s="67"/>
    </row>
    <row r="177" spans="1:18" ht="57" customHeight="1" x14ac:dyDescent="0.25">
      <c r="A177" s="837"/>
      <c r="B177" s="830"/>
      <c r="C177" s="131"/>
      <c r="D177" s="817"/>
      <c r="E177" s="825" t="s">
        <v>111</v>
      </c>
      <c r="F177" s="833"/>
      <c r="G177" s="377" t="s">
        <v>122</v>
      </c>
      <c r="H177" s="61" t="s">
        <v>157</v>
      </c>
      <c r="I177" s="14">
        <v>0.1</v>
      </c>
      <c r="J177" s="206"/>
      <c r="K177" s="207"/>
      <c r="L177" s="846"/>
      <c r="M177" s="856" t="s">
        <v>75</v>
      </c>
      <c r="N177" s="855"/>
      <c r="O177" s="857"/>
      <c r="P177" s="858"/>
      <c r="Q177" s="859"/>
    </row>
    <row r="178" spans="1:18" ht="15" customHeight="1" x14ac:dyDescent="0.25">
      <c r="A178" s="879"/>
      <c r="B178" s="878"/>
      <c r="C178" s="42"/>
      <c r="D178" s="877"/>
      <c r="E178" s="1493" t="s">
        <v>228</v>
      </c>
      <c r="F178" s="49" t="s">
        <v>91</v>
      </c>
      <c r="G178" s="1468" t="s">
        <v>119</v>
      </c>
      <c r="H178" s="61" t="s">
        <v>38</v>
      </c>
      <c r="I178" s="61">
        <v>347</v>
      </c>
      <c r="J178" s="181"/>
      <c r="K178" s="112"/>
      <c r="L178" s="432"/>
      <c r="M178" s="875" t="s">
        <v>214</v>
      </c>
      <c r="N178" s="319">
        <v>1</v>
      </c>
      <c r="O178" s="320"/>
      <c r="P178" s="175"/>
      <c r="Q178" s="66"/>
    </row>
    <row r="179" spans="1:18" ht="15" customHeight="1" x14ac:dyDescent="0.25">
      <c r="A179" s="879"/>
      <c r="B179" s="878"/>
      <c r="C179" s="42"/>
      <c r="D179" s="876"/>
      <c r="E179" s="1494"/>
      <c r="F179" s="880" t="s">
        <v>125</v>
      </c>
      <c r="G179" s="1469"/>
      <c r="H179" s="14"/>
      <c r="I179" s="14"/>
      <c r="J179" s="166"/>
      <c r="K179" s="112"/>
      <c r="L179" s="432"/>
      <c r="M179" s="366"/>
      <c r="N179" s="236"/>
      <c r="O179" s="367"/>
      <c r="P179" s="404"/>
      <c r="Q179" s="394"/>
    </row>
    <row r="180" spans="1:18" ht="15" customHeight="1" x14ac:dyDescent="0.25">
      <c r="A180" s="879"/>
      <c r="B180" s="878"/>
      <c r="C180" s="42"/>
      <c r="D180" s="876"/>
      <c r="E180" s="1494"/>
      <c r="F180" s="344" t="s">
        <v>40</v>
      </c>
      <c r="G180" s="1469"/>
      <c r="H180" s="14"/>
      <c r="I180" s="14"/>
      <c r="J180" s="20"/>
      <c r="K180" s="112"/>
      <c r="L180" s="432"/>
      <c r="M180" s="875"/>
      <c r="N180" s="319"/>
      <c r="O180" s="320"/>
      <c r="P180" s="175"/>
      <c r="Q180" s="66"/>
    </row>
    <row r="181" spans="1:18" ht="15" customHeight="1" x14ac:dyDescent="0.25">
      <c r="A181" s="879"/>
      <c r="B181" s="878"/>
      <c r="C181" s="41"/>
      <c r="D181" s="881"/>
      <c r="E181" s="1495"/>
      <c r="F181" s="323" t="s">
        <v>194</v>
      </c>
      <c r="G181" s="1469"/>
      <c r="H181" s="882"/>
      <c r="I181" s="234"/>
      <c r="J181" s="166"/>
      <c r="K181" s="112"/>
      <c r="L181" s="432"/>
      <c r="M181" s="353"/>
      <c r="N181" s="250"/>
      <c r="O181" s="196"/>
      <c r="P181" s="179"/>
      <c r="Q181" s="67"/>
    </row>
    <row r="182" spans="1:18" ht="15" customHeight="1" thickBot="1" x14ac:dyDescent="0.3">
      <c r="A182" s="15"/>
      <c r="B182" s="54"/>
      <c r="C182" s="26"/>
      <c r="D182" s="122"/>
      <c r="E182" s="525"/>
      <c r="F182" s="258"/>
      <c r="G182" s="368"/>
      <c r="H182" s="99" t="s">
        <v>4</v>
      </c>
      <c r="I182" s="99">
        <f>SUM(I16:I181)</f>
        <v>30372.6</v>
      </c>
      <c r="J182" s="242">
        <f>SUM(J16:J181)</f>
        <v>24894.799999999999</v>
      </c>
      <c r="K182" s="90">
        <f>SUM(K16:K181)</f>
        <v>14997.8</v>
      </c>
      <c r="L182" s="241">
        <f>SUM(L16:L181)</f>
        <v>15612.3</v>
      </c>
      <c r="M182" s="450"/>
      <c r="N182" s="473"/>
      <c r="O182" s="461"/>
      <c r="P182" s="199"/>
      <c r="Q182" s="129"/>
    </row>
    <row r="183" spans="1:18" ht="15" customHeight="1" thickBot="1" x14ac:dyDescent="0.3">
      <c r="A183" s="16" t="s">
        <v>3</v>
      </c>
      <c r="B183" s="33" t="s">
        <v>3</v>
      </c>
      <c r="C183" s="1504" t="s">
        <v>6</v>
      </c>
      <c r="D183" s="1505"/>
      <c r="E183" s="1505"/>
      <c r="F183" s="1505"/>
      <c r="G183" s="1505"/>
      <c r="H183" s="1506"/>
      <c r="I183" s="233">
        <f>I182</f>
        <v>30372.6</v>
      </c>
      <c r="J183" s="240">
        <f t="shared" ref="J183:L183" si="0">J182</f>
        <v>24894.799999999999</v>
      </c>
      <c r="K183" s="17">
        <f t="shared" si="0"/>
        <v>14997.8</v>
      </c>
      <c r="L183" s="506">
        <f t="shared" si="0"/>
        <v>15612.3</v>
      </c>
      <c r="M183" s="1538"/>
      <c r="N183" s="1539"/>
      <c r="O183" s="1539"/>
      <c r="P183" s="1539"/>
      <c r="Q183" s="1540"/>
    </row>
    <row r="184" spans="1:18" ht="15" customHeight="1" thickBot="1" x14ac:dyDescent="0.3">
      <c r="A184" s="16" t="s">
        <v>3</v>
      </c>
      <c r="B184" s="33" t="s">
        <v>5</v>
      </c>
      <c r="C184" s="1602" t="s">
        <v>27</v>
      </c>
      <c r="D184" s="1603"/>
      <c r="E184" s="1603"/>
      <c r="F184" s="1603"/>
      <c r="G184" s="1603"/>
      <c r="H184" s="1603"/>
      <c r="I184" s="1603"/>
      <c r="J184" s="1603"/>
      <c r="K184" s="1603"/>
      <c r="L184" s="1603"/>
      <c r="M184" s="1603"/>
      <c r="N184" s="1603"/>
      <c r="O184" s="1603"/>
      <c r="P184" s="1603"/>
      <c r="Q184" s="1604"/>
    </row>
    <row r="185" spans="1:18" ht="15.65" customHeight="1" x14ac:dyDescent="0.25">
      <c r="A185" s="60" t="s">
        <v>3</v>
      </c>
      <c r="B185" s="32" t="s">
        <v>5</v>
      </c>
      <c r="C185" s="40" t="s">
        <v>3</v>
      </c>
      <c r="D185" s="56"/>
      <c r="E185" s="23" t="s">
        <v>44</v>
      </c>
      <c r="F185" s="283"/>
      <c r="G185" s="45"/>
      <c r="H185" s="19"/>
      <c r="I185" s="230"/>
      <c r="J185" s="130"/>
      <c r="K185" s="88"/>
      <c r="L185" s="310"/>
      <c r="M185" s="493"/>
      <c r="N185" s="229"/>
      <c r="O185" s="496"/>
      <c r="P185" s="203"/>
      <c r="Q185" s="69"/>
    </row>
    <row r="186" spans="1:18" ht="18" customHeight="1" x14ac:dyDescent="0.25">
      <c r="A186" s="522"/>
      <c r="B186" s="537"/>
      <c r="C186" s="538"/>
      <c r="D186" s="520" t="s">
        <v>3</v>
      </c>
      <c r="E186" s="1480" t="s">
        <v>270</v>
      </c>
      <c r="F186" s="343" t="s">
        <v>125</v>
      </c>
      <c r="G186" s="1469" t="s">
        <v>86</v>
      </c>
      <c r="H186" s="232" t="s">
        <v>21</v>
      </c>
      <c r="I186" s="14">
        <f>2050+959.8+67.5+392.3</f>
        <v>3469.6</v>
      </c>
      <c r="J186" s="181">
        <v>50</v>
      </c>
      <c r="K186" s="84">
        <v>6500</v>
      </c>
      <c r="L186" s="182">
        <v>6610</v>
      </c>
      <c r="M186" s="443" t="s">
        <v>35</v>
      </c>
      <c r="N186" s="500">
        <v>2.9</v>
      </c>
      <c r="O186" s="617"/>
      <c r="P186" s="619"/>
      <c r="Q186" s="278"/>
    </row>
    <row r="187" spans="1:18" ht="15.65" customHeight="1" x14ac:dyDescent="0.25">
      <c r="A187" s="522"/>
      <c r="B187" s="537"/>
      <c r="C187" s="538"/>
      <c r="D187" s="78"/>
      <c r="E187" s="1521"/>
      <c r="F187" s="535" t="s">
        <v>113</v>
      </c>
      <c r="G187" s="1488"/>
      <c r="H187" s="100" t="s">
        <v>46</v>
      </c>
      <c r="I187" s="115">
        <v>3000</v>
      </c>
      <c r="J187" s="202">
        <f>300+6060</f>
        <v>6360</v>
      </c>
      <c r="K187" s="167"/>
      <c r="L187" s="282"/>
      <c r="M187" s="1476" t="s">
        <v>198</v>
      </c>
      <c r="N187" s="1508">
        <v>2</v>
      </c>
      <c r="O187" s="1612"/>
      <c r="P187" s="1541"/>
      <c r="Q187" s="1616"/>
    </row>
    <row r="188" spans="1:18" ht="15.65" customHeight="1" x14ac:dyDescent="0.25">
      <c r="A188" s="522"/>
      <c r="B188" s="537"/>
      <c r="C188" s="538"/>
      <c r="D188" s="78"/>
      <c r="E188" s="1521"/>
      <c r="F188" s="535" t="s">
        <v>194</v>
      </c>
      <c r="G188" s="1488"/>
      <c r="H188" s="14" t="s">
        <v>53</v>
      </c>
      <c r="I188" s="115">
        <v>806.8</v>
      </c>
      <c r="J188" s="558"/>
      <c r="K188" s="88"/>
      <c r="L188" s="281"/>
      <c r="M188" s="1507"/>
      <c r="N188" s="1509"/>
      <c r="O188" s="1613"/>
      <c r="P188" s="1542"/>
      <c r="Q188" s="1617"/>
    </row>
    <row r="189" spans="1:18" ht="16.399999999999999" customHeight="1" x14ac:dyDescent="0.25">
      <c r="A189" s="522"/>
      <c r="B189" s="537"/>
      <c r="C189" s="538"/>
      <c r="D189" s="78"/>
      <c r="E189" s="1521"/>
      <c r="F189" s="535"/>
      <c r="G189" s="540"/>
      <c r="H189" s="631" t="s">
        <v>55</v>
      </c>
      <c r="I189" s="307">
        <v>57.7</v>
      </c>
      <c r="J189" s="558"/>
      <c r="K189" s="88"/>
      <c r="L189" s="281"/>
      <c r="M189" s="443" t="s">
        <v>272</v>
      </c>
      <c r="N189" s="500">
        <v>2</v>
      </c>
      <c r="O189" s="165"/>
      <c r="P189" s="167"/>
      <c r="Q189" s="616"/>
    </row>
    <row r="190" spans="1:18" ht="27.65" customHeight="1" x14ac:dyDescent="0.25">
      <c r="A190" s="522"/>
      <c r="B190" s="537"/>
      <c r="C190" s="538"/>
      <c r="D190" s="78"/>
      <c r="E190" s="1521"/>
      <c r="F190" s="535"/>
      <c r="G190" s="540"/>
      <c r="H190" s="14"/>
      <c r="I190" s="14"/>
      <c r="J190" s="20"/>
      <c r="K190" s="112"/>
      <c r="L190" s="235"/>
      <c r="M190" s="541" t="s">
        <v>74</v>
      </c>
      <c r="N190" s="501">
        <v>23</v>
      </c>
      <c r="O190" s="617"/>
      <c r="P190" s="113"/>
      <c r="Q190" s="618"/>
    </row>
    <row r="191" spans="1:18" ht="27.65" customHeight="1" x14ac:dyDescent="0.25">
      <c r="A191" s="522"/>
      <c r="B191" s="537"/>
      <c r="C191" s="538"/>
      <c r="D191" s="78"/>
      <c r="E191" s="1521"/>
      <c r="F191" s="535"/>
      <c r="G191" s="540"/>
      <c r="H191" s="14"/>
      <c r="I191" s="555"/>
      <c r="J191" s="166"/>
      <c r="K191" s="112"/>
      <c r="L191" s="235"/>
      <c r="M191" s="440" t="s">
        <v>246</v>
      </c>
      <c r="N191" s="115">
        <v>11.5</v>
      </c>
      <c r="O191" s="202"/>
      <c r="P191" s="112"/>
      <c r="Q191" s="282"/>
    </row>
    <row r="192" spans="1:18" ht="15.65" customHeight="1" x14ac:dyDescent="0.25">
      <c r="A192" s="733"/>
      <c r="B192" s="735"/>
      <c r="C192" s="734"/>
      <c r="D192" s="78"/>
      <c r="E192" s="732"/>
      <c r="F192" s="736"/>
      <c r="G192" s="737"/>
      <c r="H192" s="14"/>
      <c r="I192" s="555"/>
      <c r="J192" s="166"/>
      <c r="K192" s="112"/>
      <c r="L192" s="235"/>
      <c r="M192" s="440" t="s">
        <v>273</v>
      </c>
      <c r="N192" s="14"/>
      <c r="O192" s="365">
        <v>2.6</v>
      </c>
      <c r="P192" s="167">
        <v>2.2999999999999998</v>
      </c>
      <c r="Q192" s="282">
        <v>2</v>
      </c>
      <c r="R192" s="340"/>
    </row>
    <row r="193" spans="1:24" ht="26.15" customHeight="1" x14ac:dyDescent="0.25">
      <c r="A193" s="733"/>
      <c r="B193" s="735"/>
      <c r="C193" s="734"/>
      <c r="D193" s="78"/>
      <c r="E193" s="732"/>
      <c r="F193" s="736"/>
      <c r="G193" s="737"/>
      <c r="H193" s="14"/>
      <c r="I193" s="555"/>
      <c r="J193" s="166"/>
      <c r="K193" s="112"/>
      <c r="L193" s="235"/>
      <c r="M193" s="440" t="s">
        <v>300</v>
      </c>
      <c r="N193" s="115"/>
      <c r="O193" s="365">
        <v>6.9</v>
      </c>
      <c r="P193" s="429">
        <v>5.2</v>
      </c>
      <c r="Q193" s="282">
        <v>4.2</v>
      </c>
    </row>
    <row r="194" spans="1:24" ht="26.15" customHeight="1" x14ac:dyDescent="0.25">
      <c r="A194" s="733"/>
      <c r="B194" s="735"/>
      <c r="C194" s="734"/>
      <c r="D194" s="78"/>
      <c r="E194" s="732"/>
      <c r="F194" s="736"/>
      <c r="G194" s="737"/>
      <c r="H194" s="14"/>
      <c r="I194" s="555"/>
      <c r="J194" s="166"/>
      <c r="K194" s="112"/>
      <c r="L194" s="235"/>
      <c r="M194" s="440" t="s">
        <v>301</v>
      </c>
      <c r="N194" s="115"/>
      <c r="O194" s="365">
        <v>80</v>
      </c>
      <c r="P194" s="167">
        <v>86.6</v>
      </c>
      <c r="Q194" s="282">
        <v>93.7</v>
      </c>
      <c r="R194" s="340"/>
    </row>
    <row r="195" spans="1:24" ht="26.15" customHeight="1" x14ac:dyDescent="0.25">
      <c r="A195" s="733"/>
      <c r="B195" s="735"/>
      <c r="C195" s="734"/>
      <c r="D195" s="78"/>
      <c r="E195" s="732"/>
      <c r="F195" s="736"/>
      <c r="G195" s="737"/>
      <c r="H195" s="14"/>
      <c r="I195" s="555"/>
      <c r="J195" s="166"/>
      <c r="K195" s="112"/>
      <c r="L195" s="235"/>
      <c r="M195" s="440" t="s">
        <v>302</v>
      </c>
      <c r="N195" s="14"/>
      <c r="O195" s="894">
        <v>12.7</v>
      </c>
      <c r="P195" s="895">
        <v>14.2</v>
      </c>
      <c r="Q195" s="896">
        <v>15.8</v>
      </c>
      <c r="R195" s="340"/>
    </row>
    <row r="196" spans="1:24" ht="29.15" customHeight="1" x14ac:dyDescent="0.25">
      <c r="A196" s="733"/>
      <c r="B196" s="735"/>
      <c r="C196" s="734"/>
      <c r="D196" s="78"/>
      <c r="E196" s="732"/>
      <c r="F196" s="736"/>
      <c r="G196" s="737"/>
      <c r="H196" s="14"/>
      <c r="I196" s="555"/>
      <c r="J196" s="166"/>
      <c r="K196" s="112"/>
      <c r="L196" s="235"/>
      <c r="M196" s="440" t="s">
        <v>274</v>
      </c>
      <c r="N196" s="132"/>
      <c r="O196" s="291">
        <f>15+2</f>
        <v>17</v>
      </c>
      <c r="P196" s="619">
        <f t="shared" ref="P196:Q196" si="1">15+2</f>
        <v>17</v>
      </c>
      <c r="Q196" s="293">
        <f t="shared" si="1"/>
        <v>17</v>
      </c>
    </row>
    <row r="197" spans="1:24" ht="15.75" customHeight="1" x14ac:dyDescent="0.25">
      <c r="A197" s="522"/>
      <c r="B197" s="537"/>
      <c r="C197" s="538"/>
      <c r="D197" s="717" t="s">
        <v>5</v>
      </c>
      <c r="E197" s="729" t="s">
        <v>79</v>
      </c>
      <c r="F197" s="534" t="s">
        <v>194</v>
      </c>
      <c r="G197" s="1469"/>
      <c r="H197" s="61"/>
      <c r="I197" s="231"/>
      <c r="J197" s="239"/>
      <c r="K197" s="98"/>
      <c r="L197" s="278"/>
      <c r="M197" s="516"/>
      <c r="N197" s="313"/>
      <c r="O197" s="621"/>
      <c r="P197" s="622"/>
      <c r="Q197" s="623"/>
    </row>
    <row r="198" spans="1:24" ht="26.25" customHeight="1" x14ac:dyDescent="0.25">
      <c r="A198" s="522"/>
      <c r="B198" s="537"/>
      <c r="C198" s="538"/>
      <c r="D198" s="78"/>
      <c r="E198" s="1478" t="s">
        <v>139</v>
      </c>
      <c r="F198" s="343" t="s">
        <v>125</v>
      </c>
      <c r="G198" s="1469"/>
      <c r="H198" s="115" t="s">
        <v>21</v>
      </c>
      <c r="I198" s="115">
        <f>1115+464.3+165.5</f>
        <v>1744.8</v>
      </c>
      <c r="J198" s="628"/>
      <c r="K198" s="629">
        <v>1000</v>
      </c>
      <c r="L198" s="630">
        <v>1000</v>
      </c>
      <c r="M198" s="513" t="s">
        <v>78</v>
      </c>
      <c r="N198" s="265">
        <v>58</v>
      </c>
      <c r="O198" s="257">
        <v>58</v>
      </c>
      <c r="P198" s="191">
        <v>58</v>
      </c>
      <c r="Q198" s="81">
        <v>58</v>
      </c>
      <c r="R198" s="340"/>
      <c r="S198" s="2"/>
      <c r="T198" s="2"/>
      <c r="U198" s="2"/>
      <c r="V198" s="2"/>
      <c r="W198" s="2"/>
      <c r="X198" s="687"/>
    </row>
    <row r="199" spans="1:24" ht="15.75" customHeight="1" x14ac:dyDescent="0.25">
      <c r="A199" s="522"/>
      <c r="B199" s="537"/>
      <c r="C199" s="538"/>
      <c r="D199" s="78"/>
      <c r="E199" s="1479"/>
      <c r="F199" s="343"/>
      <c r="G199" s="515"/>
      <c r="H199" s="531" t="s">
        <v>46</v>
      </c>
      <c r="I199" s="115">
        <f>485+100.4</f>
        <v>585.4</v>
      </c>
      <c r="J199" s="628">
        <f>3700</f>
        <v>3700</v>
      </c>
      <c r="K199" s="88"/>
      <c r="L199" s="384"/>
      <c r="M199" s="704"/>
      <c r="N199" s="319"/>
      <c r="O199" s="674"/>
      <c r="P199" s="175"/>
      <c r="Q199" s="679"/>
      <c r="R199" s="340"/>
      <c r="S199" s="2"/>
      <c r="T199" s="2"/>
      <c r="U199" s="2"/>
      <c r="V199" s="2"/>
      <c r="W199" s="2"/>
      <c r="X199" s="687"/>
    </row>
    <row r="200" spans="1:24" ht="27" customHeight="1" x14ac:dyDescent="0.25">
      <c r="A200" s="522"/>
      <c r="B200" s="537"/>
      <c r="C200" s="538"/>
      <c r="D200" s="78"/>
      <c r="E200" s="1484" t="s">
        <v>80</v>
      </c>
      <c r="F200" s="343"/>
      <c r="G200" s="515"/>
      <c r="H200" s="690" t="s">
        <v>21</v>
      </c>
      <c r="I200" s="14">
        <f>411.1-211.1</f>
        <v>200</v>
      </c>
      <c r="J200" s="502"/>
      <c r="K200" s="409"/>
      <c r="L200" s="410"/>
      <c r="M200" s="514" t="s">
        <v>236</v>
      </c>
      <c r="N200" s="465">
        <v>18</v>
      </c>
      <c r="O200" s="788"/>
      <c r="P200" s="789"/>
      <c r="Q200" s="620"/>
      <c r="R200" s="340"/>
      <c r="S200" s="2"/>
      <c r="T200" s="2"/>
      <c r="U200" s="2"/>
      <c r="V200" s="2"/>
      <c r="W200" s="2"/>
      <c r="X200" s="687"/>
    </row>
    <row r="201" spans="1:24" ht="14.25" customHeight="1" x14ac:dyDescent="0.25">
      <c r="A201" s="522"/>
      <c r="B201" s="537"/>
      <c r="C201" s="538"/>
      <c r="D201" s="78"/>
      <c r="E201" s="1485"/>
      <c r="F201" s="343"/>
      <c r="G201" s="515"/>
      <c r="H201" s="100"/>
      <c r="I201" s="100"/>
      <c r="J201" s="166"/>
      <c r="K201" s="112"/>
      <c r="L201" s="235"/>
      <c r="M201" s="494"/>
      <c r="N201" s="462"/>
      <c r="O201" s="451"/>
      <c r="P201" s="198"/>
      <c r="Q201" s="149"/>
    </row>
    <row r="202" spans="1:24" ht="16.5" customHeight="1" x14ac:dyDescent="0.25">
      <c r="A202" s="522"/>
      <c r="B202" s="537"/>
      <c r="C202" s="538"/>
      <c r="D202" s="78"/>
      <c r="E202" s="1486" t="s">
        <v>140</v>
      </c>
      <c r="F202" s="343" t="s">
        <v>113</v>
      </c>
      <c r="G202" s="515"/>
      <c r="H202" s="115" t="s">
        <v>21</v>
      </c>
      <c r="I202" s="14">
        <f>222.4-122.4-50</f>
        <v>50</v>
      </c>
      <c r="J202" s="202">
        <v>220</v>
      </c>
      <c r="K202" s="88">
        <v>564.70000000000005</v>
      </c>
      <c r="L202" s="281">
        <v>617.70000000000005</v>
      </c>
      <c r="M202" s="1476" t="s">
        <v>237</v>
      </c>
      <c r="N202" s="265">
        <v>22</v>
      </c>
      <c r="O202" s="320">
        <f>2+10+13</f>
        <v>25</v>
      </c>
      <c r="P202" s="632">
        <f>2+10+13+10</f>
        <v>35</v>
      </c>
      <c r="Q202" s="148">
        <v>35</v>
      </c>
    </row>
    <row r="203" spans="1:24" ht="23.15" customHeight="1" x14ac:dyDescent="0.25">
      <c r="A203" s="522"/>
      <c r="B203" s="537"/>
      <c r="C203" s="538"/>
      <c r="D203" s="79"/>
      <c r="E203" s="1487"/>
      <c r="G203" s="515"/>
      <c r="H203" s="532" t="s">
        <v>46</v>
      </c>
      <c r="I203" s="132"/>
      <c r="J203" s="559">
        <v>5.5</v>
      </c>
      <c r="K203" s="197"/>
      <c r="L203" s="293"/>
      <c r="M203" s="1477"/>
      <c r="N203" s="250"/>
      <c r="O203" s="196"/>
      <c r="P203" s="179"/>
      <c r="Q203" s="67"/>
    </row>
    <row r="204" spans="1:24" ht="16.399999999999999" customHeight="1" x14ac:dyDescent="0.25">
      <c r="A204" s="1473"/>
      <c r="B204" s="1462"/>
      <c r="C204" s="1475"/>
      <c r="D204" s="1464" t="s">
        <v>24</v>
      </c>
      <c r="E204" s="1493" t="s">
        <v>36</v>
      </c>
      <c r="F204" s="1626" t="s">
        <v>194</v>
      </c>
      <c r="G204" s="1469"/>
      <c r="H204" s="14" t="s">
        <v>21</v>
      </c>
      <c r="I204" s="232">
        <v>59.5</v>
      </c>
      <c r="J204" s="91">
        <f>60-5</f>
        <v>55</v>
      </c>
      <c r="K204" s="84">
        <f>62-K205</f>
        <v>62</v>
      </c>
      <c r="L204" s="182">
        <f>65-L205</f>
        <v>65</v>
      </c>
      <c r="M204" s="1618" t="s">
        <v>43</v>
      </c>
      <c r="N204" s="1614">
        <v>7</v>
      </c>
      <c r="O204" s="1624">
        <v>7</v>
      </c>
      <c r="P204" s="1620">
        <v>7</v>
      </c>
      <c r="Q204" s="1610">
        <v>7</v>
      </c>
    </row>
    <row r="205" spans="1:24" ht="17.25" customHeight="1" x14ac:dyDescent="0.25">
      <c r="A205" s="1473"/>
      <c r="B205" s="1462"/>
      <c r="C205" s="1475"/>
      <c r="D205" s="1464"/>
      <c r="E205" s="1495"/>
      <c r="F205" s="1627"/>
      <c r="G205" s="1469"/>
      <c r="H205" s="132" t="s">
        <v>46</v>
      </c>
      <c r="I205" s="532"/>
      <c r="J205" s="291">
        <v>5</v>
      </c>
      <c r="K205" s="197"/>
      <c r="L205" s="293"/>
      <c r="M205" s="1619"/>
      <c r="N205" s="1615"/>
      <c r="O205" s="1625"/>
      <c r="P205" s="1621"/>
      <c r="Q205" s="1611"/>
    </row>
    <row r="206" spans="1:24" ht="15.65" customHeight="1" x14ac:dyDescent="0.25">
      <c r="A206" s="1473"/>
      <c r="B206" s="1474"/>
      <c r="C206" s="1475"/>
      <c r="D206" s="1463" t="s">
        <v>28</v>
      </c>
      <c r="E206" s="1482" t="s">
        <v>103</v>
      </c>
      <c r="F206" s="1626" t="s">
        <v>194</v>
      </c>
      <c r="G206" s="1469"/>
      <c r="H206" s="232" t="s">
        <v>21</v>
      </c>
      <c r="I206" s="61">
        <f>8+42+87-9.5-12.9</f>
        <v>114.6</v>
      </c>
      <c r="J206" s="705">
        <f>172-7</f>
        <v>165</v>
      </c>
      <c r="K206" s="625">
        <f>58+122</f>
        <v>180</v>
      </c>
      <c r="L206" s="627">
        <f>60+128</f>
        <v>188</v>
      </c>
      <c r="M206" s="516" t="s">
        <v>82</v>
      </c>
      <c r="N206" s="264"/>
      <c r="O206" s="456"/>
      <c r="P206" s="284"/>
      <c r="Q206" s="285"/>
    </row>
    <row r="207" spans="1:24" ht="15" customHeight="1" x14ac:dyDescent="0.25">
      <c r="A207" s="1473"/>
      <c r="B207" s="1474"/>
      <c r="C207" s="1475"/>
      <c r="D207" s="1464"/>
      <c r="E207" s="1483"/>
      <c r="F207" s="1627"/>
      <c r="G207" s="1469"/>
      <c r="H207" s="14" t="s">
        <v>46</v>
      </c>
      <c r="I207" s="690"/>
      <c r="J207" s="91">
        <v>7</v>
      </c>
      <c r="K207" s="91"/>
      <c r="L207" s="281"/>
      <c r="M207" s="699" t="s">
        <v>339</v>
      </c>
      <c r="N207" s="489">
        <v>1</v>
      </c>
      <c r="O207" s="497">
        <v>1</v>
      </c>
      <c r="P207" s="286">
        <v>1</v>
      </c>
      <c r="Q207" s="287">
        <v>1</v>
      </c>
    </row>
    <row r="208" spans="1:24" ht="15" customHeight="1" x14ac:dyDescent="0.25">
      <c r="A208" s="522"/>
      <c r="B208" s="537"/>
      <c r="C208" s="538"/>
      <c r="D208" s="27"/>
      <c r="E208" s="529"/>
      <c r="F208" s="1627"/>
      <c r="G208" s="515"/>
      <c r="H208" s="14"/>
      <c r="I208" s="14"/>
      <c r="J208" s="91"/>
      <c r="K208" s="91"/>
      <c r="L208" s="384"/>
      <c r="M208" s="1299" t="s">
        <v>340</v>
      </c>
      <c r="N208" s="489">
        <v>1</v>
      </c>
      <c r="O208" s="498">
        <v>1</v>
      </c>
      <c r="P208" s="279">
        <v>1</v>
      </c>
      <c r="Q208" s="280">
        <v>1</v>
      </c>
    </row>
    <row r="209" spans="1:18" ht="15" customHeight="1" x14ac:dyDescent="0.25">
      <c r="A209" s="640"/>
      <c r="B209" s="646"/>
      <c r="C209" s="647"/>
      <c r="D209" s="27"/>
      <c r="E209" s="644"/>
      <c r="F209" s="1627"/>
      <c r="G209" s="639"/>
      <c r="H209" s="100"/>
      <c r="I209" s="100"/>
      <c r="J209" s="189"/>
      <c r="K209" s="113"/>
      <c r="L209" s="292"/>
      <c r="M209" s="1299" t="s">
        <v>341</v>
      </c>
      <c r="N209" s="655">
        <v>1</v>
      </c>
      <c r="O209" s="498">
        <v>1</v>
      </c>
      <c r="P209" s="279">
        <v>1</v>
      </c>
      <c r="Q209" s="280">
        <v>1</v>
      </c>
    </row>
    <row r="210" spans="1:18" ht="15.65" customHeight="1" x14ac:dyDescent="0.25">
      <c r="A210" s="522"/>
      <c r="B210" s="537"/>
      <c r="C210" s="538"/>
      <c r="D210" s="27"/>
      <c r="E210" s="529"/>
      <c r="F210" s="1628"/>
      <c r="G210" s="515"/>
      <c r="H210" s="667" t="s">
        <v>21</v>
      </c>
      <c r="I210" s="667"/>
      <c r="J210" s="559">
        <v>54.6</v>
      </c>
      <c r="K210" s="168">
        <v>54.6</v>
      </c>
      <c r="L210" s="384">
        <v>54.6</v>
      </c>
      <c r="M210" s="849" t="s">
        <v>342</v>
      </c>
      <c r="N210" s="252"/>
      <c r="O210" s="251">
        <v>1</v>
      </c>
      <c r="P210" s="192">
        <v>1</v>
      </c>
      <c r="Q210" s="145">
        <v>1</v>
      </c>
    </row>
    <row r="211" spans="1:18" ht="21" customHeight="1" x14ac:dyDescent="0.25">
      <c r="A211" s="526"/>
      <c r="B211" s="63"/>
      <c r="C211" s="524"/>
      <c r="D211" s="519" t="s">
        <v>29</v>
      </c>
      <c r="E211" s="1493" t="s">
        <v>70</v>
      </c>
      <c r="F211" s="534" t="s">
        <v>91</v>
      </c>
      <c r="G211" s="1468" t="s">
        <v>258</v>
      </c>
      <c r="H211" s="232" t="s">
        <v>53</v>
      </c>
      <c r="I211" s="61">
        <v>24.5</v>
      </c>
      <c r="J211" s="670"/>
      <c r="K211" s="944">
        <v>30</v>
      </c>
      <c r="L211" s="656"/>
      <c r="M211" s="516" t="s">
        <v>238</v>
      </c>
      <c r="N211" s="267">
        <v>5</v>
      </c>
      <c r="O211" s="195">
        <v>1</v>
      </c>
      <c r="P211" s="178">
        <v>2</v>
      </c>
      <c r="Q211" s="65"/>
    </row>
    <row r="212" spans="1:18" ht="21" customHeight="1" x14ac:dyDescent="0.25">
      <c r="A212" s="546"/>
      <c r="B212" s="537"/>
      <c r="C212" s="42"/>
      <c r="D212" s="78"/>
      <c r="E212" s="1494"/>
      <c r="F212" s="535" t="s">
        <v>194</v>
      </c>
      <c r="G212" s="1601"/>
      <c r="H212" s="14" t="s">
        <v>55</v>
      </c>
      <c r="I212" s="531">
        <v>4.3</v>
      </c>
      <c r="J212" s="998">
        <v>12.4</v>
      </c>
      <c r="K212" s="657"/>
      <c r="L212" s="658"/>
      <c r="M212" s="352"/>
      <c r="N212" s="471"/>
      <c r="O212" s="324"/>
      <c r="P212" s="261"/>
      <c r="Q212" s="260"/>
    </row>
    <row r="213" spans="1:18" ht="28.4" customHeight="1" x14ac:dyDescent="0.25">
      <c r="A213" s="546"/>
      <c r="B213" s="537"/>
      <c r="C213" s="42"/>
      <c r="D213" s="79"/>
      <c r="E213" s="525"/>
      <c r="F213" s="536"/>
      <c r="G213" s="902" t="s">
        <v>86</v>
      </c>
      <c r="H213" s="132" t="s">
        <v>53</v>
      </c>
      <c r="I213" s="132">
        <f>50.4-5.9</f>
        <v>44.5</v>
      </c>
      <c r="J213" s="558"/>
      <c r="K213" s="91">
        <v>44.5</v>
      </c>
      <c r="L213" s="293">
        <v>44.5</v>
      </c>
      <c r="M213" s="441" t="s">
        <v>188</v>
      </c>
      <c r="N213" s="903">
        <v>7</v>
      </c>
      <c r="O213" s="945"/>
      <c r="P213" s="904">
        <v>7</v>
      </c>
      <c r="Q213" s="905">
        <v>7</v>
      </c>
    </row>
    <row r="214" spans="1:18" s="2" customFormat="1" ht="16.399999999999999" customHeight="1" x14ac:dyDescent="0.25">
      <c r="A214" s="526"/>
      <c r="B214" s="63"/>
      <c r="C214" s="95"/>
      <c r="D214" s="1464" t="s">
        <v>30</v>
      </c>
      <c r="E214" s="1480" t="s">
        <v>98</v>
      </c>
      <c r="F214" s="342" t="s">
        <v>194</v>
      </c>
      <c r="G214" s="1468" t="s">
        <v>119</v>
      </c>
      <c r="H214" s="232" t="s">
        <v>21</v>
      </c>
      <c r="I214" s="232">
        <v>4.7</v>
      </c>
      <c r="J214" s="350"/>
      <c r="K214" s="98">
        <v>20</v>
      </c>
      <c r="L214" s="278"/>
      <c r="M214" s="351" t="s">
        <v>215</v>
      </c>
      <c r="N214" s="580"/>
      <c r="O214" s="760">
        <v>100</v>
      </c>
      <c r="P214" s="418"/>
      <c r="Q214" s="776"/>
      <c r="R214" s="340"/>
    </row>
    <row r="215" spans="1:18" s="2" customFormat="1" ht="27.75" customHeight="1" x14ac:dyDescent="0.25">
      <c r="A215" s="38"/>
      <c r="B215" s="63"/>
      <c r="C215" s="268"/>
      <c r="D215" s="1464"/>
      <c r="E215" s="1521"/>
      <c r="F215" s="337" t="s">
        <v>321</v>
      </c>
      <c r="G215" s="1496"/>
      <c r="H215" s="433" t="s">
        <v>53</v>
      </c>
      <c r="I215" s="116"/>
      <c r="J215" s="779">
        <v>360</v>
      </c>
      <c r="K215" s="772"/>
      <c r="L215" s="773"/>
      <c r="M215" s="778" t="s">
        <v>39</v>
      </c>
      <c r="N215" s="774"/>
      <c r="O215" s="775"/>
      <c r="P215" s="553">
        <v>1</v>
      </c>
      <c r="Q215" s="940"/>
      <c r="R215" s="340"/>
    </row>
    <row r="216" spans="1:18" ht="15" customHeight="1" x14ac:dyDescent="0.25">
      <c r="A216" s="522"/>
      <c r="B216" s="537"/>
      <c r="C216" s="44"/>
      <c r="D216" s="519" t="s">
        <v>31</v>
      </c>
      <c r="E216" s="1633" t="s">
        <v>213</v>
      </c>
      <c r="F216" s="338" t="s">
        <v>159</v>
      </c>
      <c r="G216" s="1468" t="s">
        <v>229</v>
      </c>
      <c r="H216" s="61" t="s">
        <v>21</v>
      </c>
      <c r="I216" s="232"/>
      <c r="J216" s="239"/>
      <c r="K216" s="943">
        <v>1687.5</v>
      </c>
      <c r="L216" s="182"/>
      <c r="M216" s="495" t="s">
        <v>338</v>
      </c>
      <c r="N216" s="267">
        <v>100</v>
      </c>
      <c r="O216" s="787">
        <v>100</v>
      </c>
      <c r="P216" s="204">
        <v>100</v>
      </c>
      <c r="Q216" s="560"/>
    </row>
    <row r="217" spans="1:18" ht="15" customHeight="1" x14ac:dyDescent="0.25">
      <c r="A217" s="522"/>
      <c r="B217" s="537"/>
      <c r="C217" s="44"/>
      <c r="D217" s="339"/>
      <c r="E217" s="1634"/>
      <c r="F217" s="535" t="s">
        <v>160</v>
      </c>
      <c r="G217" s="1469"/>
      <c r="H217" s="786" t="s">
        <v>46</v>
      </c>
      <c r="I217" s="14"/>
      <c r="J217" s="166">
        <v>562.5</v>
      </c>
      <c r="K217" s="91"/>
      <c r="L217" s="281"/>
      <c r="M217" s="352"/>
      <c r="N217" s="316"/>
      <c r="O217" s="324"/>
      <c r="P217" s="261"/>
      <c r="Q217" s="260"/>
    </row>
    <row r="218" spans="1:18" ht="15" customHeight="1" x14ac:dyDescent="0.25">
      <c r="A218" s="522"/>
      <c r="B218" s="537"/>
      <c r="C218" s="44"/>
      <c r="D218" s="339"/>
      <c r="E218" s="1634"/>
      <c r="F218" s="535" t="s">
        <v>194</v>
      </c>
      <c r="G218" s="782"/>
      <c r="H218" s="14"/>
      <c r="I218" s="14"/>
      <c r="J218" s="91"/>
      <c r="K218" s="91"/>
      <c r="L218" s="20"/>
      <c r="M218" s="352"/>
      <c r="N218" s="316"/>
      <c r="O218" s="324"/>
      <c r="P218" s="261"/>
      <c r="Q218" s="260"/>
    </row>
    <row r="219" spans="1:18" ht="15" customHeight="1" x14ac:dyDescent="0.25">
      <c r="A219" s="522"/>
      <c r="B219" s="537"/>
      <c r="C219" s="44"/>
      <c r="D219" s="339"/>
      <c r="E219" s="1634"/>
      <c r="F219" s="535" t="s">
        <v>125</v>
      </c>
      <c r="G219" s="782"/>
      <c r="H219" s="532"/>
      <c r="I219" s="14"/>
      <c r="J219" s="166"/>
      <c r="K219" s="112"/>
      <c r="L219" s="146"/>
      <c r="M219" s="352"/>
      <c r="N219" s="491"/>
      <c r="O219" s="324"/>
      <c r="P219" s="261"/>
      <c r="Q219" s="260"/>
    </row>
    <row r="220" spans="1:18" ht="15" customHeight="1" x14ac:dyDescent="0.25">
      <c r="A220" s="522"/>
      <c r="B220" s="537"/>
      <c r="C220" s="44"/>
      <c r="D220" s="519" t="s">
        <v>84</v>
      </c>
      <c r="E220" s="1480" t="s">
        <v>247</v>
      </c>
      <c r="F220" s="338" t="s">
        <v>159</v>
      </c>
      <c r="G220" s="1468" t="s">
        <v>120</v>
      </c>
      <c r="H220" s="162" t="s">
        <v>21</v>
      </c>
      <c r="I220" s="232">
        <v>92.7</v>
      </c>
      <c r="J220" s="239">
        <v>1245</v>
      </c>
      <c r="K220" s="98"/>
      <c r="L220" s="20"/>
      <c r="M220" s="351" t="s">
        <v>189</v>
      </c>
      <c r="N220" s="305"/>
      <c r="O220" s="274">
        <v>12</v>
      </c>
      <c r="P220" s="204"/>
      <c r="Q220" s="560"/>
    </row>
    <row r="221" spans="1:18" ht="14.15" customHeight="1" x14ac:dyDescent="0.25">
      <c r="A221" s="522"/>
      <c r="B221" s="537"/>
      <c r="C221" s="44"/>
      <c r="D221" s="339"/>
      <c r="E221" s="1521"/>
      <c r="F221" s="535" t="s">
        <v>125</v>
      </c>
      <c r="G221" s="1469"/>
      <c r="H221" s="531" t="s">
        <v>89</v>
      </c>
      <c r="I221" s="756">
        <f>525+612</f>
        <v>1137</v>
      </c>
      <c r="J221" s="91">
        <v>7578.6</v>
      </c>
      <c r="K221" s="112"/>
      <c r="L221" s="281"/>
      <c r="M221" s="352"/>
      <c r="N221" s="316"/>
      <c r="O221" s="324"/>
      <c r="P221" s="261"/>
      <c r="Q221" s="260"/>
    </row>
    <row r="222" spans="1:18" ht="12.65" customHeight="1" x14ac:dyDescent="0.25">
      <c r="A222" s="522"/>
      <c r="B222" s="537"/>
      <c r="C222" s="44"/>
      <c r="D222" s="339"/>
      <c r="E222" s="1521"/>
      <c r="F222" s="535" t="s">
        <v>40</v>
      </c>
      <c r="G222" s="782"/>
      <c r="H222" s="14"/>
      <c r="I222" s="14"/>
      <c r="J222" s="91"/>
      <c r="K222" s="112"/>
      <c r="L222" s="384"/>
      <c r="M222" s="352"/>
      <c r="N222" s="316"/>
      <c r="O222" s="324"/>
      <c r="P222" s="261"/>
      <c r="Q222" s="260"/>
    </row>
    <row r="223" spans="1:18" ht="11.9" customHeight="1" x14ac:dyDescent="0.25">
      <c r="A223" s="522"/>
      <c r="B223" s="537"/>
      <c r="C223" s="44"/>
      <c r="D223" s="339"/>
      <c r="E223" s="1521"/>
      <c r="F223" s="535" t="s">
        <v>194</v>
      </c>
      <c r="G223" s="782"/>
      <c r="H223" s="14"/>
      <c r="I223" s="14"/>
      <c r="J223" s="91"/>
      <c r="K223" s="91"/>
      <c r="L223" s="384"/>
      <c r="M223" s="352"/>
      <c r="N223" s="316"/>
      <c r="O223" s="324"/>
      <c r="P223" s="261"/>
      <c r="Q223" s="260"/>
    </row>
    <row r="224" spans="1:18" ht="15" customHeight="1" x14ac:dyDescent="0.25">
      <c r="A224" s="522"/>
      <c r="B224" s="537"/>
      <c r="C224" s="44"/>
      <c r="D224" s="521"/>
      <c r="E224" s="1521"/>
      <c r="F224" s="834" t="s">
        <v>160</v>
      </c>
      <c r="G224" s="782"/>
      <c r="H224" s="532"/>
      <c r="I224" s="14"/>
      <c r="J224" s="82"/>
      <c r="K224" s="82"/>
      <c r="L224" s="25"/>
      <c r="M224" s="353"/>
      <c r="N224" s="491"/>
      <c r="O224" s="499"/>
      <c r="P224" s="205"/>
      <c r="Q224" s="396"/>
    </row>
    <row r="225" spans="1:25" ht="15" customHeight="1" x14ac:dyDescent="0.25">
      <c r="A225" s="829"/>
      <c r="B225" s="835"/>
      <c r="C225" s="44"/>
      <c r="D225" s="1518" t="s">
        <v>114</v>
      </c>
      <c r="E225" s="1480" t="s">
        <v>146</v>
      </c>
      <c r="F225" s="328" t="s">
        <v>159</v>
      </c>
      <c r="G225" s="1468" t="s">
        <v>86</v>
      </c>
      <c r="H225" s="1631" t="s">
        <v>21</v>
      </c>
      <c r="I225" s="1524">
        <v>1</v>
      </c>
      <c r="J225" s="1526"/>
      <c r="K225" s="1528"/>
      <c r="L225" s="1530"/>
      <c r="M225" s="351" t="s">
        <v>39</v>
      </c>
      <c r="N225" s="289">
        <v>1</v>
      </c>
      <c r="O225" s="997">
        <v>1</v>
      </c>
      <c r="P225" s="273"/>
      <c r="Q225" s="259"/>
      <c r="R225" s="340"/>
      <c r="S225" s="2"/>
      <c r="T225" s="2"/>
      <c r="U225" s="2"/>
      <c r="V225" s="2"/>
      <c r="W225" s="2"/>
    </row>
    <row r="226" spans="1:25" ht="15" customHeight="1" x14ac:dyDescent="0.25">
      <c r="A226" s="829"/>
      <c r="B226" s="835"/>
      <c r="C226" s="44"/>
      <c r="D226" s="1519"/>
      <c r="E226" s="1521"/>
      <c r="F226" s="328" t="s">
        <v>194</v>
      </c>
      <c r="G226" s="1469"/>
      <c r="H226" s="1632"/>
      <c r="I226" s="1525"/>
      <c r="J226" s="1527"/>
      <c r="K226" s="1529"/>
      <c r="L226" s="1531"/>
      <c r="M226" s="440" t="s">
        <v>215</v>
      </c>
      <c r="N226" s="316"/>
      <c r="O226" s="324"/>
      <c r="P226" s="261"/>
      <c r="Q226" s="260"/>
      <c r="R226" s="340"/>
      <c r="S226" s="2"/>
      <c r="T226" s="2"/>
      <c r="U226" s="2"/>
      <c r="V226" s="2"/>
      <c r="W226" s="2"/>
    </row>
    <row r="227" spans="1:25" ht="15" customHeight="1" x14ac:dyDescent="0.25">
      <c r="A227" s="829"/>
      <c r="B227" s="835"/>
      <c r="C227" s="44"/>
      <c r="D227" s="1519"/>
      <c r="E227" s="1521"/>
      <c r="F227" s="328" t="s">
        <v>40</v>
      </c>
      <c r="G227" s="1469"/>
      <c r="H227" s="14" t="s">
        <v>55</v>
      </c>
      <c r="I227" s="995"/>
      <c r="J227" s="91">
        <v>57.7</v>
      </c>
      <c r="K227" s="88"/>
      <c r="L227" s="281"/>
      <c r="M227" s="352"/>
      <c r="N227" s="316"/>
      <c r="O227" s="324"/>
      <c r="P227" s="261"/>
      <c r="Q227" s="260"/>
      <c r="R227" s="340"/>
      <c r="S227" s="2"/>
      <c r="T227" s="2"/>
      <c r="U227" s="2"/>
      <c r="V227" s="2"/>
      <c r="W227" s="2"/>
    </row>
    <row r="228" spans="1:25" ht="15" customHeight="1" x14ac:dyDescent="0.25">
      <c r="A228" s="829"/>
      <c r="B228" s="835"/>
      <c r="C228" s="44"/>
      <c r="D228" s="1520"/>
      <c r="E228" s="1481"/>
      <c r="F228" s="328" t="s">
        <v>125</v>
      </c>
      <c r="G228" s="1496"/>
      <c r="H228" s="237"/>
      <c r="I228" s="236"/>
      <c r="J228" s="559"/>
      <c r="K228" s="168"/>
      <c r="L228" s="146"/>
      <c r="M228" s="333"/>
      <c r="N228" s="237"/>
      <c r="O228" s="137"/>
      <c r="P228" s="174"/>
      <c r="Q228" s="135"/>
      <c r="R228" s="340"/>
      <c r="S228" s="2"/>
      <c r="T228" s="2"/>
      <c r="U228" s="2"/>
      <c r="V228" s="2"/>
      <c r="W228" s="2"/>
    </row>
    <row r="229" spans="1:25" ht="42" customHeight="1" x14ac:dyDescent="0.25">
      <c r="A229" s="522"/>
      <c r="B229" s="537"/>
      <c r="C229" s="44"/>
      <c r="D229" s="519"/>
      <c r="E229" s="376" t="s">
        <v>251</v>
      </c>
      <c r="F229" s="327" t="s">
        <v>192</v>
      </c>
      <c r="G229" s="377" t="s">
        <v>86</v>
      </c>
      <c r="H229" s="14" t="s">
        <v>21</v>
      </c>
      <c r="I229" s="58">
        <v>5.5</v>
      </c>
      <c r="J229" s="91"/>
      <c r="K229" s="91"/>
      <c r="L229" s="384"/>
      <c r="M229" s="352" t="s">
        <v>252</v>
      </c>
      <c r="N229" s="492">
        <v>1</v>
      </c>
      <c r="O229" s="324"/>
      <c r="P229" s="261"/>
      <c r="Q229" s="260"/>
    </row>
    <row r="230" spans="1:25" ht="15" customHeight="1" thickBot="1" x14ac:dyDescent="0.3">
      <c r="A230" s="53"/>
      <c r="B230" s="31"/>
      <c r="C230" s="39"/>
      <c r="D230" s="123"/>
      <c r="E230" s="370"/>
      <c r="F230" s="369"/>
      <c r="G230" s="368"/>
      <c r="H230" s="99" t="s">
        <v>4</v>
      </c>
      <c r="I230" s="99">
        <f>SUM(I186:I229)</f>
        <v>11402.6</v>
      </c>
      <c r="J230" s="242">
        <f>SUM(J186:J229)</f>
        <v>20438.3</v>
      </c>
      <c r="K230" s="90">
        <f>SUM(K186:K229)</f>
        <v>10143.299999999999</v>
      </c>
      <c r="L230" s="241">
        <f>SUM(L186:L229)</f>
        <v>8579.7999999999993</v>
      </c>
      <c r="M230" s="450"/>
      <c r="N230" s="473"/>
      <c r="O230" s="461"/>
      <c r="P230" s="199"/>
      <c r="Q230" s="129"/>
    </row>
    <row r="231" spans="1:25" ht="15" customHeight="1" thickBot="1" x14ac:dyDescent="0.3">
      <c r="A231" s="18" t="s">
        <v>3</v>
      </c>
      <c r="B231" s="33" t="s">
        <v>5</v>
      </c>
      <c r="C231" s="1504" t="s">
        <v>6</v>
      </c>
      <c r="D231" s="1505"/>
      <c r="E231" s="1505"/>
      <c r="F231" s="1505"/>
      <c r="G231" s="1505"/>
      <c r="H231" s="1506"/>
      <c r="I231" s="233">
        <f t="shared" ref="I231:L231" si="2">I230</f>
        <v>11402.6</v>
      </c>
      <c r="J231" s="240">
        <f t="shared" si="2"/>
        <v>20438.3</v>
      </c>
      <c r="K231" s="17">
        <f t="shared" si="2"/>
        <v>10143.299999999999</v>
      </c>
      <c r="L231" s="506">
        <f t="shared" si="2"/>
        <v>8579.7999999999993</v>
      </c>
      <c r="M231" s="1522"/>
      <c r="N231" s="1522"/>
      <c r="O231" s="1522"/>
      <c r="P231" s="1522"/>
      <c r="Q231" s="1523"/>
    </row>
    <row r="232" spans="1:25" ht="15" customHeight="1" thickBot="1" x14ac:dyDescent="0.3">
      <c r="A232" s="16" t="s">
        <v>3</v>
      </c>
      <c r="B232" s="33" t="s">
        <v>24</v>
      </c>
      <c r="C232" s="1602" t="s">
        <v>67</v>
      </c>
      <c r="D232" s="1603"/>
      <c r="E232" s="1603"/>
      <c r="F232" s="1603"/>
      <c r="G232" s="1603"/>
      <c r="H232" s="1603"/>
      <c r="I232" s="1603"/>
      <c r="J232" s="1603"/>
      <c r="K232" s="1603"/>
      <c r="L232" s="1603"/>
      <c r="M232" s="1603"/>
      <c r="N232" s="1603"/>
      <c r="O232" s="1622"/>
      <c r="P232" s="1622"/>
      <c r="Q232" s="1623"/>
    </row>
    <row r="233" spans="1:25" ht="27" customHeight="1" x14ac:dyDescent="0.25">
      <c r="A233" s="60" t="s">
        <v>3</v>
      </c>
      <c r="B233" s="32" t="s">
        <v>24</v>
      </c>
      <c r="C233" s="40" t="s">
        <v>3</v>
      </c>
      <c r="D233" s="62"/>
      <c r="E233" s="28" t="s">
        <v>65</v>
      </c>
      <c r="F233" s="533" t="s">
        <v>91</v>
      </c>
      <c r="G233" s="29"/>
      <c r="H233" s="19"/>
      <c r="I233" s="19"/>
      <c r="J233" s="91"/>
      <c r="K233" s="91"/>
      <c r="L233" s="384"/>
      <c r="M233" s="490"/>
      <c r="N233" s="19"/>
      <c r="O233" s="208"/>
      <c r="P233" s="210"/>
      <c r="Q233" s="127"/>
    </row>
    <row r="234" spans="1:25" ht="15" customHeight="1" x14ac:dyDescent="0.25">
      <c r="A234" s="522"/>
      <c r="B234" s="537"/>
      <c r="C234" s="538"/>
      <c r="D234" s="519" t="s">
        <v>3</v>
      </c>
      <c r="E234" s="1480" t="s">
        <v>63</v>
      </c>
      <c r="F234" s="534" t="s">
        <v>125</v>
      </c>
      <c r="G234" s="1616" t="s">
        <v>86</v>
      </c>
      <c r="H234" s="14" t="s">
        <v>53</v>
      </c>
      <c r="I234" s="232">
        <v>39.299999999999997</v>
      </c>
      <c r="J234" s="239"/>
      <c r="K234" s="98"/>
      <c r="L234" s="278"/>
      <c r="M234" s="1551" t="s">
        <v>68</v>
      </c>
      <c r="N234" s="61">
        <v>16.100000000000001</v>
      </c>
      <c r="O234" s="181">
        <v>16.3</v>
      </c>
      <c r="P234" s="84">
        <v>16.5</v>
      </c>
      <c r="Q234" s="180">
        <v>16.5</v>
      </c>
    </row>
    <row r="235" spans="1:25" ht="15" customHeight="1" x14ac:dyDescent="0.25">
      <c r="A235" s="522"/>
      <c r="B235" s="537"/>
      <c r="C235" s="538"/>
      <c r="D235" s="520"/>
      <c r="E235" s="1521"/>
      <c r="F235" s="535" t="s">
        <v>194</v>
      </c>
      <c r="G235" s="1469"/>
      <c r="H235" s="115" t="s">
        <v>21</v>
      </c>
      <c r="I235" s="115">
        <f>15.7+12.5</f>
        <v>28.2</v>
      </c>
      <c r="J235" s="202">
        <v>55.1</v>
      </c>
      <c r="K235" s="167">
        <v>60</v>
      </c>
      <c r="L235" s="282">
        <v>60</v>
      </c>
      <c r="M235" s="1630"/>
      <c r="N235" s="14"/>
      <c r="O235" s="166"/>
      <c r="P235" s="112"/>
      <c r="Q235" s="13"/>
    </row>
    <row r="236" spans="1:25" ht="15" customHeight="1" x14ac:dyDescent="0.25">
      <c r="A236" s="522"/>
      <c r="B236" s="537"/>
      <c r="C236" s="538"/>
      <c r="D236" s="520"/>
      <c r="E236" s="1521"/>
      <c r="F236" s="535"/>
      <c r="G236" s="1469"/>
      <c r="H236" s="14" t="s">
        <v>62</v>
      </c>
      <c r="I236" s="100">
        <v>100</v>
      </c>
      <c r="J236" s="189">
        <v>100</v>
      </c>
      <c r="K236" s="113">
        <v>100</v>
      </c>
      <c r="L236" s="384">
        <v>100</v>
      </c>
      <c r="M236" s="247"/>
      <c r="N236" s="13"/>
      <c r="O236" s="166"/>
      <c r="P236" s="112"/>
      <c r="Q236" s="13"/>
    </row>
    <row r="237" spans="1:25" ht="14.9" customHeight="1" x14ac:dyDescent="0.25">
      <c r="A237" s="522"/>
      <c r="B237" s="537"/>
      <c r="C237" s="538"/>
      <c r="D237" s="520"/>
      <c r="E237" s="1521"/>
      <c r="F237" s="106"/>
      <c r="G237" s="1469"/>
      <c r="H237" s="115" t="s">
        <v>21</v>
      </c>
      <c r="I237" s="100">
        <v>19.8</v>
      </c>
      <c r="J237" s="91"/>
      <c r="K237" s="91"/>
      <c r="L237" s="281"/>
      <c r="M237" s="440" t="s">
        <v>199</v>
      </c>
      <c r="N237" s="254">
        <v>2</v>
      </c>
      <c r="O237" s="170"/>
      <c r="P237" s="176"/>
      <c r="Q237" s="128"/>
    </row>
    <row r="238" spans="1:25" ht="14.9" customHeight="1" x14ac:dyDescent="0.25">
      <c r="A238" s="522"/>
      <c r="B238" s="537"/>
      <c r="C238" s="538"/>
      <c r="D238" s="520"/>
      <c r="E238" s="512"/>
      <c r="F238" s="106"/>
      <c r="G238" s="1469"/>
      <c r="H238" s="115" t="s">
        <v>21</v>
      </c>
      <c r="I238" s="115">
        <v>397.5</v>
      </c>
      <c r="J238" s="202">
        <f>520.5-20.5-100</f>
        <v>400</v>
      </c>
      <c r="K238" s="167">
        <f>595-100</f>
        <v>495</v>
      </c>
      <c r="L238" s="429">
        <f>595-100</f>
        <v>495</v>
      </c>
      <c r="M238" s="1605" t="s">
        <v>32</v>
      </c>
      <c r="N238" s="319">
        <v>95</v>
      </c>
      <c r="O238" s="447">
        <v>95</v>
      </c>
      <c r="P238" s="269">
        <v>102</v>
      </c>
      <c r="Q238" s="297">
        <v>102</v>
      </c>
      <c r="X238" s="687"/>
      <c r="Y238" s="687"/>
    </row>
    <row r="239" spans="1:25" ht="14.9" customHeight="1" x14ac:dyDescent="0.25">
      <c r="A239" s="601"/>
      <c r="B239" s="603"/>
      <c r="C239" s="602"/>
      <c r="D239" s="600"/>
      <c r="E239" s="599"/>
      <c r="F239" s="106"/>
      <c r="G239" s="1469"/>
      <c r="H239" s="115" t="s">
        <v>46</v>
      </c>
      <c r="I239" s="115"/>
      <c r="J239" s="202">
        <v>20.5</v>
      </c>
      <c r="K239" s="88"/>
      <c r="L239" s="282"/>
      <c r="M239" s="1471"/>
      <c r="N239" s="319"/>
      <c r="O239" s="447"/>
      <c r="P239" s="269"/>
      <c r="Q239" s="297"/>
      <c r="X239" s="687"/>
      <c r="Y239" s="687"/>
    </row>
    <row r="240" spans="1:25" ht="16.5" customHeight="1" x14ac:dyDescent="0.25">
      <c r="A240" s="522"/>
      <c r="B240" s="537"/>
      <c r="C240" s="538"/>
      <c r="D240" s="520"/>
      <c r="E240" s="518"/>
      <c r="F240" s="106"/>
      <c r="G240" s="1469"/>
      <c r="H240" s="115" t="s">
        <v>21</v>
      </c>
      <c r="I240" s="115">
        <v>70</v>
      </c>
      <c r="J240" s="588"/>
      <c r="K240" s="88"/>
      <c r="L240" s="282"/>
      <c r="M240" s="1510"/>
      <c r="N240" s="100"/>
      <c r="O240" s="189"/>
      <c r="P240" s="435"/>
      <c r="Q240" s="292"/>
      <c r="X240" s="687"/>
      <c r="Y240" s="687"/>
    </row>
    <row r="241" spans="1:25" ht="27" customHeight="1" x14ac:dyDescent="0.25">
      <c r="A241" s="725"/>
      <c r="B241" s="727"/>
      <c r="C241" s="726"/>
      <c r="D241" s="724"/>
      <c r="E241" s="723"/>
      <c r="F241" s="106"/>
      <c r="G241" s="1469"/>
      <c r="H241" s="115" t="s">
        <v>21</v>
      </c>
      <c r="I241" s="115"/>
      <c r="J241" s="730">
        <v>48</v>
      </c>
      <c r="K241" s="88">
        <v>72</v>
      </c>
      <c r="L241" s="20">
        <v>96</v>
      </c>
      <c r="M241" s="728" t="s">
        <v>271</v>
      </c>
      <c r="N241" s="14"/>
      <c r="O241" s="731">
        <v>20</v>
      </c>
      <c r="P241" s="261">
        <v>30</v>
      </c>
      <c r="Q241" s="260">
        <v>40</v>
      </c>
      <c r="X241" s="687"/>
      <c r="Y241" s="687"/>
    </row>
    <row r="242" spans="1:25" ht="26.15" customHeight="1" x14ac:dyDescent="0.25">
      <c r="A242" s="522"/>
      <c r="B242" s="537"/>
      <c r="C242" s="538"/>
      <c r="D242" s="520"/>
      <c r="E242" s="518"/>
      <c r="F242" s="106"/>
      <c r="G242" s="1629"/>
      <c r="H242" s="295" t="s">
        <v>21</v>
      </c>
      <c r="I242" s="301">
        <f>128.4-86.2+0.6</f>
        <v>42.8</v>
      </c>
      <c r="J242" s="202"/>
      <c r="K242" s="88"/>
      <c r="L242" s="281"/>
      <c r="M242" s="354" t="s">
        <v>137</v>
      </c>
      <c r="N242" s="254">
        <v>4</v>
      </c>
      <c r="O242" s="176"/>
      <c r="P242" s="176"/>
      <c r="Q242" s="128"/>
    </row>
    <row r="243" spans="1:25" ht="26.15" customHeight="1" x14ac:dyDescent="0.25">
      <c r="A243" s="987"/>
      <c r="B243" s="988"/>
      <c r="C243" s="989"/>
      <c r="D243" s="990"/>
      <c r="E243" s="991"/>
      <c r="F243" s="106"/>
      <c r="G243" s="993"/>
      <c r="H243" s="115" t="s">
        <v>55</v>
      </c>
      <c r="I243" s="301"/>
      <c r="J243" s="202">
        <v>30</v>
      </c>
      <c r="K243" s="88"/>
      <c r="L243" s="281"/>
      <c r="M243" s="354" t="s">
        <v>315</v>
      </c>
      <c r="N243" s="254"/>
      <c r="O243" s="257">
        <v>100</v>
      </c>
      <c r="P243" s="191"/>
      <c r="Q243" s="81"/>
    </row>
    <row r="244" spans="1:25" ht="30" customHeight="1" x14ac:dyDescent="0.25">
      <c r="A244" s="522"/>
      <c r="B244" s="537"/>
      <c r="C244" s="538"/>
      <c r="D244" s="520"/>
      <c r="E244" s="518"/>
      <c r="F244" s="72"/>
      <c r="G244" s="530"/>
      <c r="H244" s="115" t="s">
        <v>62</v>
      </c>
      <c r="I244" s="115"/>
      <c r="J244" s="202">
        <v>15</v>
      </c>
      <c r="K244" s="88"/>
      <c r="L244" s="281"/>
      <c r="M244" s="354" t="s">
        <v>239</v>
      </c>
      <c r="N244" s="254"/>
      <c r="O244" s="188">
        <v>1</v>
      </c>
      <c r="P244" s="191"/>
      <c r="Q244" s="81"/>
    </row>
    <row r="245" spans="1:25" ht="28.5" customHeight="1" x14ac:dyDescent="0.25">
      <c r="A245" s="522"/>
      <c r="B245" s="537"/>
      <c r="C245" s="538"/>
      <c r="D245" s="520"/>
      <c r="E245" s="518"/>
      <c r="F245" s="72"/>
      <c r="G245" s="530"/>
      <c r="H245" s="115" t="s">
        <v>62</v>
      </c>
      <c r="I245" s="115"/>
      <c r="J245" s="384"/>
      <c r="K245" s="88">
        <v>200</v>
      </c>
      <c r="L245" s="281"/>
      <c r="M245" s="226" t="s">
        <v>240</v>
      </c>
      <c r="N245" s="254"/>
      <c r="O245" s="188"/>
      <c r="P245" s="191">
        <v>100</v>
      </c>
      <c r="Q245" s="81"/>
    </row>
    <row r="246" spans="1:25" ht="15" customHeight="1" x14ac:dyDescent="0.25">
      <c r="A246" s="522"/>
      <c r="B246" s="537"/>
      <c r="C246" s="538"/>
      <c r="D246" s="520"/>
      <c r="E246" s="518"/>
      <c r="F246" s="72"/>
      <c r="G246" s="530"/>
      <c r="H246" s="115" t="s">
        <v>62</v>
      </c>
      <c r="I246" s="115">
        <f>75+0.2</f>
        <v>75.2</v>
      </c>
      <c r="J246" s="558"/>
      <c r="K246" s="88"/>
      <c r="L246" s="281"/>
      <c r="M246" s="352" t="s">
        <v>39</v>
      </c>
      <c r="N246" s="254">
        <v>7</v>
      </c>
      <c r="O246" s="188"/>
      <c r="P246" s="191"/>
      <c r="Q246" s="81"/>
    </row>
    <row r="247" spans="1:25" ht="15" customHeight="1" x14ac:dyDescent="0.25">
      <c r="A247" s="810"/>
      <c r="B247" s="813"/>
      <c r="C247" s="811"/>
      <c r="D247" s="804"/>
      <c r="E247" s="808"/>
      <c r="F247" s="72"/>
      <c r="G247" s="814"/>
      <c r="H247" s="14" t="s">
        <v>62</v>
      </c>
      <c r="I247" s="14">
        <v>25.7</v>
      </c>
      <c r="J247" s="558">
        <v>369.8</v>
      </c>
      <c r="K247" s="88"/>
      <c r="L247" s="282"/>
      <c r="M247" s="226" t="s">
        <v>107</v>
      </c>
      <c r="N247" s="489">
        <v>1</v>
      </c>
      <c r="O247" s="170">
        <v>7</v>
      </c>
      <c r="P247" s="419"/>
      <c r="Q247" s="143"/>
    </row>
    <row r="248" spans="1:25" ht="15" customHeight="1" x14ac:dyDescent="0.25">
      <c r="A248" s="810"/>
      <c r="B248" s="813"/>
      <c r="C248" s="811"/>
      <c r="D248" s="804"/>
      <c r="E248" s="808"/>
      <c r="F248" s="72"/>
      <c r="G248" s="814"/>
      <c r="H248" s="115" t="s">
        <v>62</v>
      </c>
      <c r="I248" s="115"/>
      <c r="J248" s="202">
        <v>100</v>
      </c>
      <c r="K248" s="167">
        <v>100</v>
      </c>
      <c r="L248" s="292">
        <v>100</v>
      </c>
      <c r="M248" s="1471" t="s">
        <v>296</v>
      </c>
      <c r="N248" s="66"/>
      <c r="O248" s="840">
        <v>9</v>
      </c>
      <c r="P248" s="841">
        <v>9</v>
      </c>
      <c r="Q248" s="842">
        <v>9</v>
      </c>
    </row>
    <row r="249" spans="1:25" ht="15" customHeight="1" x14ac:dyDescent="0.25">
      <c r="A249" s="522"/>
      <c r="B249" s="537"/>
      <c r="C249" s="538"/>
      <c r="D249" s="863"/>
      <c r="E249" s="862"/>
      <c r="F249" s="72"/>
      <c r="G249" s="76"/>
      <c r="H249" s="115" t="s">
        <v>53</v>
      </c>
      <c r="I249" s="865"/>
      <c r="J249" s="91">
        <v>18.5</v>
      </c>
      <c r="K249" s="167">
        <v>20</v>
      </c>
      <c r="L249" s="282">
        <v>20</v>
      </c>
      <c r="M249" s="1471"/>
      <c r="N249" s="870"/>
      <c r="O249" s="169"/>
      <c r="P249" s="198"/>
      <c r="Q249" s="871"/>
    </row>
    <row r="250" spans="1:25" ht="15" customHeight="1" x14ac:dyDescent="0.25">
      <c r="A250" s="861"/>
      <c r="B250" s="867"/>
      <c r="C250" s="864"/>
      <c r="D250" s="863"/>
      <c r="E250" s="862"/>
      <c r="F250" s="72"/>
      <c r="G250" s="76"/>
      <c r="H250" s="14" t="s">
        <v>21</v>
      </c>
      <c r="I250" s="865"/>
      <c r="J250" s="558">
        <f>4.1</f>
        <v>4.0999999999999996</v>
      </c>
      <c r="K250" s="91">
        <v>4.5</v>
      </c>
      <c r="L250" s="384">
        <v>5.5</v>
      </c>
      <c r="M250" s="1605" t="s">
        <v>203</v>
      </c>
      <c r="N250" s="265"/>
      <c r="O250" s="188">
        <v>4</v>
      </c>
      <c r="P250" s="175">
        <v>4</v>
      </c>
      <c r="Q250" s="148">
        <v>5</v>
      </c>
    </row>
    <row r="251" spans="1:25" ht="27.75" customHeight="1" x14ac:dyDescent="0.25">
      <c r="A251" s="861"/>
      <c r="B251" s="867"/>
      <c r="C251" s="864"/>
      <c r="D251" s="863"/>
      <c r="E251" s="862"/>
      <c r="F251" s="72"/>
      <c r="G251" s="76"/>
      <c r="H251" s="866"/>
      <c r="I251" s="866"/>
      <c r="J251" s="82"/>
      <c r="K251" s="82"/>
      <c r="L251" s="25"/>
      <c r="M251" s="1472"/>
      <c r="N251" s="250"/>
      <c r="O251" s="172"/>
      <c r="P251" s="179"/>
      <c r="Q251" s="67"/>
    </row>
    <row r="252" spans="1:25" ht="16.5" customHeight="1" x14ac:dyDescent="0.25">
      <c r="A252" s="522"/>
      <c r="B252" s="537"/>
      <c r="C252" s="538"/>
      <c r="D252" s="1463" t="s">
        <v>5</v>
      </c>
      <c r="E252" s="1658" t="s">
        <v>69</v>
      </c>
      <c r="F252" s="534" t="s">
        <v>194</v>
      </c>
      <c r="G252" s="1659" t="s">
        <v>121</v>
      </c>
      <c r="H252" s="61" t="s">
        <v>53</v>
      </c>
      <c r="I252" s="61">
        <v>8</v>
      </c>
      <c r="J252" s="181">
        <v>8</v>
      </c>
      <c r="K252" s="84">
        <v>8</v>
      </c>
      <c r="L252" s="235">
        <v>8</v>
      </c>
      <c r="M252" s="1551" t="s">
        <v>144</v>
      </c>
      <c r="N252" s="267">
        <v>14</v>
      </c>
      <c r="O252" s="178">
        <v>14</v>
      </c>
      <c r="P252" s="178">
        <v>14</v>
      </c>
      <c r="Q252" s="65">
        <v>14</v>
      </c>
    </row>
    <row r="253" spans="1:25" ht="16.5" customHeight="1" x14ac:dyDescent="0.25">
      <c r="A253" s="546"/>
      <c r="B253" s="537"/>
      <c r="C253" s="44"/>
      <c r="D253" s="1465"/>
      <c r="E253" s="1487"/>
      <c r="F253" s="536" t="s">
        <v>220</v>
      </c>
      <c r="G253" s="1656"/>
      <c r="H253" s="532"/>
      <c r="I253" s="14"/>
      <c r="J253" s="559"/>
      <c r="K253" s="168"/>
      <c r="L253" s="146"/>
      <c r="M253" s="1477"/>
      <c r="N253" s="250"/>
      <c r="O253" s="169"/>
      <c r="P253" s="175"/>
      <c r="Q253" s="66"/>
    </row>
    <row r="254" spans="1:25" ht="17.149999999999999" customHeight="1" x14ac:dyDescent="0.25">
      <c r="A254" s="546"/>
      <c r="B254" s="537"/>
      <c r="C254" s="42"/>
      <c r="D254" s="520" t="s">
        <v>24</v>
      </c>
      <c r="E254" s="1480" t="s">
        <v>77</v>
      </c>
      <c r="F254" s="535" t="s">
        <v>194</v>
      </c>
      <c r="G254" s="1656"/>
      <c r="H254" s="14" t="s">
        <v>21</v>
      </c>
      <c r="I254" s="61">
        <f>75-30</f>
        <v>45</v>
      </c>
      <c r="J254" s="91">
        <v>45.7</v>
      </c>
      <c r="K254" s="112">
        <v>50</v>
      </c>
      <c r="L254" s="384">
        <v>55</v>
      </c>
      <c r="M254" s="351" t="s">
        <v>145</v>
      </c>
      <c r="N254" s="248">
        <v>6</v>
      </c>
      <c r="O254" s="183">
        <v>6</v>
      </c>
      <c r="P254" s="183">
        <v>6</v>
      </c>
      <c r="Q254" s="140">
        <v>6</v>
      </c>
    </row>
    <row r="255" spans="1:25" ht="17.149999999999999" customHeight="1" x14ac:dyDescent="0.25">
      <c r="A255" s="546"/>
      <c r="B255" s="537"/>
      <c r="C255" s="42"/>
      <c r="D255" s="520"/>
      <c r="E255" s="1481"/>
      <c r="F255" s="536" t="s">
        <v>220</v>
      </c>
      <c r="G255" s="711"/>
      <c r="H255" s="14"/>
      <c r="I255" s="14"/>
      <c r="J255" s="91"/>
      <c r="K255" s="112"/>
      <c r="L255" s="384"/>
      <c r="M255" s="352"/>
      <c r="N255" s="255"/>
      <c r="O255" s="186"/>
      <c r="P255" s="400"/>
      <c r="Q255" s="139"/>
    </row>
    <row r="256" spans="1:25" ht="15" customHeight="1" x14ac:dyDescent="0.25">
      <c r="A256" s="522"/>
      <c r="B256" s="537"/>
      <c r="C256" s="538"/>
      <c r="D256" s="519" t="s">
        <v>28</v>
      </c>
      <c r="E256" s="1493" t="s">
        <v>64</v>
      </c>
      <c r="F256" s="534" t="s">
        <v>194</v>
      </c>
      <c r="G256" s="1468" t="s">
        <v>86</v>
      </c>
      <c r="H256" s="61" t="s">
        <v>53</v>
      </c>
      <c r="I256" s="61">
        <f>727.4-79+306.5</f>
        <v>954.9</v>
      </c>
      <c r="J256" s="624">
        <v>938.9</v>
      </c>
      <c r="K256" s="625">
        <v>960</v>
      </c>
      <c r="L256" s="626">
        <v>980</v>
      </c>
      <c r="M256" s="351" t="s">
        <v>73</v>
      </c>
      <c r="N256" s="488">
        <v>173</v>
      </c>
      <c r="O256" s="183">
        <v>173</v>
      </c>
      <c r="P256" s="183">
        <v>173</v>
      </c>
      <c r="Q256" s="140">
        <v>173</v>
      </c>
    </row>
    <row r="257" spans="1:17" ht="15" customHeight="1" x14ac:dyDescent="0.25">
      <c r="A257" s="546"/>
      <c r="B257" s="537"/>
      <c r="C257" s="44"/>
      <c r="D257" s="521"/>
      <c r="E257" s="1552"/>
      <c r="F257" s="536" t="s">
        <v>125</v>
      </c>
      <c r="G257" s="1469"/>
      <c r="H257" s="132" t="s">
        <v>55</v>
      </c>
      <c r="I257" s="132">
        <f>106.4-8.7</f>
        <v>97.7</v>
      </c>
      <c r="J257" s="91">
        <v>65.8</v>
      </c>
      <c r="K257" s="197"/>
      <c r="L257" s="384"/>
      <c r="M257" s="353"/>
      <c r="N257" s="487"/>
      <c r="O257" s="398"/>
      <c r="P257" s="262"/>
      <c r="Q257" s="397"/>
    </row>
    <row r="258" spans="1:17" ht="17.25" customHeight="1" x14ac:dyDescent="0.25">
      <c r="A258" s="1473"/>
      <c r="B258" s="1462"/>
      <c r="C258" s="1489"/>
      <c r="D258" s="1490" t="s">
        <v>29</v>
      </c>
      <c r="E258" s="1482" t="s">
        <v>231</v>
      </c>
      <c r="F258" s="329" t="s">
        <v>91</v>
      </c>
      <c r="G258" s="1468" t="s">
        <v>48</v>
      </c>
      <c r="H258" s="14" t="s">
        <v>21</v>
      </c>
      <c r="I258" s="14">
        <v>140.69999999999999</v>
      </c>
      <c r="J258" s="181">
        <v>159.30000000000001</v>
      </c>
      <c r="K258" s="112">
        <v>206</v>
      </c>
      <c r="L258" s="182">
        <v>199.4</v>
      </c>
      <c r="M258" s="352" t="s">
        <v>52</v>
      </c>
      <c r="N258" s="482">
        <v>18</v>
      </c>
      <c r="O258" s="183">
        <v>18</v>
      </c>
      <c r="P258" s="183">
        <v>18</v>
      </c>
      <c r="Q258" s="140"/>
    </row>
    <row r="259" spans="1:17" ht="17.25" customHeight="1" x14ac:dyDescent="0.25">
      <c r="A259" s="1473"/>
      <c r="B259" s="1462"/>
      <c r="C259" s="1489"/>
      <c r="D259" s="1491"/>
      <c r="E259" s="1483"/>
      <c r="F259" s="535" t="s">
        <v>160</v>
      </c>
      <c r="G259" s="1469"/>
      <c r="H259" s="100"/>
      <c r="I259" s="14"/>
      <c r="J259" s="166"/>
      <c r="K259" s="112"/>
      <c r="L259" s="235"/>
      <c r="M259" s="354" t="s">
        <v>57</v>
      </c>
      <c r="N259" s="254">
        <v>7</v>
      </c>
      <c r="O259" s="176">
        <v>7</v>
      </c>
      <c r="P259" s="176">
        <v>7</v>
      </c>
      <c r="Q259" s="81">
        <v>7</v>
      </c>
    </row>
    <row r="260" spans="1:17" ht="17.25" customHeight="1" x14ac:dyDescent="0.25">
      <c r="A260" s="1473"/>
      <c r="B260" s="1462"/>
      <c r="C260" s="1489"/>
      <c r="D260" s="1491"/>
      <c r="E260" s="1483"/>
      <c r="F260" s="93" t="s">
        <v>125</v>
      </c>
      <c r="G260" s="1469"/>
      <c r="H260" s="1606" t="s">
        <v>21</v>
      </c>
      <c r="I260" s="1608">
        <f>30-18</f>
        <v>12</v>
      </c>
      <c r="J260" s="558"/>
      <c r="K260" s="88"/>
      <c r="L260" s="281"/>
      <c r="M260" s="1476" t="s">
        <v>200</v>
      </c>
      <c r="N260" s="265">
        <v>2</v>
      </c>
      <c r="O260" s="188"/>
      <c r="P260" s="191"/>
      <c r="Q260" s="81"/>
    </row>
    <row r="261" spans="1:17" ht="16.5" customHeight="1" x14ac:dyDescent="0.25">
      <c r="A261" s="1473"/>
      <c r="B261" s="1462"/>
      <c r="C261" s="1489"/>
      <c r="D261" s="1492"/>
      <c r="E261" s="1515"/>
      <c r="F261" s="535" t="s">
        <v>194</v>
      </c>
      <c r="G261" s="1496"/>
      <c r="H261" s="1607"/>
      <c r="I261" s="1609"/>
      <c r="J261" s="559"/>
      <c r="K261" s="168"/>
      <c r="L261" s="146"/>
      <c r="M261" s="1477"/>
      <c r="N261" s="116"/>
      <c r="O261" s="136"/>
      <c r="P261" s="101"/>
      <c r="Q261" s="133"/>
    </row>
    <row r="262" spans="1:17" ht="27.65" customHeight="1" x14ac:dyDescent="0.25">
      <c r="A262" s="546"/>
      <c r="B262" s="537"/>
      <c r="C262" s="41"/>
      <c r="D262" s="83" t="s">
        <v>30</v>
      </c>
      <c r="E262" s="96" t="s">
        <v>147</v>
      </c>
      <c r="F262" s="327" t="s">
        <v>194</v>
      </c>
      <c r="G262" s="1468" t="s">
        <v>86</v>
      </c>
      <c r="H262" s="58" t="s">
        <v>53</v>
      </c>
      <c r="I262" s="58">
        <v>35.200000000000003</v>
      </c>
      <c r="J262" s="91">
        <v>21.8</v>
      </c>
      <c r="K262" s="112"/>
      <c r="L262" s="384"/>
      <c r="M262" s="355" t="s">
        <v>148</v>
      </c>
      <c r="N262" s="263">
        <v>9</v>
      </c>
      <c r="O262" s="607">
        <v>6</v>
      </c>
      <c r="P262" s="607"/>
      <c r="Q262" s="608"/>
    </row>
    <row r="263" spans="1:17" ht="26" x14ac:dyDescent="0.25">
      <c r="A263" s="546"/>
      <c r="B263" s="523"/>
      <c r="C263" s="131"/>
      <c r="D263" s="594" t="s">
        <v>31</v>
      </c>
      <c r="E263" s="1480" t="s">
        <v>190</v>
      </c>
      <c r="F263" s="534" t="s">
        <v>194</v>
      </c>
      <c r="G263" s="1469"/>
      <c r="H263" s="14" t="s">
        <v>53</v>
      </c>
      <c r="I263" s="61">
        <f>20-1.5</f>
        <v>18.5</v>
      </c>
      <c r="J263" s="181">
        <v>23</v>
      </c>
      <c r="K263" s="84">
        <v>23</v>
      </c>
      <c r="L263" s="182">
        <v>23</v>
      </c>
      <c r="M263" s="351" t="s">
        <v>201</v>
      </c>
      <c r="N263" s="609">
        <v>3</v>
      </c>
      <c r="O263" s="611"/>
      <c r="P263" s="612"/>
      <c r="Q263" s="613"/>
    </row>
    <row r="264" spans="1:17" ht="14.25" customHeight="1" x14ac:dyDescent="0.25">
      <c r="A264" s="598"/>
      <c r="B264" s="593"/>
      <c r="C264" s="131"/>
      <c r="D264" s="595"/>
      <c r="E264" s="1481"/>
      <c r="F264" s="597"/>
      <c r="G264" s="809"/>
      <c r="H264" s="596"/>
      <c r="I264" s="14"/>
      <c r="J264" s="91"/>
      <c r="K264" s="168"/>
      <c r="L264" s="20"/>
      <c r="M264" s="227" t="s">
        <v>259</v>
      </c>
      <c r="N264" s="843"/>
      <c r="O264" s="614">
        <v>1</v>
      </c>
      <c r="P264" s="615">
        <v>1</v>
      </c>
      <c r="Q264" s="610">
        <v>1</v>
      </c>
    </row>
    <row r="265" spans="1:17" ht="15" customHeight="1" x14ac:dyDescent="0.25">
      <c r="A265" s="810"/>
      <c r="B265" s="813"/>
      <c r="C265" s="811"/>
      <c r="D265" s="807"/>
      <c r="E265" s="805" t="s">
        <v>49</v>
      </c>
      <c r="F265" s="812" t="s">
        <v>194</v>
      </c>
      <c r="G265" s="1656"/>
      <c r="H265" s="14" t="s">
        <v>62</v>
      </c>
      <c r="I265" s="232">
        <f>100+32</f>
        <v>132</v>
      </c>
      <c r="J265" s="239"/>
      <c r="K265" s="113"/>
      <c r="L265" s="278"/>
      <c r="M265" s="228" t="s">
        <v>56</v>
      </c>
      <c r="N265" s="260">
        <v>1.2</v>
      </c>
      <c r="O265" s="816"/>
      <c r="P265" s="816"/>
      <c r="Q265" s="260"/>
    </row>
    <row r="266" spans="1:17" ht="15" customHeight="1" x14ac:dyDescent="0.25">
      <c r="A266" s="810"/>
      <c r="B266" s="813"/>
      <c r="C266" s="811"/>
      <c r="D266" s="804"/>
      <c r="E266" s="805"/>
      <c r="F266" s="812"/>
      <c r="G266" s="1656"/>
      <c r="H266" s="115" t="s">
        <v>21</v>
      </c>
      <c r="I266" s="14">
        <v>17.5</v>
      </c>
      <c r="J266" s="202"/>
      <c r="K266" s="91"/>
      <c r="L266" s="235"/>
      <c r="M266" s="634"/>
      <c r="N266" s="260"/>
      <c r="O266" s="454"/>
      <c r="P266" s="552"/>
      <c r="Q266" s="260"/>
    </row>
    <row r="267" spans="1:17" ht="15" customHeight="1" x14ac:dyDescent="0.25">
      <c r="A267" s="810"/>
      <c r="B267" s="813"/>
      <c r="C267" s="811"/>
      <c r="D267" s="804"/>
      <c r="E267" s="806"/>
      <c r="F267" s="815" t="s">
        <v>125</v>
      </c>
      <c r="G267" s="1657"/>
      <c r="H267" s="132" t="s">
        <v>53</v>
      </c>
      <c r="I267" s="132">
        <v>18</v>
      </c>
      <c r="J267" s="91"/>
      <c r="K267" s="197"/>
      <c r="L267" s="293"/>
      <c r="M267" s="224"/>
      <c r="N267" s="66"/>
      <c r="O267" s="169"/>
      <c r="P267" s="175"/>
      <c r="Q267" s="66"/>
    </row>
    <row r="268" spans="1:17" ht="18" customHeight="1" thickBot="1" x14ac:dyDescent="0.3">
      <c r="A268" s="15"/>
      <c r="B268" s="54"/>
      <c r="C268" s="43"/>
      <c r="D268" s="123"/>
      <c r="E268" s="124"/>
      <c r="F268" s="125"/>
      <c r="G268" s="126"/>
      <c r="H268" s="24" t="s">
        <v>4</v>
      </c>
      <c r="I268" s="99">
        <f>SUM(I234:I267)</f>
        <v>2278</v>
      </c>
      <c r="J268" s="242">
        <f>SUM(J234:J267)</f>
        <v>2423.5</v>
      </c>
      <c r="K268" s="90">
        <f>SUM(K234:K267)</f>
        <v>2298.5</v>
      </c>
      <c r="L268" s="241">
        <f>SUM(L234:L267)</f>
        <v>2141.9</v>
      </c>
      <c r="M268" s="356"/>
      <c r="N268" s="483"/>
      <c r="O268" s="209"/>
      <c r="P268" s="211"/>
      <c r="Q268" s="151"/>
    </row>
    <row r="269" spans="1:17" ht="15.65" customHeight="1" x14ac:dyDescent="0.25">
      <c r="A269" s="64" t="s">
        <v>3</v>
      </c>
      <c r="B269" s="59" t="s">
        <v>24</v>
      </c>
      <c r="C269" s="47" t="s">
        <v>5</v>
      </c>
      <c r="D269" s="62"/>
      <c r="E269" s="120" t="s">
        <v>115</v>
      </c>
      <c r="F269" s="121"/>
      <c r="G269" s="371"/>
      <c r="H269" s="46"/>
      <c r="I269" s="407"/>
      <c r="J269" s="91"/>
      <c r="K269" s="112"/>
      <c r="L269" s="384"/>
      <c r="M269" s="357"/>
      <c r="N269" s="19"/>
      <c r="O269" s="399"/>
      <c r="P269" s="401"/>
      <c r="Q269" s="152"/>
    </row>
    <row r="270" spans="1:17" ht="15.65" customHeight="1" x14ac:dyDescent="0.25">
      <c r="A270" s="526"/>
      <c r="B270" s="527"/>
      <c r="C270" s="524"/>
      <c r="D270" s="1463" t="s">
        <v>3</v>
      </c>
      <c r="E270" s="103" t="s">
        <v>152</v>
      </c>
      <c r="F270" s="92" t="s">
        <v>113</v>
      </c>
      <c r="G270" s="76"/>
      <c r="H270" s="58"/>
      <c r="I270" s="58"/>
      <c r="J270" s="414"/>
      <c r="K270" s="415"/>
      <c r="L270" s="416"/>
      <c r="M270" s="358"/>
      <c r="N270" s="486"/>
      <c r="O270" s="216"/>
      <c r="P270" s="219"/>
      <c r="Q270" s="156"/>
    </row>
    <row r="271" spans="1:17" ht="15" customHeight="1" x14ac:dyDescent="0.25">
      <c r="A271" s="526"/>
      <c r="B271" s="527"/>
      <c r="C271" s="524"/>
      <c r="D271" s="1464"/>
      <c r="E271" s="1651" t="s">
        <v>153</v>
      </c>
      <c r="F271" s="93" t="s">
        <v>40</v>
      </c>
      <c r="G271" s="1468" t="s">
        <v>86</v>
      </c>
      <c r="H271" s="555" t="s">
        <v>53</v>
      </c>
      <c r="I271" s="14">
        <v>928</v>
      </c>
      <c r="J271" s="91"/>
      <c r="K271" s="98"/>
      <c r="L271" s="278"/>
      <c r="M271" s="1511" t="s">
        <v>214</v>
      </c>
      <c r="N271" s="154">
        <v>100</v>
      </c>
      <c r="O271" s="589"/>
      <c r="P271" s="590"/>
      <c r="Q271" s="154"/>
    </row>
    <row r="272" spans="1:17" ht="15" customHeight="1" x14ac:dyDescent="0.25">
      <c r="A272" s="526"/>
      <c r="B272" s="527"/>
      <c r="C272" s="524"/>
      <c r="D272" s="1464"/>
      <c r="E272" s="1652"/>
      <c r="F272" s="535" t="s">
        <v>125</v>
      </c>
      <c r="G272" s="1469"/>
      <c r="H272" s="531" t="s">
        <v>55</v>
      </c>
      <c r="I272" s="531">
        <f>199.9+30</f>
        <v>229.9</v>
      </c>
      <c r="J272" s="558"/>
      <c r="K272" s="384"/>
      <c r="L272" s="235"/>
      <c r="M272" s="1512"/>
      <c r="N272" s="155"/>
      <c r="O272" s="591"/>
      <c r="P272" s="592"/>
      <c r="Q272" s="155"/>
    </row>
    <row r="273" spans="1:25" ht="15" customHeight="1" x14ac:dyDescent="0.25">
      <c r="A273" s="526"/>
      <c r="B273" s="527"/>
      <c r="C273" s="524"/>
      <c r="D273" s="1464"/>
      <c r="E273" s="1652"/>
      <c r="F273" s="93" t="s">
        <v>194</v>
      </c>
      <c r="G273" s="1469"/>
      <c r="I273" s="314"/>
      <c r="J273" s="189"/>
      <c r="K273" s="113"/>
      <c r="L273" s="292"/>
      <c r="M273" s="359"/>
      <c r="N273" s="485"/>
      <c r="O273" s="217"/>
      <c r="P273" s="220"/>
      <c r="Q273" s="153"/>
    </row>
    <row r="274" spans="1:25" ht="15" customHeight="1" x14ac:dyDescent="0.25">
      <c r="A274" s="605"/>
      <c r="B274" s="606"/>
      <c r="C274" s="604"/>
      <c r="D274" s="1464"/>
      <c r="E274" s="1497" t="s">
        <v>155</v>
      </c>
      <c r="F274" s="93"/>
      <c r="G274" s="1469"/>
      <c r="H274" s="295" t="s">
        <v>55</v>
      </c>
      <c r="I274" s="114"/>
      <c r="J274" s="166">
        <v>11</v>
      </c>
      <c r="K274" s="167"/>
      <c r="L274" s="235"/>
      <c r="M274" s="449" t="s">
        <v>156</v>
      </c>
      <c r="N274" s="254">
        <v>12</v>
      </c>
      <c r="O274" s="188">
        <v>12</v>
      </c>
      <c r="P274" s="191">
        <v>12</v>
      </c>
      <c r="Q274" s="81">
        <v>12</v>
      </c>
    </row>
    <row r="275" spans="1:25" ht="45.75" customHeight="1" x14ac:dyDescent="0.25">
      <c r="A275" s="526"/>
      <c r="B275" s="527"/>
      <c r="C275" s="524"/>
      <c r="D275" s="1464"/>
      <c r="E275" s="1498"/>
      <c r="F275" s="93"/>
      <c r="G275" s="1469"/>
      <c r="H275" s="108" t="s">
        <v>53</v>
      </c>
      <c r="I275" s="301">
        <v>133.1</v>
      </c>
      <c r="J275" s="202">
        <f>133.1+-J274</f>
        <v>122.1</v>
      </c>
      <c r="K275" s="112">
        <v>133.1</v>
      </c>
      <c r="L275" s="282">
        <v>133.1</v>
      </c>
      <c r="M275" s="449"/>
      <c r="N275" s="254"/>
      <c r="O275" s="188"/>
      <c r="P275" s="191"/>
      <c r="Q275" s="81"/>
    </row>
    <row r="276" spans="1:25" ht="14.25" customHeight="1" x14ac:dyDescent="0.25">
      <c r="A276" s="526"/>
      <c r="B276" s="527"/>
      <c r="C276" s="524"/>
      <c r="D276" s="1464"/>
      <c r="E276" s="1654" t="s">
        <v>154</v>
      </c>
      <c r="F276" s="93"/>
      <c r="G276" s="1616" t="s">
        <v>119</v>
      </c>
      <c r="H276" s="100" t="s">
        <v>226</v>
      </c>
      <c r="I276" s="167">
        <v>67.2</v>
      </c>
      <c r="J276" s="502"/>
      <c r="K276" s="409"/>
      <c r="L276" s="410"/>
      <c r="M276" s="1513" t="s">
        <v>214</v>
      </c>
      <c r="N276" s="81">
        <v>100</v>
      </c>
      <c r="O276" s="188">
        <v>100</v>
      </c>
      <c r="P276" s="191"/>
      <c r="Q276" s="81"/>
    </row>
    <row r="277" spans="1:25" ht="14.25" customHeight="1" x14ac:dyDescent="0.25">
      <c r="A277" s="526"/>
      <c r="B277" s="527"/>
      <c r="C277" s="524"/>
      <c r="D277" s="1464"/>
      <c r="E277" s="1655"/>
      <c r="F277" s="93"/>
      <c r="G277" s="1469"/>
      <c r="H277" s="100" t="s">
        <v>168</v>
      </c>
      <c r="I277" s="167">
        <v>182.6</v>
      </c>
      <c r="J277" s="503"/>
      <c r="K277" s="504"/>
      <c r="L277" s="505"/>
      <c r="M277" s="1514"/>
      <c r="N277" s="66"/>
      <c r="O277" s="169"/>
      <c r="P277" s="175"/>
      <c r="Q277" s="66"/>
    </row>
    <row r="278" spans="1:25" ht="14.25" customHeight="1" x14ac:dyDescent="0.25">
      <c r="A278" s="526"/>
      <c r="B278" s="527"/>
      <c r="C278" s="524"/>
      <c r="D278" s="1464"/>
      <c r="E278" s="528"/>
      <c r="F278" s="93"/>
      <c r="G278" s="1469"/>
      <c r="H278" s="100" t="s">
        <v>46</v>
      </c>
      <c r="I278" s="112">
        <f>230.1+20</f>
        <v>250.1</v>
      </c>
      <c r="J278" s="202">
        <v>150</v>
      </c>
      <c r="K278" s="167"/>
      <c r="L278" s="281"/>
      <c r="M278" s="1514"/>
      <c r="N278" s="66"/>
      <c r="O278" s="169"/>
      <c r="P278" s="175"/>
      <c r="Q278" s="66"/>
    </row>
    <row r="279" spans="1:25" ht="14.25" customHeight="1" x14ac:dyDescent="0.25">
      <c r="A279" s="526"/>
      <c r="B279" s="527"/>
      <c r="C279" s="524"/>
      <c r="D279" s="1464"/>
      <c r="E279" s="528"/>
      <c r="F279" s="93"/>
      <c r="G279" s="1653"/>
      <c r="H279" s="100" t="s">
        <v>21</v>
      </c>
      <c r="I279" s="429">
        <f>19.6+20</f>
        <v>39.6</v>
      </c>
      <c r="J279" s="202"/>
      <c r="K279" s="91"/>
      <c r="L279" s="282"/>
      <c r="M279" s="1514"/>
      <c r="N279" s="66"/>
      <c r="O279" s="169"/>
      <c r="P279" s="175"/>
      <c r="Q279" s="66"/>
    </row>
    <row r="280" spans="1:25" ht="15.65" customHeight="1" x14ac:dyDescent="0.25">
      <c r="A280" s="526"/>
      <c r="B280" s="527"/>
      <c r="C280" s="524"/>
      <c r="D280" s="1464"/>
      <c r="E280" s="104"/>
      <c r="F280" s="93"/>
      <c r="G280" s="1516" t="s">
        <v>122</v>
      </c>
      <c r="H280" s="115" t="s">
        <v>62</v>
      </c>
      <c r="I280" s="167">
        <f>1200+100</f>
        <v>1300</v>
      </c>
      <c r="J280" s="202"/>
      <c r="K280" s="167"/>
      <c r="L280" s="384"/>
      <c r="M280" s="1514"/>
      <c r="N280" s="66"/>
      <c r="O280" s="169"/>
      <c r="P280" s="175"/>
      <c r="Q280" s="66"/>
    </row>
    <row r="281" spans="1:25" ht="15.65" customHeight="1" x14ac:dyDescent="0.25">
      <c r="A281" s="526"/>
      <c r="B281" s="527"/>
      <c r="C281" s="524"/>
      <c r="D281" s="1465"/>
      <c r="E281" s="104"/>
      <c r="F281" s="93"/>
      <c r="G281" s="1517"/>
      <c r="H281" s="532" t="s">
        <v>53</v>
      </c>
      <c r="I281" s="432">
        <v>196</v>
      </c>
      <c r="J281" s="883"/>
      <c r="K281" s="304"/>
      <c r="L281" s="884"/>
      <c r="M281" s="360"/>
      <c r="N281" s="250"/>
      <c r="O281" s="172"/>
      <c r="P281" s="179"/>
      <c r="Q281" s="147"/>
    </row>
    <row r="282" spans="1:25" ht="15" customHeight="1" x14ac:dyDescent="0.25">
      <c r="A282" s="1473"/>
      <c r="B282" s="1462"/>
      <c r="C282" s="1489"/>
      <c r="D282" s="1490" t="s">
        <v>5</v>
      </c>
      <c r="E282" s="1493" t="s">
        <v>88</v>
      </c>
      <c r="F282" s="534" t="s">
        <v>125</v>
      </c>
      <c r="G282" s="1468" t="s">
        <v>86</v>
      </c>
      <c r="H282" s="61" t="s">
        <v>53</v>
      </c>
      <c r="I282" s="61">
        <v>156</v>
      </c>
      <c r="J282" s="705">
        <v>350</v>
      </c>
      <c r="K282" s="898">
        <v>432.4</v>
      </c>
      <c r="L282" s="776">
        <v>852.1</v>
      </c>
      <c r="M282" s="1470" t="s">
        <v>90</v>
      </c>
      <c r="N282" s="267">
        <v>16</v>
      </c>
      <c r="O282" s="171">
        <v>16</v>
      </c>
      <c r="P282" s="590">
        <v>31</v>
      </c>
      <c r="Q282" s="155">
        <v>70</v>
      </c>
      <c r="X282" s="687"/>
      <c r="Y282" s="687"/>
    </row>
    <row r="283" spans="1:25" ht="15" customHeight="1" x14ac:dyDescent="0.25">
      <c r="A283" s="1473"/>
      <c r="B283" s="1462"/>
      <c r="C283" s="1489"/>
      <c r="D283" s="1491"/>
      <c r="E283" s="1494"/>
      <c r="F283" s="343"/>
      <c r="G283" s="1469"/>
      <c r="H283" s="115"/>
      <c r="I283" s="115"/>
      <c r="J283" s="166"/>
      <c r="K283" s="899"/>
      <c r="L283" s="550"/>
      <c r="M283" s="1510"/>
      <c r="N283" s="462"/>
      <c r="O283" s="674"/>
      <c r="P283" s="198"/>
      <c r="Q283" s="66"/>
      <c r="X283" s="687"/>
      <c r="Y283" s="687"/>
    </row>
    <row r="284" spans="1:25" ht="29.25" customHeight="1" x14ac:dyDescent="0.25">
      <c r="A284" s="1473"/>
      <c r="B284" s="1462"/>
      <c r="C284" s="1489"/>
      <c r="D284" s="1491"/>
      <c r="E284" s="1494"/>
      <c r="F284" s="343" t="s">
        <v>106</v>
      </c>
      <c r="G284" s="1469"/>
      <c r="H284" s="115" t="s">
        <v>55</v>
      </c>
      <c r="I284" s="115"/>
      <c r="J284" s="202">
        <v>13.3</v>
      </c>
      <c r="K284" s="113"/>
      <c r="L284" s="282"/>
      <c r="M284" s="359" t="s">
        <v>136</v>
      </c>
      <c r="N284" s="254">
        <v>5</v>
      </c>
      <c r="O284" s="170">
        <v>5</v>
      </c>
      <c r="P284" s="175">
        <v>5</v>
      </c>
      <c r="Q284" s="143">
        <v>5</v>
      </c>
      <c r="X284" s="587"/>
      <c r="Y284" s="587"/>
    </row>
    <row r="285" spans="1:25" ht="15" customHeight="1" x14ac:dyDescent="0.25">
      <c r="A285" s="1473"/>
      <c r="B285" s="1462"/>
      <c r="C285" s="1489"/>
      <c r="D285" s="1491"/>
      <c r="E285" s="1494"/>
      <c r="F285" s="343" t="s">
        <v>194</v>
      </c>
      <c r="G285" s="1469"/>
      <c r="H285" s="115" t="s">
        <v>55</v>
      </c>
      <c r="I285" s="889">
        <v>36.700000000000003</v>
      </c>
      <c r="J285" s="202"/>
      <c r="K285" s="167"/>
      <c r="L285" s="282"/>
      <c r="M285" s="363" t="s">
        <v>149</v>
      </c>
      <c r="N285" s="265">
        <v>5</v>
      </c>
      <c r="O285" s="947">
        <v>15</v>
      </c>
      <c r="P285" s="948">
        <v>39</v>
      </c>
      <c r="Q285" s="155">
        <v>32</v>
      </c>
    </row>
    <row r="286" spans="1:25" ht="15" customHeight="1" x14ac:dyDescent="0.25">
      <c r="A286" s="1473"/>
      <c r="B286" s="1462"/>
      <c r="C286" s="1489"/>
      <c r="D286" s="1492"/>
      <c r="E286" s="1495"/>
      <c r="F286" s="535" t="s">
        <v>160</v>
      </c>
      <c r="G286" s="1496"/>
      <c r="H286" s="556" t="s">
        <v>53</v>
      </c>
      <c r="I286" s="900"/>
      <c r="J286" s="549">
        <v>142.5</v>
      </c>
      <c r="K286" s="898">
        <v>327.60000000000002</v>
      </c>
      <c r="L286" s="946">
        <v>290.89999999999998</v>
      </c>
      <c r="M286" s="333"/>
      <c r="N286" s="237"/>
      <c r="O286" s="137"/>
      <c r="P286" s="174"/>
      <c r="Q286" s="135"/>
    </row>
    <row r="287" spans="1:25" ht="26.25" customHeight="1" x14ac:dyDescent="0.25">
      <c r="A287" s="546"/>
      <c r="B287" s="523"/>
      <c r="C287" s="157"/>
      <c r="D287" s="1463" t="s">
        <v>24</v>
      </c>
      <c r="E287" s="1493" t="s">
        <v>170</v>
      </c>
      <c r="F287" s="49" t="s">
        <v>221</v>
      </c>
      <c r="G287" s="1468" t="s">
        <v>121</v>
      </c>
      <c r="H287" s="61" t="s">
        <v>21</v>
      </c>
      <c r="I287" s="14">
        <f>200-20</f>
        <v>180</v>
      </c>
      <c r="J287" s="239">
        <v>100.7</v>
      </c>
      <c r="K287" s="98"/>
      <c r="L287" s="278"/>
      <c r="M287" s="362" t="s">
        <v>171</v>
      </c>
      <c r="N287" s="249">
        <v>1</v>
      </c>
      <c r="O287" s="169"/>
      <c r="P287" s="175"/>
      <c r="Q287" s="66"/>
    </row>
    <row r="288" spans="1:25" ht="16.399999999999999" customHeight="1" x14ac:dyDescent="0.25">
      <c r="A288" s="546"/>
      <c r="B288" s="523"/>
      <c r="C288" s="157"/>
      <c r="D288" s="1464"/>
      <c r="E288" s="1494"/>
      <c r="F288" s="102" t="s">
        <v>194</v>
      </c>
      <c r="G288" s="1469"/>
      <c r="H288" s="115" t="s">
        <v>46</v>
      </c>
      <c r="I288" s="115">
        <v>32.200000000000003</v>
      </c>
      <c r="J288" s="91"/>
      <c r="K288" s="88"/>
      <c r="L288" s="281"/>
      <c r="M288" s="352" t="s">
        <v>241</v>
      </c>
      <c r="N288" s="254">
        <v>1</v>
      </c>
      <c r="O288" s="188"/>
      <c r="P288" s="191"/>
      <c r="Q288" s="81"/>
    </row>
    <row r="289" spans="1:17" ht="16.399999999999999" customHeight="1" x14ac:dyDescent="0.25">
      <c r="A289" s="546"/>
      <c r="B289" s="523"/>
      <c r="C289" s="157"/>
      <c r="D289" s="1464"/>
      <c r="E289" s="1494"/>
      <c r="F289" s="102" t="s">
        <v>125</v>
      </c>
      <c r="G289" s="1469"/>
      <c r="H289" s="115" t="s">
        <v>21</v>
      </c>
      <c r="I289" s="531">
        <f>66.4+60.7-59.3</f>
        <v>67.8</v>
      </c>
      <c r="J289" s="202"/>
      <c r="K289" s="167"/>
      <c r="L289" s="281"/>
      <c r="M289" s="226" t="s">
        <v>216</v>
      </c>
      <c r="N289" s="128">
        <v>5</v>
      </c>
      <c r="O289" s="170">
        <v>5</v>
      </c>
      <c r="P289" s="176"/>
      <c r="Q289" s="128"/>
    </row>
    <row r="290" spans="1:17" ht="16.399999999999999" customHeight="1" x14ac:dyDescent="0.25">
      <c r="A290" s="546"/>
      <c r="B290" s="523"/>
      <c r="C290" s="157"/>
      <c r="D290" s="1464"/>
      <c r="E290" s="1494"/>
      <c r="F290" s="102"/>
      <c r="G290" s="1469"/>
      <c r="H290" s="3" t="s">
        <v>46</v>
      </c>
      <c r="I290" s="722"/>
      <c r="J290" s="202">
        <v>11.4</v>
      </c>
      <c r="K290" s="112"/>
      <c r="L290" s="281"/>
      <c r="M290" s="226" t="s">
        <v>217</v>
      </c>
      <c r="N290" s="128">
        <v>5</v>
      </c>
      <c r="O290" s="170">
        <v>5</v>
      </c>
      <c r="P290" s="176"/>
      <c r="Q290" s="128"/>
    </row>
    <row r="291" spans="1:17" ht="16.399999999999999" customHeight="1" x14ac:dyDescent="0.25">
      <c r="A291" s="546"/>
      <c r="B291" s="523"/>
      <c r="C291" s="157"/>
      <c r="D291" s="1464"/>
      <c r="E291" s="1494"/>
      <c r="F291" s="102"/>
      <c r="G291" s="1469"/>
      <c r="H291" s="115" t="s">
        <v>55</v>
      </c>
      <c r="I291" s="132"/>
      <c r="J291" s="91">
        <v>75</v>
      </c>
      <c r="K291" s="197"/>
      <c r="L291" s="293"/>
      <c r="M291" s="354" t="s">
        <v>218</v>
      </c>
      <c r="N291" s="254">
        <v>2</v>
      </c>
      <c r="O291" s="170">
        <v>1</v>
      </c>
      <c r="P291" s="176"/>
      <c r="Q291" s="128"/>
    </row>
    <row r="292" spans="1:17" ht="28.5" customHeight="1" x14ac:dyDescent="0.25">
      <c r="A292" s="784"/>
      <c r="B292" s="783"/>
      <c r="C292" s="157"/>
      <c r="D292" s="1463" t="s">
        <v>28</v>
      </c>
      <c r="E292" s="1480" t="s">
        <v>308</v>
      </c>
      <c r="F292" s="754" t="s">
        <v>361</v>
      </c>
      <c r="G292" s="888" t="s">
        <v>86</v>
      </c>
      <c r="H292" s="61" t="s">
        <v>53</v>
      </c>
      <c r="I292" s="232"/>
      <c r="J292" s="906">
        <v>130</v>
      </c>
      <c r="K292" s="891">
        <v>130.1</v>
      </c>
      <c r="L292" s="278"/>
      <c r="M292" s="351" t="s">
        <v>39</v>
      </c>
      <c r="N292" s="248"/>
      <c r="O292" s="611"/>
      <c r="P292" s="183">
        <v>1</v>
      </c>
      <c r="Q292" s="140"/>
    </row>
    <row r="293" spans="1:17" ht="18.75" customHeight="1" x14ac:dyDescent="0.25">
      <c r="A293" s="743"/>
      <c r="B293" s="744"/>
      <c r="C293" s="131"/>
      <c r="D293" s="1464"/>
      <c r="E293" s="1521"/>
      <c r="F293" s="328" t="s">
        <v>159</v>
      </c>
      <c r="G293" s="1598" t="s">
        <v>292</v>
      </c>
      <c r="H293" s="1353" t="s">
        <v>333</v>
      </c>
      <c r="I293" s="1348"/>
      <c r="J293" s="1330"/>
      <c r="K293" s="1331"/>
      <c r="L293" s="1351">
        <v>200</v>
      </c>
      <c r="M293" s="1349" t="s">
        <v>214</v>
      </c>
      <c r="N293" s="265"/>
      <c r="O293" s="188"/>
      <c r="P293" s="191"/>
      <c r="Q293" s="1350">
        <v>10</v>
      </c>
    </row>
    <row r="294" spans="1:17" ht="18.75" customHeight="1" x14ac:dyDescent="0.25">
      <c r="A294" s="743"/>
      <c r="B294" s="744"/>
      <c r="C294" s="131"/>
      <c r="D294" s="1464"/>
      <c r="E294" s="1521"/>
      <c r="F294" s="755" t="s">
        <v>40</v>
      </c>
      <c r="G294" s="1599"/>
      <c r="H294" s="1354" t="s">
        <v>335</v>
      </c>
      <c r="I294" s="1301"/>
      <c r="J294" s="1328"/>
      <c r="K294" s="1329"/>
      <c r="L294" s="1352">
        <v>1400</v>
      </c>
      <c r="M294" s="352"/>
      <c r="N294" s="319"/>
      <c r="O294" s="169"/>
      <c r="P294" s="175"/>
      <c r="Q294" s="297"/>
    </row>
    <row r="295" spans="1:17" ht="18.75" customHeight="1" x14ac:dyDescent="0.25">
      <c r="A295" s="743"/>
      <c r="B295" s="744"/>
      <c r="C295" s="131"/>
      <c r="D295" s="1465"/>
      <c r="E295" s="1481"/>
      <c r="F295" s="755" t="s">
        <v>192</v>
      </c>
      <c r="G295" s="1600"/>
      <c r="H295" s="757"/>
      <c r="I295" s="757"/>
      <c r="J295" s="559"/>
      <c r="K295" s="168"/>
      <c r="L295" s="146"/>
      <c r="M295" s="353"/>
      <c r="N295" s="250"/>
      <c r="O295" s="172"/>
      <c r="P295" s="179"/>
      <c r="Q295" s="147"/>
    </row>
    <row r="296" spans="1:17" ht="18.75" customHeight="1" x14ac:dyDescent="0.25">
      <c r="A296" s="743"/>
      <c r="B296" s="744"/>
      <c r="C296" s="131"/>
      <c r="D296" s="762" t="s">
        <v>29</v>
      </c>
      <c r="E296" s="1480" t="s">
        <v>293</v>
      </c>
      <c r="F296" s="754" t="s">
        <v>287</v>
      </c>
      <c r="G296" s="1468" t="s">
        <v>349</v>
      </c>
      <c r="H296" s="14" t="s">
        <v>21</v>
      </c>
      <c r="I296" s="14"/>
      <c r="J296" s="181"/>
      <c r="K296" s="84">
        <v>20</v>
      </c>
      <c r="L296" s="182">
        <v>122</v>
      </c>
      <c r="M296" s="228" t="s">
        <v>39</v>
      </c>
      <c r="N296" s="267"/>
      <c r="O296" s="171"/>
      <c r="P296" s="178"/>
      <c r="Q296" s="141">
        <v>1</v>
      </c>
    </row>
    <row r="297" spans="1:17" ht="18.75" customHeight="1" x14ac:dyDescent="0.25">
      <c r="A297" s="743"/>
      <c r="B297" s="744"/>
      <c r="C297" s="131"/>
      <c r="D297" s="762"/>
      <c r="E297" s="1521"/>
      <c r="F297" s="755" t="s">
        <v>192</v>
      </c>
      <c r="G297" s="1469"/>
      <c r="H297" s="14"/>
      <c r="I297" s="14"/>
      <c r="J297" s="166"/>
      <c r="K297" s="112"/>
      <c r="L297" s="20"/>
      <c r="M297" s="634"/>
      <c r="N297" s="319"/>
      <c r="O297" s="169"/>
      <c r="P297" s="175"/>
      <c r="Q297" s="297"/>
    </row>
    <row r="298" spans="1:17" ht="18.75" customHeight="1" x14ac:dyDescent="0.25">
      <c r="A298" s="837"/>
      <c r="B298" s="830"/>
      <c r="C298" s="131"/>
      <c r="D298" s="821"/>
      <c r="E298" s="1521"/>
      <c r="F298" s="761" t="s">
        <v>40</v>
      </c>
      <c r="G298" s="1496"/>
      <c r="H298" s="14"/>
      <c r="I298" s="14"/>
      <c r="J298" s="559"/>
      <c r="K298" s="168"/>
      <c r="L298" s="146"/>
      <c r="M298" s="224"/>
      <c r="N298" s="250"/>
      <c r="O298" s="320"/>
      <c r="P298" s="179"/>
      <c r="Q298" s="66"/>
    </row>
    <row r="299" spans="1:17" ht="15" customHeight="1" x14ac:dyDescent="0.25">
      <c r="A299" s="1573"/>
      <c r="B299" s="1649"/>
      <c r="C299" s="1489"/>
      <c r="D299" s="817"/>
      <c r="E299" s="1493" t="s">
        <v>85</v>
      </c>
      <c r="F299" s="107" t="s">
        <v>212</v>
      </c>
      <c r="G299" s="820" t="s">
        <v>350</v>
      </c>
      <c r="H299" s="232" t="s">
        <v>46</v>
      </c>
      <c r="I299" s="98">
        <f>5.3-2</f>
        <v>3.3</v>
      </c>
      <c r="J299" s="239"/>
      <c r="K299" s="85"/>
      <c r="L299" s="180"/>
      <c r="M299" s="359" t="s">
        <v>151</v>
      </c>
      <c r="N299" s="267">
        <v>1</v>
      </c>
      <c r="O299" s="171"/>
      <c r="P299" s="178"/>
      <c r="Q299" s="65"/>
    </row>
    <row r="300" spans="1:17" ht="15" customHeight="1" x14ac:dyDescent="0.25">
      <c r="A300" s="1573"/>
      <c r="B300" s="1649"/>
      <c r="C300" s="1489"/>
      <c r="D300" s="818"/>
      <c r="E300" s="1494"/>
      <c r="F300" s="325" t="s">
        <v>211</v>
      </c>
      <c r="G300" s="1469" t="s">
        <v>351</v>
      </c>
      <c r="H300" s="115" t="s">
        <v>37</v>
      </c>
      <c r="I300" s="306">
        <v>46.5</v>
      </c>
      <c r="J300" s="91"/>
      <c r="K300" s="88"/>
      <c r="L300" s="282"/>
      <c r="M300" s="359"/>
      <c r="N300" s="319"/>
      <c r="O300" s="169"/>
      <c r="P300" s="175"/>
      <c r="Q300" s="66"/>
    </row>
    <row r="301" spans="1:17" ht="15" customHeight="1" x14ac:dyDescent="0.25">
      <c r="A301" s="1573"/>
      <c r="B301" s="1649"/>
      <c r="C301" s="1489"/>
      <c r="D301" s="818"/>
      <c r="E301" s="1494"/>
      <c r="F301" s="325" t="s">
        <v>40</v>
      </c>
      <c r="G301" s="1469"/>
      <c r="H301" s="555" t="s">
        <v>21</v>
      </c>
      <c r="I301" s="406">
        <v>2</v>
      </c>
      <c r="J301" s="558"/>
      <c r="K301" s="88"/>
      <c r="L301" s="91"/>
      <c r="M301" s="359"/>
      <c r="N301" s="319"/>
      <c r="O301" s="169"/>
      <c r="P301" s="175"/>
      <c r="Q301" s="66"/>
    </row>
    <row r="302" spans="1:17" ht="15" customHeight="1" x14ac:dyDescent="0.25">
      <c r="A302" s="1573"/>
      <c r="B302" s="1649"/>
      <c r="C302" s="1489"/>
      <c r="D302" s="818"/>
      <c r="E302" s="1494"/>
      <c r="F302" s="833" t="s">
        <v>244</v>
      </c>
      <c r="G302" s="1469"/>
      <c r="H302" s="14"/>
      <c r="I302" s="555"/>
      <c r="J302" s="91"/>
      <c r="K302" s="91"/>
      <c r="L302" s="91"/>
      <c r="M302" s="359"/>
      <c r="N302" s="319"/>
      <c r="O302" s="169"/>
      <c r="P302" s="175"/>
      <c r="Q302" s="66"/>
    </row>
    <row r="303" spans="1:17" ht="14.15" customHeight="1" x14ac:dyDescent="0.25">
      <c r="A303" s="1573"/>
      <c r="B303" s="1649"/>
      <c r="C303" s="1489"/>
      <c r="D303" s="818"/>
      <c r="E303" s="1494"/>
      <c r="F303" s="325" t="s">
        <v>106</v>
      </c>
      <c r="G303" s="1469"/>
      <c r="H303" s="555"/>
      <c r="I303" s="236"/>
      <c r="J303" s="91"/>
      <c r="K303" s="91"/>
      <c r="L303" s="13"/>
      <c r="M303" s="114"/>
      <c r="N303" s="134"/>
      <c r="O303" s="150"/>
      <c r="P303" s="177"/>
      <c r="Q303" s="134"/>
    </row>
    <row r="304" spans="1:17" ht="15" customHeight="1" x14ac:dyDescent="0.25">
      <c r="A304" s="1573"/>
      <c r="B304" s="1649"/>
      <c r="C304" s="1489"/>
      <c r="D304" s="818"/>
      <c r="E304" s="1495"/>
      <c r="F304" s="330" t="s">
        <v>194</v>
      </c>
      <c r="G304" s="1496"/>
      <c r="H304" s="556"/>
      <c r="I304" s="237"/>
      <c r="J304" s="411"/>
      <c r="K304" s="312"/>
      <c r="L304" s="312"/>
      <c r="M304" s="223"/>
      <c r="N304" s="67"/>
      <c r="O304" s="172"/>
      <c r="P304" s="179"/>
      <c r="Q304" s="67"/>
    </row>
    <row r="305" spans="1:43" ht="14.25" customHeight="1" x14ac:dyDescent="0.25">
      <c r="A305" s="1473"/>
      <c r="B305" s="1462"/>
      <c r="C305" s="1489"/>
      <c r="D305" s="1490"/>
      <c r="E305" s="1493" t="s">
        <v>104</v>
      </c>
      <c r="F305" s="107" t="s">
        <v>211</v>
      </c>
      <c r="G305" s="1468" t="s">
        <v>138</v>
      </c>
      <c r="H305" s="61" t="s">
        <v>21</v>
      </c>
      <c r="I305" s="86">
        <f>1.1+2.4-2</f>
        <v>1.5</v>
      </c>
      <c r="J305" s="706"/>
      <c r="K305" s="412"/>
      <c r="L305" s="413"/>
      <c r="M305" s="361" t="s">
        <v>150</v>
      </c>
      <c r="N305" s="305">
        <v>1</v>
      </c>
      <c r="O305" s="201"/>
      <c r="P305" s="204"/>
      <c r="Q305" s="826"/>
    </row>
    <row r="306" spans="1:43" ht="14.25" customHeight="1" x14ac:dyDescent="0.25">
      <c r="A306" s="1473"/>
      <c r="B306" s="1462"/>
      <c r="C306" s="1489"/>
      <c r="D306" s="1491"/>
      <c r="E306" s="1494"/>
      <c r="F306" s="325" t="s">
        <v>194</v>
      </c>
      <c r="G306" s="1469"/>
      <c r="H306" s="115" t="s">
        <v>126</v>
      </c>
      <c r="I306" s="130">
        <v>13.2</v>
      </c>
      <c r="J306" s="558"/>
      <c r="K306" s="88"/>
      <c r="L306" s="281"/>
      <c r="M306" s="359"/>
      <c r="N306" s="463"/>
      <c r="O306" s="173"/>
      <c r="P306" s="78"/>
      <c r="Q306" s="80"/>
    </row>
    <row r="307" spans="1:43" ht="13.5" customHeight="1" x14ac:dyDescent="0.25">
      <c r="A307" s="1473"/>
      <c r="B307" s="1462"/>
      <c r="C307" s="1489"/>
      <c r="D307" s="1491"/>
      <c r="E307" s="1494"/>
      <c r="F307" s="834" t="s">
        <v>245</v>
      </c>
      <c r="G307" s="1496"/>
      <c r="H307" s="14" t="s">
        <v>46</v>
      </c>
      <c r="I307" s="694">
        <v>2</v>
      </c>
      <c r="J307" s="291"/>
      <c r="K307" s="197"/>
      <c r="L307" s="293"/>
      <c r="M307" s="360"/>
      <c r="N307" s="484"/>
      <c r="O307" s="218"/>
      <c r="P307" s="221"/>
      <c r="Q307" s="89"/>
    </row>
    <row r="308" spans="1:43" ht="14.25" customHeight="1" x14ac:dyDescent="0.25">
      <c r="A308" s="1473"/>
      <c r="B308" s="1462"/>
      <c r="C308" s="1489"/>
      <c r="D308" s="1490"/>
      <c r="E308" s="1493" t="s">
        <v>143</v>
      </c>
      <c r="F308" s="832" t="s">
        <v>125</v>
      </c>
      <c r="G308" s="1571" t="s">
        <v>123</v>
      </c>
      <c r="H308" s="61" t="s">
        <v>37</v>
      </c>
      <c r="I308" s="61">
        <v>32.1</v>
      </c>
      <c r="J308" s="181"/>
      <c r="K308" s="84"/>
      <c r="L308" s="86"/>
      <c r="M308" s="361" t="s">
        <v>105</v>
      </c>
      <c r="N308" s="467">
        <v>1</v>
      </c>
      <c r="O308" s="586"/>
      <c r="P308" s="284"/>
      <c r="Q308" s="285"/>
    </row>
    <row r="309" spans="1:43" ht="13.5" customHeight="1" x14ac:dyDescent="0.25">
      <c r="A309" s="1473"/>
      <c r="B309" s="1462"/>
      <c r="C309" s="1489"/>
      <c r="D309" s="1491"/>
      <c r="E309" s="1494"/>
      <c r="F309" s="833" t="s">
        <v>91</v>
      </c>
      <c r="G309" s="1572"/>
      <c r="H309" s="14"/>
      <c r="I309" s="14"/>
      <c r="J309" s="166"/>
      <c r="K309" s="112"/>
      <c r="L309" s="235"/>
      <c r="M309" s="359"/>
      <c r="N309" s="319"/>
      <c r="O309" s="169"/>
      <c r="P309" s="175"/>
      <c r="Q309" s="66"/>
    </row>
    <row r="310" spans="1:43" ht="14.25" customHeight="1" x14ac:dyDescent="0.3">
      <c r="A310" s="1473"/>
      <c r="B310" s="1462"/>
      <c r="C310" s="1489"/>
      <c r="D310" s="1492"/>
      <c r="E310" s="1495"/>
      <c r="F310" s="343" t="s">
        <v>194</v>
      </c>
      <c r="G310" s="74"/>
      <c r="H310" s="828"/>
      <c r="I310" s="828"/>
      <c r="J310" s="91"/>
      <c r="K310" s="91"/>
      <c r="L310" s="146"/>
      <c r="M310" s="360"/>
      <c r="N310" s="250"/>
      <c r="O310" s="172"/>
      <c r="P310" s="179"/>
      <c r="Q310" s="67"/>
    </row>
    <row r="311" spans="1:43" ht="15" customHeight="1" x14ac:dyDescent="0.25">
      <c r="A311" s="1473"/>
      <c r="B311" s="1462"/>
      <c r="C311" s="1489"/>
      <c r="D311" s="1463"/>
      <c r="E311" s="1493" t="s">
        <v>202</v>
      </c>
      <c r="F311" s="342" t="s">
        <v>125</v>
      </c>
      <c r="G311" s="1468" t="s">
        <v>86</v>
      </c>
      <c r="H311" s="61" t="s">
        <v>21</v>
      </c>
      <c r="I311" s="61">
        <v>2.7</v>
      </c>
      <c r="J311" s="181"/>
      <c r="K311" s="84"/>
      <c r="L311" s="384"/>
      <c r="M311" s="1551" t="s">
        <v>203</v>
      </c>
      <c r="N311" s="267">
        <v>4</v>
      </c>
      <c r="O311" s="721"/>
      <c r="P311" s="178"/>
      <c r="Q311" s="65"/>
    </row>
    <row r="312" spans="1:43" ht="15" customHeight="1" x14ac:dyDescent="0.25">
      <c r="A312" s="1473"/>
      <c r="B312" s="1462"/>
      <c r="C312" s="1489"/>
      <c r="D312" s="1464"/>
      <c r="E312" s="1494"/>
      <c r="F312" s="343" t="s">
        <v>194</v>
      </c>
      <c r="G312" s="1469"/>
      <c r="H312" s="14"/>
      <c r="I312" s="14"/>
      <c r="J312" s="166"/>
      <c r="K312" s="112"/>
      <c r="L312" s="235"/>
      <c r="M312" s="1630"/>
      <c r="N312" s="319"/>
      <c r="O312" s="169"/>
      <c r="P312" s="175"/>
      <c r="Q312" s="66"/>
    </row>
    <row r="313" spans="1:43" ht="15" customHeight="1" x14ac:dyDescent="0.25">
      <c r="A313" s="1473"/>
      <c r="B313" s="1462"/>
      <c r="C313" s="1489"/>
      <c r="D313" s="1465"/>
      <c r="E313" s="1495"/>
      <c r="F313" s="331" t="s">
        <v>106</v>
      </c>
      <c r="G313" s="1496"/>
      <c r="H313" s="866"/>
      <c r="I313" s="866"/>
      <c r="J313" s="82"/>
      <c r="K313" s="82"/>
      <c r="L313" s="25"/>
      <c r="M313" s="1477"/>
      <c r="N313" s="250"/>
      <c r="O313" s="172"/>
      <c r="P313" s="179"/>
      <c r="Q313" s="67"/>
    </row>
    <row r="314" spans="1:43" ht="15" customHeight="1" thickBot="1" x14ac:dyDescent="0.3">
      <c r="A314" s="15"/>
      <c r="B314" s="54"/>
      <c r="C314" s="43"/>
      <c r="D314" s="123"/>
      <c r="E314" s="348"/>
      <c r="F314" s="125"/>
      <c r="G314" s="372"/>
      <c r="H314" s="99" t="s">
        <v>4</v>
      </c>
      <c r="I314" s="99">
        <f>SUM(I271:I313)</f>
        <v>3902.5</v>
      </c>
      <c r="J314" s="242">
        <f>SUM(J271:J313)</f>
        <v>1106</v>
      </c>
      <c r="K314" s="90">
        <f>SUM(K271:K313)</f>
        <v>1043.2</v>
      </c>
      <c r="L314" s="241">
        <f>SUM(L271:L313)-200-1400</f>
        <v>1398.1</v>
      </c>
      <c r="M314" s="356"/>
      <c r="N314" s="483"/>
      <c r="O314" s="209"/>
      <c r="P314" s="222"/>
      <c r="Q314" s="374"/>
    </row>
    <row r="315" spans="1:43" ht="15" customHeight="1" thickBot="1" x14ac:dyDescent="0.3">
      <c r="A315" s="18" t="s">
        <v>3</v>
      </c>
      <c r="B315" s="17" t="s">
        <v>24</v>
      </c>
      <c r="C315" s="1505" t="s">
        <v>6</v>
      </c>
      <c r="D315" s="1505"/>
      <c r="E315" s="1505"/>
      <c r="F315" s="1505"/>
      <c r="G315" s="1505"/>
      <c r="H315" s="1506"/>
      <c r="I315" s="225">
        <f>I314+I268</f>
        <v>6180.5</v>
      </c>
      <c r="J315" s="244">
        <f>J314+J268</f>
        <v>3529.5</v>
      </c>
      <c r="K315" s="54">
        <f>K314+K268</f>
        <v>3341.7</v>
      </c>
      <c r="L315" s="243">
        <f>L314+L268</f>
        <v>3540</v>
      </c>
      <c r="M315" s="1597"/>
      <c r="N315" s="1522"/>
      <c r="O315" s="1522"/>
      <c r="P315" s="1522"/>
      <c r="Q315" s="1523"/>
    </row>
    <row r="316" spans="1:43" ht="15" customHeight="1" thickBot="1" x14ac:dyDescent="0.3">
      <c r="A316" s="18" t="s">
        <v>3</v>
      </c>
      <c r="B316" s="1565" t="s">
        <v>7</v>
      </c>
      <c r="C316" s="1566"/>
      <c r="D316" s="1566"/>
      <c r="E316" s="1566"/>
      <c r="F316" s="1566"/>
      <c r="G316" s="1566"/>
      <c r="H316" s="1567"/>
      <c r="I316" s="117">
        <f>I315+I231+I183</f>
        <v>47955.7</v>
      </c>
      <c r="J316" s="16">
        <f>J315+J231+J183</f>
        <v>48862.6</v>
      </c>
      <c r="K316" s="214">
        <f>K315+K231+K183</f>
        <v>28482.799999999999</v>
      </c>
      <c r="L316" s="212">
        <f>L315+L231+L183</f>
        <v>27732.1</v>
      </c>
      <c r="M316" s="1594"/>
      <c r="N316" s="1595"/>
      <c r="O316" s="1595"/>
      <c r="P316" s="1595"/>
      <c r="Q316" s="1596"/>
    </row>
    <row r="317" spans="1:43" ht="15" customHeight="1" thickBot="1" x14ac:dyDescent="0.3">
      <c r="A317" s="21" t="s">
        <v>30</v>
      </c>
      <c r="B317" s="1568" t="s">
        <v>45</v>
      </c>
      <c r="C317" s="1569"/>
      <c r="D317" s="1569"/>
      <c r="E317" s="1569"/>
      <c r="F317" s="1569"/>
      <c r="G317" s="1569"/>
      <c r="H317" s="1570"/>
      <c r="I317" s="118">
        <f>SUM(I316)</f>
        <v>47955.7</v>
      </c>
      <c r="J317" s="21">
        <f t="shared" ref="J317:L317" si="3">SUM(J316)</f>
        <v>48862.6</v>
      </c>
      <c r="K317" s="215">
        <f t="shared" si="3"/>
        <v>28482.799999999999</v>
      </c>
      <c r="L317" s="213">
        <f t="shared" si="3"/>
        <v>27732.1</v>
      </c>
      <c r="M317" s="1591"/>
      <c r="N317" s="1592"/>
      <c r="O317" s="1592"/>
      <c r="P317" s="1592"/>
      <c r="Q317" s="1593"/>
    </row>
    <row r="318" spans="1:43" s="5" customFormat="1" ht="17.25" customHeight="1" x14ac:dyDescent="0.25">
      <c r="A318" s="1650" t="s">
        <v>360</v>
      </c>
      <c r="B318" s="1650"/>
      <c r="C318" s="1650"/>
      <c r="D318" s="1650"/>
      <c r="E318" s="1650"/>
      <c r="F318" s="1650"/>
      <c r="G318" s="1650"/>
      <c r="H318" s="1650"/>
      <c r="I318" s="1650"/>
      <c r="J318" s="1650"/>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43" s="5" customFormat="1" ht="17.25" customHeight="1" x14ac:dyDescent="0.25">
      <c r="A319" s="1589" t="s">
        <v>318</v>
      </c>
      <c r="B319" s="1589"/>
      <c r="C319" s="1589"/>
      <c r="D319" s="1589"/>
      <c r="E319" s="1589"/>
      <c r="F319" s="1589"/>
      <c r="G319" s="1589"/>
      <c r="H319" s="1589"/>
      <c r="I319" s="1589"/>
      <c r="J319" s="1589"/>
      <c r="K319" s="1589"/>
      <c r="L319" s="1589"/>
      <c r="M319" s="1589"/>
      <c r="N319" s="1589"/>
      <c r="O319" s="1"/>
      <c r="P319" s="1"/>
      <c r="Q319" s="22"/>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5" customHeight="1" x14ac:dyDescent="0.25">
      <c r="A320" s="97"/>
      <c r="B320" s="97"/>
      <c r="C320" s="97"/>
      <c r="D320" s="97"/>
      <c r="E320" s="97"/>
      <c r="F320" s="97"/>
      <c r="G320" s="97"/>
      <c r="H320" s="97"/>
      <c r="I320" s="22"/>
      <c r="J320" s="517"/>
      <c r="K320" s="517"/>
      <c r="L320" s="517"/>
      <c r="M320" s="22"/>
      <c r="N320" s="22"/>
      <c r="O320" s="22"/>
      <c r="P320" s="22"/>
      <c r="Q320" s="22"/>
    </row>
    <row r="321" spans="1:34" s="5" customFormat="1" ht="15" customHeight="1" thickBot="1" x14ac:dyDescent="0.3">
      <c r="A321" s="1590" t="s">
        <v>10</v>
      </c>
      <c r="B321" s="1590"/>
      <c r="C321" s="1590"/>
      <c r="D321" s="1590"/>
      <c r="E321" s="1590"/>
      <c r="F321" s="1590"/>
      <c r="G321" s="1590"/>
      <c r="H321" s="1590"/>
      <c r="I321" s="517"/>
      <c r="J321" s="382"/>
      <c r="K321" s="382"/>
      <c r="L321" s="382"/>
      <c r="M321" s="22"/>
      <c r="N321" s="22"/>
      <c r="O321" s="22"/>
      <c r="P321" s="22"/>
      <c r="Q321" s="22"/>
      <c r="R321" s="1"/>
      <c r="S321" s="1"/>
      <c r="T321" s="1"/>
      <c r="U321" s="1"/>
      <c r="V321" s="1"/>
      <c r="W321" s="1"/>
      <c r="X321" s="1"/>
      <c r="Y321" s="1"/>
      <c r="Z321" s="1"/>
      <c r="AA321" s="1"/>
      <c r="AB321" s="1"/>
      <c r="AC321" s="1"/>
      <c r="AD321" s="1"/>
      <c r="AE321" s="1"/>
      <c r="AF321" s="1"/>
      <c r="AG321" s="1"/>
      <c r="AH321" s="1"/>
    </row>
    <row r="322" spans="1:34" ht="94.5" customHeight="1" thickBot="1" x14ac:dyDescent="0.3">
      <c r="A322" s="1583" t="s">
        <v>8</v>
      </c>
      <c r="B322" s="1584"/>
      <c r="C322" s="1584"/>
      <c r="D322" s="1584"/>
      <c r="E322" s="1584"/>
      <c r="F322" s="1584"/>
      <c r="G322" s="1584"/>
      <c r="H322" s="1585"/>
      <c r="I322" s="712" t="s">
        <v>250</v>
      </c>
      <c r="J322" s="245" t="s">
        <v>255</v>
      </c>
      <c r="K322" s="561" t="s">
        <v>176</v>
      </c>
      <c r="L322" s="246" t="s">
        <v>256</v>
      </c>
      <c r="M322" s="9"/>
      <c r="N322" s="9"/>
      <c r="O322" s="9"/>
      <c r="P322" s="9"/>
      <c r="Q322" s="9"/>
    </row>
    <row r="323" spans="1:34" ht="14.25" customHeight="1" x14ac:dyDescent="0.25">
      <c r="A323" s="1586" t="s">
        <v>11</v>
      </c>
      <c r="B323" s="1587"/>
      <c r="C323" s="1587"/>
      <c r="D323" s="1587"/>
      <c r="E323" s="1587"/>
      <c r="F323" s="1587"/>
      <c r="G323" s="1587"/>
      <c r="H323" s="1588"/>
      <c r="I323" s="51">
        <f>I324+I333+I334+I335+I332</f>
        <v>45436.5</v>
      </c>
      <c r="J323" s="574">
        <f t="shared" ref="J323:L323" si="4">J324+J333+J334+J335+J332</f>
        <v>37676.1</v>
      </c>
      <c r="K323" s="568">
        <f t="shared" si="4"/>
        <v>26983.4</v>
      </c>
      <c r="L323" s="562">
        <f t="shared" si="4"/>
        <v>23607.1</v>
      </c>
      <c r="M323" s="12"/>
      <c r="N323" s="12"/>
      <c r="O323" s="9"/>
      <c r="P323" s="9"/>
      <c r="Q323" s="9"/>
    </row>
    <row r="324" spans="1:34" ht="16.5" customHeight="1" x14ac:dyDescent="0.25">
      <c r="A324" s="1562" t="s">
        <v>58</v>
      </c>
      <c r="B324" s="1563"/>
      <c r="C324" s="1563"/>
      <c r="D324" s="1563"/>
      <c r="E324" s="1563"/>
      <c r="F324" s="1563"/>
      <c r="G324" s="1563"/>
      <c r="H324" s="1564"/>
      <c r="I324" s="50">
        <f>SUM(I325:I331)</f>
        <v>37611.699999999997</v>
      </c>
      <c r="J324" s="575">
        <f t="shared" ref="J324:L324" si="5">SUM(J325:J331)</f>
        <v>26067.1</v>
      </c>
      <c r="K324" s="569">
        <f t="shared" si="5"/>
        <v>26983.4</v>
      </c>
      <c r="L324" s="563">
        <f t="shared" si="5"/>
        <v>23607.1</v>
      </c>
      <c r="M324" s="12"/>
      <c r="N324" s="12"/>
      <c r="O324" s="9"/>
      <c r="P324" s="9"/>
      <c r="Q324" s="9"/>
    </row>
    <row r="325" spans="1:34" ht="14.25" customHeight="1" x14ac:dyDescent="0.25">
      <c r="A325" s="1477" t="s">
        <v>16</v>
      </c>
      <c r="B325" s="1646"/>
      <c r="C325" s="1646"/>
      <c r="D325" s="1646"/>
      <c r="E325" s="1646"/>
      <c r="F325" s="1646"/>
      <c r="G325" s="1646"/>
      <c r="H325" s="1647"/>
      <c r="I325" s="532">
        <f>SUMIF(H16:H317,"SB",I16:I317)</f>
        <v>10631</v>
      </c>
      <c r="J325" s="559">
        <f>SUMIF(H16:H317,"SB",J16:J317)</f>
        <v>8215.2999999999993</v>
      </c>
      <c r="K325" s="82">
        <f>SUMIF(H16:H317,"SB",K16:K317)</f>
        <v>17948.099999999999</v>
      </c>
      <c r="L325" s="194">
        <f>SUMIF(H16:H317,"SB",L16:L317)</f>
        <v>14924.9</v>
      </c>
      <c r="M325" s="12"/>
      <c r="N325" s="12"/>
      <c r="O325" s="9"/>
      <c r="P325" s="9"/>
      <c r="Q325" s="9"/>
    </row>
    <row r="326" spans="1:34" ht="14.25" customHeight="1" x14ac:dyDescent="0.25">
      <c r="A326" s="1641" t="s">
        <v>227</v>
      </c>
      <c r="B326" s="1642"/>
      <c r="C326" s="1642"/>
      <c r="D326" s="1642"/>
      <c r="E326" s="1642"/>
      <c r="F326" s="1642"/>
      <c r="G326" s="1642"/>
      <c r="H326" s="1643"/>
      <c r="I326" s="532">
        <f>SUMIF(H16:H317,"SB(ŽP)",I16:I317)</f>
        <v>912.8</v>
      </c>
      <c r="J326" s="559">
        <f>SUMIF(H16:H317,"SB(ŽP)",J16:J317)</f>
        <v>769.1</v>
      </c>
      <c r="K326" s="82">
        <f>SUMIF(H16:H317,"SB(ŽP)",K16:K317)</f>
        <v>277</v>
      </c>
      <c r="L326" s="194">
        <f>SUMIF(H16:H317,"SB(ŽP)",L16:L317)</f>
        <v>0</v>
      </c>
      <c r="M326" s="635"/>
      <c r="N326" s="638"/>
      <c r="O326" s="638"/>
      <c r="P326" s="638"/>
      <c r="Q326" s="9"/>
    </row>
    <row r="327" spans="1:34" ht="14.25" customHeight="1" x14ac:dyDescent="0.25">
      <c r="A327" s="1553" t="s">
        <v>54</v>
      </c>
      <c r="B327" s="1554"/>
      <c r="C327" s="1554"/>
      <c r="D327" s="1554"/>
      <c r="E327" s="1554"/>
      <c r="F327" s="1554"/>
      <c r="G327" s="1554"/>
      <c r="H327" s="1555"/>
      <c r="I327" s="532">
        <f>SUMIF(H16:H317,"SB(VR)",I16:I317)</f>
        <v>3362.8</v>
      </c>
      <c r="J327" s="559">
        <f>SUMIF(H16:H317,"SB(VR)",J16:J317)</f>
        <v>3365</v>
      </c>
      <c r="K327" s="82">
        <f>SUMIF(H16:H317,"SB(VR)",K16:K317)</f>
        <v>2769.7</v>
      </c>
      <c r="L327" s="194">
        <f>SUMIF(H16:H317,"SB(VR)",L16:L317)</f>
        <v>2432.3000000000002</v>
      </c>
      <c r="M327" s="636"/>
      <c r="N327" s="9"/>
      <c r="O327" s="9"/>
      <c r="P327" s="9"/>
      <c r="Q327" s="9"/>
    </row>
    <row r="328" spans="1:34" ht="14.25" customHeight="1" x14ac:dyDescent="0.25">
      <c r="A328" s="1577" t="s">
        <v>234</v>
      </c>
      <c r="B328" s="1578"/>
      <c r="C328" s="1578"/>
      <c r="D328" s="1578"/>
      <c r="E328" s="1578"/>
      <c r="F328" s="1578"/>
      <c r="G328" s="1578"/>
      <c r="H328" s="1579"/>
      <c r="I328" s="557">
        <f>SUMIF(H16:H317,"SB(ES)",I16:I317)</f>
        <v>2252.6</v>
      </c>
      <c r="J328" s="576">
        <f>SUMIF(H16:H317,"SB(ES)",J16:J317)</f>
        <v>8131.1</v>
      </c>
      <c r="K328" s="570">
        <f>SUMIF(H16:H317,"SB(ES)",K16:K317)</f>
        <v>0</v>
      </c>
      <c r="L328" s="564">
        <f>SUMIF(H16:H317,"SB(ES)",L16:L317)</f>
        <v>0</v>
      </c>
      <c r="M328" s="637"/>
      <c r="N328" s="9"/>
      <c r="O328" s="9"/>
      <c r="P328" s="9"/>
      <c r="Q328" s="9"/>
    </row>
    <row r="329" spans="1:34" ht="14.25" customHeight="1" x14ac:dyDescent="0.25">
      <c r="A329" s="1577" t="s">
        <v>94</v>
      </c>
      <c r="B329" s="1578"/>
      <c r="C329" s="1578"/>
      <c r="D329" s="1578"/>
      <c r="E329" s="1578"/>
      <c r="F329" s="1578"/>
      <c r="G329" s="1578"/>
      <c r="H329" s="1579"/>
      <c r="I329" s="557">
        <f>SUMIF(H16:H317,"SB(VB)",I16:I317)</f>
        <v>13913.2</v>
      </c>
      <c r="J329" s="576">
        <f>SUMIF(H16:H317,"SB(VB)",J16:J317)</f>
        <v>0</v>
      </c>
      <c r="K329" s="570">
        <f>SUMIF(H16:H317,"SB(VB)",K16:K317)</f>
        <v>0</v>
      </c>
      <c r="L329" s="564">
        <f>SUMIF(H16:H317,"SB(VB)",L16:L317)</f>
        <v>0</v>
      </c>
      <c r="M329" s="9"/>
      <c r="N329" s="9"/>
      <c r="O329" s="9"/>
      <c r="P329" s="9"/>
      <c r="Q329" s="9"/>
    </row>
    <row r="330" spans="1:34" ht="15.75" customHeight="1" x14ac:dyDescent="0.25">
      <c r="A330" s="1641" t="s">
        <v>235</v>
      </c>
      <c r="B330" s="1642"/>
      <c r="C330" s="1642"/>
      <c r="D330" s="1642"/>
      <c r="E330" s="1642"/>
      <c r="F330" s="1642"/>
      <c r="G330" s="1642"/>
      <c r="H330" s="1643"/>
      <c r="I330" s="557">
        <f>SUMIF(H16:H317,"SB(KPP)",I16:I317)</f>
        <v>6526.1</v>
      </c>
      <c r="J330" s="576">
        <f>SUMIF(H16:H317,"SB(KPP)",J16:J317)</f>
        <v>5586.6</v>
      </c>
      <c r="K330" s="570">
        <f>SUMIF(H16:H317,"SB(KPP)",K16:K317)</f>
        <v>5988.6</v>
      </c>
      <c r="L330" s="564">
        <f>SUMIF(H16:H317,"SB(KPP)",L16:L317)</f>
        <v>6249.9</v>
      </c>
      <c r="M330" s="9"/>
      <c r="N330" s="9"/>
      <c r="O330" s="9"/>
      <c r="P330" s="9"/>
      <c r="Q330" s="9"/>
    </row>
    <row r="331" spans="1:34" ht="27" customHeight="1" x14ac:dyDescent="0.25">
      <c r="A331" s="1641" t="s">
        <v>127</v>
      </c>
      <c r="B331" s="1642"/>
      <c r="C331" s="1642"/>
      <c r="D331" s="1642"/>
      <c r="E331" s="1642"/>
      <c r="F331" s="1642"/>
      <c r="G331" s="1642"/>
      <c r="H331" s="1643"/>
      <c r="I331" s="557">
        <f>SUMIF(H16:H317,"SB(ESA)",I16:I317)</f>
        <v>13.2</v>
      </c>
      <c r="J331" s="576">
        <f>SUMIF(H16:H317,"SB(ESA)",J16:J317)</f>
        <v>0</v>
      </c>
      <c r="K331" s="570">
        <f>SUMIF(H16:H317,"SB(ESA)",K16:K317)</f>
        <v>0</v>
      </c>
      <c r="L331" s="564">
        <f>SUMIF(H16:H317,"SB(ESA)",L16:L317)</f>
        <v>0</v>
      </c>
      <c r="M331" s="9"/>
      <c r="N331" s="9"/>
      <c r="O331" s="9"/>
      <c r="P331" s="9"/>
      <c r="Q331" s="9"/>
    </row>
    <row r="332" spans="1:34" ht="15.75" customHeight="1" x14ac:dyDescent="0.25">
      <c r="A332" s="1635" t="s">
        <v>158</v>
      </c>
      <c r="B332" s="1644"/>
      <c r="C332" s="1644"/>
      <c r="D332" s="1644"/>
      <c r="E332" s="1644"/>
      <c r="F332" s="1644"/>
      <c r="G332" s="1644"/>
      <c r="H332" s="1645"/>
      <c r="I332" s="34">
        <f>SUMIF(H16:H317,"SB(ESL)",I16:I317)</f>
        <v>15.9</v>
      </c>
      <c r="J332" s="577">
        <f>SUMIF(H16:H317,"SB(ESL)",J16:J317)</f>
        <v>0</v>
      </c>
      <c r="K332" s="571">
        <f>SUMIF(H16:H317,"SB(ESL)",K16:K317)</f>
        <v>0</v>
      </c>
      <c r="L332" s="565">
        <f>SUMIF(H16:H317,"SB(ESL)",L16:L317)</f>
        <v>0</v>
      </c>
      <c r="M332" s="9"/>
      <c r="N332" s="9"/>
      <c r="O332" s="9"/>
      <c r="P332" s="9"/>
      <c r="Q332" s="9"/>
    </row>
    <row r="333" spans="1:34" ht="14.25" customHeight="1" x14ac:dyDescent="0.25">
      <c r="A333" s="1648" t="s">
        <v>60</v>
      </c>
      <c r="B333" s="1636"/>
      <c r="C333" s="1636"/>
      <c r="D333" s="1636"/>
      <c r="E333" s="1636"/>
      <c r="F333" s="1636"/>
      <c r="G333" s="1636"/>
      <c r="H333" s="1637"/>
      <c r="I333" s="34">
        <f>SUMIF(H16:H317,"SB(VRL)",I16:I317)</f>
        <v>644.9</v>
      </c>
      <c r="J333" s="577">
        <f>SUMIF(H16:H317,"SB(VRL)",J16:J317)</f>
        <v>265.2</v>
      </c>
      <c r="K333" s="571">
        <f>SUMIF(H16:H317,"SB(VRL)",K16:K317)</f>
        <v>0</v>
      </c>
      <c r="L333" s="565">
        <f>SUMIF(H16:H317,"SB(VRL)",L16:L317)</f>
        <v>0</v>
      </c>
      <c r="M333" s="9"/>
      <c r="N333" s="9"/>
      <c r="O333" s="9"/>
      <c r="P333" s="9"/>
      <c r="Q333" s="9"/>
    </row>
    <row r="334" spans="1:34" ht="14.25" customHeight="1" x14ac:dyDescent="0.25">
      <c r="A334" s="1635" t="s">
        <v>61</v>
      </c>
      <c r="B334" s="1636"/>
      <c r="C334" s="1636"/>
      <c r="D334" s="1636"/>
      <c r="E334" s="1636"/>
      <c r="F334" s="1636"/>
      <c r="G334" s="1636"/>
      <c r="H334" s="1637"/>
      <c r="I334" s="34">
        <f>SUMIF(H16:H317,"SB(ŽPL)",I16:I317)</f>
        <v>1082.7</v>
      </c>
      <c r="J334" s="577">
        <f>SUMIF(H16:H317,"SB(ŽPL)",J16:J317)</f>
        <v>0</v>
      </c>
      <c r="K334" s="571">
        <f>SUMIF(H16:H317,"SB(ŽPL)",K16:K317)</f>
        <v>0</v>
      </c>
      <c r="L334" s="565">
        <f>SUMIF(H16:H317,"SB(ŽPL)",L16:L317)</f>
        <v>0</v>
      </c>
      <c r="M334" s="9"/>
      <c r="N334" s="9"/>
      <c r="O334" s="9"/>
      <c r="P334" s="9"/>
      <c r="Q334" s="9"/>
    </row>
    <row r="335" spans="1:34" ht="14.25" customHeight="1" x14ac:dyDescent="0.25">
      <c r="A335" s="1638" t="s">
        <v>81</v>
      </c>
      <c r="B335" s="1639"/>
      <c r="C335" s="1639"/>
      <c r="D335" s="1639"/>
      <c r="E335" s="1639"/>
      <c r="F335" s="1639"/>
      <c r="G335" s="1639"/>
      <c r="H335" s="1640"/>
      <c r="I335" s="34">
        <f>SUMIF(H16:H317,"SB(L)",I16:I317)</f>
        <v>6081.3</v>
      </c>
      <c r="J335" s="577">
        <f>SUMIF(H16:H317,"SB(L)",J16:J317)</f>
        <v>11343.8</v>
      </c>
      <c r="K335" s="571">
        <f>SUMIF(H16:H317,"SB(L)",K16:K317)</f>
        <v>0</v>
      </c>
      <c r="L335" s="565">
        <f>SUMIF(H16:H317,"SB(L)",L16:L317)</f>
        <v>0</v>
      </c>
      <c r="M335" s="9"/>
      <c r="N335" s="9"/>
      <c r="O335" s="9"/>
      <c r="P335" s="9"/>
      <c r="Q335" s="9"/>
    </row>
    <row r="336" spans="1:34" ht="14.25" customHeight="1" x14ac:dyDescent="0.25">
      <c r="A336" s="1574" t="s">
        <v>12</v>
      </c>
      <c r="B336" s="1575"/>
      <c r="C336" s="1575"/>
      <c r="D336" s="1575"/>
      <c r="E336" s="1575"/>
      <c r="F336" s="1575"/>
      <c r="G336" s="1575"/>
      <c r="H336" s="1576"/>
      <c r="I336" s="35">
        <f t="shared" ref="I336:L336" si="6">I338+I339+I340+I337</f>
        <v>2519.1999999999998</v>
      </c>
      <c r="J336" s="578">
        <f t="shared" si="6"/>
        <v>11186.5</v>
      </c>
      <c r="K336" s="572">
        <f t="shared" si="6"/>
        <v>1499.4</v>
      </c>
      <c r="L336" s="566">
        <f t="shared" si="6"/>
        <v>4125</v>
      </c>
      <c r="M336" s="9"/>
      <c r="N336" s="9"/>
      <c r="O336" s="9"/>
      <c r="P336" s="9"/>
      <c r="Q336" s="9"/>
    </row>
    <row r="337" spans="1:17" ht="14.25" customHeight="1" x14ac:dyDescent="0.25">
      <c r="A337" s="1577" t="s">
        <v>17</v>
      </c>
      <c r="B337" s="1578"/>
      <c r="C337" s="1578"/>
      <c r="D337" s="1578"/>
      <c r="E337" s="1578"/>
      <c r="F337" s="1578"/>
      <c r="G337" s="1578"/>
      <c r="H337" s="1579"/>
      <c r="I337" s="557">
        <f>SUMIF(H16:H317,"ES",I16:I317)</f>
        <v>78.599999999999994</v>
      </c>
      <c r="J337" s="576">
        <f>SUMIF(H16:H317,"ES",J16:J317)</f>
        <v>1100</v>
      </c>
      <c r="K337" s="570">
        <f>SUMIF(H16:H317,"ES",K16:K317)</f>
        <v>0</v>
      </c>
      <c r="L337" s="564">
        <f>SUMIF(H16:H317,"ES",L16:L317)</f>
        <v>0</v>
      </c>
      <c r="M337" s="9"/>
      <c r="N337" s="9"/>
      <c r="O337" s="9"/>
      <c r="P337" s="9"/>
      <c r="Q337" s="9"/>
    </row>
    <row r="338" spans="1:17" ht="14.25" customHeight="1" x14ac:dyDescent="0.25">
      <c r="A338" s="1580" t="s">
        <v>18</v>
      </c>
      <c r="B338" s="1581"/>
      <c r="C338" s="1581"/>
      <c r="D338" s="1581"/>
      <c r="E338" s="1581"/>
      <c r="F338" s="1581"/>
      <c r="G338" s="1581"/>
      <c r="H338" s="1582"/>
      <c r="I338" s="557">
        <f>SUMIF(H16:H317,"KVJUD",I16:I317)</f>
        <v>1800</v>
      </c>
      <c r="J338" s="576">
        <f>SUMIF(H16:H317,"KVJUD",J16:J317)</f>
        <v>1800</v>
      </c>
      <c r="K338" s="570">
        <f>SUMIF(H16:H317,"KVJUD",K16:K317)</f>
        <v>0</v>
      </c>
      <c r="L338" s="564">
        <f>SUMIF(H16:H317,"KVJUD",L16:L317)</f>
        <v>0</v>
      </c>
      <c r="M338" s="12"/>
      <c r="N338" s="12"/>
      <c r="O338" s="12"/>
      <c r="P338" s="12"/>
      <c r="Q338" s="12"/>
    </row>
    <row r="339" spans="1:17" ht="14.25" customHeight="1" x14ac:dyDescent="0.25">
      <c r="A339" s="1553" t="s">
        <v>19</v>
      </c>
      <c r="B339" s="1554"/>
      <c r="C339" s="1554"/>
      <c r="D339" s="1554"/>
      <c r="E339" s="1554"/>
      <c r="F339" s="1554"/>
      <c r="G339" s="1554"/>
      <c r="H339" s="1555"/>
      <c r="I339" s="557">
        <f>SUMIF(H16:H317,"LRVB",I16:I317)</f>
        <v>0</v>
      </c>
      <c r="J339" s="576">
        <f>SUMIF(H16:H317,"LRVB",J16:J317)</f>
        <v>8183.4</v>
      </c>
      <c r="K339" s="570">
        <f>SUMIF(H16:H317,"LRVB",K16:K317)</f>
        <v>1450</v>
      </c>
      <c r="L339" s="564">
        <f>SUMIF(H16:H317,"LRVB",L16:L317)</f>
        <v>4125</v>
      </c>
      <c r="M339" s="12"/>
      <c r="N339" s="12"/>
      <c r="O339" s="12"/>
      <c r="P339" s="12"/>
      <c r="Q339" s="12"/>
    </row>
    <row r="340" spans="1:17" ht="14.25" customHeight="1" x14ac:dyDescent="0.25">
      <c r="A340" s="1556" t="s">
        <v>20</v>
      </c>
      <c r="B340" s="1557"/>
      <c r="C340" s="1557"/>
      <c r="D340" s="1557"/>
      <c r="E340" s="1557"/>
      <c r="F340" s="1557"/>
      <c r="G340" s="1557"/>
      <c r="H340" s="1558"/>
      <c r="I340" s="557">
        <f>SUMIF(H16:H317,"Kt",I16:I317)</f>
        <v>640.6</v>
      </c>
      <c r="J340" s="576">
        <f>SUMIF(H16:H317,"Kt",J16:J317)</f>
        <v>103.1</v>
      </c>
      <c r="K340" s="570">
        <f>SUMIF(H16:H317,"Kt",K16:K317)</f>
        <v>49.4</v>
      </c>
      <c r="L340" s="564">
        <f>SUMIF(H16:H317,"Kt",L16:L317)</f>
        <v>0</v>
      </c>
      <c r="M340" s="12"/>
      <c r="N340" s="12"/>
      <c r="O340" s="12"/>
      <c r="P340" s="12"/>
      <c r="Q340" s="12"/>
    </row>
    <row r="341" spans="1:17" ht="14.25" customHeight="1" thickBot="1" x14ac:dyDescent="0.3">
      <c r="A341" s="1559" t="s">
        <v>13</v>
      </c>
      <c r="B341" s="1560"/>
      <c r="C341" s="1560"/>
      <c r="D341" s="1560"/>
      <c r="E341" s="1560"/>
      <c r="F341" s="1560"/>
      <c r="G341" s="1560"/>
      <c r="H341" s="1561"/>
      <c r="I341" s="36">
        <f>SUM(I323,I336)</f>
        <v>47955.7</v>
      </c>
      <c r="J341" s="579">
        <f t="shared" ref="J341:L341" si="7">SUM(J323,J336)</f>
        <v>48862.6</v>
      </c>
      <c r="K341" s="573">
        <f>SUM(K323,K336)</f>
        <v>28482.799999999999</v>
      </c>
      <c r="L341" s="567">
        <f t="shared" si="7"/>
        <v>27732.1</v>
      </c>
      <c r="M341" s="12"/>
      <c r="N341" s="12"/>
      <c r="O341" s="12"/>
      <c r="P341" s="12"/>
      <c r="Q341" s="12"/>
    </row>
    <row r="342" spans="1:17" x14ac:dyDescent="0.25">
      <c r="G342" s="507"/>
      <c r="H342" s="508"/>
      <c r="I342" s="509"/>
      <c r="J342" s="510"/>
      <c r="M342" s="4"/>
      <c r="N342" s="9"/>
      <c r="O342" s="9"/>
      <c r="P342" s="9"/>
      <c r="Q342" s="9"/>
    </row>
    <row r="343" spans="1:17" x14ac:dyDescent="0.25">
      <c r="I343" s="9"/>
    </row>
    <row r="344" spans="1:17" x14ac:dyDescent="0.25">
      <c r="I344" s="9"/>
      <c r="J344" s="9"/>
      <c r="K344" s="9"/>
      <c r="L344" s="9"/>
      <c r="M344" s="635"/>
      <c r="N344" s="709"/>
      <c r="O344" s="709"/>
      <c r="P344" s="709"/>
      <c r="Q344" s="709"/>
    </row>
    <row r="345" spans="1:17" s="2" customFormat="1" x14ac:dyDescent="0.25">
      <c r="D345" s="57"/>
      <c r="F345" s="73"/>
      <c r="G345" s="8"/>
      <c r="H345" s="3"/>
      <c r="I345" s="707"/>
      <c r="J345" s="707"/>
      <c r="K345" s="707"/>
      <c r="L345" s="707"/>
      <c r="M345" s="780"/>
    </row>
    <row r="346" spans="1:17" x14ac:dyDescent="0.25">
      <c r="A346" s="1"/>
      <c r="B346" s="1"/>
      <c r="C346" s="1"/>
      <c r="I346" s="707"/>
      <c r="J346" s="708"/>
      <c r="K346" s="708"/>
      <c r="L346" s="708"/>
      <c r="M346" s="781"/>
      <c r="N346" s="633"/>
      <c r="O346" s="633"/>
      <c r="P346" s="633"/>
      <c r="Q346" s="633"/>
    </row>
    <row r="348" spans="1:17" s="2" customFormat="1" x14ac:dyDescent="0.25">
      <c r="D348" s="57"/>
      <c r="F348" s="73"/>
      <c r="G348" s="8"/>
      <c r="H348" s="3"/>
      <c r="M348" s="9"/>
    </row>
    <row r="351" spans="1:17" s="2" customFormat="1" x14ac:dyDescent="0.25">
      <c r="D351" s="57"/>
      <c r="F351" s="73"/>
      <c r="G351" s="8"/>
      <c r="H351" s="3"/>
      <c r="M351" s="9"/>
    </row>
  </sheetData>
  <mergeCells count="289">
    <mergeCell ref="D90:D94"/>
    <mergeCell ref="E90:E94"/>
    <mergeCell ref="E117:E118"/>
    <mergeCell ref="E49:E52"/>
    <mergeCell ref="E99:E100"/>
    <mergeCell ref="E124:E126"/>
    <mergeCell ref="G127:G128"/>
    <mergeCell ref="E83:E87"/>
    <mergeCell ref="G137:G142"/>
    <mergeCell ref="E104:E105"/>
    <mergeCell ref="M68:M69"/>
    <mergeCell ref="M75:M76"/>
    <mergeCell ref="G74:G76"/>
    <mergeCell ref="E64:E66"/>
    <mergeCell ref="G65:G66"/>
    <mergeCell ref="E67:E69"/>
    <mergeCell ref="G67:G69"/>
    <mergeCell ref="G70:G72"/>
    <mergeCell ref="M1:Q1"/>
    <mergeCell ref="A11:N11"/>
    <mergeCell ref="F8:F10"/>
    <mergeCell ref="G8:G10"/>
    <mergeCell ref="H8:H10"/>
    <mergeCell ref="I8:I10"/>
    <mergeCell ref="A8:A10"/>
    <mergeCell ref="B8:B10"/>
    <mergeCell ref="C8:C10"/>
    <mergeCell ref="D8:D10"/>
    <mergeCell ref="E8:E10"/>
    <mergeCell ref="M8:Q8"/>
    <mergeCell ref="O9:Q9"/>
    <mergeCell ref="N9:N10"/>
    <mergeCell ref="A3:T3"/>
    <mergeCell ref="A4:T4"/>
    <mergeCell ref="A5:T5"/>
    <mergeCell ref="J8:J10"/>
    <mergeCell ref="K8:K10"/>
    <mergeCell ref="L8:L10"/>
    <mergeCell ref="M9:M10"/>
    <mergeCell ref="M7:Q7"/>
    <mergeCell ref="M35:M40"/>
    <mergeCell ref="C29:C40"/>
    <mergeCell ref="E29:E34"/>
    <mergeCell ref="G29:G30"/>
    <mergeCell ref="G31:G34"/>
    <mergeCell ref="A12:N12"/>
    <mergeCell ref="B13:N13"/>
    <mergeCell ref="C14:N14"/>
    <mergeCell ref="E16:E23"/>
    <mergeCell ref="G16:G18"/>
    <mergeCell ref="G19:G23"/>
    <mergeCell ref="E24:E28"/>
    <mergeCell ref="G24:G28"/>
    <mergeCell ref="E35:E40"/>
    <mergeCell ref="M18:M23"/>
    <mergeCell ref="A41:A45"/>
    <mergeCell ref="M93:M94"/>
    <mergeCell ref="D119:D121"/>
    <mergeCell ref="E119:E121"/>
    <mergeCell ref="G119:G121"/>
    <mergeCell ref="D104:D105"/>
    <mergeCell ref="M70:M72"/>
    <mergeCell ref="E70:E72"/>
    <mergeCell ref="E106:E108"/>
    <mergeCell ref="G106:G108"/>
    <mergeCell ref="E109:E112"/>
    <mergeCell ref="G113:G116"/>
    <mergeCell ref="B41:B45"/>
    <mergeCell ref="E41:E43"/>
    <mergeCell ref="C41:C45"/>
    <mergeCell ref="G41:G63"/>
    <mergeCell ref="A90:A94"/>
    <mergeCell ref="D46:D48"/>
    <mergeCell ref="E46:E48"/>
    <mergeCell ref="M50:M51"/>
    <mergeCell ref="D53:D54"/>
    <mergeCell ref="E53:E54"/>
    <mergeCell ref="E60:E63"/>
    <mergeCell ref="G77:G82"/>
    <mergeCell ref="E145:E147"/>
    <mergeCell ref="G145:G147"/>
    <mergeCell ref="D127:D128"/>
    <mergeCell ref="G129:G135"/>
    <mergeCell ref="M170:M172"/>
    <mergeCell ref="D164:D166"/>
    <mergeCell ref="E164:E166"/>
    <mergeCell ref="E168:E169"/>
    <mergeCell ref="E178:E181"/>
    <mergeCell ref="G178:G181"/>
    <mergeCell ref="E170:E172"/>
    <mergeCell ref="E148:E150"/>
    <mergeCell ref="D173:D174"/>
    <mergeCell ref="E143:E144"/>
    <mergeCell ref="M311:M313"/>
    <mergeCell ref="G300:G304"/>
    <mergeCell ref="A305:A307"/>
    <mergeCell ref="B305:B307"/>
    <mergeCell ref="E305:E307"/>
    <mergeCell ref="G305:G307"/>
    <mergeCell ref="D292:D295"/>
    <mergeCell ref="A204:A205"/>
    <mergeCell ref="B204:B205"/>
    <mergeCell ref="C204:C205"/>
    <mergeCell ref="D204:D205"/>
    <mergeCell ref="E204:E205"/>
    <mergeCell ref="F204:F205"/>
    <mergeCell ref="G204:G205"/>
    <mergeCell ref="E271:E273"/>
    <mergeCell ref="G214:G215"/>
    <mergeCell ref="D270:D281"/>
    <mergeCell ref="G276:G279"/>
    <mergeCell ref="E276:E277"/>
    <mergeCell ref="G265:G267"/>
    <mergeCell ref="D252:D253"/>
    <mergeCell ref="E252:E253"/>
    <mergeCell ref="G252:G254"/>
    <mergeCell ref="E254:E255"/>
    <mergeCell ref="A334:H334"/>
    <mergeCell ref="A335:H335"/>
    <mergeCell ref="G287:G291"/>
    <mergeCell ref="A311:A313"/>
    <mergeCell ref="B311:B313"/>
    <mergeCell ref="C311:C313"/>
    <mergeCell ref="D311:D313"/>
    <mergeCell ref="E311:E313"/>
    <mergeCell ref="G311:G313"/>
    <mergeCell ref="A328:H328"/>
    <mergeCell ref="A329:H329"/>
    <mergeCell ref="A330:H330"/>
    <mergeCell ref="A331:H331"/>
    <mergeCell ref="A332:H332"/>
    <mergeCell ref="A325:H325"/>
    <mergeCell ref="A326:H326"/>
    <mergeCell ref="A327:H327"/>
    <mergeCell ref="A333:H333"/>
    <mergeCell ref="B299:B304"/>
    <mergeCell ref="C299:C304"/>
    <mergeCell ref="E299:E304"/>
    <mergeCell ref="A318:J318"/>
    <mergeCell ref="E234:E237"/>
    <mergeCell ref="G234:G242"/>
    <mergeCell ref="M234:M235"/>
    <mergeCell ref="E214:E215"/>
    <mergeCell ref="E220:E224"/>
    <mergeCell ref="H225:H226"/>
    <mergeCell ref="E216:E219"/>
    <mergeCell ref="G216:G217"/>
    <mergeCell ref="D214:D215"/>
    <mergeCell ref="M238:M240"/>
    <mergeCell ref="Q204:Q205"/>
    <mergeCell ref="O187:O188"/>
    <mergeCell ref="N204:N205"/>
    <mergeCell ref="G197:G198"/>
    <mergeCell ref="Q187:Q188"/>
    <mergeCell ref="E186:E191"/>
    <mergeCell ref="M204:M205"/>
    <mergeCell ref="P204:P205"/>
    <mergeCell ref="O232:Q232"/>
    <mergeCell ref="E211:E212"/>
    <mergeCell ref="O204:O205"/>
    <mergeCell ref="F206:F210"/>
    <mergeCell ref="C232:N232"/>
    <mergeCell ref="A336:H336"/>
    <mergeCell ref="A337:H337"/>
    <mergeCell ref="A338:H338"/>
    <mergeCell ref="E151:E153"/>
    <mergeCell ref="G151:G153"/>
    <mergeCell ref="E292:E295"/>
    <mergeCell ref="C305:C307"/>
    <mergeCell ref="D305:D307"/>
    <mergeCell ref="A322:H322"/>
    <mergeCell ref="A323:H323"/>
    <mergeCell ref="A319:N319"/>
    <mergeCell ref="A321:H321"/>
    <mergeCell ref="M317:Q317"/>
    <mergeCell ref="M316:Q316"/>
    <mergeCell ref="M315:Q315"/>
    <mergeCell ref="G293:G295"/>
    <mergeCell ref="G220:G221"/>
    <mergeCell ref="C231:H231"/>
    <mergeCell ref="G211:G212"/>
    <mergeCell ref="C184:Q184"/>
    <mergeCell ref="M250:M251"/>
    <mergeCell ref="H260:H261"/>
    <mergeCell ref="I260:I261"/>
    <mergeCell ref="M252:M253"/>
    <mergeCell ref="G256:G257"/>
    <mergeCell ref="E256:E257"/>
    <mergeCell ref="M248:M249"/>
    <mergeCell ref="A339:H339"/>
    <mergeCell ref="A340:H340"/>
    <mergeCell ref="A341:H341"/>
    <mergeCell ref="A324:H324"/>
    <mergeCell ref="C315:H315"/>
    <mergeCell ref="B316:H316"/>
    <mergeCell ref="B317:H317"/>
    <mergeCell ref="D287:D291"/>
    <mergeCell ref="E287:E291"/>
    <mergeCell ref="A308:A310"/>
    <mergeCell ref="B308:B310"/>
    <mergeCell ref="C308:C310"/>
    <mergeCell ref="D308:D310"/>
    <mergeCell ref="E308:E310"/>
    <mergeCell ref="G308:G309"/>
    <mergeCell ref="G296:G298"/>
    <mergeCell ref="E296:E298"/>
    <mergeCell ref="A299:A304"/>
    <mergeCell ref="A258:A261"/>
    <mergeCell ref="B258:B261"/>
    <mergeCell ref="A282:A286"/>
    <mergeCell ref="B90:B94"/>
    <mergeCell ref="M173:M174"/>
    <mergeCell ref="E133:E135"/>
    <mergeCell ref="E137:E139"/>
    <mergeCell ref="D122:D123"/>
    <mergeCell ref="E122:E123"/>
    <mergeCell ref="D124:D126"/>
    <mergeCell ref="M183:Q183"/>
    <mergeCell ref="P187:P188"/>
    <mergeCell ref="N173:N174"/>
    <mergeCell ref="O173:O174"/>
    <mergeCell ref="P173:P174"/>
    <mergeCell ref="Q173:Q174"/>
    <mergeCell ref="E175:E176"/>
    <mergeCell ref="M175:M176"/>
    <mergeCell ref="G170:G172"/>
    <mergeCell ref="M99:M100"/>
    <mergeCell ref="E101:E103"/>
    <mergeCell ref="D154:D156"/>
    <mergeCell ref="E154:E156"/>
    <mergeCell ref="G154:G156"/>
    <mergeCell ref="E157:E159"/>
    <mergeCell ref="G157:G159"/>
    <mergeCell ref="E129:E131"/>
    <mergeCell ref="O93:O94"/>
    <mergeCell ref="P93:P94"/>
    <mergeCell ref="E140:E142"/>
    <mergeCell ref="C183:H183"/>
    <mergeCell ref="M187:M188"/>
    <mergeCell ref="C90:C94"/>
    <mergeCell ref="N187:N188"/>
    <mergeCell ref="G148:G150"/>
    <mergeCell ref="M282:M283"/>
    <mergeCell ref="M271:M272"/>
    <mergeCell ref="M276:M280"/>
    <mergeCell ref="C258:C261"/>
    <mergeCell ref="D258:D261"/>
    <mergeCell ref="E258:E261"/>
    <mergeCell ref="G280:G281"/>
    <mergeCell ref="M260:M261"/>
    <mergeCell ref="D225:D228"/>
    <mergeCell ref="E225:E228"/>
    <mergeCell ref="G225:G228"/>
    <mergeCell ref="M231:Q231"/>
    <mergeCell ref="I225:I226"/>
    <mergeCell ref="J225:J226"/>
    <mergeCell ref="K225:K226"/>
    <mergeCell ref="L225:L226"/>
    <mergeCell ref="B282:B286"/>
    <mergeCell ref="C282:C286"/>
    <mergeCell ref="D282:D286"/>
    <mergeCell ref="E282:E286"/>
    <mergeCell ref="G282:G286"/>
    <mergeCell ref="G262:G263"/>
    <mergeCell ref="G271:G275"/>
    <mergeCell ref="G258:G261"/>
    <mergeCell ref="E263:E264"/>
    <mergeCell ref="E274:E275"/>
    <mergeCell ref="A160:A163"/>
    <mergeCell ref="B160:B163"/>
    <mergeCell ref="D160:D163"/>
    <mergeCell ref="E160:E163"/>
    <mergeCell ref="G160:G163"/>
    <mergeCell ref="M160:M163"/>
    <mergeCell ref="A206:A207"/>
    <mergeCell ref="B206:B207"/>
    <mergeCell ref="C206:C207"/>
    <mergeCell ref="M202:M203"/>
    <mergeCell ref="E198:E199"/>
    <mergeCell ref="A170:A172"/>
    <mergeCell ref="B170:B172"/>
    <mergeCell ref="C170:C172"/>
    <mergeCell ref="E173:E174"/>
    <mergeCell ref="D206:D207"/>
    <mergeCell ref="E206:E207"/>
    <mergeCell ref="G206:G207"/>
    <mergeCell ref="E200:E201"/>
    <mergeCell ref="E202:E203"/>
    <mergeCell ref="G186:G188"/>
  </mergeCells>
  <phoneticPr fontId="20" type="noConversion"/>
  <printOptions horizontalCentered="1"/>
  <pageMargins left="0.78740157480314965" right="0.39370078740157483" top="0.39370078740157483" bottom="0.39370078740157483" header="0" footer="0"/>
  <pageSetup paperSize="9" scale="49" fitToHeight="0" orientation="portrait" r:id="rId1"/>
  <headerFooter alignWithMargins="0"/>
  <rowBreaks count="4" manualBreakCount="4">
    <brk id="72" max="16" man="1"/>
    <brk id="153" max="16" man="1"/>
    <brk id="231" max="16" man="1"/>
    <brk id="310"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05"/>
  <sheetViews>
    <sheetView tabSelected="1" zoomScaleNormal="100" zoomScaleSheetLayoutView="100" workbookViewId="0">
      <selection activeCell="J27" sqref="J27:J31"/>
    </sheetView>
  </sheetViews>
  <sheetFormatPr defaultColWidth="9.08984375" defaultRowHeight="13" x14ac:dyDescent="0.25"/>
  <cols>
    <col min="1" max="3" width="2.90625" style="2" customWidth="1"/>
    <col min="4" max="4" width="39.54296875" style="2" customWidth="1"/>
    <col min="5" max="5" width="4.453125" style="73" customWidth="1"/>
    <col min="6" max="6" width="8.90625" style="3" customWidth="1"/>
    <col min="7" max="9" width="9.08984375" style="2" customWidth="1"/>
    <col min="10" max="10" width="38.26953125" style="2" customWidth="1"/>
    <col min="11" max="13" width="8.453125" style="2" customWidth="1"/>
    <col min="14" max="14" width="9.08984375" style="1"/>
    <col min="15" max="18" width="9.08984375" style="1071" hidden="1" customWidth="1"/>
    <col min="19" max="16384" width="9.08984375" style="1"/>
  </cols>
  <sheetData>
    <row r="1" spans="1:18" ht="32.4" customHeight="1" x14ac:dyDescent="0.25">
      <c r="E1" s="71"/>
      <c r="G1" s="3"/>
      <c r="H1" s="3"/>
      <c r="I1" s="3"/>
      <c r="J1" s="1739" t="s">
        <v>323</v>
      </c>
      <c r="K1" s="1739"/>
      <c r="L1" s="1739"/>
      <c r="M1" s="1739"/>
    </row>
    <row r="2" spans="1:18" ht="15.75" customHeight="1" x14ac:dyDescent="0.25">
      <c r="E2" s="71"/>
      <c r="G2" s="3"/>
      <c r="H2" s="3"/>
      <c r="I2" s="3"/>
      <c r="J2" s="1739" t="s">
        <v>324</v>
      </c>
      <c r="K2" s="1739"/>
      <c r="L2" s="1739"/>
      <c r="M2" s="1739"/>
    </row>
    <row r="3" spans="1:18" s="2" customFormat="1" ht="11" customHeight="1" x14ac:dyDescent="0.25">
      <c r="E3" s="71"/>
      <c r="F3" s="3"/>
      <c r="G3" s="3"/>
      <c r="H3" s="3"/>
      <c r="I3" s="3"/>
      <c r="J3" s="3"/>
      <c r="K3" s="3"/>
      <c r="L3" s="3"/>
      <c r="M3" s="3"/>
      <c r="N3" s="381"/>
      <c r="O3" s="1334"/>
      <c r="P3" s="1334"/>
      <c r="Q3" s="1211"/>
      <c r="R3" s="1211"/>
    </row>
    <row r="4" spans="1:18" s="2" customFormat="1" ht="15" customHeight="1" x14ac:dyDescent="0.25">
      <c r="A4" s="1734" t="s">
        <v>322</v>
      </c>
      <c r="B4" s="1734"/>
      <c r="C4" s="1734"/>
      <c r="D4" s="1734"/>
      <c r="E4" s="1734"/>
      <c r="F4" s="1734"/>
      <c r="G4" s="1734"/>
      <c r="H4" s="1734"/>
      <c r="I4" s="1734"/>
      <c r="J4" s="1734"/>
      <c r="K4" s="1734"/>
      <c r="L4" s="1734"/>
      <c r="M4" s="1734"/>
      <c r="N4" s="1734"/>
      <c r="O4" s="1734"/>
      <c r="P4" s="1734"/>
      <c r="Q4" s="1211"/>
      <c r="R4" s="1211"/>
    </row>
    <row r="5" spans="1:18" s="2" customFormat="1" ht="15" customHeight="1" x14ac:dyDescent="0.25">
      <c r="A5" s="1735" t="s">
        <v>25</v>
      </c>
      <c r="B5" s="1735"/>
      <c r="C5" s="1735"/>
      <c r="D5" s="1735"/>
      <c r="E5" s="1735"/>
      <c r="F5" s="1735"/>
      <c r="G5" s="1735"/>
      <c r="H5" s="1735"/>
      <c r="I5" s="1735"/>
      <c r="J5" s="1735"/>
      <c r="K5" s="1735"/>
      <c r="L5" s="1735"/>
      <c r="M5" s="1735"/>
      <c r="N5" s="1735"/>
      <c r="O5" s="1735"/>
      <c r="P5" s="1735"/>
      <c r="Q5" s="1211"/>
      <c r="R5" s="1211"/>
    </row>
    <row r="6" spans="1:18" s="2" customFormat="1" ht="15" customHeight="1" x14ac:dyDescent="0.25">
      <c r="A6" s="1670" t="s">
        <v>14</v>
      </c>
      <c r="B6" s="1670"/>
      <c r="C6" s="1670"/>
      <c r="D6" s="1670"/>
      <c r="E6" s="1670"/>
      <c r="F6" s="1670"/>
      <c r="G6" s="1670"/>
      <c r="H6" s="1670"/>
      <c r="I6" s="1670"/>
      <c r="J6" s="1670"/>
      <c r="K6" s="1670"/>
      <c r="L6" s="1670"/>
      <c r="M6" s="1670"/>
      <c r="N6" s="1670"/>
      <c r="O6" s="1670"/>
      <c r="P6" s="1670"/>
      <c r="Q6" s="1211"/>
      <c r="R6" s="1211"/>
    </row>
    <row r="7" spans="1:18" ht="15" customHeight="1" x14ac:dyDescent="0.25">
      <c r="A7" s="1"/>
      <c r="B7" s="1"/>
      <c r="C7" s="1"/>
      <c r="D7" s="1"/>
      <c r="E7" s="160"/>
      <c r="F7" s="158"/>
      <c r="G7" s="383"/>
      <c r="H7" s="383"/>
      <c r="I7" s="383"/>
      <c r="J7" s="1"/>
      <c r="K7" s="1"/>
      <c r="L7" s="1"/>
      <c r="M7" s="1"/>
    </row>
    <row r="8" spans="1:18" ht="15" customHeight="1" thickBot="1" x14ac:dyDescent="0.3">
      <c r="A8" s="1"/>
      <c r="B8" s="1"/>
      <c r="C8" s="1"/>
      <c r="D8" s="1"/>
      <c r="E8" s="160"/>
      <c r="F8" s="158"/>
      <c r="H8" s="163"/>
      <c r="I8" s="163"/>
      <c r="J8" s="1682" t="s">
        <v>66</v>
      </c>
      <c r="K8" s="1682"/>
      <c r="L8" s="1682"/>
      <c r="M8" s="1682"/>
    </row>
    <row r="9" spans="1:18" s="11" customFormat="1" ht="21" customHeight="1" thickBot="1" x14ac:dyDescent="0.3">
      <c r="A9" s="1717" t="s">
        <v>15</v>
      </c>
      <c r="B9" s="1705" t="s">
        <v>0</v>
      </c>
      <c r="C9" s="1705" t="s">
        <v>1</v>
      </c>
      <c r="D9" s="1723" t="s">
        <v>9</v>
      </c>
      <c r="E9" s="1705" t="s">
        <v>174</v>
      </c>
      <c r="F9" s="1711" t="s">
        <v>2</v>
      </c>
      <c r="G9" s="1671" t="s">
        <v>255</v>
      </c>
      <c r="H9" s="1674" t="s">
        <v>176</v>
      </c>
      <c r="I9" s="1677" t="s">
        <v>256</v>
      </c>
      <c r="J9" s="1726" t="s">
        <v>161</v>
      </c>
      <c r="K9" s="1727"/>
      <c r="L9" s="1727"/>
      <c r="M9" s="1728"/>
      <c r="O9" s="1335"/>
      <c r="P9" s="1335"/>
      <c r="Q9" s="1335"/>
      <c r="R9" s="1335"/>
    </row>
    <row r="10" spans="1:18" s="11" customFormat="1" ht="21" customHeight="1" x14ac:dyDescent="0.25">
      <c r="A10" s="1718"/>
      <c r="B10" s="1706"/>
      <c r="C10" s="1706"/>
      <c r="D10" s="1724"/>
      <c r="E10" s="1706"/>
      <c r="F10" s="1712"/>
      <c r="G10" s="1672"/>
      <c r="H10" s="1675"/>
      <c r="I10" s="1678"/>
      <c r="J10" s="1680" t="s">
        <v>9</v>
      </c>
      <c r="K10" s="1729" t="s">
        <v>248</v>
      </c>
      <c r="L10" s="1730"/>
      <c r="M10" s="1731"/>
      <c r="O10" s="1335"/>
      <c r="P10" s="1335"/>
      <c r="Q10" s="1335"/>
      <c r="R10" s="1335"/>
    </row>
    <row r="11" spans="1:18" s="11" customFormat="1" ht="88.5" customHeight="1" thickBot="1" x14ac:dyDescent="0.3">
      <c r="A11" s="1719"/>
      <c r="B11" s="1707"/>
      <c r="C11" s="1707"/>
      <c r="D11" s="1725"/>
      <c r="E11" s="1707"/>
      <c r="F11" s="1713"/>
      <c r="G11" s="1673"/>
      <c r="H11" s="1676"/>
      <c r="I11" s="1679"/>
      <c r="J11" s="1681"/>
      <c r="K11" s="481" t="s">
        <v>172</v>
      </c>
      <c r="L11" s="164" t="s">
        <v>173</v>
      </c>
      <c r="M11" s="386" t="s">
        <v>254</v>
      </c>
      <c r="O11" s="1335"/>
      <c r="P11" s="1335"/>
      <c r="Q11" s="1335"/>
      <c r="R11" s="1335"/>
    </row>
    <row r="12" spans="1:18" s="7" customFormat="1" ht="15" customHeight="1" x14ac:dyDescent="0.25">
      <c r="A12" s="1703" t="s">
        <v>47</v>
      </c>
      <c r="B12" s="1704"/>
      <c r="C12" s="1704"/>
      <c r="D12" s="1704"/>
      <c r="E12" s="1704"/>
      <c r="F12" s="1704"/>
      <c r="G12" s="1704"/>
      <c r="H12" s="1704"/>
      <c r="I12" s="1704"/>
      <c r="J12" s="1704"/>
      <c r="K12" s="388"/>
      <c r="L12" s="388"/>
      <c r="M12" s="936"/>
      <c r="N12" s="364"/>
      <c r="O12" s="1336"/>
      <c r="P12" s="1336"/>
      <c r="Q12" s="1336"/>
      <c r="R12" s="1336"/>
    </row>
    <row r="13" spans="1:18" s="7" customFormat="1" ht="15" customHeight="1" x14ac:dyDescent="0.25">
      <c r="A13" s="1688" t="s">
        <v>22</v>
      </c>
      <c r="B13" s="1689"/>
      <c r="C13" s="1689"/>
      <c r="D13" s="1689"/>
      <c r="E13" s="1689"/>
      <c r="F13" s="1689"/>
      <c r="G13" s="1689"/>
      <c r="H13" s="1689"/>
      <c r="I13" s="1689"/>
      <c r="J13" s="1689"/>
      <c r="K13" s="387"/>
      <c r="L13" s="479"/>
      <c r="M13" s="937"/>
      <c r="N13" s="364"/>
      <c r="O13" s="1336"/>
      <c r="P13" s="1336"/>
      <c r="Q13" s="1336"/>
      <c r="R13" s="1336"/>
    </row>
    <row r="14" spans="1:18" ht="15" customHeight="1" x14ac:dyDescent="0.25">
      <c r="A14" s="10" t="s">
        <v>3</v>
      </c>
      <c r="B14" s="1691" t="s">
        <v>26</v>
      </c>
      <c r="C14" s="1692"/>
      <c r="D14" s="1692"/>
      <c r="E14" s="1692"/>
      <c r="F14" s="1692"/>
      <c r="G14" s="1692"/>
      <c r="H14" s="1692"/>
      <c r="I14" s="1692"/>
      <c r="J14" s="1692"/>
      <c r="K14" s="389"/>
      <c r="L14" s="480"/>
      <c r="M14" s="939"/>
      <c r="N14" s="340"/>
    </row>
    <row r="15" spans="1:18" ht="15" customHeight="1" x14ac:dyDescent="0.25">
      <c r="A15" s="30" t="s">
        <v>3</v>
      </c>
      <c r="B15" s="1009" t="s">
        <v>3</v>
      </c>
      <c r="C15" s="1694" t="s">
        <v>118</v>
      </c>
      <c r="D15" s="1695"/>
      <c r="E15" s="1695"/>
      <c r="F15" s="1695"/>
      <c r="G15" s="1695"/>
      <c r="H15" s="1695"/>
      <c r="I15" s="1695"/>
      <c r="J15" s="1695"/>
      <c r="K15" s="390"/>
      <c r="L15" s="390"/>
      <c r="M15" s="938"/>
      <c r="N15" s="340"/>
    </row>
    <row r="16" spans="1:18" ht="15" customHeight="1" x14ac:dyDescent="0.25">
      <c r="A16" s="1039" t="s">
        <v>3</v>
      </c>
      <c r="B16" s="1030" t="s">
        <v>3</v>
      </c>
      <c r="C16" s="1029" t="s">
        <v>3</v>
      </c>
      <c r="D16" s="972" t="s">
        <v>110</v>
      </c>
      <c r="E16" s="92"/>
      <c r="F16" s="232" t="s">
        <v>21</v>
      </c>
      <c r="G16" s="1046">
        <v>5626.8</v>
      </c>
      <c r="H16" s="1048">
        <v>6971.8</v>
      </c>
      <c r="I16" s="278">
        <v>5356.7</v>
      </c>
      <c r="J16" s="580"/>
      <c r="K16" s="934"/>
      <c r="L16" s="1099"/>
      <c r="M16" s="935"/>
      <c r="O16" s="1286" t="s">
        <v>21</v>
      </c>
      <c r="P16" s="1176">
        <f>+G43+G49+G54+G58+G62+G68+G72+G78+G82+G91+G94+G96+G99+G100+G101+G102+G103+G104+G107+G108+G111+G114+G122+G125+G127+G129+G131+G134+G146+G149+G152+G158+G161</f>
        <v>5626.8</v>
      </c>
      <c r="Q16" s="1176">
        <f>+H43+H49+H54+H58+H62+H68+H72+H78+H82+H91+H94+H96+H99+H100+H101+H102+H103+H104+H107+H108+H111+H114+H122+H125+H127+H129+H131+H134+H146+H149+H152+H158+H161</f>
        <v>6971.8</v>
      </c>
      <c r="R16" s="1176">
        <f>+I43+I49+I54+I58+I62+I68+I72+I78+I82+I91+I94+I96+I99+I100+I101+I102+I103+I104+I107+I108+I111+I114+I122+I125+I127+I129+I131+I134+I146+I149+I152+I158+I161</f>
        <v>5356.7</v>
      </c>
    </row>
    <row r="17" spans="1:18" ht="15" customHeight="1" x14ac:dyDescent="0.25">
      <c r="A17" s="1039"/>
      <c r="B17" s="63"/>
      <c r="C17" s="1029"/>
      <c r="D17" s="303"/>
      <c r="E17" s="1062"/>
      <c r="F17" s="115" t="s">
        <v>226</v>
      </c>
      <c r="G17" s="202">
        <v>769.1</v>
      </c>
      <c r="H17" s="167">
        <v>277</v>
      </c>
      <c r="I17" s="1050"/>
      <c r="J17" s="236"/>
      <c r="K17" s="1098"/>
      <c r="L17" s="404"/>
      <c r="M17" s="394"/>
      <c r="O17" s="1287" t="s">
        <v>226</v>
      </c>
      <c r="P17" s="1176">
        <f>+G29+G38+G64</f>
        <v>769.1</v>
      </c>
      <c r="Q17" s="1176">
        <f t="shared" ref="Q17:R17" si="0">+H29+H38+H64</f>
        <v>277</v>
      </c>
      <c r="R17" s="1176">
        <f t="shared" si="0"/>
        <v>0</v>
      </c>
    </row>
    <row r="18" spans="1:18" ht="15" customHeight="1" x14ac:dyDescent="0.25">
      <c r="A18" s="1039"/>
      <c r="B18" s="63"/>
      <c r="C18" s="1029"/>
      <c r="D18" s="303"/>
      <c r="E18" s="1062"/>
      <c r="F18" s="115" t="s">
        <v>89</v>
      </c>
      <c r="G18" s="202">
        <v>552.5</v>
      </c>
      <c r="H18" s="113"/>
      <c r="I18" s="282"/>
      <c r="J18" s="236"/>
      <c r="K18" s="1098"/>
      <c r="L18" s="404"/>
      <c r="M18" s="394"/>
      <c r="O18" s="1287" t="s">
        <v>89</v>
      </c>
      <c r="P18" s="1176">
        <f>+G39+G44+G73+G76</f>
        <v>552.5</v>
      </c>
      <c r="Q18" s="1176">
        <f t="shared" ref="Q18:R18" si="1">+H39+H44+H73+H76</f>
        <v>0</v>
      </c>
      <c r="R18" s="1176">
        <f t="shared" si="1"/>
        <v>0</v>
      </c>
    </row>
    <row r="19" spans="1:18" ht="15" customHeight="1" x14ac:dyDescent="0.25">
      <c r="A19" s="1039"/>
      <c r="B19" s="63"/>
      <c r="C19" s="1029"/>
      <c r="D19" s="303"/>
      <c r="E19" s="1062"/>
      <c r="F19" s="306" t="s">
        <v>53</v>
      </c>
      <c r="G19" s="983">
        <v>1250.2</v>
      </c>
      <c r="H19" s="113">
        <v>661</v>
      </c>
      <c r="I19" s="282">
        <v>80.7</v>
      </c>
      <c r="J19" s="236"/>
      <c r="K19" s="1098"/>
      <c r="L19" s="404"/>
      <c r="M19" s="394"/>
      <c r="O19" s="1288" t="s">
        <v>53</v>
      </c>
      <c r="P19" s="1176">
        <f>+G28+G124+G128+G133+G147</f>
        <v>1250.2</v>
      </c>
      <c r="Q19" s="1176">
        <f>+H28+H124+H128+H133+H147</f>
        <v>661</v>
      </c>
      <c r="R19" s="1176">
        <f>+I28+I124+I128+I133+I147</f>
        <v>80.7</v>
      </c>
    </row>
    <row r="20" spans="1:18" ht="15" customHeight="1" x14ac:dyDescent="0.25">
      <c r="A20" s="1039"/>
      <c r="B20" s="63"/>
      <c r="C20" s="1029"/>
      <c r="D20" s="303"/>
      <c r="E20" s="1062"/>
      <c r="F20" s="1038" t="s">
        <v>62</v>
      </c>
      <c r="G20" s="202">
        <v>5001.8</v>
      </c>
      <c r="H20" s="113">
        <v>5588.6</v>
      </c>
      <c r="I20" s="282">
        <v>6049.9</v>
      </c>
      <c r="J20" s="236"/>
      <c r="K20" s="1098"/>
      <c r="L20" s="404"/>
      <c r="M20" s="394"/>
      <c r="O20" s="1287" t="s">
        <v>62</v>
      </c>
      <c r="P20" s="1176">
        <f>+G40+G55+G59+G69+G83+G89+G95+G98+G106+G109+G112+G115+G118+G119+G121+G123+G132+G135+G155</f>
        <v>5001.8</v>
      </c>
      <c r="Q20" s="1176">
        <f>+H40+H55+H59+H69+H83+H89+H95+H98+H106+H109+H112+H115+H118+H119+H121+H123+H132+H135+H155</f>
        <v>5588.6</v>
      </c>
      <c r="R20" s="1176">
        <f>+I40+I55+I59+I69+I83+I89+I95+I98+I106+I109+I112+I115+I118+I119+I121+I123+I132+I135+I155</f>
        <v>6049.9</v>
      </c>
    </row>
    <row r="21" spans="1:18" ht="15" customHeight="1" x14ac:dyDescent="0.25">
      <c r="A21" s="1039"/>
      <c r="B21" s="63"/>
      <c r="C21" s="1029"/>
      <c r="D21" s="303"/>
      <c r="E21" s="1062"/>
      <c r="F21" s="115" t="s">
        <v>46</v>
      </c>
      <c r="G21" s="983">
        <v>521.9</v>
      </c>
      <c r="H21" s="113"/>
      <c r="I21" s="282"/>
      <c r="J21" s="236"/>
      <c r="K21" s="1098"/>
      <c r="L21" s="404"/>
      <c r="M21" s="394"/>
      <c r="O21" s="1287" t="s">
        <v>46</v>
      </c>
      <c r="P21" s="1176">
        <f>+G37+G165</f>
        <v>521.9</v>
      </c>
      <c r="Q21" s="1176">
        <f>+H37+H165</f>
        <v>0</v>
      </c>
      <c r="R21" s="1176">
        <f>+I37+I165</f>
        <v>0</v>
      </c>
    </row>
    <row r="22" spans="1:18" ht="15" customHeight="1" x14ac:dyDescent="0.25">
      <c r="A22" s="1039"/>
      <c r="B22" s="63"/>
      <c r="C22" s="1029"/>
      <c r="D22" s="303"/>
      <c r="E22" s="1062"/>
      <c r="F22" s="332" t="s">
        <v>41</v>
      </c>
      <c r="G22" s="558">
        <v>1800</v>
      </c>
      <c r="H22" s="113"/>
      <c r="I22" s="20"/>
      <c r="J22" s="236"/>
      <c r="K22" s="367"/>
      <c r="L22" s="404"/>
      <c r="M22" s="394"/>
      <c r="O22" s="1289" t="s">
        <v>41</v>
      </c>
      <c r="P22" s="1176">
        <f>+G26</f>
        <v>1800</v>
      </c>
      <c r="Q22" s="1176">
        <f t="shared" ref="Q22:R22" si="2">+H26</f>
        <v>0</v>
      </c>
      <c r="R22" s="1176">
        <f t="shared" si="2"/>
        <v>0</v>
      </c>
    </row>
    <row r="23" spans="1:18" ht="15" customHeight="1" x14ac:dyDescent="0.25">
      <c r="A23" s="1039"/>
      <c r="B23" s="63"/>
      <c r="C23" s="1029"/>
      <c r="D23" s="303"/>
      <c r="E23" s="1062"/>
      <c r="F23" s="115" t="s">
        <v>93</v>
      </c>
      <c r="G23" s="558">
        <v>8183.4</v>
      </c>
      <c r="H23" s="113">
        <v>1450</v>
      </c>
      <c r="I23" s="281">
        <v>4125</v>
      </c>
      <c r="J23" s="236"/>
      <c r="K23" s="1098"/>
      <c r="L23" s="404"/>
      <c r="M23" s="394"/>
      <c r="O23" s="1287" t="s">
        <v>93</v>
      </c>
      <c r="P23" s="1176">
        <f>+G27+G32+G138+G141</f>
        <v>8183.4</v>
      </c>
      <c r="Q23" s="1176">
        <f>+H27+H32+H138+H141</f>
        <v>1450</v>
      </c>
      <c r="R23" s="1176">
        <f>+I27+I32+I138+I141</f>
        <v>4125</v>
      </c>
    </row>
    <row r="24" spans="1:18" ht="15" customHeight="1" x14ac:dyDescent="0.25">
      <c r="A24" s="1039"/>
      <c r="B24" s="63"/>
      <c r="C24" s="1029"/>
      <c r="D24" s="303"/>
      <c r="E24" s="1062"/>
      <c r="F24" s="158" t="s">
        <v>37</v>
      </c>
      <c r="G24" s="558">
        <v>1100</v>
      </c>
      <c r="H24" s="113"/>
      <c r="I24" s="282"/>
      <c r="J24" s="236"/>
      <c r="K24" s="367"/>
      <c r="L24" s="404"/>
      <c r="M24" s="394"/>
      <c r="O24" s="1290" t="s">
        <v>37</v>
      </c>
      <c r="P24" s="1176">
        <f>+G144</f>
        <v>1100</v>
      </c>
      <c r="Q24" s="1176">
        <f t="shared" ref="Q24:R24" si="3">+H144</f>
        <v>0</v>
      </c>
      <c r="R24" s="1176">
        <f t="shared" si="3"/>
        <v>0</v>
      </c>
    </row>
    <row r="25" spans="1:18" ht="15" customHeight="1" x14ac:dyDescent="0.25">
      <c r="A25" s="1039"/>
      <c r="B25" s="63"/>
      <c r="C25" s="1029"/>
      <c r="D25" s="303"/>
      <c r="E25" s="321"/>
      <c r="F25" s="1038" t="s">
        <v>38</v>
      </c>
      <c r="G25" s="291">
        <v>103.1</v>
      </c>
      <c r="H25" s="1049">
        <v>49.4</v>
      </c>
      <c r="I25" s="146"/>
      <c r="J25" s="236"/>
      <c r="K25" s="1098"/>
      <c r="L25" s="404"/>
      <c r="M25" s="394"/>
      <c r="O25" s="1291" t="s">
        <v>38</v>
      </c>
      <c r="P25" s="1176">
        <f>+G63+G120</f>
        <v>103.1</v>
      </c>
      <c r="Q25" s="1176">
        <f>+H63+H120</f>
        <v>49.4</v>
      </c>
      <c r="R25" s="1176">
        <f>+I63+I120</f>
        <v>0</v>
      </c>
    </row>
    <row r="26" spans="1:18" ht="15.75" customHeight="1" x14ac:dyDescent="0.25">
      <c r="A26" s="1024"/>
      <c r="B26" s="1051"/>
      <c r="C26" s="1026"/>
      <c r="D26" s="1480" t="s">
        <v>71</v>
      </c>
      <c r="E26" s="342" t="s">
        <v>113</v>
      </c>
      <c r="F26" s="1268" t="s">
        <v>326</v>
      </c>
      <c r="G26" s="1161">
        <v>1800</v>
      </c>
      <c r="H26" s="1162"/>
      <c r="I26" s="1179"/>
      <c r="J26" s="669" t="s">
        <v>214</v>
      </c>
      <c r="K26" s="195">
        <v>95</v>
      </c>
      <c r="L26" s="438">
        <v>100</v>
      </c>
      <c r="M26" s="142"/>
      <c r="P26" s="1176">
        <f>SUM(P16:P25)</f>
        <v>24908.799999999999</v>
      </c>
      <c r="Q26" s="1176">
        <f>SUM(Q16:Q25)</f>
        <v>14997.8</v>
      </c>
      <c r="R26" s="1176">
        <f>SUM(R16:R25)</f>
        <v>15612.3</v>
      </c>
    </row>
    <row r="27" spans="1:18" ht="15.75" customHeight="1" x14ac:dyDescent="0.25">
      <c r="A27" s="1024"/>
      <c r="B27" s="1051"/>
      <c r="C27" s="1026"/>
      <c r="D27" s="1521"/>
      <c r="E27" s="1028" t="s">
        <v>243</v>
      </c>
      <c r="F27" s="1171" t="s">
        <v>327</v>
      </c>
      <c r="G27" s="1138">
        <v>6000</v>
      </c>
      <c r="H27" s="1131">
        <v>1000</v>
      </c>
      <c r="I27" s="1190">
        <v>4125</v>
      </c>
      <c r="J27" s="1605" t="s">
        <v>337</v>
      </c>
      <c r="K27" s="188"/>
      <c r="L27" s="191"/>
      <c r="M27" s="66">
        <v>100</v>
      </c>
      <c r="P27" s="1176">
        <f>+P26-G169</f>
        <v>0</v>
      </c>
      <c r="Q27" s="1176">
        <f>+Q26-H169</f>
        <v>0</v>
      </c>
      <c r="R27" s="1176">
        <f>+R26-I169</f>
        <v>0</v>
      </c>
    </row>
    <row r="28" spans="1:18" ht="15.75" customHeight="1" x14ac:dyDescent="0.25">
      <c r="A28" s="1024"/>
      <c r="B28" s="1051"/>
      <c r="C28" s="1026"/>
      <c r="D28" s="1521"/>
      <c r="E28" s="343" t="s">
        <v>194</v>
      </c>
      <c r="F28" s="1137" t="s">
        <v>328</v>
      </c>
      <c r="G28" s="1280">
        <v>500</v>
      </c>
      <c r="H28" s="1281">
        <v>473</v>
      </c>
      <c r="I28" s="1190"/>
      <c r="J28" s="1471"/>
      <c r="K28" s="320"/>
      <c r="L28" s="175"/>
      <c r="M28" s="297"/>
    </row>
    <row r="29" spans="1:18" ht="15.75" customHeight="1" x14ac:dyDescent="0.25">
      <c r="A29" s="1024"/>
      <c r="B29" s="1051"/>
      <c r="C29" s="1026"/>
      <c r="D29" s="1521"/>
      <c r="E29" s="321" t="s">
        <v>40</v>
      </c>
      <c r="F29" s="1137" t="s">
        <v>329</v>
      </c>
      <c r="G29" s="1138"/>
      <c r="H29" s="1164">
        <v>277</v>
      </c>
      <c r="I29" s="1159"/>
      <c r="J29" s="1471"/>
      <c r="K29" s="320"/>
      <c r="L29" s="175"/>
      <c r="M29" s="66"/>
    </row>
    <row r="30" spans="1:18" ht="15.75" customHeight="1" x14ac:dyDescent="0.25">
      <c r="A30" s="1024"/>
      <c r="B30" s="1051"/>
      <c r="C30" s="1026"/>
      <c r="D30" s="1521"/>
      <c r="E30" s="1061" t="s">
        <v>160</v>
      </c>
      <c r="F30" s="1153"/>
      <c r="G30" s="1159"/>
      <c r="H30" s="1282"/>
      <c r="I30" s="1283"/>
      <c r="J30" s="1471"/>
      <c r="K30" s="320"/>
      <c r="L30" s="175"/>
      <c r="M30" s="66"/>
    </row>
    <row r="31" spans="1:18" ht="15.75" customHeight="1" x14ac:dyDescent="0.25">
      <c r="A31" s="1024"/>
      <c r="B31" s="1051"/>
      <c r="C31" s="1026"/>
      <c r="D31" s="1521"/>
      <c r="E31" s="1028" t="s">
        <v>125</v>
      </c>
      <c r="F31" s="1171"/>
      <c r="G31" s="1284"/>
      <c r="H31" s="1285"/>
      <c r="I31" s="1170"/>
      <c r="J31" s="1472"/>
      <c r="K31" s="172"/>
      <c r="L31" s="179"/>
      <c r="M31" s="147"/>
    </row>
    <row r="32" spans="1:18" ht="15" customHeight="1" x14ac:dyDescent="0.25">
      <c r="A32" s="1024"/>
      <c r="B32" s="1051"/>
      <c r="C32" s="1026"/>
      <c r="D32" s="1697" t="s">
        <v>309</v>
      </c>
      <c r="E32" s="1027" t="s">
        <v>125</v>
      </c>
      <c r="F32" s="1145" t="s">
        <v>327</v>
      </c>
      <c r="G32" s="1172">
        <v>400</v>
      </c>
      <c r="H32" s="1135">
        <v>450</v>
      </c>
      <c r="I32" s="1174"/>
      <c r="J32" s="1042" t="s">
        <v>39</v>
      </c>
      <c r="K32" s="320"/>
      <c r="L32" s="175">
        <v>1</v>
      </c>
      <c r="M32" s="66"/>
    </row>
    <row r="33" spans="1:13" ht="15" customHeight="1" x14ac:dyDescent="0.25">
      <c r="A33" s="1024"/>
      <c r="B33" s="1051"/>
      <c r="C33" s="1026"/>
      <c r="D33" s="1698"/>
      <c r="E33" s="321" t="s">
        <v>40</v>
      </c>
      <c r="F33" s="1171"/>
      <c r="G33" s="1130"/>
      <c r="H33" s="1135"/>
      <c r="I33" s="1132"/>
      <c r="J33" s="1043"/>
      <c r="K33" s="320"/>
      <c r="L33" s="175"/>
      <c r="M33" s="66"/>
    </row>
    <row r="34" spans="1:13" ht="15" customHeight="1" x14ac:dyDescent="0.25">
      <c r="A34" s="1024"/>
      <c r="B34" s="1051"/>
      <c r="C34" s="1026"/>
      <c r="D34" s="1698"/>
      <c r="E34" s="343" t="s">
        <v>192</v>
      </c>
      <c r="F34" s="1171"/>
      <c r="G34" s="1130"/>
      <c r="H34" s="1135"/>
      <c r="I34" s="1132"/>
      <c r="J34" s="1043"/>
      <c r="K34" s="320"/>
      <c r="L34" s="175"/>
      <c r="M34" s="66"/>
    </row>
    <row r="35" spans="1:13" ht="15" customHeight="1" x14ac:dyDescent="0.25">
      <c r="A35" s="1024"/>
      <c r="B35" s="1051"/>
      <c r="C35" s="1026"/>
      <c r="D35" s="1698"/>
      <c r="E35" s="1028" t="s">
        <v>160</v>
      </c>
      <c r="F35" s="1171"/>
      <c r="G35" s="1130"/>
      <c r="H35" s="1135"/>
      <c r="I35" s="1132"/>
      <c r="J35" s="1043"/>
      <c r="K35" s="320"/>
      <c r="L35" s="175"/>
      <c r="M35" s="66"/>
    </row>
    <row r="36" spans="1:13" ht="15" customHeight="1" x14ac:dyDescent="0.25">
      <c r="A36" s="1024"/>
      <c r="B36" s="1051"/>
      <c r="C36" s="1026"/>
      <c r="D36" s="1699"/>
      <c r="E36" s="343" t="s">
        <v>243</v>
      </c>
      <c r="F36" s="1167"/>
      <c r="G36" s="1168"/>
      <c r="H36" s="1135"/>
      <c r="I36" s="1132"/>
      <c r="J36" s="1054"/>
      <c r="K36" s="320"/>
      <c r="L36" s="175"/>
      <c r="M36" s="66"/>
    </row>
    <row r="37" spans="1:13" ht="15" customHeight="1" x14ac:dyDescent="0.25">
      <c r="A37" s="1039"/>
      <c r="B37" s="1030"/>
      <c r="C37" s="1685"/>
      <c r="D37" s="1493" t="s">
        <v>204</v>
      </c>
      <c r="E37" s="342" t="s">
        <v>113</v>
      </c>
      <c r="F37" s="1258" t="s">
        <v>330</v>
      </c>
      <c r="G37" s="1273">
        <v>321.89999999999998</v>
      </c>
      <c r="H37" s="1162"/>
      <c r="I37" s="1163"/>
      <c r="J37" s="228" t="s">
        <v>214</v>
      </c>
      <c r="K37" s="1033">
        <v>100</v>
      </c>
      <c r="L37" s="204"/>
      <c r="M37" s="1031"/>
    </row>
    <row r="38" spans="1:13" ht="15" customHeight="1" x14ac:dyDescent="0.25">
      <c r="A38" s="1039"/>
      <c r="B38" s="1030"/>
      <c r="C38" s="1685"/>
      <c r="D38" s="1494"/>
      <c r="E38" s="321" t="s">
        <v>40</v>
      </c>
      <c r="F38" s="1151" t="s">
        <v>329</v>
      </c>
      <c r="G38" s="1274">
        <v>241.7</v>
      </c>
      <c r="H38" s="1275"/>
      <c r="I38" s="1175"/>
      <c r="J38" s="236"/>
      <c r="K38" s="1074"/>
      <c r="L38" s="552"/>
      <c r="M38" s="946"/>
    </row>
    <row r="39" spans="1:13" ht="15" customHeight="1" x14ac:dyDescent="0.25">
      <c r="A39" s="1039"/>
      <c r="B39" s="1030"/>
      <c r="C39" s="1685"/>
      <c r="D39" s="1494"/>
      <c r="E39" s="1028" t="s">
        <v>160</v>
      </c>
      <c r="F39" s="1151" t="s">
        <v>331</v>
      </c>
      <c r="G39" s="1134">
        <v>241.5</v>
      </c>
      <c r="H39" s="1131"/>
      <c r="I39" s="1190"/>
      <c r="J39" s="236"/>
      <c r="K39" s="454"/>
      <c r="L39" s="552"/>
      <c r="M39" s="550"/>
    </row>
    <row r="40" spans="1:13" ht="15" customHeight="1" x14ac:dyDescent="0.25">
      <c r="A40" s="1039"/>
      <c r="B40" s="1030"/>
      <c r="C40" s="1685"/>
      <c r="D40" s="1494"/>
      <c r="E40" s="321" t="s">
        <v>194</v>
      </c>
      <c r="F40" s="1171" t="s">
        <v>332</v>
      </c>
      <c r="G40" s="1138">
        <v>350</v>
      </c>
      <c r="H40" s="1135"/>
      <c r="I40" s="1175"/>
      <c r="J40" s="236"/>
      <c r="K40" s="454"/>
      <c r="L40" s="552"/>
      <c r="M40" s="550"/>
    </row>
    <row r="41" spans="1:13" ht="15" customHeight="1" x14ac:dyDescent="0.25">
      <c r="A41" s="1039"/>
      <c r="B41" s="1030"/>
      <c r="C41" s="1685"/>
      <c r="D41" s="1494"/>
      <c r="E41" s="343" t="s">
        <v>91</v>
      </c>
      <c r="F41" s="1271"/>
      <c r="G41" s="1211"/>
      <c r="H41" s="1135"/>
      <c r="I41" s="1132"/>
      <c r="J41" s="634"/>
      <c r="K41" s="184"/>
      <c r="L41" s="78"/>
      <c r="M41" s="80"/>
    </row>
    <row r="42" spans="1:13" ht="15" customHeight="1" x14ac:dyDescent="0.25">
      <c r="A42" s="1039"/>
      <c r="B42" s="63"/>
      <c r="C42" s="1685"/>
      <c r="D42" s="1494"/>
      <c r="E42" s="343" t="s">
        <v>125</v>
      </c>
      <c r="F42" s="1171"/>
      <c r="G42" s="1168"/>
      <c r="H42" s="1169"/>
      <c r="I42" s="1243"/>
      <c r="J42" s="556"/>
      <c r="K42" s="454"/>
      <c r="L42" s="552"/>
      <c r="M42" s="550"/>
    </row>
    <row r="43" spans="1:13" ht="14.9" customHeight="1" x14ac:dyDescent="0.25">
      <c r="A43" s="38"/>
      <c r="B43" s="63"/>
      <c r="C43" s="1685"/>
      <c r="D43" s="1480" t="s">
        <v>141</v>
      </c>
      <c r="E43" s="1027" t="s">
        <v>113</v>
      </c>
      <c r="F43" s="1258" t="s">
        <v>333</v>
      </c>
      <c r="G43" s="1166">
        <v>397.1</v>
      </c>
      <c r="H43" s="1135"/>
      <c r="I43" s="1179"/>
      <c r="J43" s="1740" t="s">
        <v>214</v>
      </c>
      <c r="K43" s="274">
        <v>100</v>
      </c>
      <c r="L43" s="204"/>
      <c r="M43" s="1031"/>
    </row>
    <row r="44" spans="1:13" ht="14.9" customHeight="1" x14ac:dyDescent="0.25">
      <c r="A44" s="38"/>
      <c r="B44" s="63"/>
      <c r="C44" s="1685"/>
      <c r="D44" s="1521"/>
      <c r="E44" s="93" t="s">
        <v>40</v>
      </c>
      <c r="F44" s="1137" t="s">
        <v>331</v>
      </c>
      <c r="G44" s="1138">
        <v>117.1</v>
      </c>
      <c r="H44" s="1164"/>
      <c r="I44" s="1165"/>
      <c r="J44" s="1741"/>
      <c r="K44" s="455"/>
      <c r="L44" s="403"/>
      <c r="M44" s="393"/>
    </row>
    <row r="45" spans="1:13" ht="14.9" customHeight="1" x14ac:dyDescent="0.25">
      <c r="A45" s="38"/>
      <c r="B45" s="63"/>
      <c r="C45" s="1685"/>
      <c r="D45" s="1521"/>
      <c r="E45" s="1028" t="s">
        <v>160</v>
      </c>
      <c r="F45" s="1171"/>
      <c r="G45" s="1130"/>
      <c r="H45" s="1135"/>
      <c r="I45" s="1132"/>
      <c r="J45" s="1741"/>
      <c r="K45" s="184"/>
      <c r="L45" s="78"/>
      <c r="M45" s="80"/>
    </row>
    <row r="46" spans="1:13" ht="14.9" customHeight="1" x14ac:dyDescent="0.25">
      <c r="A46" s="38"/>
      <c r="B46" s="63"/>
      <c r="C46" s="1685"/>
      <c r="D46" s="1521"/>
      <c r="E46" s="343" t="s">
        <v>194</v>
      </c>
      <c r="F46" s="1271"/>
      <c r="G46" s="1130"/>
      <c r="H46" s="1135"/>
      <c r="I46" s="1175"/>
      <c r="J46" s="1741"/>
      <c r="K46" s="184"/>
      <c r="L46" s="78"/>
      <c r="M46" s="80"/>
    </row>
    <row r="47" spans="1:13" ht="14.9" customHeight="1" x14ac:dyDescent="0.25">
      <c r="A47" s="38"/>
      <c r="B47" s="63"/>
      <c r="C47" s="1685"/>
      <c r="D47" s="1521"/>
      <c r="E47" s="343" t="s">
        <v>125</v>
      </c>
      <c r="F47" s="1171"/>
      <c r="G47" s="1130"/>
      <c r="H47" s="1135"/>
      <c r="I47" s="1132"/>
      <c r="J47" s="1741"/>
      <c r="K47" s="184"/>
      <c r="L47" s="78"/>
      <c r="M47" s="80"/>
    </row>
    <row r="48" spans="1:13" ht="14.9" customHeight="1" x14ac:dyDescent="0.25">
      <c r="A48" s="38"/>
      <c r="B48" s="63"/>
      <c r="C48" s="1685"/>
      <c r="D48" s="1521"/>
      <c r="E48" s="343"/>
      <c r="F48" s="1167"/>
      <c r="G48" s="1168"/>
      <c r="H48" s="1135"/>
      <c r="I48" s="1243"/>
      <c r="J48" s="1742"/>
      <c r="K48" s="184"/>
      <c r="L48" s="78"/>
      <c r="M48" s="80"/>
    </row>
    <row r="49" spans="1:13" ht="15" customHeight="1" x14ac:dyDescent="0.25">
      <c r="A49" s="1461"/>
      <c r="B49" s="1462"/>
      <c r="C49" s="1664"/>
      <c r="D49" s="1493" t="s">
        <v>87</v>
      </c>
      <c r="E49" s="49" t="s">
        <v>113</v>
      </c>
      <c r="F49" s="1145" t="s">
        <v>333</v>
      </c>
      <c r="G49" s="1172">
        <v>56.9</v>
      </c>
      <c r="H49" s="1173"/>
      <c r="I49" s="1223"/>
      <c r="J49" s="361" t="s">
        <v>214</v>
      </c>
      <c r="K49" s="701">
        <v>100</v>
      </c>
      <c r="L49" s="702"/>
      <c r="M49" s="703"/>
    </row>
    <row r="50" spans="1:13" ht="15" customHeight="1" x14ac:dyDescent="0.25">
      <c r="A50" s="1461"/>
      <c r="B50" s="1462"/>
      <c r="C50" s="1664"/>
      <c r="D50" s="1494"/>
      <c r="E50" s="321" t="s">
        <v>40</v>
      </c>
      <c r="F50" s="1171"/>
      <c r="G50" s="1130"/>
      <c r="H50" s="1135"/>
      <c r="I50" s="1132"/>
      <c r="J50" s="1055"/>
      <c r="K50" s="185"/>
      <c r="L50" s="299"/>
      <c r="M50" s="138"/>
    </row>
    <row r="51" spans="1:13" ht="15" customHeight="1" x14ac:dyDescent="0.25">
      <c r="A51" s="1461"/>
      <c r="B51" s="1462"/>
      <c r="C51" s="1664"/>
      <c r="D51" s="1494"/>
      <c r="E51" s="343" t="s">
        <v>160</v>
      </c>
      <c r="F51" s="1171"/>
      <c r="G51" s="1130"/>
      <c r="H51" s="1135"/>
      <c r="I51" s="1132"/>
      <c r="J51" s="1055"/>
      <c r="K51" s="185"/>
      <c r="L51" s="299"/>
      <c r="M51" s="138"/>
    </row>
    <row r="52" spans="1:13" ht="15" customHeight="1" x14ac:dyDescent="0.25">
      <c r="A52" s="1461"/>
      <c r="B52" s="1462"/>
      <c r="C52" s="1664"/>
      <c r="D52" s="1010"/>
      <c r="E52" s="322" t="s">
        <v>125</v>
      </c>
      <c r="F52" s="1171"/>
      <c r="G52" s="1130"/>
      <c r="H52" s="1135"/>
      <c r="I52" s="1224"/>
      <c r="J52" s="114"/>
      <c r="K52" s="200"/>
      <c r="L52" s="177"/>
      <c r="M52" s="134"/>
    </row>
    <row r="53" spans="1:13" ht="15" customHeight="1" x14ac:dyDescent="0.25">
      <c r="A53" s="1461"/>
      <c r="B53" s="1462"/>
      <c r="C53" s="1664"/>
      <c r="D53" s="1010"/>
      <c r="E53" s="322" t="s">
        <v>194</v>
      </c>
      <c r="F53" s="1263"/>
      <c r="G53" s="1276"/>
      <c r="H53" s="1277"/>
      <c r="I53" s="1278"/>
      <c r="J53" s="1055"/>
      <c r="K53" s="554"/>
      <c r="L53" s="349"/>
      <c r="M53" s="551"/>
    </row>
    <row r="54" spans="1:13" ht="27.5" customHeight="1" x14ac:dyDescent="0.25">
      <c r="A54" s="1024"/>
      <c r="B54" s="1051"/>
      <c r="C54" s="44"/>
      <c r="D54" s="1480" t="s">
        <v>142</v>
      </c>
      <c r="E54" s="1027" t="s">
        <v>40</v>
      </c>
      <c r="F54" s="1153" t="s">
        <v>333</v>
      </c>
      <c r="G54" s="1134">
        <v>91.8</v>
      </c>
      <c r="H54" s="1135">
        <v>100</v>
      </c>
      <c r="I54" s="1224">
        <v>150</v>
      </c>
      <c r="J54" s="669" t="s">
        <v>368</v>
      </c>
      <c r="K54" s="187">
        <v>1</v>
      </c>
      <c r="L54" s="178"/>
      <c r="M54" s="65"/>
    </row>
    <row r="55" spans="1:13" ht="14.5" customHeight="1" x14ac:dyDescent="0.25">
      <c r="A55" s="1024"/>
      <c r="B55" s="1051"/>
      <c r="C55" s="44"/>
      <c r="D55" s="1521"/>
      <c r="E55" s="1028" t="s">
        <v>194</v>
      </c>
      <c r="F55" s="1137" t="s">
        <v>332</v>
      </c>
      <c r="G55" s="1138"/>
      <c r="H55" s="1164"/>
      <c r="I55" s="1165">
        <v>500</v>
      </c>
      <c r="J55" s="247" t="s">
        <v>39</v>
      </c>
      <c r="K55" s="674">
        <v>1</v>
      </c>
      <c r="L55" s="176"/>
      <c r="M55" s="143"/>
    </row>
    <row r="56" spans="1:13" ht="26.5" customHeight="1" x14ac:dyDescent="0.25">
      <c r="A56" s="1457"/>
      <c r="B56" s="1458"/>
      <c r="C56" s="44"/>
      <c r="D56" s="1521"/>
      <c r="E56" s="343"/>
      <c r="F56" s="1171"/>
      <c r="G56" s="1175"/>
      <c r="H56" s="1224"/>
      <c r="I56" s="1132"/>
      <c r="J56" s="1459" t="s">
        <v>370</v>
      </c>
      <c r="K56" s="170"/>
      <c r="L56" s="175"/>
      <c r="M56" s="143"/>
    </row>
    <row r="57" spans="1:13" ht="27" customHeight="1" x14ac:dyDescent="0.25">
      <c r="A57" s="1024"/>
      <c r="B57" s="1051"/>
      <c r="C57" s="44"/>
      <c r="D57" s="1481"/>
      <c r="E57" s="337" t="s">
        <v>125</v>
      </c>
      <c r="F57" s="1263"/>
      <c r="G57" s="1211"/>
      <c r="H57" s="1279"/>
      <c r="I57" s="1218"/>
      <c r="J57" s="224" t="s">
        <v>362</v>
      </c>
      <c r="K57" s="196"/>
      <c r="L57" s="192"/>
      <c r="M57" s="67">
        <v>20</v>
      </c>
    </row>
    <row r="58" spans="1:13" ht="15" customHeight="1" x14ac:dyDescent="0.25">
      <c r="A58" s="1024"/>
      <c r="B58" s="1051"/>
      <c r="C58" s="1026"/>
      <c r="D58" s="1521" t="s">
        <v>304</v>
      </c>
      <c r="E58" s="92" t="s">
        <v>113</v>
      </c>
      <c r="F58" s="1268" t="s">
        <v>333</v>
      </c>
      <c r="G58" s="1161">
        <v>177.4</v>
      </c>
      <c r="H58" s="1162">
        <v>455.2</v>
      </c>
      <c r="I58" s="1245">
        <v>625.4</v>
      </c>
      <c r="J58" s="1470" t="s">
        <v>223</v>
      </c>
      <c r="K58" s="586">
        <v>15</v>
      </c>
      <c r="L58" s="284">
        <v>60</v>
      </c>
      <c r="M58" s="285">
        <v>100</v>
      </c>
    </row>
    <row r="59" spans="1:13" ht="15" customHeight="1" x14ac:dyDescent="0.25">
      <c r="A59" s="1024"/>
      <c r="B59" s="1051"/>
      <c r="C59" s="1026"/>
      <c r="D59" s="1521"/>
      <c r="E59" s="321" t="s">
        <v>194</v>
      </c>
      <c r="F59" s="1269" t="s">
        <v>332</v>
      </c>
      <c r="G59" s="1138">
        <v>200</v>
      </c>
      <c r="H59" s="1135">
        <v>200</v>
      </c>
      <c r="I59" s="1224">
        <v>200</v>
      </c>
      <c r="J59" s="1471"/>
      <c r="K59" s="320"/>
      <c r="L59" s="175"/>
      <c r="M59" s="297"/>
    </row>
    <row r="60" spans="1:13" ht="15" customHeight="1" x14ac:dyDescent="0.25">
      <c r="A60" s="1024"/>
      <c r="B60" s="1051"/>
      <c r="C60" s="1026"/>
      <c r="D60" s="1521"/>
      <c r="E60" s="1028" t="s">
        <v>125</v>
      </c>
      <c r="F60" s="1171"/>
      <c r="G60" s="1130"/>
      <c r="H60" s="1135"/>
      <c r="I60" s="1132"/>
      <c r="J60" s="1471"/>
      <c r="K60" s="320"/>
      <c r="L60" s="175"/>
      <c r="M60" s="66"/>
    </row>
    <row r="61" spans="1:13" ht="15" customHeight="1" x14ac:dyDescent="0.25">
      <c r="A61" s="1024"/>
      <c r="B61" s="1051"/>
      <c r="C61" s="1026"/>
      <c r="D61" s="1521"/>
      <c r="E61" s="321" t="s">
        <v>40</v>
      </c>
      <c r="F61" s="1171"/>
      <c r="G61" s="1168"/>
      <c r="H61" s="1135"/>
      <c r="I61" s="1170"/>
      <c r="J61" s="116"/>
      <c r="K61" s="311"/>
      <c r="L61" s="101"/>
      <c r="M61" s="133"/>
    </row>
    <row r="62" spans="1:13" ht="27" customHeight="1" x14ac:dyDescent="0.25">
      <c r="A62" s="1024"/>
      <c r="B62" s="1023"/>
      <c r="C62" s="41"/>
      <c r="D62" s="1668" t="s">
        <v>134</v>
      </c>
      <c r="E62" s="1027" t="s">
        <v>125</v>
      </c>
      <c r="F62" s="1145" t="s">
        <v>333</v>
      </c>
      <c r="G62" s="1179">
        <v>204.1</v>
      </c>
      <c r="H62" s="1162">
        <v>765.9</v>
      </c>
      <c r="I62" s="1245">
        <v>257.8</v>
      </c>
      <c r="J62" s="634" t="s">
        <v>277</v>
      </c>
      <c r="K62" s="257">
        <v>100</v>
      </c>
      <c r="L62" s="191"/>
      <c r="M62" s="81"/>
    </row>
    <row r="63" spans="1:13" ht="28.5" customHeight="1" x14ac:dyDescent="0.25">
      <c r="A63" s="1019"/>
      <c r="B63" s="1023"/>
      <c r="C63" s="42"/>
      <c r="D63" s="1663"/>
      <c r="E63" s="321" t="s">
        <v>113</v>
      </c>
      <c r="F63" s="1137" t="s">
        <v>334</v>
      </c>
      <c r="G63" s="1134">
        <v>103.1</v>
      </c>
      <c r="H63" s="1135"/>
      <c r="I63" s="1224"/>
      <c r="J63" s="238" t="s">
        <v>278</v>
      </c>
      <c r="K63" s="257">
        <v>70</v>
      </c>
      <c r="L63" s="266">
        <v>100</v>
      </c>
      <c r="M63" s="143"/>
    </row>
    <row r="64" spans="1:13" ht="27" customHeight="1" x14ac:dyDescent="0.25">
      <c r="A64" s="1019"/>
      <c r="B64" s="1051"/>
      <c r="C64" s="42"/>
      <c r="D64" s="1022"/>
      <c r="E64" s="321" t="s">
        <v>194</v>
      </c>
      <c r="F64" s="1137" t="s">
        <v>329</v>
      </c>
      <c r="G64" s="1138">
        <v>527.4</v>
      </c>
      <c r="H64" s="1164"/>
      <c r="I64" s="1257"/>
      <c r="J64" s="238" t="s">
        <v>279</v>
      </c>
      <c r="K64" s="257">
        <v>60</v>
      </c>
      <c r="L64" s="191">
        <v>100</v>
      </c>
      <c r="M64" s="81"/>
    </row>
    <row r="65" spans="1:18" ht="28.5" customHeight="1" x14ac:dyDescent="0.25">
      <c r="A65" s="1019"/>
      <c r="B65" s="1051"/>
      <c r="C65" s="42"/>
      <c r="D65" s="1022"/>
      <c r="E65" s="325" t="s">
        <v>40</v>
      </c>
      <c r="F65" s="1171"/>
      <c r="G65" s="1130"/>
      <c r="H65" s="1135"/>
      <c r="I65" s="1224"/>
      <c r="J65" s="238" t="s">
        <v>353</v>
      </c>
      <c r="K65" s="257">
        <v>35</v>
      </c>
      <c r="L65" s="176">
        <v>100</v>
      </c>
      <c r="M65" s="81"/>
    </row>
    <row r="66" spans="1:18" ht="16" customHeight="1" x14ac:dyDescent="0.25">
      <c r="A66" s="1019"/>
      <c r="B66" s="1051"/>
      <c r="C66" s="42"/>
      <c r="D66" s="1022"/>
      <c r="E66" s="105"/>
      <c r="F66" s="1171"/>
      <c r="G66" s="1175"/>
      <c r="H66" s="1135"/>
      <c r="I66" s="1224"/>
      <c r="J66" s="238" t="s">
        <v>280</v>
      </c>
      <c r="K66" s="257">
        <v>30</v>
      </c>
      <c r="L66" s="191">
        <v>100</v>
      </c>
      <c r="M66" s="81"/>
    </row>
    <row r="67" spans="1:18" ht="15" customHeight="1" x14ac:dyDescent="0.25">
      <c r="A67" s="1019"/>
      <c r="B67" s="1051"/>
      <c r="C67" s="42"/>
      <c r="D67" s="1022"/>
      <c r="E67" s="105"/>
      <c r="F67" s="1171"/>
      <c r="G67" s="1175"/>
      <c r="H67" s="1135"/>
      <c r="I67" s="1224"/>
      <c r="J67" s="227" t="s">
        <v>281</v>
      </c>
      <c r="K67" s="251">
        <v>20</v>
      </c>
      <c r="L67" s="192">
        <v>65</v>
      </c>
      <c r="M67" s="145">
        <v>100</v>
      </c>
    </row>
    <row r="68" spans="1:18" ht="15" customHeight="1" x14ac:dyDescent="0.25">
      <c r="A68" s="1019"/>
      <c r="B68" s="1051"/>
      <c r="C68" s="42"/>
      <c r="D68" s="1480" t="s">
        <v>177</v>
      </c>
      <c r="E68" s="92" t="s">
        <v>40</v>
      </c>
      <c r="F68" s="1225" t="s">
        <v>333</v>
      </c>
      <c r="G68" s="1161">
        <v>594.20000000000005</v>
      </c>
      <c r="H68" s="1162">
        <v>741.6</v>
      </c>
      <c r="I68" s="1245"/>
      <c r="J68" s="1042" t="s">
        <v>214</v>
      </c>
      <c r="K68" s="615">
        <v>35</v>
      </c>
      <c r="L68" s="438">
        <v>100</v>
      </c>
      <c r="M68" s="908"/>
    </row>
    <row r="69" spans="1:18" ht="15" customHeight="1" x14ac:dyDescent="0.25">
      <c r="A69" s="1019"/>
      <c r="B69" s="1051"/>
      <c r="C69" s="42"/>
      <c r="D69" s="1521"/>
      <c r="E69" s="321" t="s">
        <v>113</v>
      </c>
      <c r="F69" s="1270" t="s">
        <v>332</v>
      </c>
      <c r="G69" s="1138">
        <v>1200</v>
      </c>
      <c r="H69" s="1135">
        <v>600</v>
      </c>
      <c r="I69" s="1224"/>
      <c r="J69" s="1043"/>
      <c r="K69" s="185"/>
      <c r="L69" s="299"/>
      <c r="M69" s="138"/>
    </row>
    <row r="70" spans="1:18" ht="15" customHeight="1" x14ac:dyDescent="0.25">
      <c r="A70" s="1019"/>
      <c r="B70" s="1051"/>
      <c r="C70" s="42"/>
      <c r="D70" s="1521"/>
      <c r="E70" s="93" t="s">
        <v>194</v>
      </c>
      <c r="F70" s="1271"/>
      <c r="G70" s="1179"/>
      <c r="H70" s="1135"/>
      <c r="I70" s="1224"/>
      <c r="J70" s="634"/>
      <c r="K70" s="185"/>
      <c r="L70" s="299"/>
      <c r="M70" s="138"/>
    </row>
    <row r="71" spans="1:18" ht="15" customHeight="1" x14ac:dyDescent="0.25">
      <c r="A71" s="1019"/>
      <c r="B71" s="1051"/>
      <c r="C71" s="42"/>
      <c r="D71" s="1669"/>
      <c r="E71" s="1034" t="s">
        <v>125</v>
      </c>
      <c r="F71" s="1272"/>
      <c r="G71" s="1182"/>
      <c r="H71" s="1169"/>
      <c r="I71" s="1243"/>
      <c r="J71" s="116"/>
      <c r="K71" s="311"/>
      <c r="L71" s="101"/>
      <c r="M71" s="133"/>
    </row>
    <row r="72" spans="1:18" ht="14.25" customHeight="1" x14ac:dyDescent="0.25">
      <c r="A72" s="1019"/>
      <c r="B72" s="1051"/>
      <c r="C72" s="44"/>
      <c r="D72" s="1480" t="s">
        <v>92</v>
      </c>
      <c r="E72" s="92" t="s">
        <v>40</v>
      </c>
      <c r="F72" s="1244" t="s">
        <v>333</v>
      </c>
      <c r="G72" s="1161">
        <v>169.6</v>
      </c>
      <c r="H72" s="1162"/>
      <c r="I72" s="1245"/>
      <c r="J72" s="238" t="s">
        <v>214</v>
      </c>
      <c r="K72" s="320">
        <v>100</v>
      </c>
      <c r="L72" s="175"/>
      <c r="M72" s="66"/>
    </row>
    <row r="73" spans="1:18" ht="14.25" customHeight="1" x14ac:dyDescent="0.25">
      <c r="A73" s="1019"/>
      <c r="B73" s="1051"/>
      <c r="C73" s="44"/>
      <c r="D73" s="1521"/>
      <c r="E73" s="1028" t="s">
        <v>125</v>
      </c>
      <c r="F73" s="1153" t="s">
        <v>331</v>
      </c>
      <c r="G73" s="1179">
        <v>79.2</v>
      </c>
      <c r="H73" s="1164"/>
      <c r="I73" s="1165"/>
      <c r="J73" s="114"/>
      <c r="K73" s="200"/>
      <c r="L73" s="177"/>
      <c r="M73" s="134"/>
    </row>
    <row r="74" spans="1:18" ht="14.25" customHeight="1" x14ac:dyDescent="0.25">
      <c r="A74" s="1019"/>
      <c r="B74" s="1051"/>
      <c r="C74" s="44"/>
      <c r="D74" s="1481"/>
      <c r="E74" s="337" t="s">
        <v>194</v>
      </c>
      <c r="F74" s="1263"/>
      <c r="G74" s="1216"/>
      <c r="H74" s="1169"/>
      <c r="I74" s="1224"/>
      <c r="J74" s="224"/>
      <c r="K74" s="320"/>
      <c r="L74" s="175"/>
      <c r="M74" s="66"/>
    </row>
    <row r="75" spans="1:18" ht="15.65" customHeight="1" x14ac:dyDescent="0.25">
      <c r="A75" s="1019"/>
      <c r="B75" s="1051"/>
      <c r="C75" s="44"/>
      <c r="D75" s="1480" t="s">
        <v>191</v>
      </c>
      <c r="E75" s="766" t="s">
        <v>40</v>
      </c>
      <c r="F75" s="1292"/>
      <c r="G75" s="1293"/>
      <c r="H75" s="1173"/>
      <c r="I75" s="1174"/>
      <c r="J75" s="1470" t="s">
        <v>214</v>
      </c>
      <c r="K75" s="171">
        <v>100</v>
      </c>
      <c r="L75" s="178"/>
      <c r="M75" s="141"/>
    </row>
    <row r="76" spans="1:18" ht="15" customHeight="1" x14ac:dyDescent="0.25">
      <c r="A76" s="1019"/>
      <c r="B76" s="1051"/>
      <c r="C76" s="44"/>
      <c r="D76" s="1521"/>
      <c r="E76" s="1062" t="s">
        <v>194</v>
      </c>
      <c r="F76" s="1153" t="s">
        <v>331</v>
      </c>
      <c r="G76" s="1130">
        <f>86+28.7</f>
        <v>114.7</v>
      </c>
      <c r="H76" s="1135"/>
      <c r="I76" s="1132"/>
      <c r="J76" s="1471"/>
      <c r="K76" s="169"/>
      <c r="L76" s="175"/>
      <c r="M76" s="66"/>
    </row>
    <row r="77" spans="1:18" ht="15" customHeight="1" x14ac:dyDescent="0.25">
      <c r="A77" s="1019"/>
      <c r="B77" s="1051"/>
      <c r="C77" s="44"/>
      <c r="D77" s="1481"/>
      <c r="E77" s="1063" t="s">
        <v>125</v>
      </c>
      <c r="F77" s="1294"/>
      <c r="G77" s="1158"/>
      <c r="H77" s="1169"/>
      <c r="I77" s="1170"/>
      <c r="J77" s="1472"/>
      <c r="K77" s="196"/>
      <c r="L77" s="179"/>
      <c r="M77" s="67"/>
    </row>
    <row r="78" spans="1:18" ht="18" customHeight="1" x14ac:dyDescent="0.25">
      <c r="A78" s="1024"/>
      <c r="B78" s="1051"/>
      <c r="C78" s="41"/>
      <c r="D78" s="1493" t="s">
        <v>233</v>
      </c>
      <c r="E78" s="107" t="s">
        <v>194</v>
      </c>
      <c r="F78" s="1145" t="s">
        <v>333</v>
      </c>
      <c r="G78" s="1264">
        <v>30</v>
      </c>
      <c r="H78" s="1265">
        <v>30</v>
      </c>
      <c r="I78" s="1266">
        <v>30</v>
      </c>
      <c r="J78" s="1470" t="s">
        <v>72</v>
      </c>
      <c r="K78" s="195">
        <v>100</v>
      </c>
      <c r="L78" s="178">
        <v>100</v>
      </c>
      <c r="M78" s="65">
        <v>100</v>
      </c>
    </row>
    <row r="79" spans="1:18" ht="18" customHeight="1" x14ac:dyDescent="0.25">
      <c r="A79" s="1024"/>
      <c r="B79" s="1051"/>
      <c r="C79" s="41"/>
      <c r="D79" s="1663"/>
      <c r="E79" s="110"/>
      <c r="F79" s="1153"/>
      <c r="G79" s="1130"/>
      <c r="H79" s="1135"/>
      <c r="I79" s="1132"/>
      <c r="J79" s="1471"/>
      <c r="K79" s="320"/>
      <c r="L79" s="175"/>
      <c r="M79" s="66"/>
    </row>
    <row r="80" spans="1:18" s="6" customFormat="1" ht="18" customHeight="1" x14ac:dyDescent="0.25">
      <c r="A80" s="1024"/>
      <c r="B80" s="1051"/>
      <c r="C80" s="1026"/>
      <c r="D80" s="1552"/>
      <c r="E80" s="111"/>
      <c r="F80" s="1167"/>
      <c r="G80" s="1168"/>
      <c r="H80" s="1169"/>
      <c r="I80" s="1170"/>
      <c r="J80" s="1472"/>
      <c r="K80" s="458"/>
      <c r="L80" s="193"/>
      <c r="M80" s="144"/>
      <c r="O80" s="1337"/>
      <c r="P80" s="1337"/>
      <c r="Q80" s="1337"/>
      <c r="R80" s="1337"/>
    </row>
    <row r="81" spans="1:14" ht="15.75" customHeight="1" x14ac:dyDescent="0.25">
      <c r="A81" s="1024"/>
      <c r="B81" s="1023"/>
      <c r="C81" s="42"/>
      <c r="D81" s="96" t="s">
        <v>325</v>
      </c>
      <c r="E81" s="1028" t="s">
        <v>160</v>
      </c>
      <c r="F81" s="1188"/>
      <c r="G81" s="1267"/>
      <c r="H81" s="1169"/>
      <c r="I81" s="1182"/>
      <c r="J81" s="1056"/>
      <c r="K81" s="873"/>
      <c r="L81" s="207"/>
      <c r="M81" s="874"/>
    </row>
    <row r="82" spans="1:14" ht="15" customHeight="1" x14ac:dyDescent="0.25">
      <c r="A82" s="1024"/>
      <c r="B82" s="1023"/>
      <c r="C82" s="42"/>
      <c r="D82" s="718" t="s">
        <v>195</v>
      </c>
      <c r="E82" s="107" t="s">
        <v>194</v>
      </c>
      <c r="F82" s="1258" t="s">
        <v>333</v>
      </c>
      <c r="G82" s="1161">
        <v>20</v>
      </c>
      <c r="H82" s="1162">
        <v>20</v>
      </c>
      <c r="I82" s="1179">
        <v>20</v>
      </c>
      <c r="J82" s="634" t="s">
        <v>261</v>
      </c>
      <c r="K82" s="558">
        <v>10.5</v>
      </c>
      <c r="L82" s="1049">
        <v>9</v>
      </c>
      <c r="M82" s="1050">
        <v>8.6</v>
      </c>
    </row>
    <row r="83" spans="1:14" ht="15" customHeight="1" x14ac:dyDescent="0.25">
      <c r="A83" s="1024"/>
      <c r="B83" s="1023"/>
      <c r="C83" s="44"/>
      <c r="D83" s="1010" t="s">
        <v>262</v>
      </c>
      <c r="E83" s="325" t="s">
        <v>125</v>
      </c>
      <c r="F83" s="1171" t="s">
        <v>332</v>
      </c>
      <c r="G83" s="1166">
        <v>525</v>
      </c>
      <c r="H83" s="1135">
        <v>540</v>
      </c>
      <c r="I83" s="1257">
        <v>602</v>
      </c>
      <c r="J83" s="340"/>
      <c r="K83" s="340"/>
      <c r="L83" s="1075"/>
      <c r="M83" s="1072"/>
    </row>
    <row r="84" spans="1:14" ht="15" customHeight="1" x14ac:dyDescent="0.25">
      <c r="A84" s="1024"/>
      <c r="B84" s="1023"/>
      <c r="C84" s="44"/>
      <c r="D84" s="719" t="s">
        <v>183</v>
      </c>
      <c r="E84" s="105"/>
      <c r="F84" s="1301"/>
      <c r="G84" s="1304"/>
      <c r="H84" s="1303"/>
      <c r="I84" s="1300"/>
      <c r="J84" s="634"/>
      <c r="K84" s="91"/>
      <c r="L84" s="1049"/>
      <c r="M84" s="13"/>
    </row>
    <row r="85" spans="1:14" ht="15" customHeight="1" x14ac:dyDescent="0.25">
      <c r="A85" s="1024"/>
      <c r="B85" s="1023"/>
      <c r="C85" s="42"/>
      <c r="D85" s="719" t="s">
        <v>196</v>
      </c>
      <c r="E85" s="325"/>
      <c r="F85" s="1301"/>
      <c r="G85" s="1302"/>
      <c r="H85" s="1303"/>
      <c r="I85" s="1305"/>
      <c r="J85" s="1017"/>
      <c r="K85" s="91"/>
      <c r="L85" s="1049"/>
      <c r="M85" s="13"/>
    </row>
    <row r="86" spans="1:14" ht="15" customHeight="1" x14ac:dyDescent="0.25">
      <c r="A86" s="1024"/>
      <c r="B86" s="1023"/>
      <c r="C86" s="42"/>
      <c r="D86" s="719" t="s">
        <v>268</v>
      </c>
      <c r="F86" s="1301"/>
      <c r="G86" s="1304"/>
      <c r="H86" s="1303"/>
      <c r="I86" s="1305"/>
      <c r="J86" s="1017"/>
      <c r="K86" s="91"/>
      <c r="L86" s="1049"/>
      <c r="M86" s="13"/>
    </row>
    <row r="87" spans="1:14" ht="15.75" customHeight="1" x14ac:dyDescent="0.25">
      <c r="A87" s="1024"/>
      <c r="B87" s="1023"/>
      <c r="C87" s="42"/>
      <c r="D87" s="719" t="s">
        <v>230</v>
      </c>
      <c r="E87" s="325"/>
      <c r="F87" s="1301"/>
      <c r="G87" s="1302"/>
      <c r="H87" s="1303"/>
      <c r="I87" s="1306"/>
      <c r="J87" s="1017"/>
      <c r="K87" s="91"/>
      <c r="L87" s="1049"/>
      <c r="M87" s="13"/>
    </row>
    <row r="88" spans="1:14" ht="15" customHeight="1" x14ac:dyDescent="0.25">
      <c r="A88" s="1024"/>
      <c r="B88" s="1023"/>
      <c r="C88" s="42"/>
      <c r="D88" s="719" t="s">
        <v>197</v>
      </c>
      <c r="E88" s="325"/>
      <c r="F88" s="1301"/>
      <c r="G88" s="1302"/>
      <c r="H88" s="1303"/>
      <c r="I88" s="1300"/>
      <c r="J88" s="1017"/>
      <c r="K88" s="91"/>
      <c r="L88" s="1049"/>
      <c r="M88" s="13"/>
    </row>
    <row r="89" spans="1:14" ht="15.75" customHeight="1" x14ac:dyDescent="0.25">
      <c r="A89" s="1024"/>
      <c r="B89" s="1023"/>
      <c r="C89" s="42"/>
      <c r="D89" s="1466" t="s">
        <v>305</v>
      </c>
      <c r="E89" s="1027" t="s">
        <v>160</v>
      </c>
      <c r="F89" s="1145" t="s">
        <v>332</v>
      </c>
      <c r="G89" s="1246">
        <f>500</f>
        <v>500</v>
      </c>
      <c r="H89" s="1173">
        <f>500</f>
        <v>500</v>
      </c>
      <c r="I89" s="1174">
        <f>500</f>
        <v>500</v>
      </c>
      <c r="J89" s="1470" t="s">
        <v>264</v>
      </c>
      <c r="K89" s="847">
        <v>0.5</v>
      </c>
      <c r="L89" s="1032">
        <v>0.5</v>
      </c>
      <c r="M89" s="848">
        <v>0.5</v>
      </c>
    </row>
    <row r="90" spans="1:14" ht="15.75" customHeight="1" x14ac:dyDescent="0.25">
      <c r="A90" s="1024"/>
      <c r="B90" s="1023"/>
      <c r="C90" s="42"/>
      <c r="D90" s="1467"/>
      <c r="E90" s="1028" t="s">
        <v>194</v>
      </c>
      <c r="F90" s="1141"/>
      <c r="G90" s="1189"/>
      <c r="H90" s="1152"/>
      <c r="I90" s="1179"/>
      <c r="J90" s="1510"/>
      <c r="K90" s="424"/>
      <c r="L90" s="898"/>
      <c r="M90" s="1076"/>
    </row>
    <row r="91" spans="1:14" ht="15.75" customHeight="1" x14ac:dyDescent="0.25">
      <c r="A91" s="1024"/>
      <c r="B91" s="1023"/>
      <c r="C91" s="42"/>
      <c r="D91" s="1467"/>
      <c r="E91" s="325" t="s">
        <v>125</v>
      </c>
      <c r="F91" s="1171" t="s">
        <v>333</v>
      </c>
      <c r="G91" s="1256">
        <v>549.79999999999995</v>
      </c>
      <c r="H91" s="1256">
        <v>550</v>
      </c>
      <c r="I91" s="1257">
        <v>550</v>
      </c>
      <c r="J91" s="1605" t="s">
        <v>265</v>
      </c>
      <c r="K91" s="1040">
        <v>39</v>
      </c>
      <c r="L91" s="1041">
        <v>39</v>
      </c>
      <c r="M91" s="1078">
        <v>39</v>
      </c>
    </row>
    <row r="92" spans="1:14" ht="15.75" customHeight="1" x14ac:dyDescent="0.25">
      <c r="A92" s="1024"/>
      <c r="B92" s="1023"/>
      <c r="C92" s="42"/>
      <c r="D92" s="1467"/>
      <c r="E92" s="1028"/>
      <c r="F92" s="1171"/>
      <c r="G92" s="1166"/>
      <c r="H92" s="1166"/>
      <c r="I92" s="1224"/>
      <c r="J92" s="1510"/>
      <c r="K92" s="1073"/>
      <c r="L92" s="1079"/>
      <c r="M92" s="1080"/>
      <c r="N92" s="340"/>
    </row>
    <row r="93" spans="1:14" ht="15.75" customHeight="1" x14ac:dyDescent="0.25">
      <c r="A93" s="1024"/>
      <c r="B93" s="1023"/>
      <c r="C93" s="42"/>
      <c r="D93" s="1467"/>
      <c r="E93" s="720"/>
      <c r="F93" s="1171"/>
      <c r="G93" s="1189"/>
      <c r="H93" s="1135"/>
      <c r="I93" s="1180"/>
      <c r="J93" s="1036" t="s">
        <v>266</v>
      </c>
      <c r="K93" s="1077">
        <v>13</v>
      </c>
      <c r="L93" s="296">
        <v>13</v>
      </c>
      <c r="M93" s="851">
        <v>13</v>
      </c>
    </row>
    <row r="94" spans="1:14" ht="31.5" customHeight="1" x14ac:dyDescent="0.25">
      <c r="A94" s="1024"/>
      <c r="B94" s="1023"/>
      <c r="C94" s="42"/>
      <c r="D94" s="1016"/>
      <c r="E94" s="325"/>
      <c r="F94" s="1186" t="s">
        <v>333</v>
      </c>
      <c r="G94" s="1130">
        <f>500-100</f>
        <v>400</v>
      </c>
      <c r="H94" s="1187">
        <f>500-100</f>
        <v>400</v>
      </c>
      <c r="I94" s="1170">
        <f>500-100</f>
        <v>400</v>
      </c>
      <c r="J94" s="849" t="s">
        <v>267</v>
      </c>
      <c r="K94" s="974">
        <v>17.600000000000001</v>
      </c>
      <c r="L94" s="261">
        <v>17.600000000000001</v>
      </c>
      <c r="M94" s="1081">
        <v>17.600000000000001</v>
      </c>
    </row>
    <row r="95" spans="1:14" ht="15" customHeight="1" x14ac:dyDescent="0.25">
      <c r="A95" s="1473"/>
      <c r="B95" s="1462"/>
      <c r="C95" s="1475"/>
      <c r="D95" s="1493" t="s">
        <v>97</v>
      </c>
      <c r="E95" s="1027" t="s">
        <v>160</v>
      </c>
      <c r="F95" s="1258" t="s">
        <v>332</v>
      </c>
      <c r="G95" s="1161">
        <v>205</v>
      </c>
      <c r="H95" s="1162"/>
      <c r="I95" s="1245"/>
      <c r="J95" s="1470" t="s">
        <v>310</v>
      </c>
      <c r="K95" s="847">
        <v>15.5</v>
      </c>
      <c r="L95" s="1032">
        <v>15.5</v>
      </c>
      <c r="M95" s="848">
        <v>15.5</v>
      </c>
    </row>
    <row r="96" spans="1:14" ht="15" customHeight="1" x14ac:dyDescent="0.25">
      <c r="A96" s="1473"/>
      <c r="B96" s="1462"/>
      <c r="C96" s="1475"/>
      <c r="D96" s="1494"/>
      <c r="E96" s="1028" t="s">
        <v>194</v>
      </c>
      <c r="F96" s="1259" t="s">
        <v>333</v>
      </c>
      <c r="G96" s="1138">
        <v>381.1</v>
      </c>
      <c r="H96" s="1164">
        <v>586.1</v>
      </c>
      <c r="I96" s="1257">
        <f>+H96</f>
        <v>586.1</v>
      </c>
      <c r="J96" s="1471"/>
      <c r="K96" s="150"/>
      <c r="L96" s="200"/>
      <c r="M96" s="1072"/>
      <c r="N96" s="340"/>
    </row>
    <row r="97" spans="1:13" ht="15" customHeight="1" x14ac:dyDescent="0.25">
      <c r="A97" s="1473"/>
      <c r="B97" s="1462"/>
      <c r="C97" s="1475"/>
      <c r="D97" s="1494"/>
      <c r="E97" s="1028" t="s">
        <v>125</v>
      </c>
      <c r="F97" s="1260"/>
      <c r="G97" s="1189"/>
      <c r="H97" s="1152"/>
      <c r="I97" s="1180"/>
      <c r="J97" s="1036"/>
      <c r="K97" s="318"/>
      <c r="L97" s="318"/>
      <c r="M97" s="275"/>
    </row>
    <row r="98" spans="1:13" ht="20.25" customHeight="1" x14ac:dyDescent="0.25">
      <c r="A98" s="1473"/>
      <c r="B98" s="1462"/>
      <c r="C98" s="1475"/>
      <c r="D98" s="1494"/>
      <c r="E98" s="1028"/>
      <c r="F98" s="1261" t="s">
        <v>332</v>
      </c>
      <c r="G98" s="1134">
        <v>590</v>
      </c>
      <c r="H98" s="1152">
        <v>500</v>
      </c>
      <c r="I98" s="1255">
        <v>500</v>
      </c>
      <c r="J98" s="1605" t="s">
        <v>311</v>
      </c>
      <c r="K98" s="1499">
        <v>12.1</v>
      </c>
      <c r="L98" s="1501">
        <v>8</v>
      </c>
      <c r="M98" s="685">
        <v>8</v>
      </c>
    </row>
    <row r="99" spans="1:13" ht="18.75" customHeight="1" x14ac:dyDescent="0.25">
      <c r="A99" s="1473"/>
      <c r="B99" s="1462"/>
      <c r="C99" s="1475"/>
      <c r="D99" s="1494"/>
      <c r="E99" s="1028"/>
      <c r="F99" s="1262" t="s">
        <v>333</v>
      </c>
      <c r="G99" s="1256">
        <v>205</v>
      </c>
      <c r="H99" s="1131"/>
      <c r="I99" s="1136"/>
      <c r="J99" s="1471"/>
      <c r="K99" s="1500"/>
      <c r="L99" s="1502"/>
      <c r="M99" s="852"/>
    </row>
    <row r="100" spans="1:13" ht="15" customHeight="1" x14ac:dyDescent="0.25">
      <c r="A100" s="1024"/>
      <c r="B100" s="1023"/>
      <c r="C100" s="1026"/>
      <c r="D100" s="1010"/>
      <c r="E100" s="1028"/>
      <c r="F100" s="1141" t="s">
        <v>333</v>
      </c>
      <c r="G100" s="1134">
        <v>40</v>
      </c>
      <c r="H100" s="1152"/>
      <c r="I100" s="1180"/>
      <c r="J100" s="226" t="s">
        <v>39</v>
      </c>
      <c r="K100" s="451">
        <v>1</v>
      </c>
      <c r="L100" s="198"/>
      <c r="M100" s="143"/>
    </row>
    <row r="101" spans="1:13" ht="15" customHeight="1" x14ac:dyDescent="0.25">
      <c r="A101" s="1024"/>
      <c r="B101" s="1023"/>
      <c r="C101" s="1026"/>
      <c r="D101" s="1010"/>
      <c r="E101" s="1028"/>
      <c r="F101" s="1171" t="s">
        <v>333</v>
      </c>
      <c r="G101" s="1134"/>
      <c r="H101" s="1135">
        <v>300</v>
      </c>
      <c r="I101" s="1132">
        <v>300</v>
      </c>
      <c r="J101" s="226" t="s">
        <v>214</v>
      </c>
      <c r="K101" s="320"/>
      <c r="L101" s="175">
        <v>50</v>
      </c>
      <c r="M101" s="297">
        <v>100</v>
      </c>
    </row>
    <row r="102" spans="1:13" ht="15" customHeight="1" x14ac:dyDescent="0.25">
      <c r="A102" s="1024"/>
      <c r="B102" s="1023"/>
      <c r="C102" s="1026"/>
      <c r="D102" s="1010"/>
      <c r="E102" s="1028"/>
      <c r="F102" s="1151" t="s">
        <v>333</v>
      </c>
      <c r="G102" s="1332">
        <v>22</v>
      </c>
      <c r="H102" s="1131"/>
      <c r="I102" s="1136"/>
      <c r="J102" s="247" t="s">
        <v>39</v>
      </c>
      <c r="K102" s="170">
        <v>1</v>
      </c>
      <c r="L102" s="176"/>
      <c r="M102" s="143"/>
    </row>
    <row r="103" spans="1:13" ht="15" customHeight="1" x14ac:dyDescent="0.25">
      <c r="A103" s="1024"/>
      <c r="B103" s="1023"/>
      <c r="C103" s="1026"/>
      <c r="D103" s="1010"/>
      <c r="E103" s="1028"/>
      <c r="F103" s="1171" t="s">
        <v>333</v>
      </c>
      <c r="G103" s="1166"/>
      <c r="H103" s="1135">
        <v>502.4</v>
      </c>
      <c r="I103" s="1132"/>
      <c r="J103" s="634" t="s">
        <v>214</v>
      </c>
      <c r="K103" s="320"/>
      <c r="L103" s="175">
        <v>100</v>
      </c>
      <c r="M103" s="297"/>
    </row>
    <row r="104" spans="1:13" ht="15.75" customHeight="1" x14ac:dyDescent="0.25">
      <c r="A104" s="1024"/>
      <c r="B104" s="1023"/>
      <c r="C104" s="1026"/>
      <c r="D104" s="1493" t="s">
        <v>242</v>
      </c>
      <c r="E104" s="107" t="s">
        <v>194</v>
      </c>
      <c r="F104" s="1145" t="s">
        <v>333</v>
      </c>
      <c r="G104" s="1172">
        <v>307.5</v>
      </c>
      <c r="H104" s="1173">
        <v>307.5</v>
      </c>
      <c r="I104" s="1174">
        <v>307.5</v>
      </c>
      <c r="J104" s="1470" t="s">
        <v>76</v>
      </c>
      <c r="K104" s="195">
        <v>2</v>
      </c>
      <c r="L104" s="178">
        <v>2</v>
      </c>
      <c r="M104" s="65">
        <v>2</v>
      </c>
    </row>
    <row r="105" spans="1:13" ht="16.5" customHeight="1" x14ac:dyDescent="0.25">
      <c r="A105" s="1024"/>
      <c r="B105" s="1023"/>
      <c r="C105" s="1026"/>
      <c r="D105" s="1495"/>
      <c r="E105" s="325" t="s">
        <v>125</v>
      </c>
      <c r="F105" s="1167"/>
      <c r="G105" s="1168"/>
      <c r="H105" s="1169"/>
      <c r="I105" s="1243"/>
      <c r="J105" s="1472"/>
      <c r="K105" s="196"/>
      <c r="L105" s="179"/>
      <c r="M105" s="67"/>
    </row>
    <row r="106" spans="1:13" ht="15" customHeight="1" x14ac:dyDescent="0.25">
      <c r="A106" s="1019"/>
      <c r="B106" s="1023"/>
      <c r="C106" s="44"/>
      <c r="D106" s="1480" t="s">
        <v>33</v>
      </c>
      <c r="E106" s="107" t="s">
        <v>194</v>
      </c>
      <c r="F106" s="1242" t="s">
        <v>332</v>
      </c>
      <c r="G106" s="1166">
        <v>160.80000000000001</v>
      </c>
      <c r="H106" s="1152">
        <v>170</v>
      </c>
      <c r="I106" s="1179">
        <v>170</v>
      </c>
      <c r="J106" s="351" t="s">
        <v>96</v>
      </c>
      <c r="K106" s="171">
        <v>16</v>
      </c>
      <c r="L106" s="195">
        <v>16</v>
      </c>
      <c r="M106" s="141">
        <v>16</v>
      </c>
    </row>
    <row r="107" spans="1:13" ht="15" customHeight="1" x14ac:dyDescent="0.25">
      <c r="A107" s="1019"/>
      <c r="B107" s="1023"/>
      <c r="C107" s="44"/>
      <c r="D107" s="1521"/>
      <c r="E107" s="325"/>
      <c r="F107" s="1137" t="s">
        <v>333</v>
      </c>
      <c r="G107" s="1134">
        <v>111.6</v>
      </c>
      <c r="H107" s="1131">
        <v>100</v>
      </c>
      <c r="I107" s="1190">
        <v>100</v>
      </c>
      <c r="J107" s="247"/>
      <c r="K107" s="674"/>
      <c r="L107" s="675"/>
      <c r="M107" s="679"/>
    </row>
    <row r="108" spans="1:13" ht="16.5" customHeight="1" x14ac:dyDescent="0.25">
      <c r="A108" s="1019"/>
      <c r="B108" s="1023"/>
      <c r="C108" s="44"/>
      <c r="D108" s="1521"/>
      <c r="E108" s="105"/>
      <c r="F108" s="1186" t="s">
        <v>333</v>
      </c>
      <c r="G108" s="1227">
        <v>492.9</v>
      </c>
      <c r="H108" s="1155">
        <v>234.1</v>
      </c>
      <c r="I108" s="1192"/>
      <c r="J108" s="227" t="s">
        <v>214</v>
      </c>
      <c r="K108" s="196">
        <v>65</v>
      </c>
      <c r="L108" s="179">
        <v>100</v>
      </c>
      <c r="M108" s="67"/>
    </row>
    <row r="109" spans="1:13" ht="14.25" customHeight="1" x14ac:dyDescent="0.25">
      <c r="A109" s="1019"/>
      <c r="B109" s="1051"/>
      <c r="C109" s="41"/>
      <c r="D109" s="1480" t="s">
        <v>109</v>
      </c>
      <c r="E109" s="49" t="s">
        <v>194</v>
      </c>
      <c r="F109" s="1225" t="s">
        <v>332</v>
      </c>
      <c r="G109" s="1172">
        <v>8</v>
      </c>
      <c r="H109" s="1173">
        <v>8</v>
      </c>
      <c r="I109" s="1223">
        <v>8</v>
      </c>
      <c r="J109" s="1057" t="s">
        <v>269</v>
      </c>
      <c r="K109" s="714">
        <v>10</v>
      </c>
      <c r="L109" s="715">
        <v>10</v>
      </c>
      <c r="M109" s="716">
        <v>10</v>
      </c>
    </row>
    <row r="110" spans="1:13" ht="15" customHeight="1" x14ac:dyDescent="0.25">
      <c r="A110" s="1019"/>
      <c r="B110" s="1051"/>
      <c r="C110" s="41"/>
      <c r="D110" s="1481"/>
      <c r="E110" s="70"/>
      <c r="F110" s="1157"/>
      <c r="G110" s="1168"/>
      <c r="H110" s="1169"/>
      <c r="I110" s="1243"/>
      <c r="J110" s="223"/>
      <c r="K110" s="196"/>
      <c r="L110" s="179"/>
      <c r="M110" s="67"/>
    </row>
    <row r="111" spans="1:13" ht="15" customHeight="1" x14ac:dyDescent="0.25">
      <c r="A111" s="1019"/>
      <c r="B111" s="1051"/>
      <c r="C111" s="41"/>
      <c r="D111" s="1480" t="s">
        <v>307</v>
      </c>
      <c r="E111" s="49" t="s">
        <v>40</v>
      </c>
      <c r="F111" s="1244" t="s">
        <v>333</v>
      </c>
      <c r="G111" s="1161">
        <v>14</v>
      </c>
      <c r="H111" s="1162">
        <v>100</v>
      </c>
      <c r="I111" s="1245">
        <v>167.1</v>
      </c>
      <c r="J111" s="1058" t="s">
        <v>59</v>
      </c>
      <c r="K111" s="320">
        <v>1</v>
      </c>
      <c r="L111" s="190"/>
      <c r="M111" s="142"/>
    </row>
    <row r="112" spans="1:13" ht="15" customHeight="1" x14ac:dyDescent="0.25">
      <c r="A112" s="1019"/>
      <c r="B112" s="1051"/>
      <c r="C112" s="41"/>
      <c r="D112" s="1521"/>
      <c r="E112" s="343" t="s">
        <v>125</v>
      </c>
      <c r="F112" s="1239" t="s">
        <v>332</v>
      </c>
      <c r="G112" s="1138"/>
      <c r="H112" s="1135">
        <v>500</v>
      </c>
      <c r="I112" s="1175">
        <v>400</v>
      </c>
      <c r="J112" s="770" t="s">
        <v>214</v>
      </c>
      <c r="K112" s="257"/>
      <c r="L112" s="175">
        <v>60</v>
      </c>
      <c r="M112" s="66">
        <v>100</v>
      </c>
    </row>
    <row r="113" spans="1:18" ht="15.75" customHeight="1" x14ac:dyDescent="0.25">
      <c r="A113" s="1019"/>
      <c r="B113" s="1051"/>
      <c r="C113" s="41"/>
      <c r="D113" s="1521"/>
      <c r="E113" s="1070" t="s">
        <v>194</v>
      </c>
      <c r="F113" s="1157"/>
      <c r="G113" s="1216"/>
      <c r="H113" s="1217"/>
      <c r="I113" s="1211"/>
      <c r="J113" s="116"/>
      <c r="K113" s="311"/>
      <c r="L113" s="101"/>
      <c r="M113" s="133"/>
    </row>
    <row r="114" spans="1:18" ht="18" customHeight="1" x14ac:dyDescent="0.25">
      <c r="A114" s="1019"/>
      <c r="B114" s="1051"/>
      <c r="C114" s="41"/>
      <c r="D114" s="1480" t="s">
        <v>298</v>
      </c>
      <c r="E114" s="49" t="s">
        <v>194</v>
      </c>
      <c r="F114" s="1244" t="s">
        <v>333</v>
      </c>
      <c r="G114" s="1246">
        <v>722.6</v>
      </c>
      <c r="H114" s="1173">
        <v>550</v>
      </c>
      <c r="I114" s="1247">
        <v>663.5</v>
      </c>
      <c r="J114" s="770" t="s">
        <v>214</v>
      </c>
      <c r="K114" s="1083">
        <v>40</v>
      </c>
      <c r="L114" s="475">
        <v>70</v>
      </c>
      <c r="M114" s="1084">
        <v>100</v>
      </c>
    </row>
    <row r="115" spans="1:18" ht="18" customHeight="1" x14ac:dyDescent="0.25">
      <c r="A115" s="1019"/>
      <c r="B115" s="1051"/>
      <c r="C115" s="41"/>
      <c r="D115" s="1521"/>
      <c r="E115" s="102" t="s">
        <v>40</v>
      </c>
      <c r="F115" s="1239" t="s">
        <v>332</v>
      </c>
      <c r="G115" s="1138">
        <v>400</v>
      </c>
      <c r="H115" s="1164">
        <v>800</v>
      </c>
      <c r="I115" s="1165">
        <v>800</v>
      </c>
      <c r="J115" s="769"/>
      <c r="K115" s="169"/>
      <c r="L115" s="175"/>
      <c r="M115" s="297"/>
    </row>
    <row r="116" spans="1:18" ht="18" customHeight="1" x14ac:dyDescent="0.25">
      <c r="A116" s="1019"/>
      <c r="B116" s="1051"/>
      <c r="C116" s="41"/>
      <c r="D116" s="1521"/>
      <c r="E116" s="1082" t="s">
        <v>125</v>
      </c>
      <c r="F116" s="1133"/>
      <c r="G116" s="1168"/>
      <c r="H116" s="1169"/>
      <c r="I116" s="1170"/>
      <c r="K116" s="136"/>
      <c r="L116" s="288"/>
      <c r="M116" s="771"/>
      <c r="N116" s="340"/>
    </row>
    <row r="117" spans="1:18" ht="15" customHeight="1" x14ac:dyDescent="0.25">
      <c r="A117" s="1019"/>
      <c r="B117" s="1023"/>
      <c r="C117" s="131"/>
      <c r="D117" s="1013" t="s">
        <v>165</v>
      </c>
      <c r="E117" s="1028" t="s">
        <v>125</v>
      </c>
      <c r="F117" s="1244"/>
      <c r="G117" s="1161"/>
      <c r="H117" s="1173"/>
      <c r="I117" s="1247"/>
      <c r="J117" s="673"/>
      <c r="K117" s="195"/>
      <c r="L117" s="178"/>
      <c r="M117" s="65"/>
    </row>
    <row r="118" spans="1:18" ht="15" customHeight="1" x14ac:dyDescent="0.25">
      <c r="A118" s="1019"/>
      <c r="B118" s="1023"/>
      <c r="C118" s="131"/>
      <c r="D118" s="1011" t="s">
        <v>312</v>
      </c>
      <c r="E118" s="581" t="s">
        <v>194</v>
      </c>
      <c r="F118" s="1239" t="s">
        <v>332</v>
      </c>
      <c r="G118" s="1138">
        <v>103</v>
      </c>
      <c r="H118" s="1248"/>
      <c r="I118" s="1249"/>
      <c r="J118" s="425" t="s">
        <v>214</v>
      </c>
      <c r="K118" s="476">
        <v>100</v>
      </c>
      <c r="L118" s="477"/>
      <c r="M118" s="478"/>
    </row>
    <row r="119" spans="1:18" s="2" customFormat="1" ht="15" customHeight="1" x14ac:dyDescent="0.25">
      <c r="A119" s="1019"/>
      <c r="B119" s="1023"/>
      <c r="C119" s="426"/>
      <c r="D119" s="1011" t="s">
        <v>184</v>
      </c>
      <c r="E119" s="581" t="s">
        <v>192</v>
      </c>
      <c r="F119" s="1239" t="s">
        <v>332</v>
      </c>
      <c r="G119" s="1250">
        <v>260</v>
      </c>
      <c r="H119" s="1251"/>
      <c r="I119" s="1312"/>
      <c r="J119" s="770" t="s">
        <v>214</v>
      </c>
      <c r="K119" s="1077">
        <v>100</v>
      </c>
      <c r="L119" s="1308"/>
      <c r="M119" s="884"/>
      <c r="N119" s="340"/>
      <c r="O119" s="1211"/>
      <c r="P119" s="1211"/>
      <c r="Q119" s="1211"/>
      <c r="R119" s="1211"/>
    </row>
    <row r="120" spans="1:18" s="2" customFormat="1" ht="15" customHeight="1" x14ac:dyDescent="0.25">
      <c r="A120" s="1019"/>
      <c r="B120" s="1023"/>
      <c r="C120" s="426"/>
      <c r="D120" s="1486" t="s">
        <v>166</v>
      </c>
      <c r="E120" s="581" t="s">
        <v>192</v>
      </c>
      <c r="F120" s="1151" t="s">
        <v>334</v>
      </c>
      <c r="G120" s="1310"/>
      <c r="H120" s="1131">
        <v>49.4</v>
      </c>
      <c r="I120" s="1311"/>
      <c r="J120" s="770" t="s">
        <v>214</v>
      </c>
      <c r="K120" s="366"/>
      <c r="L120" s="552">
        <v>100</v>
      </c>
      <c r="M120" s="1313"/>
      <c r="N120" s="1"/>
      <c r="O120" s="1071"/>
      <c r="P120" s="1211"/>
      <c r="Q120" s="1211"/>
      <c r="R120" s="1211"/>
    </row>
    <row r="121" spans="1:18" s="2" customFormat="1" ht="15" customHeight="1" x14ac:dyDescent="0.25">
      <c r="A121" s="1019"/>
      <c r="B121" s="1023"/>
      <c r="C121" s="426"/>
      <c r="D121" s="1736"/>
      <c r="E121" s="427"/>
      <c r="F121" s="1252" t="s">
        <v>332</v>
      </c>
      <c r="G121" s="1253"/>
      <c r="H121" s="1187">
        <f>820-H120</f>
        <v>770.6</v>
      </c>
      <c r="I121" s="1254"/>
      <c r="J121" s="223"/>
      <c r="K121" s="137"/>
      <c r="L121" s="553"/>
      <c r="M121" s="931"/>
      <c r="N121" s="1"/>
      <c r="O121" s="1071"/>
      <c r="P121" s="1211"/>
      <c r="Q121" s="1211"/>
      <c r="R121" s="1211"/>
    </row>
    <row r="122" spans="1:18" ht="15" customHeight="1" x14ac:dyDescent="0.25">
      <c r="A122" s="1019"/>
      <c r="B122" s="1023"/>
      <c r="C122" s="131"/>
      <c r="D122" s="1480" t="s">
        <v>185</v>
      </c>
      <c r="E122" s="49" t="s">
        <v>40</v>
      </c>
      <c r="F122" s="1133" t="s">
        <v>333</v>
      </c>
      <c r="G122" s="1189">
        <f>154.3-100</f>
        <v>54.3</v>
      </c>
      <c r="H122" s="1135">
        <v>100</v>
      </c>
      <c r="I122" s="1255"/>
      <c r="J122" s="1057" t="s">
        <v>214</v>
      </c>
      <c r="K122" s="320">
        <v>99</v>
      </c>
      <c r="L122" s="175">
        <v>100</v>
      </c>
      <c r="M122" s="66"/>
    </row>
    <row r="123" spans="1:18" ht="15" customHeight="1" x14ac:dyDescent="0.25">
      <c r="A123" s="1019"/>
      <c r="B123" s="1023"/>
      <c r="C123" s="131"/>
      <c r="D123" s="1521"/>
      <c r="E123" s="102" t="s">
        <v>194</v>
      </c>
      <c r="F123" s="1153" t="s">
        <v>332</v>
      </c>
      <c r="G123" s="1134">
        <v>500</v>
      </c>
      <c r="H123" s="1131"/>
      <c r="I123" s="1136"/>
      <c r="J123" s="1055"/>
      <c r="K123" s="320"/>
      <c r="L123" s="175"/>
      <c r="M123" s="66"/>
    </row>
    <row r="124" spans="1:18" ht="15" customHeight="1" x14ac:dyDescent="0.25">
      <c r="A124" s="1019"/>
      <c r="B124" s="1023"/>
      <c r="C124" s="131"/>
      <c r="D124" s="1521"/>
      <c r="E124" s="337" t="s">
        <v>125</v>
      </c>
      <c r="F124" s="1226" t="s">
        <v>328</v>
      </c>
      <c r="G124" s="1181">
        <v>584</v>
      </c>
      <c r="H124" s="1169"/>
      <c r="I124" s="1182"/>
      <c r="J124" s="223"/>
      <c r="K124" s="320"/>
      <c r="L124" s="175"/>
      <c r="M124" s="66"/>
    </row>
    <row r="125" spans="1:18" ht="15" customHeight="1" x14ac:dyDescent="0.25">
      <c r="A125" s="1019"/>
      <c r="B125" s="1023"/>
      <c r="C125" s="131"/>
      <c r="D125" s="1480" t="s">
        <v>186</v>
      </c>
      <c r="E125" s="49" t="s">
        <v>194</v>
      </c>
      <c r="F125" s="1225" t="s">
        <v>333</v>
      </c>
      <c r="G125" s="1166">
        <v>302.10000000000002</v>
      </c>
      <c r="H125" s="1135">
        <v>100</v>
      </c>
      <c r="I125" s="1179"/>
      <c r="J125" s="1511" t="s">
        <v>214</v>
      </c>
      <c r="K125" s="171">
        <v>75</v>
      </c>
      <c r="L125" s="178">
        <v>100</v>
      </c>
      <c r="M125" s="65"/>
    </row>
    <row r="126" spans="1:18" ht="15" customHeight="1" x14ac:dyDescent="0.25">
      <c r="A126" s="1019"/>
      <c r="B126" s="1023"/>
      <c r="C126" s="131"/>
      <c r="D126" s="1481"/>
      <c r="E126" s="102"/>
      <c r="F126" s="1157"/>
      <c r="G126" s="1168"/>
      <c r="H126" s="1135"/>
      <c r="I126" s="1179"/>
      <c r="J126" s="1745"/>
      <c r="K126" s="196"/>
      <c r="L126" s="179"/>
      <c r="M126" s="147"/>
    </row>
    <row r="127" spans="1:18" ht="15.65" customHeight="1" x14ac:dyDescent="0.25">
      <c r="A127" s="1019"/>
      <c r="B127" s="1023"/>
      <c r="C127" s="131"/>
      <c r="D127" s="1480" t="s">
        <v>224</v>
      </c>
      <c r="E127" s="49" t="s">
        <v>194</v>
      </c>
      <c r="F127" s="1151" t="s">
        <v>333</v>
      </c>
      <c r="G127" s="1166">
        <v>232.8</v>
      </c>
      <c r="H127" s="1162">
        <v>100</v>
      </c>
      <c r="I127" s="1163"/>
      <c r="J127" s="1057" t="s">
        <v>214</v>
      </c>
      <c r="K127" s="171">
        <v>80</v>
      </c>
      <c r="L127" s="178">
        <v>100</v>
      </c>
      <c r="M127" s="65"/>
    </row>
    <row r="128" spans="1:18" ht="15.65" customHeight="1" x14ac:dyDescent="0.25">
      <c r="A128" s="1019"/>
      <c r="B128" s="1023"/>
      <c r="C128" s="131"/>
      <c r="D128" s="1521"/>
      <c r="E128" s="102" t="s">
        <v>40</v>
      </c>
      <c r="F128" s="1226" t="s">
        <v>328</v>
      </c>
      <c r="G128" s="1227">
        <v>166.2</v>
      </c>
      <c r="H128" s="1228"/>
      <c r="I128" s="1229"/>
      <c r="J128" s="1059"/>
      <c r="K128" s="320"/>
      <c r="L128" s="175"/>
      <c r="M128" s="66"/>
    </row>
    <row r="129" spans="1:18" s="2" customFormat="1" ht="16.5" customHeight="1" x14ac:dyDescent="0.25">
      <c r="A129" s="1024"/>
      <c r="B129" s="1023"/>
      <c r="C129" s="42"/>
      <c r="D129" s="1015" t="s">
        <v>209</v>
      </c>
      <c r="E129" s="342" t="s">
        <v>40</v>
      </c>
      <c r="F129" s="1145" t="s">
        <v>333</v>
      </c>
      <c r="G129" s="1230"/>
      <c r="H129" s="1231">
        <v>359</v>
      </c>
      <c r="I129" s="1232"/>
      <c r="J129" s="1057" t="s">
        <v>214</v>
      </c>
      <c r="K129" s="847"/>
      <c r="L129" s="1032">
        <v>100</v>
      </c>
      <c r="M129" s="935"/>
      <c r="O129" s="1211"/>
      <c r="P129" s="1211"/>
      <c r="Q129" s="1211"/>
      <c r="R129" s="1211"/>
    </row>
    <row r="130" spans="1:18" s="2" customFormat="1" ht="16.5" customHeight="1" x14ac:dyDescent="0.25">
      <c r="A130" s="1024"/>
      <c r="B130" s="1023"/>
      <c r="C130" s="41"/>
      <c r="D130" s="337"/>
      <c r="E130" s="337" t="s">
        <v>194</v>
      </c>
      <c r="F130" s="1233"/>
      <c r="G130" s="1234"/>
      <c r="H130" s="1235"/>
      <c r="I130" s="1236"/>
      <c r="J130" s="918"/>
      <c r="K130" s="137"/>
      <c r="L130" s="174"/>
      <c r="M130" s="915"/>
      <c r="O130" s="1211"/>
      <c r="P130" s="1211"/>
      <c r="Q130" s="1211"/>
      <c r="R130" s="1211"/>
    </row>
    <row r="131" spans="1:18" ht="15" customHeight="1" x14ac:dyDescent="0.25">
      <c r="A131" s="1024"/>
      <c r="B131" s="1023"/>
      <c r="C131" s="42"/>
      <c r="D131" s="1493" t="s">
        <v>314</v>
      </c>
      <c r="E131" s="342" t="s">
        <v>40</v>
      </c>
      <c r="F131" s="1237" t="s">
        <v>333</v>
      </c>
      <c r="G131" s="1189">
        <v>25</v>
      </c>
      <c r="H131" s="1131">
        <v>200</v>
      </c>
      <c r="I131" s="1136">
        <v>319.3</v>
      </c>
      <c r="J131" s="1020" t="s">
        <v>39</v>
      </c>
      <c r="K131" s="187">
        <v>1</v>
      </c>
      <c r="L131" s="175"/>
      <c r="M131" s="141"/>
    </row>
    <row r="132" spans="1:18" ht="15" customHeight="1" x14ac:dyDescent="0.25">
      <c r="A132" s="1024"/>
      <c r="B132" s="1023"/>
      <c r="C132" s="42"/>
      <c r="D132" s="1494"/>
      <c r="E132" s="343" t="s">
        <v>194</v>
      </c>
      <c r="F132" s="1137" t="s">
        <v>332</v>
      </c>
      <c r="G132" s="1134"/>
      <c r="H132" s="1135">
        <v>600</v>
      </c>
      <c r="I132" s="1165">
        <v>1000</v>
      </c>
      <c r="J132" s="770" t="s">
        <v>214</v>
      </c>
      <c r="K132" s="188"/>
      <c r="L132" s="191">
        <v>25</v>
      </c>
      <c r="M132" s="148">
        <v>75</v>
      </c>
    </row>
    <row r="133" spans="1:18" ht="15" customHeight="1" x14ac:dyDescent="0.25">
      <c r="A133" s="1024"/>
      <c r="B133" s="1023"/>
      <c r="C133" s="41"/>
      <c r="D133" s="1494"/>
      <c r="E133" s="1028" t="s">
        <v>125</v>
      </c>
      <c r="F133" s="1226" t="s">
        <v>328</v>
      </c>
      <c r="G133" s="1166"/>
      <c r="H133" s="1187"/>
      <c r="I133" s="1192">
        <v>80.7</v>
      </c>
      <c r="J133" s="366"/>
      <c r="K133" s="169"/>
      <c r="L133" s="175"/>
      <c r="M133" s="66"/>
    </row>
    <row r="134" spans="1:18" ht="15" customHeight="1" x14ac:dyDescent="0.25">
      <c r="A134" s="1024"/>
      <c r="B134" s="1023"/>
      <c r="C134" s="42"/>
      <c r="D134" s="1493" t="s">
        <v>208</v>
      </c>
      <c r="E134" s="342" t="s">
        <v>40</v>
      </c>
      <c r="F134" s="1129" t="s">
        <v>333</v>
      </c>
      <c r="G134" s="1161"/>
      <c r="H134" s="1152">
        <f>200+50</f>
        <v>250</v>
      </c>
      <c r="I134" s="1136"/>
      <c r="J134" s="1020" t="s">
        <v>39</v>
      </c>
      <c r="K134" s="1060"/>
      <c r="L134" s="190">
        <v>1</v>
      </c>
      <c r="M134" s="142"/>
    </row>
    <row r="135" spans="1:18" ht="15" customHeight="1" x14ac:dyDescent="0.25">
      <c r="A135" s="1024"/>
      <c r="B135" s="1023"/>
      <c r="C135" s="42"/>
      <c r="D135" s="1494"/>
      <c r="E135" s="343" t="s">
        <v>194</v>
      </c>
      <c r="F135" s="1171" t="s">
        <v>332</v>
      </c>
      <c r="G135" s="1130"/>
      <c r="H135" s="1135">
        <v>400</v>
      </c>
      <c r="I135" s="1224">
        <v>800</v>
      </c>
      <c r="J135" s="770" t="s">
        <v>214</v>
      </c>
      <c r="K135" s="921"/>
      <c r="L135" s="175">
        <v>15</v>
      </c>
      <c r="M135" s="66">
        <v>25</v>
      </c>
    </row>
    <row r="136" spans="1:18" ht="15" customHeight="1" x14ac:dyDescent="0.25">
      <c r="A136" s="1024"/>
      <c r="B136" s="1023"/>
      <c r="C136" s="41"/>
      <c r="D136" s="1495"/>
      <c r="E136" s="337" t="s">
        <v>125</v>
      </c>
      <c r="F136" s="1220"/>
      <c r="G136" s="1216"/>
      <c r="H136" s="1217"/>
      <c r="I136" s="1218"/>
      <c r="J136" s="340"/>
      <c r="K136" s="172"/>
      <c r="L136" s="179"/>
      <c r="M136" s="67"/>
    </row>
    <row r="137" spans="1:18" s="6" customFormat="1" ht="13.5" customHeight="1" x14ac:dyDescent="0.25">
      <c r="A137" s="1024"/>
      <c r="B137" s="1051"/>
      <c r="C137" s="44"/>
      <c r="D137" s="303" t="s">
        <v>210</v>
      </c>
      <c r="E137" s="1027"/>
      <c r="F137" s="1238"/>
      <c r="G137" s="1161"/>
      <c r="H137" s="1162"/>
      <c r="I137" s="1163"/>
      <c r="J137" s="1020"/>
      <c r="K137" s="799"/>
      <c r="L137" s="800"/>
      <c r="M137" s="801"/>
      <c r="O137" s="1337"/>
      <c r="P137" s="1337"/>
      <c r="Q137" s="1337"/>
      <c r="R137" s="1337"/>
    </row>
    <row r="138" spans="1:18" ht="15.75" customHeight="1" x14ac:dyDescent="0.25">
      <c r="A138" s="1024"/>
      <c r="B138" s="1023"/>
      <c r="C138" s="42"/>
      <c r="D138" s="1534" t="s">
        <v>354</v>
      </c>
      <c r="E138" s="795" t="s">
        <v>194</v>
      </c>
      <c r="F138" s="1239" t="s">
        <v>327</v>
      </c>
      <c r="G138" s="1138">
        <v>103.9</v>
      </c>
      <c r="H138" s="1164"/>
      <c r="I138" s="1132"/>
      <c r="J138" s="770" t="s">
        <v>214</v>
      </c>
      <c r="K138" s="257">
        <v>100</v>
      </c>
      <c r="L138" s="191"/>
      <c r="M138" s="148"/>
    </row>
    <row r="139" spans="1:18" ht="15.75" customHeight="1" x14ac:dyDescent="0.25">
      <c r="A139" s="1024"/>
      <c r="B139" s="1023"/>
      <c r="C139" s="41"/>
      <c r="D139" s="1521"/>
      <c r="E139" s="1085" t="s">
        <v>40</v>
      </c>
      <c r="F139" s="1240"/>
      <c r="G139" s="1241"/>
      <c r="H139" s="1135"/>
      <c r="I139" s="1132"/>
      <c r="J139" s="340"/>
      <c r="K139" s="150"/>
      <c r="L139" s="175"/>
      <c r="M139" s="297"/>
    </row>
    <row r="140" spans="1:18" ht="15.75" customHeight="1" x14ac:dyDescent="0.25">
      <c r="A140" s="1024"/>
      <c r="B140" s="1023"/>
      <c r="C140" s="42"/>
      <c r="D140" s="1521"/>
      <c r="E140" s="1028" t="s">
        <v>125</v>
      </c>
      <c r="F140" s="1141"/>
      <c r="G140" s="1189"/>
      <c r="H140" s="1152"/>
      <c r="I140" s="1180"/>
      <c r="J140" s="352"/>
      <c r="K140" s="674"/>
      <c r="L140" s="175"/>
      <c r="M140" s="66"/>
    </row>
    <row r="141" spans="1:18" ht="15.75" customHeight="1" x14ac:dyDescent="0.25">
      <c r="A141" s="1024"/>
      <c r="B141" s="1023"/>
      <c r="C141" s="42"/>
      <c r="D141" s="1503" t="s">
        <v>355</v>
      </c>
      <c r="E141" s="1086" t="s">
        <v>194</v>
      </c>
      <c r="F141" s="1239" t="s">
        <v>327</v>
      </c>
      <c r="G141" s="1138">
        <v>1679.5</v>
      </c>
      <c r="H141" s="1164"/>
      <c r="I141" s="1165"/>
      <c r="J141" s="770" t="s">
        <v>214</v>
      </c>
      <c r="K141" s="266">
        <v>100</v>
      </c>
      <c r="L141" s="191"/>
      <c r="M141" s="148"/>
    </row>
    <row r="142" spans="1:18" ht="15.75" customHeight="1" x14ac:dyDescent="0.25">
      <c r="A142" s="1024"/>
      <c r="B142" s="1023"/>
      <c r="C142" s="42"/>
      <c r="D142" s="1494"/>
      <c r="E142" s="1061" t="s">
        <v>125</v>
      </c>
      <c r="F142" s="1153"/>
      <c r="G142" s="1241"/>
      <c r="H142" s="1135"/>
      <c r="I142" s="1132"/>
      <c r="K142" s="150"/>
      <c r="L142" s="175"/>
      <c r="M142" s="297"/>
    </row>
    <row r="143" spans="1:18" ht="15.75" customHeight="1" x14ac:dyDescent="0.25">
      <c r="A143" s="1024"/>
      <c r="B143" s="1023"/>
      <c r="C143" s="41"/>
      <c r="D143" s="1494"/>
      <c r="E143" s="1002" t="s">
        <v>40</v>
      </c>
      <c r="F143" s="1171"/>
      <c r="G143" s="1166"/>
      <c r="H143" s="1152"/>
      <c r="I143" s="1180"/>
      <c r="J143" s="352"/>
      <c r="K143" s="674"/>
      <c r="L143" s="198"/>
      <c r="M143" s="679"/>
    </row>
    <row r="144" spans="1:18" ht="39" customHeight="1" x14ac:dyDescent="0.25">
      <c r="A144" s="1019"/>
      <c r="B144" s="1023"/>
      <c r="C144" s="131"/>
      <c r="D144" s="1534" t="s">
        <v>320</v>
      </c>
      <c r="E144" s="1028" t="s">
        <v>192</v>
      </c>
      <c r="F144" s="1137" t="s">
        <v>335</v>
      </c>
      <c r="G144" s="1138">
        <v>1100</v>
      </c>
      <c r="H144" s="1135"/>
      <c r="I144" s="1165"/>
      <c r="J144" s="770" t="s">
        <v>214</v>
      </c>
      <c r="K144" s="188">
        <v>100</v>
      </c>
      <c r="L144" s="175"/>
      <c r="M144" s="66"/>
    </row>
    <row r="145" spans="1:18" ht="43.5" customHeight="1" x14ac:dyDescent="0.25">
      <c r="A145" s="1019"/>
      <c r="B145" s="1023"/>
      <c r="C145" s="131"/>
      <c r="D145" s="1481"/>
      <c r="E145" s="1028" t="s">
        <v>125</v>
      </c>
      <c r="F145" s="1171"/>
      <c r="G145" s="1166"/>
      <c r="H145" s="1135"/>
      <c r="I145" s="1170"/>
      <c r="J145" s="224"/>
      <c r="K145" s="320"/>
      <c r="L145" s="175"/>
      <c r="M145" s="66"/>
    </row>
    <row r="146" spans="1:18" s="666" customFormat="1" ht="17.25" customHeight="1" x14ac:dyDescent="0.25">
      <c r="A146" s="1019"/>
      <c r="B146" s="1023"/>
      <c r="C146" s="426"/>
      <c r="D146" s="1480" t="s">
        <v>303</v>
      </c>
      <c r="E146" s="1027" t="s">
        <v>192</v>
      </c>
      <c r="F146" s="1145" t="s">
        <v>333</v>
      </c>
      <c r="G146" s="1161">
        <v>5</v>
      </c>
      <c r="H146" s="1173"/>
      <c r="I146" s="1175"/>
      <c r="J146" s="1003" t="s">
        <v>285</v>
      </c>
      <c r="K146" s="589">
        <v>1</v>
      </c>
      <c r="L146" s="190"/>
      <c r="M146" s="142"/>
      <c r="O146" s="1338"/>
      <c r="P146" s="1338"/>
      <c r="Q146" s="1338"/>
      <c r="R146" s="1338"/>
    </row>
    <row r="147" spans="1:18" s="666" customFormat="1" ht="17.25" customHeight="1" x14ac:dyDescent="0.25">
      <c r="A147" s="1019"/>
      <c r="B147" s="1023"/>
      <c r="C147" s="426"/>
      <c r="D147" s="1521"/>
      <c r="E147" s="1028" t="s">
        <v>40</v>
      </c>
      <c r="F147" s="1137" t="s">
        <v>328</v>
      </c>
      <c r="G147" s="1130"/>
      <c r="H147" s="1164">
        <v>188</v>
      </c>
      <c r="I147" s="1165"/>
      <c r="J147" s="966" t="s">
        <v>284</v>
      </c>
      <c r="K147" s="942"/>
      <c r="L147" s="948">
        <v>1</v>
      </c>
      <c r="M147" s="297"/>
      <c r="O147" s="1338"/>
      <c r="P147" s="1338"/>
      <c r="Q147" s="1338"/>
      <c r="R147" s="1338"/>
    </row>
    <row r="148" spans="1:18" s="666" customFormat="1" ht="17.25" customHeight="1" x14ac:dyDescent="0.25">
      <c r="A148" s="1019"/>
      <c r="B148" s="1023"/>
      <c r="C148" s="426"/>
      <c r="D148" s="1521"/>
      <c r="E148" s="1028" t="s">
        <v>125</v>
      </c>
      <c r="F148" s="1167"/>
      <c r="G148" s="1168"/>
      <c r="H148" s="1169"/>
      <c r="I148" s="1170"/>
      <c r="J148" s="224"/>
      <c r="K148" s="969"/>
      <c r="L148" s="970"/>
      <c r="M148" s="971"/>
      <c r="O148" s="1338"/>
      <c r="P148" s="1338"/>
      <c r="Q148" s="1338"/>
      <c r="R148" s="1338"/>
    </row>
    <row r="149" spans="1:18" ht="15.75" customHeight="1" x14ac:dyDescent="0.25">
      <c r="A149" s="1019"/>
      <c r="B149" s="1023"/>
      <c r="C149" s="131"/>
      <c r="D149" s="1480" t="s">
        <v>290</v>
      </c>
      <c r="E149" s="1027" t="s">
        <v>287</v>
      </c>
      <c r="F149" s="1171" t="s">
        <v>333</v>
      </c>
      <c r="G149" s="1172">
        <v>20</v>
      </c>
      <c r="H149" s="1173">
        <v>80</v>
      </c>
      <c r="I149" s="1175">
        <v>180</v>
      </c>
      <c r="J149" s="669" t="s">
        <v>39</v>
      </c>
      <c r="K149" s="320"/>
      <c r="L149" s="190">
        <v>1</v>
      </c>
      <c r="M149" s="142"/>
    </row>
    <row r="150" spans="1:18" ht="15.75" customHeight="1" x14ac:dyDescent="0.25">
      <c r="A150" s="1019"/>
      <c r="B150" s="1023"/>
      <c r="C150" s="131"/>
      <c r="D150" s="1521"/>
      <c r="E150" s="1028" t="s">
        <v>192</v>
      </c>
      <c r="F150" s="1171"/>
      <c r="G150" s="1130"/>
      <c r="H150" s="1135"/>
      <c r="I150" s="1132"/>
      <c r="J150" s="238" t="s">
        <v>214</v>
      </c>
      <c r="K150" s="188"/>
      <c r="L150" s="175"/>
      <c r="M150" s="66">
        <v>20</v>
      </c>
    </row>
    <row r="151" spans="1:18" ht="15.75" customHeight="1" x14ac:dyDescent="0.25">
      <c r="A151" s="1019"/>
      <c r="B151" s="1023"/>
      <c r="C151" s="131"/>
      <c r="D151" s="1481"/>
      <c r="E151" s="1034" t="s">
        <v>40</v>
      </c>
      <c r="F151" s="1167"/>
      <c r="G151" s="1168"/>
      <c r="H151" s="1169"/>
      <c r="I151" s="1175"/>
      <c r="J151" s="116"/>
      <c r="K151" s="172"/>
      <c r="L151" s="179"/>
      <c r="M151" s="771"/>
      <c r="N151" s="340"/>
    </row>
    <row r="152" spans="1:18" ht="15" customHeight="1" x14ac:dyDescent="0.25">
      <c r="A152" s="1019"/>
      <c r="B152" s="1023"/>
      <c r="C152" s="131"/>
      <c r="D152" s="1480" t="s">
        <v>294</v>
      </c>
      <c r="E152" s="1027" t="s">
        <v>291</v>
      </c>
      <c r="F152" s="1171" t="s">
        <v>333</v>
      </c>
      <c r="G152" s="1172"/>
      <c r="H152" s="1135">
        <v>40</v>
      </c>
      <c r="I152" s="1174">
        <v>200</v>
      </c>
      <c r="J152" s="669" t="s">
        <v>39</v>
      </c>
      <c r="K152" s="187"/>
      <c r="L152" s="190">
        <v>1</v>
      </c>
      <c r="M152" s="142"/>
    </row>
    <row r="153" spans="1:18" ht="15" customHeight="1" x14ac:dyDescent="0.25">
      <c r="A153" s="1019"/>
      <c r="B153" s="1023"/>
      <c r="C153" s="131"/>
      <c r="D153" s="1521"/>
      <c r="E153" s="1028" t="s">
        <v>192</v>
      </c>
      <c r="F153" s="1171"/>
      <c r="G153" s="1130"/>
      <c r="H153" s="1135"/>
      <c r="I153" s="1132"/>
      <c r="J153" s="238" t="s">
        <v>214</v>
      </c>
      <c r="K153" s="320"/>
      <c r="L153" s="175"/>
      <c r="M153" s="66">
        <v>100</v>
      </c>
    </row>
    <row r="154" spans="1:18" ht="15" customHeight="1" x14ac:dyDescent="0.25">
      <c r="A154" s="1019"/>
      <c r="B154" s="1023"/>
      <c r="C154" s="131"/>
      <c r="D154" s="1481"/>
      <c r="E154" s="1034" t="s">
        <v>40</v>
      </c>
      <c r="F154" s="1171"/>
      <c r="G154" s="1130"/>
      <c r="H154" s="1135"/>
      <c r="I154" s="1175"/>
      <c r="J154" s="116"/>
      <c r="K154" s="320"/>
      <c r="L154" s="179"/>
      <c r="M154" s="771"/>
    </row>
    <row r="155" spans="1:18" ht="18.75" customHeight="1" x14ac:dyDescent="0.25">
      <c r="A155" s="1019"/>
      <c r="B155" s="1023"/>
      <c r="C155" s="131"/>
      <c r="D155" s="1480" t="s">
        <v>286</v>
      </c>
      <c r="E155" s="1027" t="s">
        <v>287</v>
      </c>
      <c r="F155" s="1145" t="s">
        <v>332</v>
      </c>
      <c r="G155" s="1172"/>
      <c r="H155" s="1173"/>
      <c r="I155" s="1174">
        <v>569.9</v>
      </c>
      <c r="J155" s="228" t="s">
        <v>214</v>
      </c>
      <c r="K155" s="171"/>
      <c r="L155" s="178"/>
      <c r="M155" s="141">
        <v>50</v>
      </c>
    </row>
    <row r="156" spans="1:18" ht="18.75" customHeight="1" x14ac:dyDescent="0.25">
      <c r="A156" s="1019"/>
      <c r="B156" s="1023"/>
      <c r="C156" s="131"/>
      <c r="D156" s="1521"/>
      <c r="E156" s="1028" t="s">
        <v>40</v>
      </c>
      <c r="F156" s="1171"/>
      <c r="G156" s="1130"/>
      <c r="H156" s="1135"/>
      <c r="I156" s="1175"/>
      <c r="J156" s="634"/>
      <c r="K156" s="320"/>
      <c r="L156" s="175"/>
      <c r="M156" s="66"/>
    </row>
    <row r="157" spans="1:18" ht="31.5" customHeight="1" x14ac:dyDescent="0.25">
      <c r="A157" s="1019"/>
      <c r="B157" s="1023"/>
      <c r="C157" s="131"/>
      <c r="D157" s="1481"/>
      <c r="E157" s="1034" t="s">
        <v>192</v>
      </c>
      <c r="F157" s="1215"/>
      <c r="G157" s="1216"/>
      <c r="H157" s="1217"/>
      <c r="I157" s="1218"/>
      <c r="J157" s="224"/>
      <c r="K157" s="172"/>
      <c r="L157" s="179"/>
      <c r="M157" s="147"/>
    </row>
    <row r="158" spans="1:18" ht="15.75" customHeight="1" x14ac:dyDescent="0.25">
      <c r="A158" s="1019"/>
      <c r="B158" s="1023"/>
      <c r="C158" s="131"/>
      <c r="D158" s="1480" t="s">
        <v>356</v>
      </c>
      <c r="E158" s="1027" t="s">
        <v>289</v>
      </c>
      <c r="F158" s="1145" t="s">
        <v>333</v>
      </c>
      <c r="G158" s="1172"/>
      <c r="H158" s="1173"/>
      <c r="I158" s="1219">
        <v>500</v>
      </c>
      <c r="J158" s="228" t="s">
        <v>214</v>
      </c>
      <c r="K158" s="320"/>
      <c r="L158" s="175"/>
      <c r="M158" s="66">
        <v>10</v>
      </c>
    </row>
    <row r="159" spans="1:18" ht="15.75" customHeight="1" x14ac:dyDescent="0.25">
      <c r="A159" s="1019"/>
      <c r="B159" s="1023"/>
      <c r="C159" s="131"/>
      <c r="D159" s="1521"/>
      <c r="E159" s="1028" t="s">
        <v>192</v>
      </c>
      <c r="F159" s="1171"/>
      <c r="G159" s="1130"/>
      <c r="H159" s="1135"/>
      <c r="I159" s="1132"/>
      <c r="J159" s="634"/>
      <c r="K159" s="320"/>
      <c r="L159" s="175"/>
      <c r="M159" s="66"/>
    </row>
    <row r="160" spans="1:18" ht="15.75" customHeight="1" x14ac:dyDescent="0.25">
      <c r="A160" s="1019"/>
      <c r="B160" s="1023"/>
      <c r="C160" s="131"/>
      <c r="D160" s="1481"/>
      <c r="E160" s="1034" t="s">
        <v>40</v>
      </c>
      <c r="F160" s="1220"/>
      <c r="G160" s="1221"/>
      <c r="H160" s="1222"/>
      <c r="I160" s="1218"/>
      <c r="J160" s="224"/>
      <c r="K160" s="172"/>
      <c r="L160" s="179"/>
      <c r="M160" s="147"/>
    </row>
    <row r="161" spans="1:18" ht="16.5" customHeight="1" x14ac:dyDescent="0.25">
      <c r="A161" s="1461"/>
      <c r="B161" s="1462"/>
      <c r="C161" s="1018"/>
      <c r="D161" s="1466" t="s">
        <v>275</v>
      </c>
      <c r="E161" s="766" t="s">
        <v>113</v>
      </c>
      <c r="F161" s="1145" t="s">
        <v>333</v>
      </c>
      <c r="G161" s="1130"/>
      <c r="H161" s="1173"/>
      <c r="I161" s="1223"/>
      <c r="J161" s="1470" t="s">
        <v>306</v>
      </c>
      <c r="K161" s="983"/>
      <c r="L161" s="183"/>
      <c r="M161" s="140"/>
    </row>
    <row r="162" spans="1:18" ht="16.5" customHeight="1" x14ac:dyDescent="0.25">
      <c r="A162" s="1461"/>
      <c r="B162" s="1462"/>
      <c r="C162" s="1018"/>
      <c r="D162" s="1467"/>
      <c r="E162" s="321" t="s">
        <v>40</v>
      </c>
      <c r="F162" s="1171"/>
      <c r="G162" s="1166"/>
      <c r="H162" s="1135"/>
      <c r="I162" s="1132"/>
      <c r="J162" s="1471"/>
      <c r="K162" s="185"/>
      <c r="L162" s="299"/>
      <c r="M162" s="138"/>
    </row>
    <row r="163" spans="1:18" ht="16.5" customHeight="1" x14ac:dyDescent="0.25">
      <c r="A163" s="1461"/>
      <c r="B163" s="1462"/>
      <c r="C163" s="1018"/>
      <c r="D163" s="1467"/>
      <c r="E163" s="1062" t="s">
        <v>194</v>
      </c>
      <c r="F163" s="1175"/>
      <c r="G163" s="1130"/>
      <c r="H163" s="1135"/>
      <c r="I163" s="1224"/>
      <c r="J163" s="1471"/>
      <c r="K163" s="185"/>
      <c r="L163" s="299"/>
      <c r="M163" s="138"/>
    </row>
    <row r="164" spans="1:18" ht="16.5" customHeight="1" x14ac:dyDescent="0.25">
      <c r="A164" s="1461"/>
      <c r="B164" s="1462"/>
      <c r="C164" s="1018"/>
      <c r="D164" s="1467"/>
      <c r="E164" s="1063" t="s">
        <v>160</v>
      </c>
      <c r="F164" s="1071"/>
      <c r="G164" s="1216"/>
      <c r="H164" s="1135"/>
      <c r="I164" s="1224"/>
      <c r="J164" s="1472"/>
      <c r="K164" s="785"/>
      <c r="L164" s="400"/>
      <c r="M164" s="139"/>
    </row>
    <row r="165" spans="1:18" ht="15" customHeight="1" x14ac:dyDescent="0.25">
      <c r="A165" s="1024"/>
      <c r="B165" s="1051"/>
      <c r="C165" s="41"/>
      <c r="D165" s="1480" t="s">
        <v>169</v>
      </c>
      <c r="E165" s="1027" t="s">
        <v>125</v>
      </c>
      <c r="F165" s="1145" t="s">
        <v>330</v>
      </c>
      <c r="G165" s="1172">
        <v>200</v>
      </c>
      <c r="H165" s="1173"/>
      <c r="I165" s="1223"/>
      <c r="J165" s="352" t="s">
        <v>214</v>
      </c>
      <c r="K165" s="171">
        <v>100</v>
      </c>
      <c r="L165" s="175"/>
      <c r="M165" s="141"/>
    </row>
    <row r="166" spans="1:18" ht="15" customHeight="1" x14ac:dyDescent="0.25">
      <c r="A166" s="1024"/>
      <c r="B166" s="1051"/>
      <c r="C166" s="41"/>
      <c r="D166" s="1521"/>
      <c r="E166" s="343" t="s">
        <v>40</v>
      </c>
      <c r="F166" s="1171"/>
      <c r="G166" s="1130"/>
      <c r="H166" s="1135"/>
      <c r="I166" s="1132"/>
      <c r="J166" s="236"/>
      <c r="K166" s="367"/>
      <c r="L166" s="404"/>
      <c r="M166" s="394"/>
    </row>
    <row r="167" spans="1:18" ht="15" customHeight="1" x14ac:dyDescent="0.25">
      <c r="A167" s="1024"/>
      <c r="B167" s="1051"/>
      <c r="C167" s="41"/>
      <c r="D167" s="1481"/>
      <c r="E167" s="1034" t="s">
        <v>194</v>
      </c>
      <c r="F167" s="1167"/>
      <c r="G167" s="1168"/>
      <c r="H167" s="1169"/>
      <c r="I167" s="1170"/>
      <c r="J167" s="237"/>
      <c r="K167" s="457"/>
      <c r="L167" s="174"/>
      <c r="M167" s="135"/>
    </row>
    <row r="168" spans="1:18" ht="26.25" customHeight="1" x14ac:dyDescent="0.25">
      <c r="A168" s="1323"/>
      <c r="B168" s="1325"/>
      <c r="C168" s="41"/>
      <c r="D168" s="1356" t="s">
        <v>364</v>
      </c>
      <c r="E168" s="343" t="s">
        <v>192</v>
      </c>
      <c r="F168" s="1402"/>
      <c r="G168" s="983"/>
      <c r="H168" s="20"/>
      <c r="I168" s="432"/>
      <c r="J168" s="474" t="s">
        <v>365</v>
      </c>
      <c r="K168" s="454">
        <v>1</v>
      </c>
      <c r="L168" s="404"/>
      <c r="M168" s="394"/>
    </row>
    <row r="169" spans="1:18" ht="15" customHeight="1" thickBot="1" x14ac:dyDescent="0.3">
      <c r="A169" s="15"/>
      <c r="B169" s="54"/>
      <c r="C169" s="26"/>
      <c r="D169" s="1355"/>
      <c r="E169" s="258"/>
      <c r="F169" s="99" t="s">
        <v>4</v>
      </c>
      <c r="G169" s="242">
        <f>+G16+G17+G18+G19+G20+G21+G22+G23+G24+G25</f>
        <v>24908.799999999999</v>
      </c>
      <c r="H169" s="1102">
        <f>+H16+H17+H18+H19+H20+H21+H22+H23+H24+H25</f>
        <v>14997.8</v>
      </c>
      <c r="I169" s="1101">
        <f>+I16+I17+I18+I19+I20+I21+I22+I23+I24+I25</f>
        <v>15612.3</v>
      </c>
      <c r="J169" s="1064"/>
      <c r="K169" s="461"/>
      <c r="L169" s="199"/>
      <c r="M169" s="129"/>
    </row>
    <row r="170" spans="1:18" ht="15" customHeight="1" thickBot="1" x14ac:dyDescent="0.3">
      <c r="A170" s="16" t="s">
        <v>3</v>
      </c>
      <c r="B170" s="33" t="s">
        <v>3</v>
      </c>
      <c r="C170" s="1504" t="s">
        <v>6</v>
      </c>
      <c r="D170" s="1505"/>
      <c r="E170" s="1505"/>
      <c r="F170" s="1506"/>
      <c r="G170" s="240">
        <f t="shared" ref="G170:I170" si="4">G169</f>
        <v>24908.799999999999</v>
      </c>
      <c r="H170" s="17">
        <f t="shared" si="4"/>
        <v>14997.8</v>
      </c>
      <c r="I170" s="506">
        <f t="shared" si="4"/>
        <v>15612.3</v>
      </c>
      <c r="J170" s="1538"/>
      <c r="K170" s="1539"/>
      <c r="L170" s="1539"/>
      <c r="M170" s="1540"/>
    </row>
    <row r="171" spans="1:18" ht="15" customHeight="1" thickBot="1" x14ac:dyDescent="0.3">
      <c r="A171" s="16" t="s">
        <v>3</v>
      </c>
      <c r="B171" s="33" t="s">
        <v>5</v>
      </c>
      <c r="C171" s="1602" t="s">
        <v>27</v>
      </c>
      <c r="D171" s="1603"/>
      <c r="E171" s="1603"/>
      <c r="F171" s="1603"/>
      <c r="G171" s="1603"/>
      <c r="H171" s="1603"/>
      <c r="I171" s="1603"/>
      <c r="J171" s="1603"/>
      <c r="K171" s="1603"/>
      <c r="L171" s="1603"/>
      <c r="M171" s="1604"/>
    </row>
    <row r="172" spans="1:18" ht="15.65" customHeight="1" x14ac:dyDescent="0.25">
      <c r="A172" s="60" t="s">
        <v>3</v>
      </c>
      <c r="B172" s="32" t="s">
        <v>5</v>
      </c>
      <c r="C172" s="40" t="s">
        <v>3</v>
      </c>
      <c r="D172" s="120" t="s">
        <v>44</v>
      </c>
      <c r="E172" s="1105"/>
      <c r="F172" s="61" t="s">
        <v>21</v>
      </c>
      <c r="G172" s="130">
        <v>1789.6</v>
      </c>
      <c r="H172" s="1112">
        <v>10068.799999999999</v>
      </c>
      <c r="I172" s="1113">
        <v>8535.2999999999993</v>
      </c>
      <c r="J172" s="1106"/>
      <c r="K172" s="1107"/>
      <c r="L172" s="1108"/>
      <c r="M172" s="1109"/>
      <c r="O172" s="1175" t="s">
        <v>21</v>
      </c>
      <c r="P172" s="1176">
        <f>+G177+G183+G185+G187+G189+G193+G197+G199+G203</f>
        <v>1789.6</v>
      </c>
      <c r="Q172" s="1176">
        <f t="shared" ref="Q172:R172" si="5">+H177+H183+H185+H187+H189+H193+H197+H199+H203</f>
        <v>10068.799999999999</v>
      </c>
      <c r="R172" s="1176">
        <f t="shared" si="5"/>
        <v>8535.2999999999993</v>
      </c>
    </row>
    <row r="173" spans="1:18" ht="15.65" customHeight="1" x14ac:dyDescent="0.25">
      <c r="A173" s="1024"/>
      <c r="B173" s="1051"/>
      <c r="C173" s="1026"/>
      <c r="D173" s="1103"/>
      <c r="E173" s="343"/>
      <c r="F173" s="115" t="s">
        <v>53</v>
      </c>
      <c r="G173" s="202">
        <v>360</v>
      </c>
      <c r="H173" s="113">
        <v>74.5</v>
      </c>
      <c r="I173" s="20">
        <v>44.5</v>
      </c>
      <c r="J173" s="345"/>
      <c r="K173" s="1110"/>
      <c r="L173" s="1087"/>
      <c r="M173" s="1088"/>
      <c r="O173" s="1175" t="s">
        <v>53</v>
      </c>
      <c r="P173" s="1176">
        <f>+G194+G196+G198</f>
        <v>360</v>
      </c>
      <c r="Q173" s="1176">
        <f t="shared" ref="Q173:R173" si="6">+H194+H196+H198</f>
        <v>74.5</v>
      </c>
      <c r="R173" s="1176">
        <f t="shared" si="6"/>
        <v>44.5</v>
      </c>
    </row>
    <row r="174" spans="1:18" ht="15.65" customHeight="1" x14ac:dyDescent="0.25">
      <c r="A174" s="1024"/>
      <c r="B174" s="1051"/>
      <c r="C174" s="1026"/>
      <c r="D174" s="1103"/>
      <c r="E174" s="343"/>
      <c r="F174" s="1038" t="s">
        <v>89</v>
      </c>
      <c r="G174" s="1077">
        <v>7578.6</v>
      </c>
      <c r="H174" s="1049"/>
      <c r="I174" s="282"/>
      <c r="J174" s="345"/>
      <c r="K174" s="1110"/>
      <c r="L174" s="1087"/>
      <c r="M174" s="1111"/>
      <c r="O174" s="1175" t="s">
        <v>89</v>
      </c>
      <c r="P174" s="1176">
        <f>+G204</f>
        <v>7578.6</v>
      </c>
      <c r="Q174" s="1176">
        <f t="shared" ref="Q174:R174" si="7">+H204</f>
        <v>0</v>
      </c>
      <c r="R174" s="1176">
        <f t="shared" si="7"/>
        <v>0</v>
      </c>
    </row>
    <row r="175" spans="1:18" ht="15.65" customHeight="1" x14ac:dyDescent="0.25">
      <c r="A175" s="1024"/>
      <c r="B175" s="1051"/>
      <c r="C175" s="1026"/>
      <c r="D175" s="1103"/>
      <c r="E175" s="343"/>
      <c r="F175" s="1038" t="s">
        <v>46</v>
      </c>
      <c r="G175" s="91">
        <v>10640</v>
      </c>
      <c r="H175" s="167"/>
      <c r="I175" s="20"/>
      <c r="J175" s="345"/>
      <c r="K175" s="1110"/>
      <c r="L175" s="1087"/>
      <c r="M175" s="1111"/>
      <c r="O175" s="1175" t="s">
        <v>46</v>
      </c>
      <c r="P175" s="1176">
        <f>+G178+G184+G186+G188+G190+G200</f>
        <v>10640</v>
      </c>
      <c r="Q175" s="1176">
        <f t="shared" ref="Q175:R175" si="8">+H178+H184+H186+H188+H190+H200</f>
        <v>0</v>
      </c>
      <c r="R175" s="1176">
        <f t="shared" si="8"/>
        <v>0</v>
      </c>
    </row>
    <row r="176" spans="1:18" ht="15.65" customHeight="1" x14ac:dyDescent="0.25">
      <c r="A176" s="1024"/>
      <c r="B176" s="1051"/>
      <c r="C176" s="1026"/>
      <c r="D176" s="1103"/>
      <c r="E176" s="343"/>
      <c r="F176" s="132" t="s">
        <v>55</v>
      </c>
      <c r="G176" s="291">
        <v>70.099999999999994</v>
      </c>
      <c r="H176" s="197"/>
      <c r="I176" s="293"/>
      <c r="J176" s="234"/>
      <c r="K176" s="1110"/>
      <c r="L176" s="772"/>
      <c r="M176" s="773"/>
      <c r="O176" s="1175" t="s">
        <v>55</v>
      </c>
      <c r="P176" s="1176">
        <f>+G195+G208</f>
        <v>70.099999999999994</v>
      </c>
      <c r="Q176" s="1176">
        <f t="shared" ref="Q176:R176" si="9">+H195+H208</f>
        <v>0</v>
      </c>
      <c r="R176" s="1176">
        <f t="shared" si="9"/>
        <v>0</v>
      </c>
    </row>
    <row r="177" spans="1:20" ht="23.25" customHeight="1" x14ac:dyDescent="0.25">
      <c r="A177" s="1024"/>
      <c r="B177" s="1051"/>
      <c r="C177" s="1026"/>
      <c r="D177" s="1480" t="s">
        <v>270</v>
      </c>
      <c r="E177" s="1104" t="s">
        <v>125</v>
      </c>
      <c r="F177" s="1258" t="s">
        <v>333</v>
      </c>
      <c r="G177" s="1172">
        <v>50</v>
      </c>
      <c r="H177" s="1173">
        <v>6500</v>
      </c>
      <c r="I177" s="1174">
        <v>6610</v>
      </c>
      <c r="J177" s="352" t="s">
        <v>273</v>
      </c>
      <c r="K177" s="239">
        <v>2.6</v>
      </c>
      <c r="L177" s="113">
        <v>2.2999999999999998</v>
      </c>
      <c r="M177" s="292">
        <v>2</v>
      </c>
      <c r="P177" s="1176">
        <f>SUM(P172:P176)</f>
        <v>20438.3</v>
      </c>
      <c r="Q177" s="1176">
        <f t="shared" ref="Q177:R177" si="10">SUM(Q172:Q176)</f>
        <v>10143.299999999999</v>
      </c>
      <c r="R177" s="1176">
        <f t="shared" si="10"/>
        <v>8579.7999999999993</v>
      </c>
    </row>
    <row r="178" spans="1:20" ht="29.15" customHeight="1" x14ac:dyDescent="0.25">
      <c r="A178" s="1024"/>
      <c r="B178" s="1051"/>
      <c r="C178" s="1026"/>
      <c r="D178" s="1521"/>
      <c r="E178" s="1028" t="s">
        <v>113</v>
      </c>
      <c r="F178" s="1137" t="s">
        <v>330</v>
      </c>
      <c r="G178" s="1138">
        <f>300+6060</f>
        <v>6360</v>
      </c>
      <c r="H178" s="1164"/>
      <c r="I178" s="1165"/>
      <c r="J178" s="440" t="s">
        <v>300</v>
      </c>
      <c r="K178" s="365">
        <v>6.9</v>
      </c>
      <c r="L178" s="429">
        <v>5.2</v>
      </c>
      <c r="M178" s="282">
        <v>4.2</v>
      </c>
      <c r="P178" s="1176">
        <f>+P177-G212</f>
        <v>0</v>
      </c>
      <c r="Q178" s="1176">
        <f t="shared" ref="Q178:R178" si="11">+Q177-H212</f>
        <v>0</v>
      </c>
      <c r="R178" s="1176">
        <f t="shared" si="11"/>
        <v>0</v>
      </c>
    </row>
    <row r="179" spans="1:20" ht="25.5" customHeight="1" x14ac:dyDescent="0.25">
      <c r="A179" s="1024"/>
      <c r="B179" s="1051"/>
      <c r="C179" s="1026"/>
      <c r="D179" s="1521"/>
      <c r="E179" s="1028" t="s">
        <v>194</v>
      </c>
      <c r="F179" s="1171"/>
      <c r="G179" s="1130"/>
      <c r="H179" s="1135"/>
      <c r="I179" s="1132"/>
      <c r="J179" s="440" t="s">
        <v>301</v>
      </c>
      <c r="K179" s="365">
        <v>80</v>
      </c>
      <c r="L179" s="167">
        <v>86.6</v>
      </c>
      <c r="M179" s="282">
        <v>93.7</v>
      </c>
    </row>
    <row r="180" spans="1:20" ht="26.15" customHeight="1" x14ac:dyDescent="0.25">
      <c r="A180" s="1024"/>
      <c r="B180" s="1051"/>
      <c r="C180" s="1026"/>
      <c r="D180" s="1521"/>
      <c r="E180" s="1028"/>
      <c r="F180" s="1271"/>
      <c r="G180" s="1130"/>
      <c r="H180" s="1135"/>
      <c r="I180" s="1132"/>
      <c r="J180" s="440" t="s">
        <v>302</v>
      </c>
      <c r="K180" s="894">
        <v>12.7</v>
      </c>
      <c r="L180" s="895">
        <v>14.2</v>
      </c>
      <c r="M180" s="896">
        <v>15.8</v>
      </c>
    </row>
    <row r="181" spans="1:20" ht="27.65" customHeight="1" x14ac:dyDescent="0.25">
      <c r="A181" s="1024"/>
      <c r="B181" s="1051"/>
      <c r="C181" s="1026"/>
      <c r="D181" s="1521"/>
      <c r="E181" s="1028"/>
      <c r="F181" s="1171"/>
      <c r="G181" s="1175"/>
      <c r="H181" s="1135"/>
      <c r="I181" s="1132"/>
      <c r="J181" s="440" t="s">
        <v>274</v>
      </c>
      <c r="K181" s="291">
        <f>15+2</f>
        <v>17</v>
      </c>
      <c r="L181" s="619">
        <f t="shared" ref="L181:M181" si="12">15+2</f>
        <v>17</v>
      </c>
      <c r="M181" s="293">
        <f t="shared" si="12"/>
        <v>17</v>
      </c>
    </row>
    <row r="182" spans="1:20" ht="15.75" customHeight="1" x14ac:dyDescent="0.25">
      <c r="A182" s="1024"/>
      <c r="B182" s="1051"/>
      <c r="C182" s="1026"/>
      <c r="D182" s="729" t="s">
        <v>79</v>
      </c>
      <c r="E182" s="1027" t="s">
        <v>194</v>
      </c>
      <c r="F182" s="1145"/>
      <c r="G182" s="1161"/>
      <c r="H182" s="1162"/>
      <c r="I182" s="1163"/>
      <c r="J182" s="1025"/>
      <c r="K182" s="621"/>
      <c r="L182" s="622"/>
      <c r="M182" s="623"/>
    </row>
    <row r="183" spans="1:20" ht="21" customHeight="1" x14ac:dyDescent="0.25">
      <c r="A183" s="1024"/>
      <c r="B183" s="1051"/>
      <c r="C183" s="1026"/>
      <c r="D183" s="1478" t="s">
        <v>139</v>
      </c>
      <c r="E183" s="343" t="s">
        <v>125</v>
      </c>
      <c r="F183" s="1151" t="s">
        <v>333</v>
      </c>
      <c r="G183" s="1212"/>
      <c r="H183" s="1213">
        <v>1000</v>
      </c>
      <c r="I183" s="1214">
        <v>1000</v>
      </c>
      <c r="J183" s="1065" t="s">
        <v>78</v>
      </c>
      <c r="K183" s="257">
        <v>58</v>
      </c>
      <c r="L183" s="191">
        <v>58</v>
      </c>
      <c r="M183" s="81">
        <v>58</v>
      </c>
      <c r="N183" s="340"/>
      <c r="O183" s="1211"/>
      <c r="P183" s="1211"/>
      <c r="Q183" s="1211"/>
      <c r="R183" s="1211"/>
      <c r="S183" s="2"/>
      <c r="T183" s="687"/>
    </row>
    <row r="184" spans="1:20" ht="21" customHeight="1" x14ac:dyDescent="0.25">
      <c r="A184" s="1024"/>
      <c r="B184" s="1051"/>
      <c r="C184" s="1026"/>
      <c r="D184" s="1479"/>
      <c r="E184" s="343"/>
      <c r="F184" s="1137" t="s">
        <v>330</v>
      </c>
      <c r="G184" s="1212">
        <f>3700</f>
        <v>3700</v>
      </c>
      <c r="H184" s="1164"/>
      <c r="I184" s="1179"/>
      <c r="J184" s="704"/>
      <c r="K184" s="674"/>
      <c r="L184" s="198"/>
      <c r="M184" s="679"/>
      <c r="N184" s="340"/>
      <c r="O184" s="1211"/>
      <c r="P184" s="1211"/>
      <c r="Q184" s="1211"/>
      <c r="R184" s="1211"/>
      <c r="S184" s="2"/>
      <c r="T184" s="687"/>
    </row>
    <row r="185" spans="1:20" ht="21" customHeight="1" x14ac:dyDescent="0.25">
      <c r="A185" s="1024"/>
      <c r="B185" s="1051"/>
      <c r="C185" s="1026"/>
      <c r="D185" s="1486" t="s">
        <v>140</v>
      </c>
      <c r="E185" s="343" t="s">
        <v>113</v>
      </c>
      <c r="F185" s="1151" t="s">
        <v>333</v>
      </c>
      <c r="G185" s="1134">
        <v>220</v>
      </c>
      <c r="H185" s="1164">
        <v>564.70000000000005</v>
      </c>
      <c r="I185" s="1165">
        <v>617.70000000000005</v>
      </c>
      <c r="J185" s="1605" t="s">
        <v>237</v>
      </c>
      <c r="K185" s="320">
        <f>2+10+13</f>
        <v>25</v>
      </c>
      <c r="L185" s="632">
        <f>2+10+13+10</f>
        <v>35</v>
      </c>
      <c r="M185" s="148">
        <v>35</v>
      </c>
    </row>
    <row r="186" spans="1:20" ht="21" customHeight="1" x14ac:dyDescent="0.25">
      <c r="A186" s="1024"/>
      <c r="B186" s="1051"/>
      <c r="C186" s="1026"/>
      <c r="D186" s="1487"/>
      <c r="F186" s="1167" t="s">
        <v>330</v>
      </c>
      <c r="G186" s="1168">
        <v>5.5</v>
      </c>
      <c r="H186" s="1187"/>
      <c r="I186" s="1192"/>
      <c r="J186" s="1472"/>
      <c r="K186" s="196"/>
      <c r="L186" s="179"/>
      <c r="M186" s="67"/>
    </row>
    <row r="187" spans="1:20" ht="16.399999999999999" customHeight="1" x14ac:dyDescent="0.25">
      <c r="A187" s="1473"/>
      <c r="B187" s="1462"/>
      <c r="C187" s="1475"/>
      <c r="D187" s="1493" t="s">
        <v>36</v>
      </c>
      <c r="E187" s="1626" t="s">
        <v>194</v>
      </c>
      <c r="F187" s="1171" t="s">
        <v>333</v>
      </c>
      <c r="G187" s="1166">
        <f>60-5</f>
        <v>55</v>
      </c>
      <c r="H187" s="1173">
        <f>62-H188</f>
        <v>62</v>
      </c>
      <c r="I187" s="1174">
        <f>65-I188</f>
        <v>65</v>
      </c>
      <c r="J187" s="1743" t="s">
        <v>43</v>
      </c>
      <c r="K187" s="1624">
        <v>7</v>
      </c>
      <c r="L187" s="1620">
        <v>7</v>
      </c>
      <c r="M187" s="1610">
        <v>7</v>
      </c>
    </row>
    <row r="188" spans="1:20" ht="17.25" customHeight="1" x14ac:dyDescent="0.25">
      <c r="A188" s="1473"/>
      <c r="B188" s="1462"/>
      <c r="C188" s="1475"/>
      <c r="D188" s="1495"/>
      <c r="E188" s="1627"/>
      <c r="F188" s="1186" t="s">
        <v>330</v>
      </c>
      <c r="G188" s="1191">
        <v>5</v>
      </c>
      <c r="H188" s="1187"/>
      <c r="I188" s="1192"/>
      <c r="J188" s="1744"/>
      <c r="K188" s="1625"/>
      <c r="L188" s="1621"/>
      <c r="M188" s="1611"/>
    </row>
    <row r="189" spans="1:20" ht="15.65" customHeight="1" x14ac:dyDescent="0.25">
      <c r="A189" s="1473"/>
      <c r="B189" s="1474"/>
      <c r="C189" s="1475"/>
      <c r="D189" s="1482" t="s">
        <v>103</v>
      </c>
      <c r="E189" s="1626" t="s">
        <v>194</v>
      </c>
      <c r="F189" s="1258" t="s">
        <v>333</v>
      </c>
      <c r="G189" s="1193">
        <f>172-7</f>
        <v>165</v>
      </c>
      <c r="H189" s="1184">
        <f>58+122</f>
        <v>180</v>
      </c>
      <c r="I189" s="1194">
        <f>60+128</f>
        <v>188</v>
      </c>
      <c r="J189" s="1298" t="s">
        <v>82</v>
      </c>
      <c r="K189" s="456"/>
      <c r="L189" s="284"/>
      <c r="M189" s="285"/>
    </row>
    <row r="190" spans="1:20" ht="16.5" customHeight="1" x14ac:dyDescent="0.25">
      <c r="A190" s="1473"/>
      <c r="B190" s="1474"/>
      <c r="C190" s="1475"/>
      <c r="D190" s="1483"/>
      <c r="E190" s="1627"/>
      <c r="F190" s="1171" t="s">
        <v>330</v>
      </c>
      <c r="G190" s="1166">
        <v>7</v>
      </c>
      <c r="H190" s="1166"/>
      <c r="I190" s="1165"/>
      <c r="J190" s="699" t="s">
        <v>339</v>
      </c>
      <c r="K190" s="497">
        <v>1</v>
      </c>
      <c r="L190" s="286">
        <v>1</v>
      </c>
      <c r="M190" s="287">
        <v>1</v>
      </c>
    </row>
    <row r="191" spans="1:20" ht="17.25" customHeight="1" x14ac:dyDescent="0.25">
      <c r="A191" s="1024"/>
      <c r="B191" s="1051"/>
      <c r="C191" s="1026"/>
      <c r="D191" s="1044"/>
      <c r="E191" s="1627"/>
      <c r="F191" s="1171"/>
      <c r="G191" s="1166"/>
      <c r="H191" s="1166"/>
      <c r="I191" s="1179"/>
      <c r="J191" s="1299" t="s">
        <v>340</v>
      </c>
      <c r="K191" s="498">
        <v>1</v>
      </c>
      <c r="L191" s="279">
        <v>1</v>
      </c>
      <c r="M191" s="280">
        <v>1</v>
      </c>
    </row>
    <row r="192" spans="1:20" ht="15" customHeight="1" x14ac:dyDescent="0.25">
      <c r="A192" s="1024"/>
      <c r="B192" s="1051"/>
      <c r="C192" s="1026"/>
      <c r="D192" s="1044"/>
      <c r="E192" s="1627"/>
      <c r="F192" s="1141"/>
      <c r="G192" s="1189"/>
      <c r="H192" s="1152"/>
      <c r="I192" s="1180"/>
      <c r="J192" s="1299" t="s">
        <v>341</v>
      </c>
      <c r="K192" s="498">
        <v>1</v>
      </c>
      <c r="L192" s="279">
        <v>1</v>
      </c>
      <c r="M192" s="280">
        <v>1</v>
      </c>
    </row>
    <row r="193" spans="1:19" ht="15.65" customHeight="1" x14ac:dyDescent="0.25">
      <c r="A193" s="1024"/>
      <c r="B193" s="1051"/>
      <c r="C193" s="1026"/>
      <c r="D193" s="1044"/>
      <c r="E193" s="1628"/>
      <c r="F193" s="1167" t="s">
        <v>333</v>
      </c>
      <c r="G193" s="1168">
        <v>54.6</v>
      </c>
      <c r="H193" s="1169">
        <v>54.6</v>
      </c>
      <c r="I193" s="1179">
        <v>54.6</v>
      </c>
      <c r="J193" s="849" t="s">
        <v>342</v>
      </c>
      <c r="K193" s="251">
        <v>1</v>
      </c>
      <c r="L193" s="192">
        <v>1</v>
      </c>
      <c r="M193" s="145">
        <v>1</v>
      </c>
    </row>
    <row r="194" spans="1:19" ht="15.75" customHeight="1" x14ac:dyDescent="0.25">
      <c r="A194" s="1039"/>
      <c r="B194" s="63"/>
      <c r="C194" s="1029"/>
      <c r="D194" s="1493" t="s">
        <v>70</v>
      </c>
      <c r="E194" s="1027" t="s">
        <v>91</v>
      </c>
      <c r="F194" s="1258" t="s">
        <v>328</v>
      </c>
      <c r="G194" s="1195"/>
      <c r="H194" s="1196">
        <v>30</v>
      </c>
      <c r="I194" s="1197"/>
      <c r="J194" s="1025" t="s">
        <v>238</v>
      </c>
      <c r="K194" s="195">
        <v>1</v>
      </c>
      <c r="L194" s="178">
        <v>2</v>
      </c>
      <c r="M194" s="65"/>
    </row>
    <row r="195" spans="1:19" ht="15.75" customHeight="1" x14ac:dyDescent="0.25">
      <c r="A195" s="1019"/>
      <c r="B195" s="1051"/>
      <c r="C195" s="42"/>
      <c r="D195" s="1494"/>
      <c r="E195" s="1028" t="s">
        <v>194</v>
      </c>
      <c r="F195" s="1171" t="s">
        <v>336</v>
      </c>
      <c r="G195" s="1198">
        <v>12.4</v>
      </c>
      <c r="H195" s="1199"/>
      <c r="I195" s="1200"/>
      <c r="J195" s="634"/>
      <c r="K195" s="324"/>
      <c r="L195" s="261"/>
      <c r="M195" s="260"/>
    </row>
    <row r="196" spans="1:19" ht="28.4" customHeight="1" x14ac:dyDescent="0.25">
      <c r="A196" s="1019"/>
      <c r="B196" s="1051"/>
      <c r="C196" s="42"/>
      <c r="D196" s="1012"/>
      <c r="E196" s="1034"/>
      <c r="F196" s="1186" t="s">
        <v>328</v>
      </c>
      <c r="G196" s="1138"/>
      <c r="H196" s="1166">
        <v>44.5</v>
      </c>
      <c r="I196" s="1192">
        <v>44.5</v>
      </c>
      <c r="J196" s="227" t="s">
        <v>188</v>
      </c>
      <c r="K196" s="945"/>
      <c r="L196" s="904">
        <v>7</v>
      </c>
      <c r="M196" s="905">
        <v>7</v>
      </c>
    </row>
    <row r="197" spans="1:19" s="2" customFormat="1" ht="16.399999999999999" customHeight="1" x14ac:dyDescent="0.25">
      <c r="A197" s="1039"/>
      <c r="B197" s="63"/>
      <c r="C197" s="95"/>
      <c r="D197" s="1480" t="s">
        <v>98</v>
      </c>
      <c r="E197" s="342" t="s">
        <v>194</v>
      </c>
      <c r="F197" s="1258" t="s">
        <v>333</v>
      </c>
      <c r="G197" s="1201"/>
      <c r="H197" s="1162">
        <v>20</v>
      </c>
      <c r="I197" s="1163"/>
      <c r="J197" s="228" t="s">
        <v>215</v>
      </c>
      <c r="K197" s="1033">
        <v>100</v>
      </c>
      <c r="L197" s="418"/>
      <c r="M197" s="776"/>
      <c r="N197" s="340"/>
      <c r="O197" s="1211"/>
      <c r="P197" s="1211"/>
      <c r="Q197" s="1211"/>
      <c r="R197" s="1211"/>
    </row>
    <row r="198" spans="1:19" s="2" customFormat="1" ht="27.75" customHeight="1" x14ac:dyDescent="0.25">
      <c r="A198" s="38"/>
      <c r="B198" s="63"/>
      <c r="C198" s="268"/>
      <c r="D198" s="1521"/>
      <c r="E198" s="1063" t="s">
        <v>321</v>
      </c>
      <c r="F198" s="1278" t="s">
        <v>328</v>
      </c>
      <c r="G198" s="1202">
        <v>360</v>
      </c>
      <c r="H198" s="1203"/>
      <c r="I198" s="1204"/>
      <c r="J198" s="778" t="s">
        <v>39</v>
      </c>
      <c r="K198" s="1066"/>
      <c r="L198" s="553">
        <v>1</v>
      </c>
      <c r="M198" s="940"/>
      <c r="N198" s="340"/>
      <c r="O198" s="1211"/>
      <c r="P198" s="1211"/>
      <c r="Q198" s="1211"/>
      <c r="R198" s="1211"/>
    </row>
    <row r="199" spans="1:19" ht="15" customHeight="1" x14ac:dyDescent="0.25">
      <c r="A199" s="1024"/>
      <c r="B199" s="1051"/>
      <c r="C199" s="44"/>
      <c r="D199" s="1633" t="s">
        <v>357</v>
      </c>
      <c r="E199" s="338" t="s">
        <v>159</v>
      </c>
      <c r="F199" s="1145" t="s">
        <v>333</v>
      </c>
      <c r="G199" s="1161"/>
      <c r="H199" s="1205">
        <v>1687.5</v>
      </c>
      <c r="I199" s="1174"/>
      <c r="J199" s="1067" t="s">
        <v>338</v>
      </c>
      <c r="K199" s="1033">
        <v>100</v>
      </c>
      <c r="L199" s="204">
        <v>100</v>
      </c>
      <c r="M199" s="1031"/>
    </row>
    <row r="200" spans="1:19" ht="15" customHeight="1" x14ac:dyDescent="0.25">
      <c r="A200" s="1024"/>
      <c r="B200" s="1051"/>
      <c r="C200" s="44"/>
      <c r="D200" s="1634"/>
      <c r="E200" s="1028" t="s">
        <v>160</v>
      </c>
      <c r="F200" s="1137" t="s">
        <v>330</v>
      </c>
      <c r="G200" s="1130">
        <v>562.5</v>
      </c>
      <c r="H200" s="1166"/>
      <c r="I200" s="1165"/>
      <c r="J200" s="634"/>
      <c r="K200" s="324"/>
      <c r="L200" s="261"/>
      <c r="M200" s="260"/>
    </row>
    <row r="201" spans="1:19" ht="15" customHeight="1" x14ac:dyDescent="0.25">
      <c r="A201" s="1024"/>
      <c r="B201" s="1051"/>
      <c r="C201" s="44"/>
      <c r="D201" s="1634"/>
      <c r="E201" s="1028" t="s">
        <v>194</v>
      </c>
      <c r="F201" s="1171"/>
      <c r="G201" s="1166"/>
      <c r="H201" s="1166"/>
      <c r="I201" s="1175"/>
      <c r="J201" s="634"/>
      <c r="K201" s="324"/>
      <c r="L201" s="261"/>
      <c r="M201" s="260"/>
    </row>
    <row r="202" spans="1:19" ht="15" customHeight="1" x14ac:dyDescent="0.25">
      <c r="A202" s="1024"/>
      <c r="B202" s="1051"/>
      <c r="C202" s="44"/>
      <c r="D202" s="1634"/>
      <c r="E202" s="1028" t="s">
        <v>125</v>
      </c>
      <c r="F202" s="1167"/>
      <c r="G202" s="1130"/>
      <c r="H202" s="1135"/>
      <c r="I202" s="1170"/>
      <c r="J202" s="634"/>
      <c r="K202" s="324"/>
      <c r="L202" s="261"/>
      <c r="M202" s="260"/>
    </row>
    <row r="203" spans="1:19" ht="15" customHeight="1" x14ac:dyDescent="0.25">
      <c r="A203" s="1024"/>
      <c r="B203" s="1051"/>
      <c r="C203" s="44"/>
      <c r="D203" s="1480" t="s">
        <v>247</v>
      </c>
      <c r="E203" s="338" t="s">
        <v>159</v>
      </c>
      <c r="F203" s="1295" t="s">
        <v>333</v>
      </c>
      <c r="G203" s="1161">
        <v>1245</v>
      </c>
      <c r="H203" s="1162"/>
      <c r="I203" s="1175"/>
      <c r="J203" s="228" t="s">
        <v>189</v>
      </c>
      <c r="K203" s="274">
        <v>12</v>
      </c>
      <c r="L203" s="204"/>
      <c r="M203" s="1031"/>
    </row>
    <row r="204" spans="1:19" ht="14.15" customHeight="1" x14ac:dyDescent="0.25">
      <c r="A204" s="1024"/>
      <c r="B204" s="1051"/>
      <c r="C204" s="44"/>
      <c r="D204" s="1521"/>
      <c r="E204" s="1028" t="s">
        <v>125</v>
      </c>
      <c r="F204" s="1137" t="s">
        <v>331</v>
      </c>
      <c r="G204" s="1166">
        <v>7578.6</v>
      </c>
      <c r="H204" s="1135"/>
      <c r="I204" s="1165"/>
      <c r="J204" s="634"/>
      <c r="K204" s="324"/>
      <c r="L204" s="261"/>
      <c r="M204" s="260"/>
    </row>
    <row r="205" spans="1:19" ht="12.65" customHeight="1" x14ac:dyDescent="0.25">
      <c r="A205" s="1024"/>
      <c r="B205" s="1051"/>
      <c r="C205" s="44"/>
      <c r="D205" s="1521"/>
      <c r="E205" s="1028" t="s">
        <v>40</v>
      </c>
      <c r="F205" s="1171"/>
      <c r="G205" s="1166"/>
      <c r="H205" s="1135"/>
      <c r="I205" s="1179"/>
      <c r="J205" s="634"/>
      <c r="K205" s="324"/>
      <c r="L205" s="261"/>
      <c r="M205" s="260"/>
    </row>
    <row r="206" spans="1:19" ht="11.9" customHeight="1" x14ac:dyDescent="0.25">
      <c r="A206" s="1024"/>
      <c r="B206" s="1051"/>
      <c r="C206" s="44"/>
      <c r="D206" s="1521"/>
      <c r="E206" s="1028" t="s">
        <v>194</v>
      </c>
      <c r="F206" s="1171"/>
      <c r="G206" s="1166"/>
      <c r="H206" s="1166"/>
      <c r="I206" s="1179"/>
      <c r="J206" s="634"/>
      <c r="K206" s="324"/>
      <c r="L206" s="261"/>
      <c r="M206" s="260"/>
    </row>
    <row r="207" spans="1:19" ht="15" customHeight="1" x14ac:dyDescent="0.25">
      <c r="A207" s="1024"/>
      <c r="B207" s="1051"/>
      <c r="C207" s="44"/>
      <c r="D207" s="1521"/>
      <c r="E207" s="1034" t="s">
        <v>160</v>
      </c>
      <c r="F207" s="1167"/>
      <c r="G207" s="1181"/>
      <c r="H207" s="1181"/>
      <c r="I207" s="1182"/>
      <c r="J207" s="224"/>
      <c r="K207" s="499"/>
      <c r="L207" s="205"/>
      <c r="M207" s="396"/>
    </row>
    <row r="208" spans="1:19" ht="15" customHeight="1" x14ac:dyDescent="0.25">
      <c r="A208" s="1024"/>
      <c r="B208" s="1051"/>
      <c r="C208" s="44"/>
      <c r="D208" s="1480" t="s">
        <v>146</v>
      </c>
      <c r="E208" s="328" t="s">
        <v>159</v>
      </c>
      <c r="F208" s="1171" t="s">
        <v>336</v>
      </c>
      <c r="G208" s="1166">
        <v>57.7</v>
      </c>
      <c r="H208" s="1206"/>
      <c r="I208" s="1207"/>
      <c r="J208" s="228" t="s">
        <v>39</v>
      </c>
      <c r="K208" s="274">
        <v>1</v>
      </c>
      <c r="L208" s="204"/>
      <c r="M208" s="848"/>
      <c r="N208" s="340"/>
      <c r="O208" s="1211"/>
      <c r="P208" s="1211"/>
      <c r="Q208" s="1211"/>
      <c r="R208" s="1211"/>
      <c r="S208" s="2"/>
    </row>
    <row r="209" spans="1:21" ht="15" customHeight="1" x14ac:dyDescent="0.25">
      <c r="A209" s="1024"/>
      <c r="B209" s="1051"/>
      <c r="C209" s="44"/>
      <c r="D209" s="1521"/>
      <c r="E209" s="328" t="s">
        <v>194</v>
      </c>
      <c r="F209" s="1296"/>
      <c r="G209" s="1208"/>
      <c r="H209" s="1209"/>
      <c r="I209" s="1210"/>
      <c r="J209" s="634"/>
      <c r="K209" s="731"/>
      <c r="L209" s="261"/>
      <c r="M209" s="260"/>
      <c r="N209" s="340"/>
      <c r="O209" s="1211"/>
      <c r="P209" s="1211"/>
      <c r="Q209" s="1211"/>
      <c r="R209" s="1211"/>
      <c r="S209" s="2"/>
    </row>
    <row r="210" spans="1:21" ht="15" customHeight="1" x14ac:dyDescent="0.25">
      <c r="A210" s="1024"/>
      <c r="B210" s="1051"/>
      <c r="C210" s="44"/>
      <c r="D210" s="1521"/>
      <c r="E210" s="328" t="s">
        <v>40</v>
      </c>
      <c r="F210" s="1271"/>
      <c r="G210" s="1211"/>
      <c r="H210" s="1135"/>
      <c r="I210" s="1132"/>
      <c r="J210" s="634"/>
      <c r="K210" s="324"/>
      <c r="L210" s="261"/>
      <c r="M210" s="260"/>
      <c r="N210" s="340"/>
      <c r="O210" s="1211"/>
      <c r="P210" s="1211"/>
      <c r="Q210" s="1211"/>
      <c r="R210" s="1211"/>
      <c r="S210" s="2"/>
    </row>
    <row r="211" spans="1:21" ht="15" customHeight="1" x14ac:dyDescent="0.25">
      <c r="A211" s="1024"/>
      <c r="B211" s="1051"/>
      <c r="C211" s="44"/>
      <c r="D211" s="1481"/>
      <c r="E211" s="328" t="s">
        <v>125</v>
      </c>
      <c r="F211" s="1297"/>
      <c r="G211" s="1168"/>
      <c r="H211" s="1169"/>
      <c r="I211" s="1170"/>
      <c r="J211" s="333"/>
      <c r="K211" s="137"/>
      <c r="L211" s="174"/>
      <c r="M211" s="135"/>
      <c r="N211" s="340"/>
      <c r="O211" s="1211"/>
      <c r="P211" s="1211"/>
      <c r="Q211" s="1211"/>
      <c r="R211" s="1211"/>
      <c r="S211" s="2"/>
    </row>
    <row r="212" spans="1:21" ht="15" customHeight="1" thickBot="1" x14ac:dyDescent="0.3">
      <c r="A212" s="53"/>
      <c r="B212" s="31"/>
      <c r="C212" s="39"/>
      <c r="D212" s="370"/>
      <c r="E212" s="369"/>
      <c r="F212" s="99" t="s">
        <v>4</v>
      </c>
      <c r="G212" s="242">
        <f>+G172+G173+G174+G175+G176</f>
        <v>20438.3</v>
      </c>
      <c r="H212" s="1102">
        <f t="shared" ref="H212:I212" si="13">+H172+H173+H174+H175+H176</f>
        <v>10143.299999999999</v>
      </c>
      <c r="I212" s="1101">
        <f t="shared" si="13"/>
        <v>8579.7999999999993</v>
      </c>
      <c r="J212" s="450"/>
      <c r="K212" s="1097"/>
      <c r="L212" s="199"/>
      <c r="M212" s="129"/>
    </row>
    <row r="213" spans="1:21" ht="15" customHeight="1" thickBot="1" x14ac:dyDescent="0.3">
      <c r="A213" s="18" t="s">
        <v>3</v>
      </c>
      <c r="B213" s="33" t="s">
        <v>5</v>
      </c>
      <c r="C213" s="1504" t="s">
        <v>6</v>
      </c>
      <c r="D213" s="1505"/>
      <c r="E213" s="1505"/>
      <c r="F213" s="1506"/>
      <c r="G213" s="240">
        <f t="shared" ref="G213:I213" si="14">G212</f>
        <v>20438.3</v>
      </c>
      <c r="H213" s="17">
        <f t="shared" si="14"/>
        <v>10143.299999999999</v>
      </c>
      <c r="I213" s="506">
        <f t="shared" si="14"/>
        <v>8579.7999999999993</v>
      </c>
      <c r="J213" s="1522"/>
      <c r="K213" s="1522"/>
      <c r="L213" s="1522"/>
      <c r="M213" s="1523"/>
    </row>
    <row r="214" spans="1:21" ht="15" customHeight="1" thickBot="1" x14ac:dyDescent="0.3">
      <c r="A214" s="16" t="s">
        <v>3</v>
      </c>
      <c r="B214" s="33" t="s">
        <v>24</v>
      </c>
      <c r="C214" s="1602" t="s">
        <v>67</v>
      </c>
      <c r="D214" s="1603"/>
      <c r="E214" s="1603"/>
      <c r="F214" s="1603"/>
      <c r="G214" s="1603"/>
      <c r="H214" s="1603"/>
      <c r="I214" s="1603"/>
      <c r="J214" s="1603"/>
      <c r="K214" s="1622"/>
      <c r="L214" s="1622"/>
      <c r="M214" s="1623"/>
    </row>
    <row r="215" spans="1:21" ht="15.75" customHeight="1" x14ac:dyDescent="0.25">
      <c r="A215" s="60" t="s">
        <v>3</v>
      </c>
      <c r="B215" s="32" t="s">
        <v>24</v>
      </c>
      <c r="C215" s="40" t="s">
        <v>3</v>
      </c>
      <c r="D215" s="1737" t="s">
        <v>65</v>
      </c>
      <c r="E215" s="1116" t="s">
        <v>91</v>
      </c>
      <c r="F215" s="115" t="s">
        <v>21</v>
      </c>
      <c r="G215" s="91">
        <v>712.2</v>
      </c>
      <c r="H215" s="401">
        <v>887.5</v>
      </c>
      <c r="I215" s="1113">
        <v>910.9</v>
      </c>
      <c r="J215" s="1118"/>
      <c r="K215" s="399"/>
      <c r="L215" s="401"/>
      <c r="M215" s="152"/>
      <c r="O215" s="1175" t="s">
        <v>21</v>
      </c>
      <c r="P215" s="1176">
        <f>+G220+G222+G224+G231+G235+G239</f>
        <v>712.2</v>
      </c>
      <c r="Q215" s="1176">
        <f>+H220+H222+H224+H231+H235+H239</f>
        <v>887.5</v>
      </c>
      <c r="R215" s="1176">
        <f>+I220+I222+I224+I231+I235+I239</f>
        <v>910.9</v>
      </c>
    </row>
    <row r="216" spans="1:21" ht="15.75" customHeight="1" x14ac:dyDescent="0.25">
      <c r="A216" s="1024"/>
      <c r="B216" s="1051"/>
      <c r="C216" s="1026"/>
      <c r="D216" s="1738"/>
      <c r="E216" s="1117"/>
      <c r="F216" s="115" t="s">
        <v>53</v>
      </c>
      <c r="G216" s="558">
        <v>1010.2</v>
      </c>
      <c r="H216" s="167">
        <v>1011</v>
      </c>
      <c r="I216" s="282">
        <v>1031</v>
      </c>
      <c r="J216" s="1021"/>
      <c r="K216" s="983"/>
      <c r="L216" s="1049"/>
      <c r="M216" s="1050"/>
      <c r="O216" s="1175" t="s">
        <v>53</v>
      </c>
      <c r="P216" s="1176">
        <f>+G230+G233+G237+G243+G244</f>
        <v>1010.2</v>
      </c>
      <c r="Q216" s="1176">
        <f t="shared" ref="Q216:R216" si="15">+H230+H233+H237+H243+H244</f>
        <v>1011</v>
      </c>
      <c r="R216" s="1176">
        <f t="shared" si="15"/>
        <v>1031</v>
      </c>
    </row>
    <row r="217" spans="1:21" ht="15.75" customHeight="1" x14ac:dyDescent="0.25">
      <c r="A217" s="1024"/>
      <c r="B217" s="1051"/>
      <c r="C217" s="1026"/>
      <c r="D217" s="1103"/>
      <c r="E217" s="1045"/>
      <c r="F217" s="14" t="s">
        <v>62</v>
      </c>
      <c r="G217" s="558">
        <v>584.79999999999995</v>
      </c>
      <c r="H217" s="167">
        <v>400</v>
      </c>
      <c r="I217" s="1050">
        <v>200</v>
      </c>
      <c r="J217" s="1021"/>
      <c r="K217" s="983"/>
      <c r="L217" s="1049"/>
      <c r="M217" s="13"/>
      <c r="O217" s="1175" t="s">
        <v>62</v>
      </c>
      <c r="P217" s="1176">
        <f>+G221+G226+G227+G228+G229</f>
        <v>584.79999999999995</v>
      </c>
      <c r="Q217" s="1176">
        <f t="shared" ref="Q217:R217" si="16">+H221+H226+H227+H228+H229</f>
        <v>400</v>
      </c>
      <c r="R217" s="1176">
        <f t="shared" si="16"/>
        <v>200</v>
      </c>
    </row>
    <row r="218" spans="1:21" ht="15.75" customHeight="1" x14ac:dyDescent="0.25">
      <c r="A218" s="1024"/>
      <c r="B218" s="1051"/>
      <c r="C218" s="1026"/>
      <c r="D218" s="1103"/>
      <c r="E218" s="1045"/>
      <c r="F218" s="115" t="s">
        <v>46</v>
      </c>
      <c r="G218" s="558">
        <v>20.5</v>
      </c>
      <c r="H218" s="167"/>
      <c r="I218" s="281"/>
      <c r="J218" s="1021"/>
      <c r="K218" s="983"/>
      <c r="L218" s="1049"/>
      <c r="M218" s="13"/>
      <c r="O218" s="1175" t="s">
        <v>46</v>
      </c>
      <c r="P218" s="1176">
        <f>+G223</f>
        <v>20.5</v>
      </c>
      <c r="Q218" s="1176">
        <f t="shared" ref="Q218:R218" si="17">+H223</f>
        <v>0</v>
      </c>
      <c r="R218" s="1176">
        <f t="shared" si="17"/>
        <v>0</v>
      </c>
    </row>
    <row r="219" spans="1:21" ht="15.75" customHeight="1" x14ac:dyDescent="0.25">
      <c r="A219" s="1024"/>
      <c r="B219" s="1051"/>
      <c r="C219" s="1026"/>
      <c r="D219" s="1103"/>
      <c r="E219" s="1115"/>
      <c r="F219" s="132" t="s">
        <v>55</v>
      </c>
      <c r="G219" s="291">
        <v>95.8</v>
      </c>
      <c r="H219" s="197"/>
      <c r="I219" s="293"/>
      <c r="J219" s="1021"/>
      <c r="K219" s="983"/>
      <c r="L219" s="1049"/>
      <c r="M219" s="13"/>
      <c r="O219" s="1175" t="s">
        <v>55</v>
      </c>
      <c r="P219" s="1176">
        <f>+G225+G238</f>
        <v>95.8</v>
      </c>
      <c r="Q219" s="1176">
        <f t="shared" ref="Q219:R219" si="18">+H225+H238</f>
        <v>0</v>
      </c>
      <c r="R219" s="1176">
        <f t="shared" si="18"/>
        <v>0</v>
      </c>
    </row>
    <row r="220" spans="1:21" ht="15" customHeight="1" x14ac:dyDescent="0.25">
      <c r="A220" s="1024"/>
      <c r="B220" s="1051"/>
      <c r="C220" s="1026"/>
      <c r="D220" s="1480" t="s">
        <v>63</v>
      </c>
      <c r="E220" s="1028" t="s">
        <v>194</v>
      </c>
      <c r="F220" s="1141" t="s">
        <v>333</v>
      </c>
      <c r="G220" s="1161">
        <v>55.1</v>
      </c>
      <c r="H220" s="1162">
        <v>60</v>
      </c>
      <c r="I220" s="1163">
        <v>60</v>
      </c>
      <c r="J220" s="1470" t="s">
        <v>68</v>
      </c>
      <c r="K220" s="1046">
        <v>16.3</v>
      </c>
      <c r="L220" s="1048">
        <v>16.5</v>
      </c>
      <c r="M220" s="180">
        <v>16.5</v>
      </c>
      <c r="P220" s="1176">
        <f>SUM(P215:P219)</f>
        <v>2423.5</v>
      </c>
      <c r="Q220" s="1176">
        <f t="shared" ref="Q220:R220" si="19">SUM(Q215:Q219)</f>
        <v>2298.5</v>
      </c>
      <c r="R220" s="1176">
        <f t="shared" si="19"/>
        <v>2141.9</v>
      </c>
    </row>
    <row r="221" spans="1:21" ht="15" customHeight="1" x14ac:dyDescent="0.25">
      <c r="A221" s="1024"/>
      <c r="B221" s="1051"/>
      <c r="C221" s="1026"/>
      <c r="D221" s="1521"/>
      <c r="E221" s="1061" t="s">
        <v>125</v>
      </c>
      <c r="F221" s="1171" t="s">
        <v>332</v>
      </c>
      <c r="G221" s="1189">
        <v>100</v>
      </c>
      <c r="H221" s="1152">
        <v>100</v>
      </c>
      <c r="I221" s="1179">
        <v>100</v>
      </c>
      <c r="J221" s="1510"/>
      <c r="K221" s="983"/>
      <c r="L221" s="1049"/>
      <c r="M221" s="292"/>
      <c r="P221" s="1176">
        <f>+P220-G246</f>
        <v>0</v>
      </c>
      <c r="Q221" s="1176">
        <f t="shared" ref="Q221:R221" si="20">+Q220-H246</f>
        <v>0</v>
      </c>
      <c r="R221" s="1176">
        <f t="shared" si="20"/>
        <v>0</v>
      </c>
      <c r="S221" s="12"/>
    </row>
    <row r="222" spans="1:21" ht="14.9" customHeight="1" x14ac:dyDescent="0.25">
      <c r="A222" s="1024"/>
      <c r="B222" s="1051"/>
      <c r="C222" s="1026"/>
      <c r="D222" s="1014"/>
      <c r="E222" s="106"/>
      <c r="F222" s="1151" t="s">
        <v>333</v>
      </c>
      <c r="G222" s="1134">
        <f>520.5-20.5-100</f>
        <v>400</v>
      </c>
      <c r="H222" s="1131">
        <f>595-100</f>
        <v>495</v>
      </c>
      <c r="I222" s="1190">
        <f>595-100</f>
        <v>495</v>
      </c>
      <c r="J222" s="1605" t="s">
        <v>32</v>
      </c>
      <c r="K222" s="188">
        <v>95</v>
      </c>
      <c r="L222" s="191">
        <v>102</v>
      </c>
      <c r="M222" s="297">
        <v>102</v>
      </c>
      <c r="T222" s="687"/>
      <c r="U222" s="687"/>
    </row>
    <row r="223" spans="1:21" ht="14.9" customHeight="1" x14ac:dyDescent="0.25">
      <c r="A223" s="1024"/>
      <c r="B223" s="1051"/>
      <c r="C223" s="1026"/>
      <c r="D223" s="1014"/>
      <c r="E223" s="106"/>
      <c r="F223" s="1151" t="s">
        <v>330</v>
      </c>
      <c r="G223" s="1134">
        <v>20.5</v>
      </c>
      <c r="H223" s="1164"/>
      <c r="I223" s="1136"/>
      <c r="J223" s="1471"/>
      <c r="K223" s="674"/>
      <c r="L223" s="269"/>
      <c r="M223" s="297"/>
      <c r="T223" s="687"/>
      <c r="U223" s="687"/>
    </row>
    <row r="224" spans="1:21" ht="27" customHeight="1" x14ac:dyDescent="0.25">
      <c r="A224" s="1024"/>
      <c r="B224" s="1051"/>
      <c r="C224" s="1026"/>
      <c r="D224" s="1010"/>
      <c r="E224" s="106"/>
      <c r="F224" s="1151" t="s">
        <v>333</v>
      </c>
      <c r="G224" s="1178">
        <v>48</v>
      </c>
      <c r="H224" s="1164">
        <v>72</v>
      </c>
      <c r="I224" s="1175">
        <v>96</v>
      </c>
      <c r="J224" s="699" t="s">
        <v>271</v>
      </c>
      <c r="K224" s="731">
        <v>20</v>
      </c>
      <c r="L224" s="1089">
        <v>30</v>
      </c>
      <c r="M224" s="1090">
        <v>40</v>
      </c>
      <c r="T224" s="687"/>
      <c r="U224" s="687"/>
    </row>
    <row r="225" spans="1:13" ht="27" customHeight="1" x14ac:dyDescent="0.25">
      <c r="A225" s="1024"/>
      <c r="B225" s="1051"/>
      <c r="C225" s="1026"/>
      <c r="D225" s="1010"/>
      <c r="E225" s="106"/>
      <c r="F225" s="1151" t="s">
        <v>336</v>
      </c>
      <c r="G225" s="1134">
        <v>30</v>
      </c>
      <c r="H225" s="1164"/>
      <c r="I225" s="1165"/>
      <c r="J225" s="226" t="s">
        <v>315</v>
      </c>
      <c r="K225" s="257">
        <v>100</v>
      </c>
      <c r="L225" s="191"/>
      <c r="M225" s="81"/>
    </row>
    <row r="226" spans="1:13" ht="30" customHeight="1" x14ac:dyDescent="0.25">
      <c r="A226" s="1024"/>
      <c r="B226" s="1051"/>
      <c r="C226" s="1026"/>
      <c r="D226" s="1010"/>
      <c r="E226" s="72"/>
      <c r="F226" s="1151" t="s">
        <v>332</v>
      </c>
      <c r="G226" s="1134">
        <v>15</v>
      </c>
      <c r="H226" s="1164"/>
      <c r="I226" s="1165"/>
      <c r="J226" s="354" t="s">
        <v>239</v>
      </c>
      <c r="K226" s="188">
        <v>1</v>
      </c>
      <c r="L226" s="191"/>
      <c r="M226" s="81"/>
    </row>
    <row r="227" spans="1:13" ht="29.25" customHeight="1" x14ac:dyDescent="0.25">
      <c r="A227" s="1024"/>
      <c r="B227" s="1051"/>
      <c r="C227" s="1026"/>
      <c r="D227" s="1010"/>
      <c r="E227" s="72"/>
      <c r="F227" s="1151" t="s">
        <v>332</v>
      </c>
      <c r="G227" s="1179"/>
      <c r="H227" s="1164">
        <v>200</v>
      </c>
      <c r="I227" s="1165"/>
      <c r="J227" s="226" t="s">
        <v>240</v>
      </c>
      <c r="K227" s="188"/>
      <c r="L227" s="191">
        <v>100</v>
      </c>
      <c r="M227" s="81"/>
    </row>
    <row r="228" spans="1:13" ht="15" customHeight="1" x14ac:dyDescent="0.25">
      <c r="A228" s="1024"/>
      <c r="B228" s="1051"/>
      <c r="C228" s="1026"/>
      <c r="D228" s="1010"/>
      <c r="E228" s="72"/>
      <c r="F228" s="1171" t="s">
        <v>332</v>
      </c>
      <c r="G228" s="1138">
        <v>369.8</v>
      </c>
      <c r="H228" s="1164"/>
      <c r="I228" s="1136"/>
      <c r="J228" s="226" t="s">
        <v>107</v>
      </c>
      <c r="K228" s="170">
        <v>7</v>
      </c>
      <c r="L228" s="419"/>
      <c r="M228" s="143"/>
    </row>
    <row r="229" spans="1:13" ht="15" customHeight="1" x14ac:dyDescent="0.25">
      <c r="A229" s="1024"/>
      <c r="B229" s="1051"/>
      <c r="C229" s="1026"/>
      <c r="D229" s="1010"/>
      <c r="E229" s="72"/>
      <c r="F229" s="1151" t="s">
        <v>332</v>
      </c>
      <c r="G229" s="1134">
        <v>100</v>
      </c>
      <c r="H229" s="1131">
        <v>100</v>
      </c>
      <c r="I229" s="1180">
        <v>100</v>
      </c>
      <c r="J229" s="1471" t="s">
        <v>296</v>
      </c>
      <c r="K229" s="840">
        <v>9</v>
      </c>
      <c r="L229" s="841">
        <v>9</v>
      </c>
      <c r="M229" s="842">
        <v>9</v>
      </c>
    </row>
    <row r="230" spans="1:13" ht="15" customHeight="1" x14ac:dyDescent="0.25">
      <c r="A230" s="1024"/>
      <c r="B230" s="1051"/>
      <c r="C230" s="1026"/>
      <c r="D230" s="1010"/>
      <c r="E230" s="72"/>
      <c r="F230" s="1151" t="s">
        <v>328</v>
      </c>
      <c r="G230" s="1166">
        <v>18.5</v>
      </c>
      <c r="H230" s="1131">
        <v>20</v>
      </c>
      <c r="I230" s="1136">
        <v>20</v>
      </c>
      <c r="J230" s="1471"/>
      <c r="K230" s="169"/>
      <c r="L230" s="198"/>
      <c r="M230" s="871"/>
    </row>
    <row r="231" spans="1:13" ht="15" customHeight="1" x14ac:dyDescent="0.25">
      <c r="A231" s="1024"/>
      <c r="B231" s="1051"/>
      <c r="C231" s="1026"/>
      <c r="D231" s="1010"/>
      <c r="E231" s="72"/>
      <c r="F231" s="1171" t="s">
        <v>333</v>
      </c>
      <c r="G231" s="1138">
        <f>4.1</f>
        <v>4.0999999999999996</v>
      </c>
      <c r="H231" s="1166">
        <v>4.5</v>
      </c>
      <c r="I231" s="1179">
        <v>5.5</v>
      </c>
      <c r="J231" s="1605" t="s">
        <v>203</v>
      </c>
      <c r="K231" s="188">
        <v>4</v>
      </c>
      <c r="L231" s="175">
        <v>4</v>
      </c>
      <c r="M231" s="148">
        <v>5</v>
      </c>
    </row>
    <row r="232" spans="1:13" ht="27.75" customHeight="1" x14ac:dyDescent="0.25">
      <c r="A232" s="1024"/>
      <c r="B232" s="1051"/>
      <c r="C232" s="1026"/>
      <c r="D232" s="1010"/>
      <c r="E232" s="72"/>
      <c r="F232" s="1167"/>
      <c r="G232" s="1181"/>
      <c r="H232" s="1181"/>
      <c r="I232" s="1182"/>
      <c r="J232" s="1472"/>
      <c r="K232" s="172"/>
      <c r="L232" s="179"/>
      <c r="M232" s="67"/>
    </row>
    <row r="233" spans="1:13" ht="16.5" customHeight="1" x14ac:dyDescent="0.25">
      <c r="A233" s="1024"/>
      <c r="B233" s="1051"/>
      <c r="C233" s="1026"/>
      <c r="D233" s="1658" t="s">
        <v>69</v>
      </c>
      <c r="E233" s="1027" t="s">
        <v>194</v>
      </c>
      <c r="F233" s="1145" t="s">
        <v>328</v>
      </c>
      <c r="G233" s="1172">
        <v>8</v>
      </c>
      <c r="H233" s="1173">
        <v>8</v>
      </c>
      <c r="I233" s="1132">
        <v>8</v>
      </c>
      <c r="J233" s="1551" t="s">
        <v>144</v>
      </c>
      <c r="K233" s="171">
        <v>14</v>
      </c>
      <c r="L233" s="178">
        <v>14</v>
      </c>
      <c r="M233" s="65">
        <v>14</v>
      </c>
    </row>
    <row r="234" spans="1:13" ht="16.5" customHeight="1" x14ac:dyDescent="0.25">
      <c r="A234" s="1019"/>
      <c r="B234" s="1051"/>
      <c r="C234" s="44"/>
      <c r="D234" s="1487"/>
      <c r="E234" s="1034" t="s">
        <v>220</v>
      </c>
      <c r="F234" s="1167"/>
      <c r="G234" s="1168"/>
      <c r="H234" s="1169"/>
      <c r="I234" s="1170"/>
      <c r="J234" s="1477"/>
      <c r="K234" s="169"/>
      <c r="L234" s="175"/>
      <c r="M234" s="66"/>
    </row>
    <row r="235" spans="1:13" ht="17.149999999999999" customHeight="1" x14ac:dyDescent="0.25">
      <c r="A235" s="1019"/>
      <c r="B235" s="1051"/>
      <c r="C235" s="42"/>
      <c r="D235" s="1480" t="s">
        <v>77</v>
      </c>
      <c r="E235" s="1028" t="s">
        <v>194</v>
      </c>
      <c r="F235" s="1171" t="s">
        <v>333</v>
      </c>
      <c r="G235" s="1166">
        <v>45.7</v>
      </c>
      <c r="H235" s="1135">
        <v>50</v>
      </c>
      <c r="I235" s="1179">
        <v>55</v>
      </c>
      <c r="J235" s="351" t="s">
        <v>145</v>
      </c>
      <c r="K235" s="1068">
        <v>6</v>
      </c>
      <c r="L235" s="183">
        <v>6</v>
      </c>
      <c r="M235" s="140">
        <v>6</v>
      </c>
    </row>
    <row r="236" spans="1:13" ht="17.149999999999999" customHeight="1" x14ac:dyDescent="0.25">
      <c r="A236" s="1019"/>
      <c r="B236" s="1051"/>
      <c r="C236" s="42"/>
      <c r="D236" s="1481"/>
      <c r="E236" s="1034" t="s">
        <v>220</v>
      </c>
      <c r="F236" s="1171"/>
      <c r="G236" s="1166"/>
      <c r="H236" s="1135"/>
      <c r="I236" s="1179"/>
      <c r="J236" s="352"/>
      <c r="K236" s="186"/>
      <c r="L236" s="400"/>
      <c r="M236" s="139"/>
    </row>
    <row r="237" spans="1:13" ht="15" customHeight="1" x14ac:dyDescent="0.25">
      <c r="A237" s="1024"/>
      <c r="B237" s="1051"/>
      <c r="C237" s="1026"/>
      <c r="D237" s="1493" t="s">
        <v>64</v>
      </c>
      <c r="E237" s="1027" t="s">
        <v>194</v>
      </c>
      <c r="F237" s="1145" t="s">
        <v>328</v>
      </c>
      <c r="G237" s="1183">
        <v>938.9</v>
      </c>
      <c r="H237" s="1184">
        <v>960</v>
      </c>
      <c r="I237" s="1185">
        <v>980</v>
      </c>
      <c r="J237" s="351" t="s">
        <v>73</v>
      </c>
      <c r="K237" s="1068">
        <v>173</v>
      </c>
      <c r="L237" s="183">
        <v>173</v>
      </c>
      <c r="M237" s="140">
        <v>173</v>
      </c>
    </row>
    <row r="238" spans="1:13" ht="15" customHeight="1" x14ac:dyDescent="0.25">
      <c r="A238" s="1019"/>
      <c r="B238" s="1051"/>
      <c r="C238" s="44"/>
      <c r="D238" s="1552"/>
      <c r="E238" s="1034" t="s">
        <v>125</v>
      </c>
      <c r="F238" s="1186" t="s">
        <v>336</v>
      </c>
      <c r="G238" s="1166">
        <v>65.8</v>
      </c>
      <c r="H238" s="1187"/>
      <c r="I238" s="1179"/>
      <c r="J238" s="353"/>
      <c r="K238" s="398"/>
      <c r="L238" s="262"/>
      <c r="M238" s="397"/>
    </row>
    <row r="239" spans="1:13" ht="15.75" customHeight="1" x14ac:dyDescent="0.25">
      <c r="A239" s="1473"/>
      <c r="B239" s="1462"/>
      <c r="C239" s="1489"/>
      <c r="D239" s="1482" t="s">
        <v>231</v>
      </c>
      <c r="E239" s="329" t="s">
        <v>91</v>
      </c>
      <c r="F239" s="1171" t="s">
        <v>333</v>
      </c>
      <c r="G239" s="1172">
        <v>159.30000000000001</v>
      </c>
      <c r="H239" s="1135">
        <v>206</v>
      </c>
      <c r="I239" s="1174">
        <v>199.4</v>
      </c>
      <c r="J239" s="228" t="s">
        <v>52</v>
      </c>
      <c r="K239" s="996">
        <v>18</v>
      </c>
      <c r="L239" s="183">
        <v>18</v>
      </c>
      <c r="M239" s="140"/>
    </row>
    <row r="240" spans="1:13" ht="15.75" customHeight="1" x14ac:dyDescent="0.25">
      <c r="A240" s="1473"/>
      <c r="B240" s="1462"/>
      <c r="C240" s="1489"/>
      <c r="D240" s="1483"/>
      <c r="E240" s="1028" t="s">
        <v>160</v>
      </c>
      <c r="F240" s="1171"/>
      <c r="G240" s="1130"/>
      <c r="H240" s="1135"/>
      <c r="I240" s="1132"/>
      <c r="J240" s="238" t="s">
        <v>57</v>
      </c>
      <c r="K240" s="257">
        <v>7</v>
      </c>
      <c r="L240" s="191">
        <v>7</v>
      </c>
      <c r="M240" s="148">
        <v>7</v>
      </c>
    </row>
    <row r="241" spans="1:18" ht="15.75" customHeight="1" x14ac:dyDescent="0.25">
      <c r="A241" s="1473"/>
      <c r="B241" s="1462"/>
      <c r="C241" s="1489"/>
      <c r="D241" s="1483"/>
      <c r="E241" s="93" t="s">
        <v>125</v>
      </c>
      <c r="F241" s="1746"/>
      <c r="G241" s="1130"/>
      <c r="H241" s="1135"/>
      <c r="I241" s="1132"/>
      <c r="J241" s="1630"/>
      <c r="K241" s="169"/>
      <c r="L241" s="175"/>
      <c r="M241" s="66"/>
    </row>
    <row r="242" spans="1:18" ht="15.75" customHeight="1" x14ac:dyDescent="0.25">
      <c r="A242" s="1473"/>
      <c r="B242" s="1462"/>
      <c r="C242" s="1489"/>
      <c r="D242" s="1515"/>
      <c r="E242" s="1028" t="s">
        <v>194</v>
      </c>
      <c r="F242" s="1747"/>
      <c r="G242" s="1168"/>
      <c r="H242" s="1169"/>
      <c r="I242" s="1170"/>
      <c r="J242" s="1477"/>
      <c r="K242" s="136"/>
      <c r="L242" s="101"/>
      <c r="M242" s="133"/>
    </row>
    <row r="243" spans="1:18" ht="27.65" customHeight="1" x14ac:dyDescent="0.25">
      <c r="A243" s="1019"/>
      <c r="B243" s="1051"/>
      <c r="C243" s="41"/>
      <c r="D243" s="96" t="s">
        <v>147</v>
      </c>
      <c r="E243" s="327" t="s">
        <v>194</v>
      </c>
      <c r="F243" s="1188" t="s">
        <v>328</v>
      </c>
      <c r="G243" s="1166">
        <v>21.8</v>
      </c>
      <c r="H243" s="1135"/>
      <c r="I243" s="1179"/>
      <c r="J243" s="856" t="s">
        <v>148</v>
      </c>
      <c r="K243" s="1069">
        <v>6</v>
      </c>
      <c r="L243" s="607"/>
      <c r="M243" s="608"/>
    </row>
    <row r="244" spans="1:18" x14ac:dyDescent="0.25">
      <c r="A244" s="1019"/>
      <c r="B244" s="1023"/>
      <c r="C244" s="131"/>
      <c r="D244" s="1480" t="s">
        <v>190</v>
      </c>
      <c r="E244" s="1027" t="s">
        <v>194</v>
      </c>
      <c r="F244" s="1171" t="s">
        <v>328</v>
      </c>
      <c r="G244" s="1172">
        <v>23</v>
      </c>
      <c r="H244" s="1173">
        <v>23</v>
      </c>
      <c r="I244" s="1174">
        <v>23</v>
      </c>
      <c r="J244" s="228" t="s">
        <v>259</v>
      </c>
      <c r="K244" s="614">
        <v>1</v>
      </c>
      <c r="L244" s="615">
        <v>1</v>
      </c>
      <c r="M244" s="1092">
        <v>1</v>
      </c>
    </row>
    <row r="245" spans="1:18" ht="30" customHeight="1" x14ac:dyDescent="0.25">
      <c r="A245" s="1019"/>
      <c r="B245" s="1023"/>
      <c r="C245" s="131"/>
      <c r="D245" s="1481"/>
      <c r="E245" s="1034"/>
      <c r="F245" s="1167"/>
      <c r="G245" s="1166"/>
      <c r="H245" s="1169"/>
      <c r="I245" s="1170"/>
      <c r="J245" s="116"/>
      <c r="L245" s="288"/>
      <c r="M245" s="771"/>
      <c r="N245" s="340"/>
    </row>
    <row r="246" spans="1:18" ht="18" customHeight="1" thickBot="1" x14ac:dyDescent="0.3">
      <c r="A246" s="15"/>
      <c r="B246" s="54"/>
      <c r="C246" s="43"/>
      <c r="D246" s="124"/>
      <c r="E246" s="125"/>
      <c r="F246" s="24" t="s">
        <v>4</v>
      </c>
      <c r="G246" s="1100">
        <f>+G215+G216+G217+G218+G219</f>
        <v>2423.5</v>
      </c>
      <c r="H246" s="90">
        <f>+H215+H216+H217+H218+H219</f>
        <v>2298.5</v>
      </c>
      <c r="I246" s="1114">
        <f>+I215+I216+I217+I218+I219</f>
        <v>2141.9</v>
      </c>
      <c r="J246" s="356"/>
      <c r="K246" s="209"/>
      <c r="L246" s="211"/>
      <c r="M246" s="151"/>
    </row>
    <row r="247" spans="1:18" ht="15.65" customHeight="1" x14ac:dyDescent="0.25">
      <c r="A247" s="64" t="s">
        <v>3</v>
      </c>
      <c r="B247" s="59" t="s">
        <v>24</v>
      </c>
      <c r="C247" s="47" t="s">
        <v>5</v>
      </c>
      <c r="D247" s="120" t="s">
        <v>115</v>
      </c>
      <c r="E247" s="121"/>
      <c r="F247" s="1124" t="s">
        <v>21</v>
      </c>
      <c r="G247" s="1125">
        <v>100.7</v>
      </c>
      <c r="H247" s="1112">
        <v>20</v>
      </c>
      <c r="I247" s="1113">
        <v>122</v>
      </c>
      <c r="J247" s="1122"/>
      <c r="K247" s="399"/>
      <c r="L247" s="401"/>
      <c r="M247" s="152"/>
      <c r="O247" s="1175" t="s">
        <v>21</v>
      </c>
      <c r="P247" s="1176">
        <f>+G262+G266+G270</f>
        <v>100.7</v>
      </c>
      <c r="Q247" s="1176">
        <f t="shared" ref="Q247" si="21">+H262+H266+H270</f>
        <v>20</v>
      </c>
      <c r="R247" s="1176">
        <f>+I262+I266+I270</f>
        <v>122</v>
      </c>
    </row>
    <row r="248" spans="1:18" ht="15.65" customHeight="1" x14ac:dyDescent="0.25">
      <c r="A248" s="1039"/>
      <c r="B248" s="1030"/>
      <c r="C248" s="1029"/>
      <c r="D248" s="1119"/>
      <c r="E248" s="1120"/>
      <c r="F248" s="1035" t="s">
        <v>53</v>
      </c>
      <c r="G248" s="1047">
        <v>744.6</v>
      </c>
      <c r="H248" s="167">
        <v>1023.2</v>
      </c>
      <c r="I248" s="384">
        <v>1276.0999999999999</v>
      </c>
      <c r="J248" s="1123"/>
      <c r="K248" s="983"/>
      <c r="L248" s="1049"/>
      <c r="M248" s="13"/>
      <c r="O248" s="1155" t="s">
        <v>53</v>
      </c>
      <c r="P248" s="1177">
        <f>+G254+G257+G260+G265</f>
        <v>744.6</v>
      </c>
      <c r="Q248" s="1177">
        <f t="shared" ref="Q248:R248" si="22">+H254+H257+H260+H265</f>
        <v>1023.2</v>
      </c>
      <c r="R248" s="1177">
        <f t="shared" si="22"/>
        <v>1276.0999999999999</v>
      </c>
    </row>
    <row r="249" spans="1:18" ht="15.65" customHeight="1" x14ac:dyDescent="0.25">
      <c r="A249" s="1039"/>
      <c r="B249" s="1030"/>
      <c r="C249" s="1029"/>
      <c r="D249" s="1119"/>
      <c r="E249" s="1120"/>
      <c r="F249" s="1038" t="s">
        <v>46</v>
      </c>
      <c r="G249" s="91">
        <v>161.4</v>
      </c>
      <c r="H249" s="1049"/>
      <c r="I249" s="282"/>
      <c r="J249" s="1121"/>
      <c r="K249" s="983"/>
      <c r="L249" s="1049"/>
      <c r="M249" s="13"/>
      <c r="O249" s="1175" t="s">
        <v>46</v>
      </c>
      <c r="P249" s="1176">
        <f>+G255+G263</f>
        <v>161.4</v>
      </c>
      <c r="Q249" s="1176">
        <f t="shared" ref="Q249:R249" si="23">+H255+H263</f>
        <v>0</v>
      </c>
      <c r="R249" s="1176">
        <f t="shared" si="23"/>
        <v>0</v>
      </c>
    </row>
    <row r="250" spans="1:18" ht="15.65" customHeight="1" x14ac:dyDescent="0.25">
      <c r="A250" s="1039"/>
      <c r="B250" s="1030"/>
      <c r="C250" s="1029"/>
      <c r="D250" s="1119"/>
      <c r="E250" s="1120"/>
      <c r="F250" s="1327" t="s">
        <v>55</v>
      </c>
      <c r="G250" s="558">
        <v>99.3</v>
      </c>
      <c r="H250" s="88"/>
      <c r="I250" s="384"/>
      <c r="J250" s="1121"/>
      <c r="K250" s="983"/>
      <c r="L250" s="1049"/>
      <c r="M250" s="13"/>
      <c r="O250" s="1175" t="s">
        <v>55</v>
      </c>
      <c r="P250" s="1176">
        <f>+G253+G259+G264</f>
        <v>99.3</v>
      </c>
      <c r="Q250" s="1176">
        <f t="shared" ref="Q250:R250" si="24">+H253+H259+H264</f>
        <v>0</v>
      </c>
      <c r="R250" s="1176">
        <f t="shared" si="24"/>
        <v>0</v>
      </c>
    </row>
    <row r="251" spans="1:18" ht="15.65" customHeight="1" x14ac:dyDescent="0.25">
      <c r="A251" s="1039"/>
      <c r="B251" s="1030"/>
      <c r="C251" s="1029"/>
      <c r="D251" s="1119"/>
      <c r="E251" s="1120"/>
      <c r="F251" s="14"/>
      <c r="G251" s="559"/>
      <c r="H251" s="168"/>
      <c r="I251" s="146"/>
      <c r="J251" s="1121"/>
      <c r="K251" s="983"/>
      <c r="L251" s="1049"/>
      <c r="M251" s="13"/>
      <c r="O251" s="1175" t="s">
        <v>37</v>
      </c>
      <c r="P251" s="1176">
        <f>+G267</f>
        <v>0</v>
      </c>
      <c r="Q251" s="1176">
        <f t="shared" ref="Q251:R251" si="25">+H267</f>
        <v>0</v>
      </c>
      <c r="R251" s="1176">
        <f t="shared" si="25"/>
        <v>0</v>
      </c>
    </row>
    <row r="252" spans="1:18" ht="15.65" customHeight="1" x14ac:dyDescent="0.25">
      <c r="A252" s="1039"/>
      <c r="B252" s="1030"/>
      <c r="C252" s="1029"/>
      <c r="D252" s="103" t="s">
        <v>152</v>
      </c>
      <c r="E252" s="92" t="s">
        <v>113</v>
      </c>
      <c r="F252" s="58"/>
      <c r="G252" s="414"/>
      <c r="H252" s="415"/>
      <c r="I252" s="416"/>
      <c r="J252" s="1091"/>
      <c r="K252" s="216"/>
      <c r="L252" s="219"/>
      <c r="M252" s="1127"/>
      <c r="P252" s="1176">
        <f>SUM(P247:P251)</f>
        <v>1106</v>
      </c>
      <c r="Q252" s="1176">
        <f t="shared" ref="Q252:R252" si="26">SUM(Q247:Q251)</f>
        <v>1043.2</v>
      </c>
      <c r="R252" s="1176">
        <f t="shared" si="26"/>
        <v>1398.1</v>
      </c>
    </row>
    <row r="253" spans="1:18" ht="15" customHeight="1" x14ac:dyDescent="0.25">
      <c r="A253" s="1039"/>
      <c r="B253" s="1030"/>
      <c r="C253" s="1029"/>
      <c r="D253" s="1497" t="s">
        <v>155</v>
      </c>
      <c r="E253" s="93" t="s">
        <v>40</v>
      </c>
      <c r="F253" s="1129" t="s">
        <v>336</v>
      </c>
      <c r="G253" s="1130">
        <v>11</v>
      </c>
      <c r="H253" s="1131"/>
      <c r="I253" s="1132"/>
      <c r="J253" s="1057" t="s">
        <v>156</v>
      </c>
      <c r="K253" s="171">
        <v>12</v>
      </c>
      <c r="L253" s="178">
        <v>12</v>
      </c>
      <c r="M253" s="66">
        <v>12</v>
      </c>
      <c r="P253" s="1176">
        <f>+P252-G273</f>
        <v>0</v>
      </c>
      <c r="Q253" s="1176">
        <f t="shared" ref="Q253:R253" si="27">+Q252-H273</f>
        <v>0</v>
      </c>
      <c r="R253" s="1176">
        <f t="shared" si="27"/>
        <v>0</v>
      </c>
    </row>
    <row r="254" spans="1:18" ht="22.25" customHeight="1" x14ac:dyDescent="0.25">
      <c r="A254" s="1039"/>
      <c r="B254" s="1030"/>
      <c r="C254" s="1029"/>
      <c r="D254" s="1498"/>
      <c r="E254" s="1028" t="s">
        <v>125</v>
      </c>
      <c r="F254" s="1133" t="s">
        <v>328</v>
      </c>
      <c r="G254" s="1134">
        <f>133.1+-G253</f>
        <v>122.1</v>
      </c>
      <c r="H254" s="1135">
        <v>133.1</v>
      </c>
      <c r="I254" s="1136">
        <v>133.1</v>
      </c>
      <c r="J254" s="1126"/>
      <c r="K254" s="674"/>
      <c r="L254" s="198"/>
      <c r="M254" s="679"/>
    </row>
    <row r="255" spans="1:18" ht="14.25" customHeight="1" x14ac:dyDescent="0.25">
      <c r="A255" s="1039"/>
      <c r="B255" s="1030"/>
      <c r="C255" s="1029"/>
      <c r="D255" s="1654" t="s">
        <v>358</v>
      </c>
      <c r="E255" s="321" t="s">
        <v>194</v>
      </c>
      <c r="F255" s="1137" t="s">
        <v>330</v>
      </c>
      <c r="G255" s="1138">
        <v>150</v>
      </c>
      <c r="H255" s="1139"/>
      <c r="I255" s="1140"/>
      <c r="J255" s="1513" t="s">
        <v>214</v>
      </c>
      <c r="K255" s="188">
        <v>100</v>
      </c>
      <c r="L255" s="191"/>
      <c r="M255" s="81"/>
    </row>
    <row r="256" spans="1:18" ht="14.25" customHeight="1" x14ac:dyDescent="0.25">
      <c r="A256" s="1039"/>
      <c r="B256" s="1030"/>
      <c r="C256" s="1029"/>
      <c r="D256" s="1655"/>
      <c r="E256" s="93"/>
      <c r="F256" s="1141"/>
      <c r="G256" s="1142"/>
      <c r="H256" s="1143"/>
      <c r="I256" s="1144"/>
      <c r="J256" s="1514"/>
      <c r="K256" s="169"/>
      <c r="L256" s="175"/>
      <c r="M256" s="66"/>
    </row>
    <row r="257" spans="1:21" ht="15" customHeight="1" x14ac:dyDescent="0.25">
      <c r="A257" s="1473"/>
      <c r="B257" s="1462"/>
      <c r="C257" s="1489"/>
      <c r="D257" s="1493" t="s">
        <v>88</v>
      </c>
      <c r="E257" s="1027" t="s">
        <v>125</v>
      </c>
      <c r="F257" s="1145" t="s">
        <v>328</v>
      </c>
      <c r="G257" s="1146">
        <v>350</v>
      </c>
      <c r="H257" s="1147">
        <v>432.4</v>
      </c>
      <c r="I257" s="1148">
        <v>852.1</v>
      </c>
      <c r="J257" s="1470" t="s">
        <v>90</v>
      </c>
      <c r="K257" s="171">
        <v>16</v>
      </c>
      <c r="L257" s="590">
        <v>31</v>
      </c>
      <c r="M257" s="1093">
        <v>70</v>
      </c>
      <c r="T257" s="687"/>
      <c r="U257" s="687"/>
    </row>
    <row r="258" spans="1:21" ht="15" customHeight="1" x14ac:dyDescent="0.25">
      <c r="A258" s="1473"/>
      <c r="B258" s="1462"/>
      <c r="C258" s="1489"/>
      <c r="D258" s="1494"/>
      <c r="E258" s="343"/>
      <c r="F258" s="1141"/>
      <c r="G258" s="1130"/>
      <c r="H258" s="1149"/>
      <c r="I258" s="1150"/>
      <c r="J258" s="1510"/>
      <c r="K258" s="674"/>
      <c r="L258" s="198"/>
      <c r="M258" s="66"/>
      <c r="T258" s="687"/>
      <c r="U258" s="687"/>
    </row>
    <row r="259" spans="1:21" ht="27.75" customHeight="1" x14ac:dyDescent="0.25">
      <c r="A259" s="1473"/>
      <c r="B259" s="1462"/>
      <c r="C259" s="1489"/>
      <c r="D259" s="1494"/>
      <c r="E259" s="343" t="s">
        <v>106</v>
      </c>
      <c r="F259" s="1151" t="s">
        <v>336</v>
      </c>
      <c r="G259" s="1134">
        <v>13.3</v>
      </c>
      <c r="H259" s="1152"/>
      <c r="I259" s="1136"/>
      <c r="J259" s="359" t="s">
        <v>136</v>
      </c>
      <c r="K259" s="170">
        <v>5</v>
      </c>
      <c r="L259" s="175">
        <v>5</v>
      </c>
      <c r="M259" s="143">
        <v>5</v>
      </c>
      <c r="U259" s="587"/>
    </row>
    <row r="260" spans="1:21" ht="15" customHeight="1" x14ac:dyDescent="0.25">
      <c r="A260" s="1473"/>
      <c r="B260" s="1462"/>
      <c r="C260" s="1489"/>
      <c r="D260" s="1494"/>
      <c r="E260" s="343" t="s">
        <v>194</v>
      </c>
      <c r="F260" s="1153" t="s">
        <v>328</v>
      </c>
      <c r="G260" s="1154">
        <v>142.5</v>
      </c>
      <c r="H260" s="1155">
        <v>327.60000000000002</v>
      </c>
      <c r="I260" s="1156">
        <v>290.89999999999998</v>
      </c>
      <c r="J260" s="363" t="s">
        <v>149</v>
      </c>
      <c r="K260" s="942">
        <v>15</v>
      </c>
      <c r="L260" s="948">
        <v>39</v>
      </c>
      <c r="M260" s="155">
        <v>32</v>
      </c>
    </row>
    <row r="261" spans="1:21" ht="15" customHeight="1" x14ac:dyDescent="0.25">
      <c r="A261" s="1473"/>
      <c r="B261" s="1462"/>
      <c r="C261" s="1489"/>
      <c r="D261" s="1495"/>
      <c r="E261" s="1063" t="s">
        <v>160</v>
      </c>
      <c r="F261" s="1157"/>
      <c r="G261" s="1158"/>
      <c r="H261" s="1159"/>
      <c r="I261" s="1160"/>
      <c r="J261" s="333"/>
      <c r="K261" s="137"/>
      <c r="L261" s="174"/>
      <c r="M261" s="135"/>
    </row>
    <row r="262" spans="1:21" ht="15.75" customHeight="1" x14ac:dyDescent="0.25">
      <c r="A262" s="1019"/>
      <c r="B262" s="1023"/>
      <c r="C262" s="157"/>
      <c r="D262" s="1493" t="s">
        <v>170</v>
      </c>
      <c r="E262" s="49" t="s">
        <v>221</v>
      </c>
      <c r="F262" s="1145" t="s">
        <v>333</v>
      </c>
      <c r="G262" s="1161">
        <v>100.7</v>
      </c>
      <c r="H262" s="1162"/>
      <c r="I262" s="1163"/>
      <c r="J262" s="226" t="s">
        <v>216</v>
      </c>
      <c r="K262" s="170">
        <v>5</v>
      </c>
      <c r="L262" s="175"/>
      <c r="M262" s="66"/>
    </row>
    <row r="263" spans="1:21" ht="15.75" customHeight="1" x14ac:dyDescent="0.25">
      <c r="A263" s="1019"/>
      <c r="B263" s="1023"/>
      <c r="C263" s="157"/>
      <c r="D263" s="1494"/>
      <c r="E263" s="102" t="s">
        <v>194</v>
      </c>
      <c r="F263" s="1129" t="s">
        <v>330</v>
      </c>
      <c r="G263" s="1134">
        <v>11.4</v>
      </c>
      <c r="H263" s="1164"/>
      <c r="I263" s="1165"/>
      <c r="J263" s="226" t="s">
        <v>217</v>
      </c>
      <c r="K263" s="170">
        <v>5</v>
      </c>
      <c r="L263" s="191"/>
      <c r="M263" s="81"/>
    </row>
    <row r="264" spans="1:21" ht="15.75" customHeight="1" x14ac:dyDescent="0.25">
      <c r="A264" s="1019"/>
      <c r="B264" s="1023"/>
      <c r="C264" s="157"/>
      <c r="D264" s="1494"/>
      <c r="E264" s="102" t="s">
        <v>125</v>
      </c>
      <c r="F264" s="1151" t="s">
        <v>336</v>
      </c>
      <c r="G264" s="1166">
        <v>75</v>
      </c>
      <c r="H264" s="1131"/>
      <c r="I264" s="1165"/>
      <c r="J264" s="354" t="s">
        <v>218</v>
      </c>
      <c r="K264" s="170">
        <v>1</v>
      </c>
      <c r="L264" s="176"/>
      <c r="M264" s="128"/>
    </row>
    <row r="265" spans="1:21" ht="15" customHeight="1" x14ac:dyDescent="0.25">
      <c r="A265" s="1019"/>
      <c r="B265" s="1023"/>
      <c r="C265" s="157"/>
      <c r="D265" s="1480" t="s">
        <v>308</v>
      </c>
      <c r="E265" s="1027" t="s">
        <v>287</v>
      </c>
      <c r="F265" s="1145" t="s">
        <v>328</v>
      </c>
      <c r="G265" s="1333">
        <v>130</v>
      </c>
      <c r="H265" s="1147">
        <v>130.1</v>
      </c>
      <c r="I265" s="1163"/>
      <c r="J265" s="228" t="s">
        <v>39</v>
      </c>
      <c r="K265" s="1068"/>
      <c r="L265" s="183">
        <v>1</v>
      </c>
      <c r="M265" s="908"/>
    </row>
    <row r="266" spans="1:21" ht="15" customHeight="1" x14ac:dyDescent="0.25">
      <c r="A266" s="1019"/>
      <c r="B266" s="1023"/>
      <c r="C266" s="131"/>
      <c r="D266" s="1521"/>
      <c r="E266" s="328" t="s">
        <v>159</v>
      </c>
      <c r="F266" s="1151"/>
      <c r="G266" s="1134"/>
      <c r="H266" s="1131"/>
      <c r="I266" s="1136"/>
      <c r="J266" s="634"/>
      <c r="K266" s="169"/>
      <c r="L266" s="175"/>
      <c r="M266" s="297"/>
    </row>
    <row r="267" spans="1:21" ht="15" customHeight="1" x14ac:dyDescent="0.25">
      <c r="A267" s="1019"/>
      <c r="B267" s="1023"/>
      <c r="C267" s="131"/>
      <c r="D267" s="1521"/>
      <c r="E267" s="1028" t="s">
        <v>40</v>
      </c>
      <c r="F267" s="1137"/>
      <c r="G267" s="1138"/>
      <c r="H267" s="1164"/>
      <c r="I267" s="1165"/>
      <c r="J267" s="352"/>
      <c r="K267" s="169"/>
      <c r="L267" s="175"/>
      <c r="M267" s="297"/>
    </row>
    <row r="268" spans="1:21" ht="15" customHeight="1" x14ac:dyDescent="0.25">
      <c r="A268" s="1320"/>
      <c r="B268" s="1321"/>
      <c r="C268" s="131"/>
      <c r="D268" s="1521"/>
      <c r="E268" s="1322" t="s">
        <v>192</v>
      </c>
      <c r="F268" s="1171"/>
      <c r="G268" s="1130"/>
      <c r="H268" s="1135"/>
      <c r="I268" s="1132"/>
      <c r="J268" s="352"/>
      <c r="K268" s="169"/>
      <c r="L268" s="175"/>
      <c r="M268" s="297"/>
    </row>
    <row r="269" spans="1:21" ht="15" customHeight="1" x14ac:dyDescent="0.25">
      <c r="A269" s="1019"/>
      <c r="B269" s="1023"/>
      <c r="C269" s="131"/>
      <c r="D269" s="1481"/>
      <c r="E269" s="1028"/>
      <c r="F269" s="1167"/>
      <c r="G269" s="1168"/>
      <c r="H269" s="1169"/>
      <c r="I269" s="1170"/>
      <c r="J269" s="353"/>
      <c r="K269" s="172"/>
      <c r="L269" s="179"/>
      <c r="M269" s="147"/>
    </row>
    <row r="270" spans="1:21" ht="18.75" customHeight="1" x14ac:dyDescent="0.25">
      <c r="A270" s="1019"/>
      <c r="B270" s="1023"/>
      <c r="C270" s="131"/>
      <c r="D270" s="1480" t="s">
        <v>293</v>
      </c>
      <c r="E270" s="1027" t="s">
        <v>287</v>
      </c>
      <c r="F270" s="1171" t="s">
        <v>333</v>
      </c>
      <c r="G270" s="1172"/>
      <c r="H270" s="1173">
        <v>20</v>
      </c>
      <c r="I270" s="1174">
        <v>122</v>
      </c>
      <c r="J270" s="228" t="s">
        <v>39</v>
      </c>
      <c r="K270" s="171"/>
      <c r="L270" s="178"/>
      <c r="M270" s="141">
        <v>1</v>
      </c>
    </row>
    <row r="271" spans="1:21" ht="18.75" customHeight="1" x14ac:dyDescent="0.25">
      <c r="A271" s="1019"/>
      <c r="B271" s="1023"/>
      <c r="C271" s="131"/>
      <c r="D271" s="1521"/>
      <c r="E271" s="1028" t="s">
        <v>192</v>
      </c>
      <c r="F271" s="1171"/>
      <c r="G271" s="1130"/>
      <c r="H271" s="1135"/>
      <c r="I271" s="1175"/>
      <c r="J271" s="634"/>
      <c r="K271" s="169"/>
      <c r="L271" s="175"/>
      <c r="M271" s="297"/>
    </row>
    <row r="272" spans="1:21" ht="18.75" customHeight="1" x14ac:dyDescent="0.25">
      <c r="A272" s="1019"/>
      <c r="B272" s="1023"/>
      <c r="C272" s="131"/>
      <c r="D272" s="1521"/>
      <c r="E272" s="1034" t="s">
        <v>40</v>
      </c>
      <c r="F272" s="1171"/>
      <c r="G272" s="1168"/>
      <c r="H272" s="1169"/>
      <c r="I272" s="1170"/>
      <c r="J272" s="224"/>
      <c r="K272" s="320"/>
      <c r="L272" s="179"/>
      <c r="M272" s="66"/>
    </row>
    <row r="273" spans="1:37" ht="15" customHeight="1" thickBot="1" x14ac:dyDescent="0.3">
      <c r="A273" s="15"/>
      <c r="B273" s="54"/>
      <c r="C273" s="43"/>
      <c r="D273" s="348"/>
      <c r="E273" s="125"/>
      <c r="F273" s="99" t="s">
        <v>4</v>
      </c>
      <c r="G273" s="1100">
        <f>+G247+G248+G249+G250+G251</f>
        <v>1106</v>
      </c>
      <c r="H273" s="1128">
        <f t="shared" ref="H273:I273" si="28">+H247+H248+H249+H250+H251</f>
        <v>1043.2</v>
      </c>
      <c r="I273" s="1101">
        <f t="shared" si="28"/>
        <v>1398.1</v>
      </c>
      <c r="J273" s="356"/>
      <c r="K273" s="209"/>
      <c r="L273" s="222"/>
      <c r="M273" s="1096"/>
    </row>
    <row r="274" spans="1:37" ht="15" customHeight="1" thickBot="1" x14ac:dyDescent="0.3">
      <c r="A274" s="18" t="s">
        <v>3</v>
      </c>
      <c r="B274" s="17" t="s">
        <v>24</v>
      </c>
      <c r="C274" s="1505" t="s">
        <v>6</v>
      </c>
      <c r="D274" s="1505"/>
      <c r="E274" s="1505"/>
      <c r="F274" s="1506"/>
      <c r="G274" s="244">
        <f>G273+G246</f>
        <v>3529.5</v>
      </c>
      <c r="H274" s="54">
        <f>H273+H246</f>
        <v>3341.7</v>
      </c>
      <c r="I274" s="243">
        <f>I273+I246</f>
        <v>3540</v>
      </c>
      <c r="J274" s="1597"/>
      <c r="K274" s="1522"/>
      <c r="L274" s="1522"/>
      <c r="M274" s="1523"/>
    </row>
    <row r="275" spans="1:37" ht="15" customHeight="1" thickBot="1" x14ac:dyDescent="0.3">
      <c r="A275" s="18" t="s">
        <v>3</v>
      </c>
      <c r="B275" s="1565" t="s">
        <v>7</v>
      </c>
      <c r="C275" s="1566"/>
      <c r="D275" s="1566"/>
      <c r="E275" s="1566"/>
      <c r="F275" s="1567"/>
      <c r="G275" s="16">
        <f>G274+G213+G170</f>
        <v>48876.6</v>
      </c>
      <c r="H275" s="214">
        <f>H274+H213+H170</f>
        <v>28482.799999999999</v>
      </c>
      <c r="I275" s="212">
        <f>I274+I213+I170</f>
        <v>27732.1</v>
      </c>
      <c r="J275" s="1594"/>
      <c r="K275" s="1595"/>
      <c r="L275" s="1595"/>
      <c r="M275" s="1596"/>
    </row>
    <row r="276" spans="1:37" ht="15" customHeight="1" thickBot="1" x14ac:dyDescent="0.3">
      <c r="A276" s="21" t="s">
        <v>30</v>
      </c>
      <c r="B276" s="1568" t="s">
        <v>45</v>
      </c>
      <c r="C276" s="1569"/>
      <c r="D276" s="1569"/>
      <c r="E276" s="1569"/>
      <c r="F276" s="1570"/>
      <c r="G276" s="21">
        <f t="shared" ref="G276:I276" si="29">SUM(G275)</f>
        <v>48876.6</v>
      </c>
      <c r="H276" s="215">
        <f t="shared" si="29"/>
        <v>28482.799999999999</v>
      </c>
      <c r="I276" s="213">
        <f t="shared" si="29"/>
        <v>27732.1</v>
      </c>
      <c r="J276" s="1591"/>
      <c r="K276" s="1592"/>
      <c r="L276" s="1592"/>
      <c r="M276" s="1593"/>
    </row>
    <row r="277" spans="1:37" s="5" customFormat="1" ht="17.25" customHeight="1" x14ac:dyDescent="0.25">
      <c r="A277" s="1650" t="s">
        <v>360</v>
      </c>
      <c r="B277" s="1650"/>
      <c r="C277" s="1650"/>
      <c r="D277" s="1650"/>
      <c r="E277" s="1650"/>
      <c r="F277" s="1650"/>
      <c r="G277" s="1650"/>
      <c r="H277" s="1650"/>
      <c r="I277" s="1650"/>
      <c r="J277" s="1650"/>
      <c r="K277" s="1"/>
      <c r="L277" s="1"/>
      <c r="M277" s="1"/>
      <c r="N277" s="1"/>
      <c r="O277" s="1071"/>
      <c r="P277" s="1071"/>
      <c r="Q277" s="1071"/>
      <c r="R277" s="1071"/>
      <c r="S277" s="1"/>
      <c r="T277" s="1"/>
      <c r="U277" s="1"/>
      <c r="V277" s="1"/>
      <c r="W277" s="1"/>
      <c r="X277" s="1"/>
      <c r="Y277" s="1"/>
      <c r="Z277" s="1"/>
      <c r="AA277" s="1"/>
      <c r="AB277" s="1"/>
      <c r="AC277" s="1"/>
      <c r="AD277" s="1"/>
      <c r="AE277" s="1"/>
      <c r="AF277" s="1"/>
      <c r="AG277" s="1"/>
      <c r="AH277" s="1"/>
      <c r="AI277" s="1"/>
      <c r="AJ277" s="1"/>
      <c r="AK277" s="1"/>
    </row>
    <row r="278" spans="1:37" ht="15" customHeight="1" x14ac:dyDescent="0.25">
      <c r="A278" s="97"/>
      <c r="B278" s="97"/>
      <c r="C278" s="97"/>
      <c r="D278" s="97"/>
      <c r="E278" s="97"/>
      <c r="F278" s="97"/>
      <c r="G278" s="1037"/>
      <c r="H278" s="1037"/>
      <c r="I278" s="1037"/>
      <c r="J278" s="22"/>
      <c r="K278" s="22"/>
      <c r="L278" s="22"/>
      <c r="M278" s="22"/>
    </row>
    <row r="279" spans="1:37" s="5" customFormat="1" ht="15" customHeight="1" thickBot="1" x14ac:dyDescent="0.3">
      <c r="A279" s="1590" t="s">
        <v>10</v>
      </c>
      <c r="B279" s="1590"/>
      <c r="C279" s="1590"/>
      <c r="D279" s="1590"/>
      <c r="E279" s="1590"/>
      <c r="F279" s="1590"/>
      <c r="G279" s="382"/>
      <c r="H279" s="382"/>
      <c r="I279" s="382"/>
      <c r="J279" s="22"/>
      <c r="K279" s="22"/>
      <c r="L279" s="22"/>
      <c r="M279" s="22"/>
      <c r="N279" s="1"/>
      <c r="O279" s="1071"/>
      <c r="P279" s="1071"/>
      <c r="Q279" s="1071"/>
      <c r="R279" s="1071"/>
      <c r="S279" s="1"/>
      <c r="T279" s="1"/>
      <c r="U279" s="1"/>
      <c r="V279" s="1"/>
      <c r="W279" s="1"/>
      <c r="X279" s="1"/>
      <c r="Y279" s="1"/>
      <c r="Z279" s="1"/>
      <c r="AA279" s="1"/>
      <c r="AB279" s="1"/>
      <c r="AC279" s="1"/>
      <c r="AD279" s="1"/>
    </row>
    <row r="280" spans="1:37" ht="94.5" customHeight="1" thickBot="1" x14ac:dyDescent="0.3">
      <c r="A280" s="1583" t="s">
        <v>8</v>
      </c>
      <c r="B280" s="1584"/>
      <c r="C280" s="1584"/>
      <c r="D280" s="1584"/>
      <c r="E280" s="1584"/>
      <c r="F280" s="1585"/>
      <c r="G280" s="245" t="s">
        <v>359</v>
      </c>
      <c r="H280" s="561" t="s">
        <v>176</v>
      </c>
      <c r="I280" s="246" t="s">
        <v>256</v>
      </c>
      <c r="J280" s="9"/>
      <c r="K280" s="9"/>
      <c r="L280" s="9"/>
      <c r="M280" s="9"/>
    </row>
    <row r="281" spans="1:37" ht="14.25" customHeight="1" x14ac:dyDescent="0.25">
      <c r="A281" s="1586" t="s">
        <v>11</v>
      </c>
      <c r="B281" s="1587"/>
      <c r="C281" s="1587"/>
      <c r="D281" s="1587"/>
      <c r="E281" s="1587"/>
      <c r="F281" s="1588"/>
      <c r="G281" s="574">
        <f>G282+G288+G289</f>
        <v>37690.1</v>
      </c>
      <c r="H281" s="568">
        <f>H282+H288+H289</f>
        <v>26983.4</v>
      </c>
      <c r="I281" s="562">
        <f>I282+I288+I289</f>
        <v>23607.1</v>
      </c>
      <c r="J281" s="12"/>
      <c r="K281" s="9"/>
      <c r="L281" s="9"/>
      <c r="M281" s="9"/>
    </row>
    <row r="282" spans="1:37" ht="16.5" customHeight="1" x14ac:dyDescent="0.25">
      <c r="A282" s="1562" t="s">
        <v>58</v>
      </c>
      <c r="B282" s="1563"/>
      <c r="C282" s="1563"/>
      <c r="D282" s="1563"/>
      <c r="E282" s="1563"/>
      <c r="F282" s="1564"/>
      <c r="G282" s="575">
        <f>SUM(G283:G287)</f>
        <v>26081.1</v>
      </c>
      <c r="H282" s="569">
        <f>SUM(H283:H287)</f>
        <v>26983.4</v>
      </c>
      <c r="I282" s="563">
        <f>SUM(I283:I287)</f>
        <v>23607.1</v>
      </c>
      <c r="J282" s="12"/>
      <c r="K282" s="9"/>
      <c r="L282" s="9"/>
      <c r="M282" s="9"/>
    </row>
    <row r="283" spans="1:37" ht="14.25" customHeight="1" x14ac:dyDescent="0.25">
      <c r="A283" s="1477" t="s">
        <v>16</v>
      </c>
      <c r="B283" s="1646"/>
      <c r="C283" s="1646"/>
      <c r="D283" s="1646"/>
      <c r="E283" s="1646"/>
      <c r="F283" s="1647"/>
      <c r="G283" s="559">
        <f>SUMIF(F16:F276,"SB",G16:G276)</f>
        <v>8229.2999999999993</v>
      </c>
      <c r="H283" s="82">
        <f>SUMIF(F16:F276,"SB",H16:H276)</f>
        <v>17948.099999999999</v>
      </c>
      <c r="I283" s="194">
        <f>SUMIF(F16:F276,"SB",I16:I276)</f>
        <v>14924.9</v>
      </c>
      <c r="J283" s="12"/>
      <c r="K283" s="9"/>
      <c r="L283" s="9"/>
      <c r="M283" s="9"/>
    </row>
    <row r="284" spans="1:37" ht="14.25" customHeight="1" x14ac:dyDescent="0.25">
      <c r="A284" s="1641" t="s">
        <v>227</v>
      </c>
      <c r="B284" s="1642"/>
      <c r="C284" s="1642"/>
      <c r="D284" s="1642"/>
      <c r="E284" s="1642"/>
      <c r="F284" s="1643"/>
      <c r="G284" s="559">
        <f>SUMIF(F16:F276,"SB(ŽP)",G16:G276)</f>
        <v>769.1</v>
      </c>
      <c r="H284" s="82">
        <f>SUMIF(F16:F276,"SB(ŽP)",H16:H276)</f>
        <v>277</v>
      </c>
      <c r="I284" s="194">
        <f>SUMIF(F16:F276,"SB(ŽP)",I16:I276)</f>
        <v>0</v>
      </c>
      <c r="J284" s="635"/>
      <c r="K284" s="638"/>
      <c r="L284" s="638"/>
      <c r="M284" s="9"/>
    </row>
    <row r="285" spans="1:37" ht="14.25" customHeight="1" x14ac:dyDescent="0.25">
      <c r="A285" s="1553" t="s">
        <v>54</v>
      </c>
      <c r="B285" s="1554"/>
      <c r="C285" s="1554"/>
      <c r="D285" s="1554"/>
      <c r="E285" s="1554"/>
      <c r="F285" s="1555"/>
      <c r="G285" s="559">
        <f>SUMIF(F16:F276,"SB(VR)",G16:G276)</f>
        <v>3365</v>
      </c>
      <c r="H285" s="82">
        <f>SUMIF(F16:F276,"SB(VR)",H16:H276)</f>
        <v>2769.7</v>
      </c>
      <c r="I285" s="194">
        <f>SUMIF(F16:F276,"SB(VR)",I16:I276)</f>
        <v>2432.3000000000002</v>
      </c>
      <c r="J285" s="636"/>
      <c r="K285" s="9"/>
      <c r="L285" s="9"/>
      <c r="M285" s="9"/>
    </row>
    <row r="286" spans="1:37" ht="27.75" customHeight="1" x14ac:dyDescent="0.25">
      <c r="A286" s="1577" t="s">
        <v>234</v>
      </c>
      <c r="B286" s="1578"/>
      <c r="C286" s="1578"/>
      <c r="D286" s="1578"/>
      <c r="E286" s="1578"/>
      <c r="F286" s="1579"/>
      <c r="G286" s="576">
        <f>SUMIF(F16:F276,"SB(ES)",G16:G276)</f>
        <v>8131.1</v>
      </c>
      <c r="H286" s="570">
        <f>SUMIF(F16:F276,"SB(ES)",H16:H276)</f>
        <v>0</v>
      </c>
      <c r="I286" s="564">
        <f>SUMIF(F16:F276,"SB(ES)",I16:I276)</f>
        <v>0</v>
      </c>
      <c r="J286" s="637"/>
      <c r="K286" s="9"/>
      <c r="L286" s="9"/>
      <c r="M286" s="9"/>
    </row>
    <row r="287" spans="1:37" ht="26.25" customHeight="1" x14ac:dyDescent="0.25">
      <c r="A287" s="1641" t="s">
        <v>235</v>
      </c>
      <c r="B287" s="1642"/>
      <c r="C287" s="1642"/>
      <c r="D287" s="1642"/>
      <c r="E287" s="1642"/>
      <c r="F287" s="1643"/>
      <c r="G287" s="576">
        <f>SUMIF(F16:F276,"SB(KPP)",G16:G276)</f>
        <v>5586.6</v>
      </c>
      <c r="H287" s="570">
        <f>SUMIF(F16:F276,"SB(KPP)",H16:H276)</f>
        <v>5988.6</v>
      </c>
      <c r="I287" s="564">
        <f>SUMIF(F16:F276,"SB(KPP)",I16:I276)</f>
        <v>6249.9</v>
      </c>
      <c r="J287" s="9"/>
      <c r="K287" s="9"/>
      <c r="L287" s="9"/>
      <c r="M287" s="9"/>
    </row>
    <row r="288" spans="1:37" ht="14.25" customHeight="1" x14ac:dyDescent="0.25">
      <c r="A288" s="1648" t="s">
        <v>60</v>
      </c>
      <c r="B288" s="1636"/>
      <c r="C288" s="1636"/>
      <c r="D288" s="1636"/>
      <c r="E288" s="1636"/>
      <c r="F288" s="1637"/>
      <c r="G288" s="577">
        <f>SUMIF(F16:F276,"SB(VRL)",G16:G276)</f>
        <v>265.2</v>
      </c>
      <c r="H288" s="571">
        <f>SUMIF(F16:F276,"SB(VRL)",H16:H276)</f>
        <v>0</v>
      </c>
      <c r="I288" s="565">
        <f>SUMIF(F16:F276,"SB(VRL)",I16:I276)</f>
        <v>0</v>
      </c>
      <c r="J288" s="9"/>
      <c r="K288" s="9"/>
      <c r="L288" s="9"/>
      <c r="M288" s="9"/>
    </row>
    <row r="289" spans="1:18" ht="14.25" customHeight="1" x14ac:dyDescent="0.25">
      <c r="A289" s="1638" t="s">
        <v>81</v>
      </c>
      <c r="B289" s="1639"/>
      <c r="C289" s="1639"/>
      <c r="D289" s="1639"/>
      <c r="E289" s="1639"/>
      <c r="F289" s="1640"/>
      <c r="G289" s="577">
        <f>SUMIF(F16:F276,"SB(L)",G16:G276)</f>
        <v>11343.8</v>
      </c>
      <c r="H289" s="571">
        <f>SUMIF(F16:F276,"SB(L)",H16:H276)</f>
        <v>0</v>
      </c>
      <c r="I289" s="565">
        <f>SUMIF(F16:F276,"SB(L)",I16:I276)</f>
        <v>0</v>
      </c>
      <c r="J289" s="9"/>
      <c r="K289" s="9"/>
      <c r="L289" s="9"/>
      <c r="M289" s="9"/>
    </row>
    <row r="290" spans="1:18" ht="14.25" customHeight="1" x14ac:dyDescent="0.25">
      <c r="A290" s="1574" t="s">
        <v>12</v>
      </c>
      <c r="B290" s="1575"/>
      <c r="C290" s="1575"/>
      <c r="D290" s="1575"/>
      <c r="E290" s="1575"/>
      <c r="F290" s="1576"/>
      <c r="G290" s="578">
        <f t="shared" ref="G290:I290" si="30">G292+G293+G294+G291</f>
        <v>11186.5</v>
      </c>
      <c r="H290" s="572">
        <f t="shared" si="30"/>
        <v>1499.4</v>
      </c>
      <c r="I290" s="566">
        <f t="shared" si="30"/>
        <v>4125</v>
      </c>
      <c r="J290" s="9"/>
      <c r="K290" s="9"/>
      <c r="L290" s="9"/>
      <c r="M290" s="9"/>
    </row>
    <row r="291" spans="1:18" ht="14.25" customHeight="1" x14ac:dyDescent="0.25">
      <c r="A291" s="1577" t="s">
        <v>17</v>
      </c>
      <c r="B291" s="1578"/>
      <c r="C291" s="1578"/>
      <c r="D291" s="1578"/>
      <c r="E291" s="1578"/>
      <c r="F291" s="1579"/>
      <c r="G291" s="576">
        <f>SUMIF(F16:F276,"ES",G16:G276)</f>
        <v>1100</v>
      </c>
      <c r="H291" s="570">
        <f>SUMIF(F16:F276,"ES",H16:H276)</f>
        <v>0</v>
      </c>
      <c r="I291" s="564">
        <f>SUMIF(F16:F276,"ES",I16:I276)</f>
        <v>0</v>
      </c>
      <c r="J291" s="9"/>
      <c r="K291" s="9"/>
      <c r="L291" s="9"/>
      <c r="M291" s="9"/>
    </row>
    <row r="292" spans="1:18" ht="14.25" customHeight="1" x14ac:dyDescent="0.25">
      <c r="A292" s="1580" t="s">
        <v>18</v>
      </c>
      <c r="B292" s="1581"/>
      <c r="C292" s="1581"/>
      <c r="D292" s="1581"/>
      <c r="E292" s="1581"/>
      <c r="F292" s="1582"/>
      <c r="G292" s="576">
        <f>SUMIF(F16:F276,"KVJUD",G16:G276)</f>
        <v>1800</v>
      </c>
      <c r="H292" s="570">
        <f>SUMIF(F16:F276,"KVJUD",H16:H276)</f>
        <v>0</v>
      </c>
      <c r="I292" s="564">
        <f>SUMIF(F16:F276,"KVJUD",I16:I276)</f>
        <v>0</v>
      </c>
      <c r="J292" s="12"/>
      <c r="K292" s="12"/>
      <c r="L292" s="12"/>
      <c r="M292" s="12"/>
    </row>
    <row r="293" spans="1:18" ht="14.25" customHeight="1" x14ac:dyDescent="0.25">
      <c r="A293" s="1553" t="s">
        <v>19</v>
      </c>
      <c r="B293" s="1554"/>
      <c r="C293" s="1554"/>
      <c r="D293" s="1554"/>
      <c r="E293" s="1554"/>
      <c r="F293" s="1555"/>
      <c r="G293" s="576">
        <f>SUMIF(F16:F276,"LRVB",G16:G276)</f>
        <v>8183.4</v>
      </c>
      <c r="H293" s="570">
        <f>SUMIF(F16:F276,"LRVB",H16:H276)</f>
        <v>1450</v>
      </c>
      <c r="I293" s="564">
        <f>SUMIF(F16:F276,"LRVB",I16:I276)</f>
        <v>4125</v>
      </c>
      <c r="J293" s="12"/>
      <c r="K293" s="12"/>
      <c r="L293" s="12"/>
      <c r="M293" s="12"/>
    </row>
    <row r="294" spans="1:18" ht="14.25" customHeight="1" x14ac:dyDescent="0.25">
      <c r="A294" s="1556" t="s">
        <v>20</v>
      </c>
      <c r="B294" s="1557"/>
      <c r="C294" s="1557"/>
      <c r="D294" s="1557"/>
      <c r="E294" s="1557"/>
      <c r="F294" s="1558"/>
      <c r="G294" s="576">
        <f>SUMIF(F16:F276,"Kt",G16:G276)</f>
        <v>103.1</v>
      </c>
      <c r="H294" s="570">
        <f>SUMIF(F16:F276,"Kt",H16:H276)</f>
        <v>49.4</v>
      </c>
      <c r="I294" s="564">
        <f>SUMIF(F16:F276,"Kt",I16:I276)</f>
        <v>0</v>
      </c>
      <c r="J294" s="12"/>
      <c r="K294" s="12"/>
      <c r="L294" s="12"/>
      <c r="M294" s="12"/>
    </row>
    <row r="295" spans="1:18" ht="14.25" customHeight="1" thickBot="1" x14ac:dyDescent="0.3">
      <c r="A295" s="1559" t="s">
        <v>13</v>
      </c>
      <c r="B295" s="1560"/>
      <c r="C295" s="1560"/>
      <c r="D295" s="1560"/>
      <c r="E295" s="1560"/>
      <c r="F295" s="1561"/>
      <c r="G295" s="579">
        <f>SUM(G281,G290)</f>
        <v>48876.6</v>
      </c>
      <c r="H295" s="573">
        <f>SUM(H281,H290)</f>
        <v>28482.799999999999</v>
      </c>
      <c r="I295" s="567">
        <f>SUM(I281,I290)</f>
        <v>27732.1</v>
      </c>
      <c r="J295" s="12"/>
      <c r="K295" s="12"/>
      <c r="L295" s="12"/>
      <c r="M295" s="12"/>
    </row>
    <row r="296" spans="1:18" x14ac:dyDescent="0.25">
      <c r="F296" s="1094"/>
      <c r="G296" s="1095"/>
      <c r="H296" s="1095"/>
      <c r="I296" s="1095"/>
      <c r="J296" s="4"/>
      <c r="K296" s="9"/>
      <c r="L296" s="9"/>
      <c r="M296" s="9"/>
    </row>
    <row r="298" spans="1:18" x14ac:dyDescent="0.25">
      <c r="G298" s="9"/>
      <c r="H298" s="9"/>
      <c r="I298" s="9"/>
      <c r="J298" s="635"/>
      <c r="K298" s="709"/>
      <c r="L298" s="709"/>
      <c r="M298" s="709"/>
    </row>
    <row r="299" spans="1:18" s="2" customFormat="1" x14ac:dyDescent="0.25">
      <c r="E299" s="73"/>
      <c r="F299" s="3"/>
      <c r="G299" s="707"/>
      <c r="H299" s="707"/>
      <c r="I299" s="707"/>
      <c r="J299" s="780"/>
      <c r="O299" s="1211"/>
      <c r="P299" s="1211"/>
      <c r="Q299" s="1211"/>
      <c r="R299" s="1211"/>
    </row>
    <row r="300" spans="1:18" x14ac:dyDescent="0.25">
      <c r="A300" s="1"/>
      <c r="B300" s="1"/>
      <c r="C300" s="1"/>
      <c r="G300" s="708"/>
      <c r="H300" s="708"/>
      <c r="I300" s="708"/>
      <c r="J300" s="781"/>
      <c r="K300" s="633"/>
      <c r="L300" s="633"/>
      <c r="M300" s="633"/>
    </row>
    <row r="302" spans="1:18" s="2" customFormat="1" x14ac:dyDescent="0.25">
      <c r="E302" s="73"/>
      <c r="F302" s="3"/>
      <c r="J302" s="9"/>
      <c r="O302" s="1211"/>
      <c r="P302" s="1211"/>
      <c r="Q302" s="1211"/>
      <c r="R302" s="1211"/>
    </row>
    <row r="305" spans="5:18" s="2" customFormat="1" x14ac:dyDescent="0.25">
      <c r="E305" s="73"/>
      <c r="F305" s="3"/>
      <c r="J305" s="9"/>
      <c r="O305" s="1211"/>
      <c r="P305" s="1211"/>
      <c r="Q305" s="1211"/>
      <c r="R305" s="1211"/>
    </row>
  </sheetData>
  <mergeCells count="162">
    <mergeCell ref="A291:F291"/>
    <mergeCell ref="A292:F292"/>
    <mergeCell ref="A293:F293"/>
    <mergeCell ref="A294:F294"/>
    <mergeCell ref="A295:F295"/>
    <mergeCell ref="J276:M276"/>
    <mergeCell ref="D270:D272"/>
    <mergeCell ref="J257:J258"/>
    <mergeCell ref="D262:D264"/>
    <mergeCell ref="D265:D269"/>
    <mergeCell ref="A257:A261"/>
    <mergeCell ref="B257:B261"/>
    <mergeCell ref="C257:C261"/>
    <mergeCell ref="D257:D261"/>
    <mergeCell ref="C274:F274"/>
    <mergeCell ref="J274:M274"/>
    <mergeCell ref="B275:F275"/>
    <mergeCell ref="J275:M275"/>
    <mergeCell ref="B276:F276"/>
    <mergeCell ref="A288:F288"/>
    <mergeCell ref="A289:F289"/>
    <mergeCell ref="A290:F290"/>
    <mergeCell ref="A283:F283"/>
    <mergeCell ref="A284:F284"/>
    <mergeCell ref="J125:J126"/>
    <mergeCell ref="D220:D221"/>
    <mergeCell ref="D253:D254"/>
    <mergeCell ref="D255:D256"/>
    <mergeCell ref="J255:J256"/>
    <mergeCell ref="F241:F242"/>
    <mergeCell ref="J241:J242"/>
    <mergeCell ref="D244:D245"/>
    <mergeCell ref="J229:J230"/>
    <mergeCell ref="J231:J232"/>
    <mergeCell ref="D233:D234"/>
    <mergeCell ref="J233:J234"/>
    <mergeCell ref="D235:D236"/>
    <mergeCell ref="C214:J214"/>
    <mergeCell ref="D183:D184"/>
    <mergeCell ref="D185:D186"/>
    <mergeCell ref="J185:J186"/>
    <mergeCell ref="C171:M171"/>
    <mergeCell ref="D177:D181"/>
    <mergeCell ref="M187:M188"/>
    <mergeCell ref="C170:F170"/>
    <mergeCell ref="J170:M170"/>
    <mergeCell ref="K214:M214"/>
    <mergeCell ref="J222:J223"/>
    <mergeCell ref="A285:F285"/>
    <mergeCell ref="A286:F286"/>
    <mergeCell ref="A287:F287"/>
    <mergeCell ref="A279:F279"/>
    <mergeCell ref="A280:F280"/>
    <mergeCell ref="A281:F281"/>
    <mergeCell ref="A282:F282"/>
    <mergeCell ref="D237:D238"/>
    <mergeCell ref="A239:A242"/>
    <mergeCell ref="B239:B242"/>
    <mergeCell ref="C239:C242"/>
    <mergeCell ref="D239:D242"/>
    <mergeCell ref="A277:J277"/>
    <mergeCell ref="C213:F213"/>
    <mergeCell ref="J213:M213"/>
    <mergeCell ref="D203:D207"/>
    <mergeCell ref="D208:D211"/>
    <mergeCell ref="D194:D195"/>
    <mergeCell ref="D197:D198"/>
    <mergeCell ref="D199:D202"/>
    <mergeCell ref="A189:A190"/>
    <mergeCell ref="B189:B190"/>
    <mergeCell ref="C189:C190"/>
    <mergeCell ref="D189:D190"/>
    <mergeCell ref="E189:E193"/>
    <mergeCell ref="E187:E188"/>
    <mergeCell ref="J187:J188"/>
    <mergeCell ref="K187:K188"/>
    <mergeCell ref="L187:L188"/>
    <mergeCell ref="A187:A188"/>
    <mergeCell ref="B187:B188"/>
    <mergeCell ref="C187:C188"/>
    <mergeCell ref="D187:D188"/>
    <mergeCell ref="J161:J164"/>
    <mergeCell ref="D165:D167"/>
    <mergeCell ref="D158:D160"/>
    <mergeCell ref="A161:A164"/>
    <mergeCell ref="B161:B164"/>
    <mergeCell ref="D161:D164"/>
    <mergeCell ref="D149:D151"/>
    <mergeCell ref="D152:D154"/>
    <mergeCell ref="D155:D157"/>
    <mergeCell ref="D138:D140"/>
    <mergeCell ref="D141:D143"/>
    <mergeCell ref="D144:D145"/>
    <mergeCell ref="D146:D148"/>
    <mergeCell ref="D127:D128"/>
    <mergeCell ref="D131:D133"/>
    <mergeCell ref="D134:D136"/>
    <mergeCell ref="D120:D121"/>
    <mergeCell ref="D122:D124"/>
    <mergeCell ref="D125:D126"/>
    <mergeCell ref="D109:D110"/>
    <mergeCell ref="D111:D113"/>
    <mergeCell ref="D114:D116"/>
    <mergeCell ref="J98:J99"/>
    <mergeCell ref="K98:K99"/>
    <mergeCell ref="L98:L99"/>
    <mergeCell ref="D104:D105"/>
    <mergeCell ref="J104:J105"/>
    <mergeCell ref="D106:D108"/>
    <mergeCell ref="D89:D93"/>
    <mergeCell ref="A95:A99"/>
    <mergeCell ref="B95:B99"/>
    <mergeCell ref="C95:C99"/>
    <mergeCell ref="D95:D99"/>
    <mergeCell ref="J95:J96"/>
    <mergeCell ref="D78:D80"/>
    <mergeCell ref="J78:J80"/>
    <mergeCell ref="D62:D63"/>
    <mergeCell ref="D68:D71"/>
    <mergeCell ref="D72:D74"/>
    <mergeCell ref="D75:D77"/>
    <mergeCell ref="J75:J77"/>
    <mergeCell ref="J89:J90"/>
    <mergeCell ref="J91:J92"/>
    <mergeCell ref="H9:H11"/>
    <mergeCell ref="J27:J31"/>
    <mergeCell ref="J43:J48"/>
    <mergeCell ref="A49:A53"/>
    <mergeCell ref="B49:B53"/>
    <mergeCell ref="C49:C53"/>
    <mergeCell ref="D49:D51"/>
    <mergeCell ref="D54:D57"/>
    <mergeCell ref="D58:D61"/>
    <mergeCell ref="D32:D36"/>
    <mergeCell ref="C37:C48"/>
    <mergeCell ref="D37:D42"/>
    <mergeCell ref="D43:D48"/>
    <mergeCell ref="J58:J60"/>
    <mergeCell ref="J220:J221"/>
    <mergeCell ref="D215:D216"/>
    <mergeCell ref="J1:M1"/>
    <mergeCell ref="A4:P4"/>
    <mergeCell ref="A5:P5"/>
    <mergeCell ref="A6:P6"/>
    <mergeCell ref="J8:M8"/>
    <mergeCell ref="A9:A11"/>
    <mergeCell ref="B9:B11"/>
    <mergeCell ref="C9:C11"/>
    <mergeCell ref="D9:D11"/>
    <mergeCell ref="J2:M2"/>
    <mergeCell ref="A13:J13"/>
    <mergeCell ref="B14:J14"/>
    <mergeCell ref="C15:J15"/>
    <mergeCell ref="D26:D31"/>
    <mergeCell ref="I9:I11"/>
    <mergeCell ref="J9:M9"/>
    <mergeCell ref="J10:J11"/>
    <mergeCell ref="K10:M10"/>
    <mergeCell ref="A12:J12"/>
    <mergeCell ref="E9:E11"/>
    <mergeCell ref="F9:F11"/>
    <mergeCell ref="G9:G11"/>
  </mergeCells>
  <printOptions horizontalCentered="1"/>
  <pageMargins left="0.78740157480314965" right="0.39370078740157483" top="0.39370078740157483" bottom="0.39370078740157483" header="0" footer="0"/>
  <pageSetup paperSize="9" scale="60" fitToHeight="0" orientation="portrait" r:id="rId1"/>
  <headerFooter alignWithMargins="0"/>
  <rowBreaks count="4" manualBreakCount="4">
    <brk id="74" max="12" man="1"/>
    <brk id="143" max="12" man="1"/>
    <brk id="207" max="12" man="1"/>
    <brk id="269" max="1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05"/>
  <sheetViews>
    <sheetView zoomScaleNormal="100" zoomScaleSheetLayoutView="100" workbookViewId="0">
      <selection activeCell="J56" sqref="J56"/>
    </sheetView>
  </sheetViews>
  <sheetFormatPr defaultColWidth="9.08984375" defaultRowHeight="13" x14ac:dyDescent="0.25"/>
  <cols>
    <col min="1" max="3" width="2.90625" style="2" customWidth="1"/>
    <col min="4" max="4" width="39.54296875" style="2" customWidth="1"/>
    <col min="5" max="5" width="4.453125" style="73" customWidth="1"/>
    <col min="6" max="6" width="8.90625" style="3" customWidth="1"/>
    <col min="7" max="9" width="9" style="2" customWidth="1"/>
    <col min="10" max="10" width="37.453125" style="2" customWidth="1"/>
    <col min="11" max="13" width="6.453125" style="2" customWidth="1"/>
    <col min="14" max="14" width="9.08984375" style="1"/>
    <col min="15" max="17" width="9.08984375" style="1071" hidden="1" customWidth="1"/>
    <col min="18" max="18" width="10.54296875" style="1071" hidden="1" customWidth="1"/>
    <col min="19" max="16384" width="9.08984375" style="1"/>
  </cols>
  <sheetData>
    <row r="1" spans="1:18" ht="32.4" customHeight="1" x14ac:dyDescent="0.25">
      <c r="E1" s="71"/>
      <c r="G1" s="3"/>
      <c r="H1" s="3"/>
      <c r="I1" s="3"/>
      <c r="J1" s="1739" t="s">
        <v>323</v>
      </c>
      <c r="K1" s="1739"/>
      <c r="L1" s="1739"/>
      <c r="M1" s="1739"/>
    </row>
    <row r="2" spans="1:18" ht="15.75" customHeight="1" x14ac:dyDescent="0.25">
      <c r="E2" s="71"/>
      <c r="G2" s="3"/>
      <c r="H2" s="3"/>
      <c r="I2" s="3"/>
      <c r="J2" s="1739" t="s">
        <v>324</v>
      </c>
      <c r="K2" s="1739"/>
      <c r="L2" s="1739"/>
      <c r="M2" s="1739"/>
    </row>
    <row r="3" spans="1:18" s="2" customFormat="1" ht="15" customHeight="1" x14ac:dyDescent="0.25">
      <c r="E3" s="71"/>
      <c r="F3" s="3"/>
      <c r="G3" s="3"/>
      <c r="H3" s="3"/>
      <c r="I3" s="3"/>
      <c r="J3" s="3"/>
      <c r="K3" s="3"/>
      <c r="L3" s="3"/>
      <c r="M3" s="3"/>
      <c r="N3" s="381"/>
      <c r="O3" s="1334"/>
      <c r="P3" s="1334"/>
      <c r="Q3" s="1211"/>
      <c r="R3" s="1211"/>
    </row>
    <row r="4" spans="1:18" s="2" customFormat="1" ht="15" customHeight="1" x14ac:dyDescent="0.25">
      <c r="A4" s="1734" t="s">
        <v>322</v>
      </c>
      <c r="B4" s="1734"/>
      <c r="C4" s="1734"/>
      <c r="D4" s="1734"/>
      <c r="E4" s="1734"/>
      <c r="F4" s="1734"/>
      <c r="G4" s="1734"/>
      <c r="H4" s="1734"/>
      <c r="I4" s="1734"/>
      <c r="J4" s="1734"/>
      <c r="K4" s="1734"/>
      <c r="L4" s="1734"/>
      <c r="M4" s="1734"/>
      <c r="N4" s="1734"/>
      <c r="O4" s="1734"/>
      <c r="P4" s="1734"/>
      <c r="Q4" s="1211"/>
      <c r="R4" s="1211"/>
    </row>
    <row r="5" spans="1:18" s="2" customFormat="1" ht="15" customHeight="1" x14ac:dyDescent="0.25">
      <c r="A5" s="1735" t="s">
        <v>25</v>
      </c>
      <c r="B5" s="1735"/>
      <c r="C5" s="1735"/>
      <c r="D5" s="1735"/>
      <c r="E5" s="1735"/>
      <c r="F5" s="1735"/>
      <c r="G5" s="1735"/>
      <c r="H5" s="1735"/>
      <c r="I5" s="1735"/>
      <c r="J5" s="1735"/>
      <c r="K5" s="1735"/>
      <c r="L5" s="1735"/>
      <c r="M5" s="1735"/>
      <c r="N5" s="1735"/>
      <c r="O5" s="1735"/>
      <c r="P5" s="1735"/>
      <c r="Q5" s="1211"/>
      <c r="R5" s="1211"/>
    </row>
    <row r="6" spans="1:18" s="2" customFormat="1" ht="15" customHeight="1" x14ac:dyDescent="0.25">
      <c r="A6" s="1670" t="s">
        <v>14</v>
      </c>
      <c r="B6" s="1670"/>
      <c r="C6" s="1670"/>
      <c r="D6" s="1670"/>
      <c r="E6" s="1670"/>
      <c r="F6" s="1670"/>
      <c r="G6" s="1670"/>
      <c r="H6" s="1670"/>
      <c r="I6" s="1670"/>
      <c r="J6" s="1670"/>
      <c r="K6" s="1670"/>
      <c r="L6" s="1670"/>
      <c r="M6" s="1670"/>
      <c r="N6" s="1670"/>
      <c r="O6" s="1670"/>
      <c r="P6" s="1670"/>
      <c r="Q6" s="1211"/>
      <c r="R6" s="1211"/>
    </row>
    <row r="7" spans="1:18" ht="15" customHeight="1" x14ac:dyDescent="0.25">
      <c r="A7" s="1"/>
      <c r="B7" s="1"/>
      <c r="C7" s="1"/>
      <c r="D7" s="1"/>
      <c r="E7" s="160"/>
      <c r="F7" s="158"/>
      <c r="G7" s="383"/>
      <c r="H7" s="383"/>
      <c r="I7" s="383"/>
      <c r="J7" s="1"/>
      <c r="K7" s="1"/>
      <c r="L7" s="1"/>
      <c r="M7" s="1"/>
    </row>
    <row r="8" spans="1:18" ht="15" customHeight="1" thickBot="1" x14ac:dyDescent="0.3">
      <c r="A8" s="1"/>
      <c r="B8" s="1"/>
      <c r="C8" s="1"/>
      <c r="D8" s="1"/>
      <c r="E8" s="160"/>
      <c r="F8" s="158"/>
      <c r="H8" s="163"/>
      <c r="I8" s="163"/>
      <c r="J8" s="1682" t="s">
        <v>66</v>
      </c>
      <c r="K8" s="1682"/>
      <c r="L8" s="1682"/>
      <c r="M8" s="1682"/>
    </row>
    <row r="9" spans="1:18" s="11" customFormat="1" ht="21" customHeight="1" thickBot="1" x14ac:dyDescent="0.3">
      <c r="A9" s="1717" t="s">
        <v>15</v>
      </c>
      <c r="B9" s="1705" t="s">
        <v>0</v>
      </c>
      <c r="C9" s="1705" t="s">
        <v>1</v>
      </c>
      <c r="D9" s="1723" t="s">
        <v>9</v>
      </c>
      <c r="E9" s="1705" t="s">
        <v>174</v>
      </c>
      <c r="F9" s="1711" t="s">
        <v>2</v>
      </c>
      <c r="G9" s="1671" t="s">
        <v>255</v>
      </c>
      <c r="H9" s="1674" t="s">
        <v>176</v>
      </c>
      <c r="I9" s="1677" t="s">
        <v>256</v>
      </c>
      <c r="J9" s="1726" t="s">
        <v>161</v>
      </c>
      <c r="K9" s="1727"/>
      <c r="L9" s="1727"/>
      <c r="M9" s="1728"/>
      <c r="O9" s="1335"/>
      <c r="P9" s="1335"/>
      <c r="Q9" s="1335"/>
      <c r="R9" s="1335"/>
    </row>
    <row r="10" spans="1:18" s="11" customFormat="1" ht="21" customHeight="1" x14ac:dyDescent="0.25">
      <c r="A10" s="1718"/>
      <c r="B10" s="1706"/>
      <c r="C10" s="1706"/>
      <c r="D10" s="1724"/>
      <c r="E10" s="1706"/>
      <c r="F10" s="1712"/>
      <c r="G10" s="1672"/>
      <c r="H10" s="1675"/>
      <c r="I10" s="1678"/>
      <c r="J10" s="1680" t="s">
        <v>9</v>
      </c>
      <c r="K10" s="1729" t="s">
        <v>248</v>
      </c>
      <c r="L10" s="1730"/>
      <c r="M10" s="1731"/>
      <c r="O10" s="1335"/>
      <c r="P10" s="1335"/>
      <c r="Q10" s="1335"/>
      <c r="R10" s="1335"/>
    </row>
    <row r="11" spans="1:18" s="11" customFormat="1" ht="88.5" customHeight="1" thickBot="1" x14ac:dyDescent="0.3">
      <c r="A11" s="1719"/>
      <c r="B11" s="1707"/>
      <c r="C11" s="1707"/>
      <c r="D11" s="1725"/>
      <c r="E11" s="1707"/>
      <c r="F11" s="1713"/>
      <c r="G11" s="1673"/>
      <c r="H11" s="1676"/>
      <c r="I11" s="1679"/>
      <c r="J11" s="1681"/>
      <c r="K11" s="481" t="s">
        <v>172</v>
      </c>
      <c r="L11" s="164" t="s">
        <v>173</v>
      </c>
      <c r="M11" s="386" t="s">
        <v>254</v>
      </c>
      <c r="O11" s="1335"/>
      <c r="P11" s="1335"/>
      <c r="Q11" s="1335"/>
      <c r="R11" s="1335"/>
    </row>
    <row r="12" spans="1:18" s="7" customFormat="1" ht="15" customHeight="1" x14ac:dyDescent="0.25">
      <c r="A12" s="1703" t="s">
        <v>47</v>
      </c>
      <c r="B12" s="1704"/>
      <c r="C12" s="1704"/>
      <c r="D12" s="1704"/>
      <c r="E12" s="1704"/>
      <c r="F12" s="1704"/>
      <c r="G12" s="1704"/>
      <c r="H12" s="1704"/>
      <c r="I12" s="1704"/>
      <c r="J12" s="1704"/>
      <c r="K12" s="388"/>
      <c r="L12" s="388"/>
      <c r="M12" s="936"/>
      <c r="N12" s="364"/>
      <c r="O12" s="1336"/>
      <c r="P12" s="1336"/>
      <c r="Q12" s="1336"/>
      <c r="R12" s="1336"/>
    </row>
    <row r="13" spans="1:18" s="7" customFormat="1" ht="15" customHeight="1" x14ac:dyDescent="0.25">
      <c r="A13" s="1688" t="s">
        <v>22</v>
      </c>
      <c r="B13" s="1689"/>
      <c r="C13" s="1689"/>
      <c r="D13" s="1689"/>
      <c r="E13" s="1689"/>
      <c r="F13" s="1689"/>
      <c r="G13" s="1689"/>
      <c r="H13" s="1689"/>
      <c r="I13" s="1689"/>
      <c r="J13" s="1689"/>
      <c r="K13" s="387"/>
      <c r="L13" s="479"/>
      <c r="M13" s="937"/>
      <c r="N13" s="364"/>
      <c r="O13" s="1336"/>
      <c r="P13" s="1336"/>
      <c r="Q13" s="1336"/>
      <c r="R13" s="1336"/>
    </row>
    <row r="14" spans="1:18" ht="15" customHeight="1" x14ac:dyDescent="0.25">
      <c r="A14" s="10" t="s">
        <v>3</v>
      </c>
      <c r="B14" s="1691" t="s">
        <v>26</v>
      </c>
      <c r="C14" s="1692"/>
      <c r="D14" s="1692"/>
      <c r="E14" s="1692"/>
      <c r="F14" s="1692"/>
      <c r="G14" s="1692"/>
      <c r="H14" s="1692"/>
      <c r="I14" s="1692"/>
      <c r="J14" s="1692"/>
      <c r="K14" s="389"/>
      <c r="L14" s="480"/>
      <c r="M14" s="939"/>
      <c r="N14" s="340"/>
    </row>
    <row r="15" spans="1:18" ht="15" customHeight="1" x14ac:dyDescent="0.25">
      <c r="A15" s="30" t="s">
        <v>3</v>
      </c>
      <c r="B15" s="1009" t="s">
        <v>3</v>
      </c>
      <c r="C15" s="1694" t="s">
        <v>118</v>
      </c>
      <c r="D15" s="1695"/>
      <c r="E15" s="1695"/>
      <c r="F15" s="1695"/>
      <c r="G15" s="1695"/>
      <c r="H15" s="1695"/>
      <c r="I15" s="1695"/>
      <c r="J15" s="1695"/>
      <c r="K15" s="390"/>
      <c r="L15" s="390"/>
      <c r="M15" s="938"/>
      <c r="N15" s="340"/>
    </row>
    <row r="16" spans="1:18" ht="15.65" customHeight="1" x14ac:dyDescent="0.25">
      <c r="A16" s="1387" t="s">
        <v>3</v>
      </c>
      <c r="B16" s="1378" t="s">
        <v>3</v>
      </c>
      <c r="C16" s="1377" t="s">
        <v>3</v>
      </c>
      <c r="D16" s="972" t="s">
        <v>110</v>
      </c>
      <c r="E16" s="92"/>
      <c r="F16" s="232" t="s">
        <v>21</v>
      </c>
      <c r="G16" s="1394">
        <v>5626.8</v>
      </c>
      <c r="H16" s="1396">
        <v>6971.8</v>
      </c>
      <c r="I16" s="278">
        <v>5356.7</v>
      </c>
      <c r="J16" s="580"/>
      <c r="K16" s="934"/>
      <c r="L16" s="1099"/>
      <c r="M16" s="935"/>
      <c r="O16" s="1286" t="s">
        <v>21</v>
      </c>
      <c r="P16" s="1176">
        <f>+G43+G49+G54+G58+G62+G68+G72+G78+G82+G91+G94+G96+G99+G100+G101+G102+G103+G104+G107+G108+G111+G114+G122+G125+G127+G129+G131+G134+G146+G149+G152+G158+G161</f>
        <v>5626.8</v>
      </c>
      <c r="Q16" s="1176">
        <f>+H43+H49+H54+H58+H62+H68+H72+H78+H82+H91+H94+H96+H99+H100+H101+H102+H103+H104+H107+H108+H111+H114+H122+H125+H127+H129+H131+H134+H146+H149+H152+H158+H161</f>
        <v>6971.8</v>
      </c>
      <c r="R16" s="1176">
        <f>+I43+I49+I54+I58+I62+I68+I72+I78+I82+I91+I94+I96+I99+I100+I101+I102+I103+I104+I107+I108+I111+I114+I122+I125+I127+I129+I131+I134+I146+I149+I152+I158+I161</f>
        <v>5356.7</v>
      </c>
    </row>
    <row r="17" spans="1:18" ht="15.65" customHeight="1" x14ac:dyDescent="0.25">
      <c r="A17" s="1387"/>
      <c r="B17" s="63"/>
      <c r="C17" s="1377"/>
      <c r="D17" s="303"/>
      <c r="E17" s="1062"/>
      <c r="F17" s="115" t="s">
        <v>226</v>
      </c>
      <c r="G17" s="202">
        <v>769.1</v>
      </c>
      <c r="H17" s="167">
        <v>277</v>
      </c>
      <c r="I17" s="1398"/>
      <c r="J17" s="236"/>
      <c r="K17" s="1098"/>
      <c r="L17" s="404"/>
      <c r="M17" s="394"/>
      <c r="O17" s="1287" t="s">
        <v>226</v>
      </c>
      <c r="P17" s="1176">
        <f>+G29+G38+G64</f>
        <v>769.1</v>
      </c>
      <c r="Q17" s="1176">
        <f>+H29+H38+H64</f>
        <v>277</v>
      </c>
      <c r="R17" s="1176">
        <f>+I29+I38+I64</f>
        <v>0</v>
      </c>
    </row>
    <row r="18" spans="1:18" ht="15.65" customHeight="1" x14ac:dyDescent="0.25">
      <c r="A18" s="1387"/>
      <c r="B18" s="63"/>
      <c r="C18" s="1377"/>
      <c r="D18" s="303"/>
      <c r="E18" s="1062"/>
      <c r="F18" s="115" t="s">
        <v>89</v>
      </c>
      <c r="G18" s="202">
        <v>552.5</v>
      </c>
      <c r="H18" s="113"/>
      <c r="I18" s="282"/>
      <c r="J18" s="236"/>
      <c r="K18" s="1098"/>
      <c r="L18" s="404"/>
      <c r="M18" s="394"/>
      <c r="O18" s="1287" t="s">
        <v>89</v>
      </c>
      <c r="P18" s="1176">
        <f>+G39+G44+G73+G76</f>
        <v>552.5</v>
      </c>
      <c r="Q18" s="1176">
        <f>+H39+H44+H73+H76</f>
        <v>0</v>
      </c>
      <c r="R18" s="1176">
        <f>+I39+I44+I73+I76</f>
        <v>0</v>
      </c>
    </row>
    <row r="19" spans="1:18" ht="15.65" customHeight="1" x14ac:dyDescent="0.25">
      <c r="A19" s="1387"/>
      <c r="B19" s="63"/>
      <c r="C19" s="1377"/>
      <c r="D19" s="303"/>
      <c r="E19" s="1062"/>
      <c r="F19" s="306" t="s">
        <v>53</v>
      </c>
      <c r="G19" s="983">
        <v>1250.2</v>
      </c>
      <c r="H19" s="113">
        <v>661</v>
      </c>
      <c r="I19" s="282">
        <v>80.7</v>
      </c>
      <c r="J19" s="236"/>
      <c r="K19" s="1098"/>
      <c r="L19" s="404"/>
      <c r="M19" s="394"/>
      <c r="O19" s="1288" t="s">
        <v>53</v>
      </c>
      <c r="P19" s="1176">
        <f>+G28+G124+G128+G133+G147</f>
        <v>1250.2</v>
      </c>
      <c r="Q19" s="1176">
        <f>+H28+H124+H128+H133+H147</f>
        <v>661</v>
      </c>
      <c r="R19" s="1176">
        <f>+I28+I124+I128+I133+I147</f>
        <v>80.7</v>
      </c>
    </row>
    <row r="20" spans="1:18" ht="15.65" customHeight="1" x14ac:dyDescent="0.25">
      <c r="A20" s="1387"/>
      <c r="B20" s="63"/>
      <c r="C20" s="1377"/>
      <c r="D20" s="303"/>
      <c r="E20" s="1062"/>
      <c r="F20" s="1386" t="s">
        <v>62</v>
      </c>
      <c r="G20" s="202">
        <v>5001.8</v>
      </c>
      <c r="H20" s="113">
        <v>5588.6</v>
      </c>
      <c r="I20" s="282">
        <v>6049.9</v>
      </c>
      <c r="J20" s="236"/>
      <c r="K20" s="1098"/>
      <c r="L20" s="404"/>
      <c r="M20" s="394"/>
      <c r="O20" s="1287" t="s">
        <v>62</v>
      </c>
      <c r="P20" s="1176">
        <f>+G40+G56+G59+G69+G83+G89+G95+G98+G106+G109+G112+G115+G118+G119+G121+G123+G132+G135+G155</f>
        <v>5001.8</v>
      </c>
      <c r="Q20" s="1176">
        <f>+H40+H56+H59+H69+H83+H89+H95+H98+H106+H109+H112+H115+H118+H119+H121+H123+H132+H135+H155</f>
        <v>5588.6</v>
      </c>
      <c r="R20" s="1176">
        <f>+I40+I55+I59+I69+I83+I89+I95+I98+I106+I109+I112+I115+I118+I119+I121+I123+I132+I135+I155</f>
        <v>6049.9</v>
      </c>
    </row>
    <row r="21" spans="1:18" ht="15.65" customHeight="1" x14ac:dyDescent="0.25">
      <c r="A21" s="1387"/>
      <c r="B21" s="63"/>
      <c r="C21" s="1377"/>
      <c r="D21" s="303"/>
      <c r="E21" s="1062"/>
      <c r="F21" s="115" t="s">
        <v>46</v>
      </c>
      <c r="G21" s="983">
        <v>521.9</v>
      </c>
      <c r="H21" s="113"/>
      <c r="I21" s="282"/>
      <c r="J21" s="236"/>
      <c r="K21" s="1098"/>
      <c r="L21" s="404"/>
      <c r="M21" s="394"/>
      <c r="O21" s="1287" t="s">
        <v>46</v>
      </c>
      <c r="P21" s="1176">
        <f>+G37+G165</f>
        <v>521.9</v>
      </c>
      <c r="Q21" s="1176">
        <f>+H37+H165</f>
        <v>0</v>
      </c>
      <c r="R21" s="1176">
        <f>+I37+I165</f>
        <v>0</v>
      </c>
    </row>
    <row r="22" spans="1:18" ht="15.65" customHeight="1" x14ac:dyDescent="0.25">
      <c r="A22" s="1387"/>
      <c r="B22" s="63"/>
      <c r="C22" s="1377"/>
      <c r="D22" s="303"/>
      <c r="E22" s="1062"/>
      <c r="F22" s="332" t="s">
        <v>41</v>
      </c>
      <c r="G22" s="558">
        <v>1800</v>
      </c>
      <c r="H22" s="113"/>
      <c r="I22" s="282"/>
      <c r="J22" s="236"/>
      <c r="K22" s="367"/>
      <c r="L22" s="404"/>
      <c r="M22" s="394"/>
      <c r="O22" s="1289" t="s">
        <v>41</v>
      </c>
      <c r="P22" s="1176">
        <f>+G26</f>
        <v>1800</v>
      </c>
      <c r="Q22" s="1176">
        <f>+H26</f>
        <v>0</v>
      </c>
      <c r="R22" s="1176">
        <f>+I26</f>
        <v>0</v>
      </c>
    </row>
    <row r="23" spans="1:18" ht="15.65" customHeight="1" x14ac:dyDescent="0.25">
      <c r="A23" s="1387"/>
      <c r="B23" s="63"/>
      <c r="C23" s="1377"/>
      <c r="D23" s="303"/>
      <c r="E23" s="1062"/>
      <c r="F23" s="115" t="s">
        <v>93</v>
      </c>
      <c r="G23" s="558">
        <v>8183.4</v>
      </c>
      <c r="H23" s="113">
        <v>1450</v>
      </c>
      <c r="I23" s="281">
        <v>4125</v>
      </c>
      <c r="J23" s="236"/>
      <c r="K23" s="1098"/>
      <c r="L23" s="404"/>
      <c r="M23" s="394"/>
      <c r="O23" s="1287" t="s">
        <v>93</v>
      </c>
      <c r="P23" s="1176">
        <f>+G27+G32+G138+G141</f>
        <v>8183.4</v>
      </c>
      <c r="Q23" s="1176">
        <f>+H27+H32+H138+H141</f>
        <v>1450</v>
      </c>
      <c r="R23" s="1176">
        <f>+I27+I32+I138+I141</f>
        <v>4125</v>
      </c>
    </row>
    <row r="24" spans="1:18" ht="15.65" customHeight="1" x14ac:dyDescent="0.25">
      <c r="A24" s="1387"/>
      <c r="B24" s="63"/>
      <c r="C24" s="1377"/>
      <c r="D24" s="303"/>
      <c r="E24" s="1062"/>
      <c r="F24" s="158" t="s">
        <v>37</v>
      </c>
      <c r="G24" s="558">
        <v>1100</v>
      </c>
      <c r="H24" s="113"/>
      <c r="I24" s="282"/>
      <c r="J24" s="236"/>
      <c r="K24" s="367"/>
      <c r="L24" s="404"/>
      <c r="M24" s="394"/>
      <c r="O24" s="1290" t="s">
        <v>37</v>
      </c>
      <c r="P24" s="1176">
        <f>+G144</f>
        <v>1100</v>
      </c>
      <c r="Q24" s="1176">
        <f>+H144</f>
        <v>0</v>
      </c>
      <c r="R24" s="1176">
        <f>+I144</f>
        <v>0</v>
      </c>
    </row>
    <row r="25" spans="1:18" ht="15.65" customHeight="1" x14ac:dyDescent="0.25">
      <c r="A25" s="1387"/>
      <c r="B25" s="63"/>
      <c r="C25" s="1377"/>
      <c r="D25" s="303"/>
      <c r="E25" s="321"/>
      <c r="F25" s="1386" t="s">
        <v>38</v>
      </c>
      <c r="G25" s="291">
        <v>103.1</v>
      </c>
      <c r="H25" s="1397">
        <v>49.4</v>
      </c>
      <c r="I25" s="146"/>
      <c r="J25" s="236"/>
      <c r="K25" s="1098"/>
      <c r="L25" s="404"/>
      <c r="M25" s="394"/>
      <c r="O25" s="1291" t="s">
        <v>38</v>
      </c>
      <c r="P25" s="1176">
        <f>+G63+G120</f>
        <v>103.1</v>
      </c>
      <c r="Q25" s="1176">
        <f>+H63+H120</f>
        <v>49.4</v>
      </c>
      <c r="R25" s="1176">
        <f>+I63+I120</f>
        <v>0</v>
      </c>
    </row>
    <row r="26" spans="1:18" ht="15.75" customHeight="1" x14ac:dyDescent="0.25">
      <c r="A26" s="1372"/>
      <c r="B26" s="1399"/>
      <c r="C26" s="1374"/>
      <c r="D26" s="1480" t="s">
        <v>71</v>
      </c>
      <c r="E26" s="342" t="s">
        <v>113</v>
      </c>
      <c r="F26" s="1268" t="s">
        <v>326</v>
      </c>
      <c r="G26" s="1161">
        <v>1800</v>
      </c>
      <c r="H26" s="1162"/>
      <c r="I26" s="1174"/>
      <c r="J26" s="669" t="s">
        <v>214</v>
      </c>
      <c r="K26" s="195">
        <v>95</v>
      </c>
      <c r="L26" s="438">
        <v>100</v>
      </c>
      <c r="M26" s="142"/>
      <c r="P26" s="1176">
        <f>SUM(P16:P25)</f>
        <v>24908.799999999999</v>
      </c>
      <c r="Q26" s="1176">
        <f>SUM(Q16:Q25)</f>
        <v>14997.8</v>
      </c>
      <c r="R26" s="1176">
        <f>SUM(R16:R25)</f>
        <v>15612.3</v>
      </c>
    </row>
    <row r="27" spans="1:18" ht="15.75" customHeight="1" x14ac:dyDescent="0.25">
      <c r="A27" s="1372"/>
      <c r="B27" s="1399"/>
      <c r="C27" s="1374"/>
      <c r="D27" s="1521"/>
      <c r="E27" s="1376" t="s">
        <v>243</v>
      </c>
      <c r="F27" s="1171" t="s">
        <v>327</v>
      </c>
      <c r="G27" s="1138">
        <v>6000</v>
      </c>
      <c r="H27" s="1131">
        <v>1000</v>
      </c>
      <c r="I27" s="1136">
        <v>4125</v>
      </c>
      <c r="J27" s="1605" t="s">
        <v>337</v>
      </c>
      <c r="K27" s="188"/>
      <c r="L27" s="191"/>
      <c r="M27" s="66">
        <v>100</v>
      </c>
      <c r="P27" s="1176">
        <f>+P26-G169</f>
        <v>0</v>
      </c>
      <c r="Q27" s="1176">
        <f>+Q26-H169</f>
        <v>0</v>
      </c>
      <c r="R27" s="1176">
        <f>+R26-I169</f>
        <v>0</v>
      </c>
    </row>
    <row r="28" spans="1:18" ht="15.75" customHeight="1" x14ac:dyDescent="0.25">
      <c r="A28" s="1372"/>
      <c r="B28" s="1399"/>
      <c r="C28" s="1374"/>
      <c r="D28" s="1521"/>
      <c r="E28" s="343" t="s">
        <v>194</v>
      </c>
      <c r="F28" s="1137" t="s">
        <v>328</v>
      </c>
      <c r="G28" s="1280">
        <v>500</v>
      </c>
      <c r="H28" s="1281">
        <v>473</v>
      </c>
      <c r="I28" s="1136"/>
      <c r="J28" s="1471"/>
      <c r="K28" s="320"/>
      <c r="L28" s="175"/>
      <c r="M28" s="297"/>
    </row>
    <row r="29" spans="1:18" ht="15.75" customHeight="1" x14ac:dyDescent="0.25">
      <c r="A29" s="1372"/>
      <c r="B29" s="1399"/>
      <c r="C29" s="1374"/>
      <c r="D29" s="1521"/>
      <c r="E29" s="321" t="s">
        <v>40</v>
      </c>
      <c r="F29" s="1137" t="s">
        <v>329</v>
      </c>
      <c r="G29" s="1138"/>
      <c r="H29" s="1164">
        <v>277</v>
      </c>
      <c r="I29" s="1283"/>
      <c r="J29" s="1471"/>
      <c r="K29" s="320"/>
      <c r="L29" s="175"/>
      <c r="M29" s="66"/>
    </row>
    <row r="30" spans="1:18" ht="15.75" customHeight="1" x14ac:dyDescent="0.25">
      <c r="A30" s="1372"/>
      <c r="B30" s="1399"/>
      <c r="C30" s="1374"/>
      <c r="D30" s="1521"/>
      <c r="E30" s="1061" t="s">
        <v>160</v>
      </c>
      <c r="F30" s="1153"/>
      <c r="G30" s="1159"/>
      <c r="H30" s="1282"/>
      <c r="I30" s="1283"/>
      <c r="J30" s="1471"/>
      <c r="K30" s="320"/>
      <c r="L30" s="175"/>
      <c r="M30" s="66"/>
    </row>
    <row r="31" spans="1:18" ht="15.75" customHeight="1" x14ac:dyDescent="0.25">
      <c r="A31" s="1372"/>
      <c r="B31" s="1399"/>
      <c r="C31" s="1374"/>
      <c r="D31" s="1521"/>
      <c r="E31" s="1376" t="s">
        <v>125</v>
      </c>
      <c r="F31" s="1171"/>
      <c r="G31" s="1284"/>
      <c r="H31" s="1285"/>
      <c r="I31" s="1170"/>
      <c r="J31" s="1472"/>
      <c r="K31" s="172"/>
      <c r="L31" s="179"/>
      <c r="M31" s="147"/>
    </row>
    <row r="32" spans="1:18" ht="15" customHeight="1" x14ac:dyDescent="0.25">
      <c r="A32" s="1372"/>
      <c r="B32" s="1399"/>
      <c r="C32" s="1374"/>
      <c r="D32" s="1697" t="s">
        <v>309</v>
      </c>
      <c r="E32" s="1375" t="s">
        <v>125</v>
      </c>
      <c r="F32" s="1145" t="s">
        <v>327</v>
      </c>
      <c r="G32" s="1172">
        <v>400</v>
      </c>
      <c r="H32" s="1135">
        <v>450</v>
      </c>
      <c r="I32" s="1174"/>
      <c r="J32" s="1390" t="s">
        <v>39</v>
      </c>
      <c r="K32" s="320"/>
      <c r="L32" s="175">
        <v>1</v>
      </c>
      <c r="M32" s="66"/>
    </row>
    <row r="33" spans="1:13" ht="15" customHeight="1" x14ac:dyDescent="0.25">
      <c r="A33" s="1372"/>
      <c r="B33" s="1399"/>
      <c r="C33" s="1374"/>
      <c r="D33" s="1698"/>
      <c r="E33" s="321" t="s">
        <v>40</v>
      </c>
      <c r="F33" s="1171"/>
      <c r="G33" s="1130"/>
      <c r="H33" s="1135"/>
      <c r="I33" s="1132"/>
      <c r="J33" s="1391"/>
      <c r="K33" s="320"/>
      <c r="L33" s="175"/>
      <c r="M33" s="66"/>
    </row>
    <row r="34" spans="1:13" ht="15" customHeight="1" x14ac:dyDescent="0.25">
      <c r="A34" s="1372"/>
      <c r="B34" s="1399"/>
      <c r="C34" s="1374"/>
      <c r="D34" s="1698"/>
      <c r="E34" s="343" t="s">
        <v>192</v>
      </c>
      <c r="F34" s="1171"/>
      <c r="G34" s="1130"/>
      <c r="H34" s="1135"/>
      <c r="I34" s="1132"/>
      <c r="J34" s="1391"/>
      <c r="K34" s="320"/>
      <c r="L34" s="175"/>
      <c r="M34" s="66"/>
    </row>
    <row r="35" spans="1:13" ht="15" customHeight="1" x14ac:dyDescent="0.25">
      <c r="A35" s="1372"/>
      <c r="B35" s="1399"/>
      <c r="C35" s="1374"/>
      <c r="D35" s="1698"/>
      <c r="E35" s="1376" t="s">
        <v>160</v>
      </c>
      <c r="F35" s="1171"/>
      <c r="G35" s="1130"/>
      <c r="H35" s="1135"/>
      <c r="I35" s="1132"/>
      <c r="J35" s="1391"/>
      <c r="K35" s="320"/>
      <c r="L35" s="175"/>
      <c r="M35" s="66"/>
    </row>
    <row r="36" spans="1:13" ht="15" customHeight="1" x14ac:dyDescent="0.25">
      <c r="A36" s="1372"/>
      <c r="B36" s="1399"/>
      <c r="C36" s="1374"/>
      <c r="D36" s="1699"/>
      <c r="E36" s="343" t="s">
        <v>243</v>
      </c>
      <c r="F36" s="1167"/>
      <c r="G36" s="1168"/>
      <c r="H36" s="1135"/>
      <c r="I36" s="1132"/>
      <c r="J36" s="1400"/>
      <c r="K36" s="320"/>
      <c r="L36" s="175"/>
      <c r="M36" s="66"/>
    </row>
    <row r="37" spans="1:13" ht="15" customHeight="1" x14ac:dyDescent="0.25">
      <c r="A37" s="1387"/>
      <c r="B37" s="1378"/>
      <c r="C37" s="1685"/>
      <c r="D37" s="1493" t="s">
        <v>204</v>
      </c>
      <c r="E37" s="342" t="s">
        <v>113</v>
      </c>
      <c r="F37" s="1258" t="s">
        <v>330</v>
      </c>
      <c r="G37" s="1273">
        <v>321.89999999999998</v>
      </c>
      <c r="H37" s="1162"/>
      <c r="I37" s="1163"/>
      <c r="J37" s="228" t="s">
        <v>214</v>
      </c>
      <c r="K37" s="1383">
        <v>100</v>
      </c>
      <c r="L37" s="204"/>
      <c r="M37" s="1381"/>
    </row>
    <row r="38" spans="1:13" ht="15" customHeight="1" x14ac:dyDescent="0.25">
      <c r="A38" s="1387"/>
      <c r="B38" s="1378"/>
      <c r="C38" s="1685"/>
      <c r="D38" s="1494"/>
      <c r="E38" s="321" t="s">
        <v>40</v>
      </c>
      <c r="F38" s="1151" t="s">
        <v>329</v>
      </c>
      <c r="G38" s="1274">
        <v>241.7</v>
      </c>
      <c r="H38" s="1275"/>
      <c r="I38" s="1165"/>
      <c r="J38" s="236"/>
      <c r="K38" s="1074"/>
      <c r="L38" s="552"/>
      <c r="M38" s="946"/>
    </row>
    <row r="39" spans="1:13" ht="15" customHeight="1" x14ac:dyDescent="0.25">
      <c r="A39" s="1387"/>
      <c r="B39" s="1378"/>
      <c r="C39" s="1685"/>
      <c r="D39" s="1494"/>
      <c r="E39" s="1376" t="s">
        <v>160</v>
      </c>
      <c r="F39" s="1151" t="s">
        <v>331</v>
      </c>
      <c r="G39" s="1134">
        <v>241.5</v>
      </c>
      <c r="H39" s="1131"/>
      <c r="I39" s="1136"/>
      <c r="J39" s="236"/>
      <c r="K39" s="454"/>
      <c r="L39" s="552"/>
      <c r="M39" s="550"/>
    </row>
    <row r="40" spans="1:13" ht="15" customHeight="1" x14ac:dyDescent="0.25">
      <c r="A40" s="1387"/>
      <c r="B40" s="1378"/>
      <c r="C40" s="1685"/>
      <c r="D40" s="1494"/>
      <c r="E40" s="321" t="s">
        <v>194</v>
      </c>
      <c r="F40" s="1171" t="s">
        <v>332</v>
      </c>
      <c r="G40" s="1138">
        <v>350</v>
      </c>
      <c r="H40" s="1135"/>
      <c r="I40" s="1132"/>
      <c r="J40" s="236"/>
      <c r="K40" s="454"/>
      <c r="L40" s="552"/>
      <c r="M40" s="550"/>
    </row>
    <row r="41" spans="1:13" ht="15" customHeight="1" x14ac:dyDescent="0.25">
      <c r="A41" s="1387"/>
      <c r="B41" s="1378"/>
      <c r="C41" s="1685"/>
      <c r="D41" s="1494"/>
      <c r="E41" s="343" t="s">
        <v>91</v>
      </c>
      <c r="F41" s="1271"/>
      <c r="G41" s="1211"/>
      <c r="H41" s="1135"/>
      <c r="I41" s="1132"/>
      <c r="J41" s="634"/>
      <c r="K41" s="184"/>
      <c r="L41" s="78"/>
      <c r="M41" s="80"/>
    </row>
    <row r="42" spans="1:13" ht="15" customHeight="1" x14ac:dyDescent="0.25">
      <c r="A42" s="1387"/>
      <c r="B42" s="63"/>
      <c r="C42" s="1685"/>
      <c r="D42" s="1494"/>
      <c r="E42" s="343" t="s">
        <v>125</v>
      </c>
      <c r="F42" s="1171"/>
      <c r="G42" s="1168"/>
      <c r="H42" s="1169"/>
      <c r="I42" s="1170"/>
      <c r="J42" s="556"/>
      <c r="K42" s="454"/>
      <c r="L42" s="552"/>
      <c r="M42" s="550"/>
    </row>
    <row r="43" spans="1:13" ht="14.9" customHeight="1" x14ac:dyDescent="0.25">
      <c r="A43" s="38"/>
      <c r="B43" s="63"/>
      <c r="C43" s="1685"/>
      <c r="D43" s="1480" t="s">
        <v>141</v>
      </c>
      <c r="E43" s="1375" t="s">
        <v>113</v>
      </c>
      <c r="F43" s="1258" t="s">
        <v>333</v>
      </c>
      <c r="G43" s="1166">
        <v>397.1</v>
      </c>
      <c r="H43" s="1135"/>
      <c r="I43" s="1132"/>
      <c r="J43" s="1740" t="s">
        <v>214</v>
      </c>
      <c r="K43" s="274">
        <v>100</v>
      </c>
      <c r="L43" s="204"/>
      <c r="M43" s="1381"/>
    </row>
    <row r="44" spans="1:13" ht="14.9" customHeight="1" x14ac:dyDescent="0.25">
      <c r="A44" s="38"/>
      <c r="B44" s="63"/>
      <c r="C44" s="1685"/>
      <c r="D44" s="1521"/>
      <c r="E44" s="93" t="s">
        <v>40</v>
      </c>
      <c r="F44" s="1137" t="s">
        <v>331</v>
      </c>
      <c r="G44" s="1138">
        <v>117.1</v>
      </c>
      <c r="H44" s="1164"/>
      <c r="I44" s="1165"/>
      <c r="J44" s="1741"/>
      <c r="K44" s="455"/>
      <c r="L44" s="403"/>
      <c r="M44" s="393"/>
    </row>
    <row r="45" spans="1:13" ht="14.9" customHeight="1" x14ac:dyDescent="0.25">
      <c r="A45" s="38"/>
      <c r="B45" s="63"/>
      <c r="C45" s="1685"/>
      <c r="D45" s="1521"/>
      <c r="E45" s="1376" t="s">
        <v>160</v>
      </c>
      <c r="F45" s="1171"/>
      <c r="G45" s="1130"/>
      <c r="H45" s="1135"/>
      <c r="I45" s="1132"/>
      <c r="J45" s="1741"/>
      <c r="K45" s="184"/>
      <c r="L45" s="78"/>
      <c r="M45" s="80"/>
    </row>
    <row r="46" spans="1:13" ht="14.9" customHeight="1" x14ac:dyDescent="0.25">
      <c r="A46" s="38"/>
      <c r="B46" s="63"/>
      <c r="C46" s="1685"/>
      <c r="D46" s="1521"/>
      <c r="E46" s="343" t="s">
        <v>194</v>
      </c>
      <c r="F46" s="1271"/>
      <c r="G46" s="1130"/>
      <c r="H46" s="1135"/>
      <c r="I46" s="1132"/>
      <c r="J46" s="1741"/>
      <c r="K46" s="184"/>
      <c r="L46" s="78"/>
      <c r="M46" s="80"/>
    </row>
    <row r="47" spans="1:13" ht="14.9" customHeight="1" x14ac:dyDescent="0.25">
      <c r="A47" s="38"/>
      <c r="B47" s="63"/>
      <c r="C47" s="1685"/>
      <c r="D47" s="1521"/>
      <c r="E47" s="343" t="s">
        <v>125</v>
      </c>
      <c r="F47" s="1171"/>
      <c r="G47" s="1130"/>
      <c r="H47" s="1135"/>
      <c r="I47" s="1132"/>
      <c r="J47" s="1741"/>
      <c r="K47" s="184"/>
      <c r="L47" s="78"/>
      <c r="M47" s="80"/>
    </row>
    <row r="48" spans="1:13" ht="14.9" customHeight="1" x14ac:dyDescent="0.25">
      <c r="A48" s="38"/>
      <c r="B48" s="63"/>
      <c r="C48" s="1685"/>
      <c r="D48" s="1521"/>
      <c r="E48" s="343"/>
      <c r="F48" s="1167"/>
      <c r="G48" s="1168"/>
      <c r="H48" s="1135"/>
      <c r="I48" s="1170"/>
      <c r="J48" s="1742"/>
      <c r="K48" s="184"/>
      <c r="L48" s="78"/>
      <c r="M48" s="80"/>
    </row>
    <row r="49" spans="1:13" ht="15" customHeight="1" x14ac:dyDescent="0.25">
      <c r="A49" s="1461"/>
      <c r="B49" s="1462"/>
      <c r="C49" s="1664"/>
      <c r="D49" s="1493" t="s">
        <v>87</v>
      </c>
      <c r="E49" s="49" t="s">
        <v>113</v>
      </c>
      <c r="F49" s="1145" t="s">
        <v>333</v>
      </c>
      <c r="G49" s="1172">
        <v>56.9</v>
      </c>
      <c r="H49" s="1173"/>
      <c r="I49" s="1174"/>
      <c r="J49" s="361" t="s">
        <v>214</v>
      </c>
      <c r="K49" s="701">
        <v>100</v>
      </c>
      <c r="L49" s="702"/>
      <c r="M49" s="703"/>
    </row>
    <row r="50" spans="1:13" ht="15" customHeight="1" x14ac:dyDescent="0.25">
      <c r="A50" s="1461"/>
      <c r="B50" s="1462"/>
      <c r="C50" s="1664"/>
      <c r="D50" s="1494"/>
      <c r="E50" s="321" t="s">
        <v>40</v>
      </c>
      <c r="F50" s="1171"/>
      <c r="G50" s="1130"/>
      <c r="H50" s="1135"/>
      <c r="I50" s="1132"/>
      <c r="J50" s="1055"/>
      <c r="K50" s="185"/>
      <c r="L50" s="299"/>
      <c r="M50" s="138"/>
    </row>
    <row r="51" spans="1:13" ht="15" customHeight="1" x14ac:dyDescent="0.25">
      <c r="A51" s="1461"/>
      <c r="B51" s="1462"/>
      <c r="C51" s="1664"/>
      <c r="D51" s="1494"/>
      <c r="E51" s="343" t="s">
        <v>160</v>
      </c>
      <c r="F51" s="1171"/>
      <c r="G51" s="1130"/>
      <c r="H51" s="1135"/>
      <c r="I51" s="1132"/>
      <c r="J51" s="1055"/>
      <c r="K51" s="185"/>
      <c r="L51" s="299"/>
      <c r="M51" s="138"/>
    </row>
    <row r="52" spans="1:13" ht="15" customHeight="1" x14ac:dyDescent="0.25">
      <c r="A52" s="1461"/>
      <c r="B52" s="1462"/>
      <c r="C52" s="1664"/>
      <c r="D52" s="1357"/>
      <c r="E52" s="322" t="s">
        <v>125</v>
      </c>
      <c r="F52" s="1171"/>
      <c r="G52" s="1130"/>
      <c r="H52" s="1135"/>
      <c r="I52" s="1132"/>
      <c r="J52" s="114"/>
      <c r="K52" s="200"/>
      <c r="L52" s="177"/>
      <c r="M52" s="134"/>
    </row>
    <row r="53" spans="1:13" ht="15" customHeight="1" x14ac:dyDescent="0.25">
      <c r="A53" s="1461"/>
      <c r="B53" s="1462"/>
      <c r="C53" s="1664"/>
      <c r="D53" s="1357"/>
      <c r="E53" s="322" t="s">
        <v>194</v>
      </c>
      <c r="F53" s="1263"/>
      <c r="G53" s="1276"/>
      <c r="H53" s="1277"/>
      <c r="I53" s="1412"/>
      <c r="J53" s="223"/>
      <c r="K53" s="1452"/>
      <c r="L53" s="349"/>
      <c r="M53" s="551"/>
    </row>
    <row r="54" spans="1:13" ht="30" customHeight="1" x14ac:dyDescent="0.25">
      <c r="A54" s="1372"/>
      <c r="B54" s="1399"/>
      <c r="C54" s="44"/>
      <c r="D54" s="1480" t="s">
        <v>142</v>
      </c>
      <c r="E54" s="1375" t="s">
        <v>40</v>
      </c>
      <c r="F54" s="555" t="s">
        <v>333</v>
      </c>
      <c r="G54" s="202">
        <v>91.8</v>
      </c>
      <c r="H54" s="1438">
        <v>100</v>
      </c>
      <c r="I54" s="1439">
        <v>150</v>
      </c>
      <c r="J54" s="1453" t="s">
        <v>368</v>
      </c>
      <c r="K54" s="1454">
        <v>1</v>
      </c>
      <c r="L54" s="178"/>
      <c r="M54" s="65"/>
    </row>
    <row r="55" spans="1:13" ht="15" customHeight="1" x14ac:dyDescent="0.25">
      <c r="A55" s="1436"/>
      <c r="B55" s="1437"/>
      <c r="C55" s="44"/>
      <c r="D55" s="1521"/>
      <c r="E55" s="1441"/>
      <c r="F55" s="1440" t="s">
        <v>332</v>
      </c>
      <c r="G55" s="558"/>
      <c r="H55" s="88"/>
      <c r="I55" s="281">
        <v>500</v>
      </c>
      <c r="J55" s="226" t="s">
        <v>39</v>
      </c>
      <c r="K55" s="170" t="s">
        <v>367</v>
      </c>
      <c r="L55" s="176"/>
      <c r="M55" s="143"/>
    </row>
    <row r="56" spans="1:13" ht="27.75" customHeight="1" x14ac:dyDescent="0.25">
      <c r="A56" s="1372"/>
      <c r="B56" s="1399"/>
      <c r="C56" s="44"/>
      <c r="D56" s="1521"/>
      <c r="E56" s="343" t="s">
        <v>194</v>
      </c>
      <c r="F56" s="236"/>
      <c r="G56" s="1304"/>
      <c r="H56" s="1303"/>
      <c r="I56" s="686"/>
      <c r="J56" s="1459" t="s">
        <v>369</v>
      </c>
      <c r="K56" s="1455"/>
      <c r="L56" s="1456">
        <v>40</v>
      </c>
      <c r="M56" s="1428">
        <v>100</v>
      </c>
    </row>
    <row r="57" spans="1:13" ht="27" customHeight="1" x14ac:dyDescent="0.25">
      <c r="A57" s="1372"/>
      <c r="B57" s="1399"/>
      <c r="C57" s="44"/>
      <c r="D57" s="1481"/>
      <c r="E57" s="337" t="s">
        <v>125</v>
      </c>
      <c r="F57" s="1448"/>
      <c r="G57" s="1449"/>
      <c r="H57" s="1450"/>
      <c r="I57" s="1451"/>
      <c r="J57" s="224" t="s">
        <v>362</v>
      </c>
      <c r="K57" s="196"/>
      <c r="L57" s="179"/>
      <c r="M57" s="1460">
        <v>20</v>
      </c>
    </row>
    <row r="58" spans="1:13" ht="15" customHeight="1" x14ac:dyDescent="0.25">
      <c r="A58" s="1372"/>
      <c r="B58" s="1399"/>
      <c r="C58" s="1374"/>
      <c r="D58" s="1521" t="s">
        <v>304</v>
      </c>
      <c r="E58" s="92" t="s">
        <v>113</v>
      </c>
      <c r="F58" s="1268" t="s">
        <v>333</v>
      </c>
      <c r="G58" s="1161">
        <v>177.4</v>
      </c>
      <c r="H58" s="1162">
        <v>455.2</v>
      </c>
      <c r="I58" s="1163">
        <v>625.4</v>
      </c>
      <c r="J58" s="1470" t="s">
        <v>223</v>
      </c>
      <c r="K58" s="586">
        <v>15</v>
      </c>
      <c r="L58" s="284">
        <v>60</v>
      </c>
      <c r="M58" s="285">
        <v>100</v>
      </c>
    </row>
    <row r="59" spans="1:13" ht="15" customHeight="1" x14ac:dyDescent="0.25">
      <c r="A59" s="1372"/>
      <c r="B59" s="1399"/>
      <c r="C59" s="1374"/>
      <c r="D59" s="1521"/>
      <c r="E59" s="321" t="s">
        <v>194</v>
      </c>
      <c r="F59" s="1269" t="s">
        <v>332</v>
      </c>
      <c r="G59" s="1138">
        <v>200</v>
      </c>
      <c r="H59" s="1135">
        <v>200</v>
      </c>
      <c r="I59" s="1132">
        <v>200</v>
      </c>
      <c r="J59" s="1471"/>
      <c r="K59" s="320"/>
      <c r="L59" s="175"/>
      <c r="M59" s="297"/>
    </row>
    <row r="60" spans="1:13" ht="15" customHeight="1" x14ac:dyDescent="0.25">
      <c r="A60" s="1372"/>
      <c r="B60" s="1399"/>
      <c r="C60" s="1374"/>
      <c r="D60" s="1521"/>
      <c r="E60" s="1376" t="s">
        <v>125</v>
      </c>
      <c r="F60" s="1171"/>
      <c r="G60" s="1130"/>
      <c r="H60" s="1135"/>
      <c r="I60" s="1132"/>
      <c r="J60" s="1471"/>
      <c r="K60" s="320"/>
      <c r="L60" s="175"/>
      <c r="M60" s="66"/>
    </row>
    <row r="61" spans="1:13" ht="15" customHeight="1" x14ac:dyDescent="0.25">
      <c r="A61" s="1372"/>
      <c r="B61" s="1399"/>
      <c r="C61" s="1374"/>
      <c r="D61" s="1521"/>
      <c r="E61" s="321" t="s">
        <v>40</v>
      </c>
      <c r="F61" s="1171"/>
      <c r="G61" s="1168"/>
      <c r="H61" s="1135"/>
      <c r="I61" s="1170"/>
      <c r="J61" s="116"/>
      <c r="K61" s="311"/>
      <c r="L61" s="101"/>
      <c r="M61" s="133"/>
    </row>
    <row r="62" spans="1:13" ht="27" customHeight="1" x14ac:dyDescent="0.25">
      <c r="A62" s="1372"/>
      <c r="B62" s="1371"/>
      <c r="C62" s="41"/>
      <c r="D62" s="1668" t="s">
        <v>134</v>
      </c>
      <c r="E62" s="1375" t="s">
        <v>125</v>
      </c>
      <c r="F62" s="1145" t="s">
        <v>333</v>
      </c>
      <c r="G62" s="1179">
        <v>204.1</v>
      </c>
      <c r="H62" s="1162">
        <v>765.9</v>
      </c>
      <c r="I62" s="1163">
        <v>257.8</v>
      </c>
      <c r="J62" s="634" t="s">
        <v>277</v>
      </c>
      <c r="K62" s="257">
        <v>100</v>
      </c>
      <c r="L62" s="191"/>
      <c r="M62" s="81"/>
    </row>
    <row r="63" spans="1:13" ht="28.5" customHeight="1" x14ac:dyDescent="0.25">
      <c r="A63" s="1367"/>
      <c r="B63" s="1371"/>
      <c r="C63" s="42"/>
      <c r="D63" s="1663"/>
      <c r="E63" s="321" t="s">
        <v>113</v>
      </c>
      <c r="F63" s="1137" t="s">
        <v>334</v>
      </c>
      <c r="G63" s="1134">
        <v>103.1</v>
      </c>
      <c r="H63" s="1135"/>
      <c r="I63" s="1132"/>
      <c r="J63" s="238" t="s">
        <v>278</v>
      </c>
      <c r="K63" s="257">
        <v>70</v>
      </c>
      <c r="L63" s="266">
        <v>100</v>
      </c>
      <c r="M63" s="143"/>
    </row>
    <row r="64" spans="1:13" ht="27" customHeight="1" x14ac:dyDescent="0.25">
      <c r="A64" s="1367"/>
      <c r="B64" s="1399"/>
      <c r="C64" s="42"/>
      <c r="D64" s="1370"/>
      <c r="E64" s="321" t="s">
        <v>194</v>
      </c>
      <c r="F64" s="1137" t="s">
        <v>329</v>
      </c>
      <c r="G64" s="1138">
        <v>527.4</v>
      </c>
      <c r="H64" s="1164"/>
      <c r="I64" s="1165"/>
      <c r="J64" s="238" t="s">
        <v>279</v>
      </c>
      <c r="K64" s="257">
        <v>60</v>
      </c>
      <c r="L64" s="191">
        <v>100</v>
      </c>
      <c r="M64" s="81"/>
    </row>
    <row r="65" spans="1:18" ht="28.5" customHeight="1" x14ac:dyDescent="0.25">
      <c r="A65" s="1367"/>
      <c r="B65" s="1399"/>
      <c r="C65" s="42"/>
      <c r="D65" s="1370"/>
      <c r="E65" s="325" t="s">
        <v>40</v>
      </c>
      <c r="F65" s="1171"/>
      <c r="G65" s="1130"/>
      <c r="H65" s="1135"/>
      <c r="I65" s="1132"/>
      <c r="J65" s="238" t="s">
        <v>353</v>
      </c>
      <c r="K65" s="257">
        <v>35</v>
      </c>
      <c r="L65" s="176">
        <v>100</v>
      </c>
      <c r="M65" s="81"/>
    </row>
    <row r="66" spans="1:18" ht="27.75" customHeight="1" x14ac:dyDescent="0.25">
      <c r="A66" s="1367"/>
      <c r="B66" s="1399"/>
      <c r="C66" s="42"/>
      <c r="D66" s="1370"/>
      <c r="E66" s="105"/>
      <c r="F66" s="1171"/>
      <c r="G66" s="1175"/>
      <c r="H66" s="1135"/>
      <c r="I66" s="1132"/>
      <c r="J66" s="238" t="s">
        <v>280</v>
      </c>
      <c r="K66" s="257">
        <v>30</v>
      </c>
      <c r="L66" s="191">
        <v>100</v>
      </c>
      <c r="M66" s="81"/>
    </row>
    <row r="67" spans="1:18" ht="28.5" customHeight="1" x14ac:dyDescent="0.25">
      <c r="A67" s="1367"/>
      <c r="B67" s="1399"/>
      <c r="C67" s="42"/>
      <c r="D67" s="1370"/>
      <c r="E67" s="105"/>
      <c r="F67" s="1171"/>
      <c r="G67" s="1175"/>
      <c r="H67" s="1135"/>
      <c r="I67" s="1170"/>
      <c r="J67" s="227" t="s">
        <v>281</v>
      </c>
      <c r="K67" s="251">
        <v>20</v>
      </c>
      <c r="L67" s="192">
        <v>65</v>
      </c>
      <c r="M67" s="145">
        <v>100</v>
      </c>
    </row>
    <row r="68" spans="1:18" ht="15" customHeight="1" x14ac:dyDescent="0.25">
      <c r="A68" s="1367"/>
      <c r="B68" s="1399"/>
      <c r="C68" s="42"/>
      <c r="D68" s="1480" t="s">
        <v>177</v>
      </c>
      <c r="E68" s="92" t="s">
        <v>40</v>
      </c>
      <c r="F68" s="1225" t="s">
        <v>333</v>
      </c>
      <c r="G68" s="1161">
        <v>594.20000000000005</v>
      </c>
      <c r="H68" s="1162">
        <v>741.6</v>
      </c>
      <c r="I68" s="1163"/>
      <c r="J68" s="1390" t="s">
        <v>214</v>
      </c>
      <c r="K68" s="615">
        <v>35</v>
      </c>
      <c r="L68" s="438">
        <v>100</v>
      </c>
      <c r="M68" s="908"/>
    </row>
    <row r="69" spans="1:18" ht="15" customHeight="1" x14ac:dyDescent="0.25">
      <c r="A69" s="1367"/>
      <c r="B69" s="1399"/>
      <c r="C69" s="42"/>
      <c r="D69" s="1521"/>
      <c r="E69" s="321" t="s">
        <v>113</v>
      </c>
      <c r="F69" s="1270" t="s">
        <v>332</v>
      </c>
      <c r="G69" s="1138">
        <v>1200</v>
      </c>
      <c r="H69" s="1135">
        <v>600</v>
      </c>
      <c r="I69" s="1132"/>
      <c r="J69" s="1391"/>
      <c r="K69" s="185"/>
      <c r="L69" s="299"/>
      <c r="M69" s="138"/>
    </row>
    <row r="70" spans="1:18" ht="15" customHeight="1" x14ac:dyDescent="0.25">
      <c r="A70" s="1367"/>
      <c r="B70" s="1399"/>
      <c r="C70" s="42"/>
      <c r="D70" s="1521"/>
      <c r="E70" s="93" t="s">
        <v>194</v>
      </c>
      <c r="F70" s="1271"/>
      <c r="G70" s="1179"/>
      <c r="H70" s="1135"/>
      <c r="I70" s="1132"/>
      <c r="J70" s="634"/>
      <c r="K70" s="185"/>
      <c r="L70" s="299"/>
      <c r="M70" s="138"/>
    </row>
    <row r="71" spans="1:18" ht="15" customHeight="1" x14ac:dyDescent="0.25">
      <c r="A71" s="1367"/>
      <c r="B71" s="1399"/>
      <c r="C71" s="42"/>
      <c r="D71" s="1669"/>
      <c r="E71" s="1384" t="s">
        <v>125</v>
      </c>
      <c r="F71" s="1272"/>
      <c r="G71" s="1182"/>
      <c r="H71" s="1169"/>
      <c r="I71" s="1170"/>
      <c r="J71" s="116"/>
      <c r="K71" s="311"/>
      <c r="L71" s="101"/>
      <c r="M71" s="133"/>
    </row>
    <row r="72" spans="1:18" ht="14.25" customHeight="1" x14ac:dyDescent="0.25">
      <c r="A72" s="1367"/>
      <c r="B72" s="1399"/>
      <c r="C72" s="44"/>
      <c r="D72" s="1480" t="s">
        <v>92</v>
      </c>
      <c r="E72" s="92" t="s">
        <v>40</v>
      </c>
      <c r="F72" s="1244" t="s">
        <v>333</v>
      </c>
      <c r="G72" s="1161">
        <v>169.6</v>
      </c>
      <c r="H72" s="1162"/>
      <c r="I72" s="1163"/>
      <c r="J72" s="238" t="s">
        <v>214</v>
      </c>
      <c r="K72" s="320">
        <v>100</v>
      </c>
      <c r="L72" s="175"/>
      <c r="M72" s="66"/>
    </row>
    <row r="73" spans="1:18" ht="14.25" customHeight="1" x14ac:dyDescent="0.25">
      <c r="A73" s="1367"/>
      <c r="B73" s="1399"/>
      <c r="C73" s="44"/>
      <c r="D73" s="1521"/>
      <c r="E73" s="1376" t="s">
        <v>125</v>
      </c>
      <c r="F73" s="1153" t="s">
        <v>331</v>
      </c>
      <c r="G73" s="1179">
        <v>79.2</v>
      </c>
      <c r="H73" s="1164"/>
      <c r="I73" s="1165"/>
      <c r="J73" s="114"/>
      <c r="K73" s="200"/>
      <c r="L73" s="177"/>
      <c r="M73" s="134"/>
    </row>
    <row r="74" spans="1:18" ht="14.25" customHeight="1" x14ac:dyDescent="0.25">
      <c r="A74" s="1367"/>
      <c r="B74" s="1399"/>
      <c r="C74" s="44"/>
      <c r="D74" s="1481"/>
      <c r="E74" s="337" t="s">
        <v>194</v>
      </c>
      <c r="F74" s="1263"/>
      <c r="G74" s="1216"/>
      <c r="H74" s="1169"/>
      <c r="I74" s="1170"/>
      <c r="J74" s="224"/>
      <c r="K74" s="320"/>
      <c r="L74" s="175"/>
      <c r="M74" s="66"/>
    </row>
    <row r="75" spans="1:18" ht="15.65" customHeight="1" x14ac:dyDescent="0.25">
      <c r="A75" s="1367"/>
      <c r="B75" s="1399"/>
      <c r="C75" s="44"/>
      <c r="D75" s="1480" t="s">
        <v>191</v>
      </c>
      <c r="E75" s="766" t="s">
        <v>40</v>
      </c>
      <c r="F75" s="1292"/>
      <c r="G75" s="1293"/>
      <c r="H75" s="1173"/>
      <c r="I75" s="1174"/>
      <c r="J75" s="1470" t="s">
        <v>214</v>
      </c>
      <c r="K75" s="171">
        <v>100</v>
      </c>
      <c r="L75" s="178"/>
      <c r="M75" s="141"/>
    </row>
    <row r="76" spans="1:18" ht="15" customHeight="1" x14ac:dyDescent="0.25">
      <c r="A76" s="1367"/>
      <c r="B76" s="1399"/>
      <c r="C76" s="44"/>
      <c r="D76" s="1521"/>
      <c r="E76" s="1062" t="s">
        <v>194</v>
      </c>
      <c r="F76" s="1153" t="s">
        <v>331</v>
      </c>
      <c r="G76" s="1130">
        <f>86+28.7</f>
        <v>114.7</v>
      </c>
      <c r="H76" s="1135"/>
      <c r="I76" s="1132"/>
      <c r="J76" s="1471"/>
      <c r="K76" s="169"/>
      <c r="L76" s="175"/>
      <c r="M76" s="66"/>
    </row>
    <row r="77" spans="1:18" ht="15" customHeight="1" x14ac:dyDescent="0.25">
      <c r="A77" s="1367"/>
      <c r="B77" s="1399"/>
      <c r="C77" s="44"/>
      <c r="D77" s="1481"/>
      <c r="E77" s="1063" t="s">
        <v>125</v>
      </c>
      <c r="F77" s="1294"/>
      <c r="G77" s="1158"/>
      <c r="H77" s="1169"/>
      <c r="I77" s="1170"/>
      <c r="J77" s="1472"/>
      <c r="K77" s="196"/>
      <c r="L77" s="179"/>
      <c r="M77" s="67"/>
    </row>
    <row r="78" spans="1:18" ht="18" customHeight="1" x14ac:dyDescent="0.25">
      <c r="A78" s="1372"/>
      <c r="B78" s="1399"/>
      <c r="C78" s="41"/>
      <c r="D78" s="1493" t="s">
        <v>233</v>
      </c>
      <c r="E78" s="107" t="s">
        <v>194</v>
      </c>
      <c r="F78" s="1145" t="s">
        <v>333</v>
      </c>
      <c r="G78" s="1264">
        <v>30</v>
      </c>
      <c r="H78" s="1265">
        <v>30</v>
      </c>
      <c r="I78" s="1413">
        <v>30</v>
      </c>
      <c r="J78" s="1470" t="s">
        <v>72</v>
      </c>
      <c r="K78" s="195">
        <v>100</v>
      </c>
      <c r="L78" s="178">
        <v>100</v>
      </c>
      <c r="M78" s="65">
        <v>100</v>
      </c>
    </row>
    <row r="79" spans="1:18" ht="18" customHeight="1" x14ac:dyDescent="0.25">
      <c r="A79" s="1372"/>
      <c r="B79" s="1399"/>
      <c r="C79" s="41"/>
      <c r="D79" s="1663"/>
      <c r="E79" s="110"/>
      <c r="F79" s="1153"/>
      <c r="G79" s="1130"/>
      <c r="H79" s="1135"/>
      <c r="I79" s="1132"/>
      <c r="J79" s="1471"/>
      <c r="K79" s="320"/>
      <c r="L79" s="175"/>
      <c r="M79" s="66"/>
    </row>
    <row r="80" spans="1:18" s="6" customFormat="1" ht="18" customHeight="1" x14ac:dyDescent="0.25">
      <c r="A80" s="1372"/>
      <c r="B80" s="1399"/>
      <c r="C80" s="1374"/>
      <c r="D80" s="1552"/>
      <c r="E80" s="111"/>
      <c r="F80" s="1167"/>
      <c r="G80" s="1168"/>
      <c r="H80" s="1169"/>
      <c r="I80" s="1170"/>
      <c r="J80" s="1472"/>
      <c r="K80" s="458"/>
      <c r="L80" s="193"/>
      <c r="M80" s="144"/>
      <c r="O80" s="1337"/>
      <c r="P80" s="1337"/>
      <c r="Q80" s="1337"/>
      <c r="R80" s="1337"/>
    </row>
    <row r="81" spans="1:14" ht="15.75" customHeight="1" x14ac:dyDescent="0.25">
      <c r="A81" s="1372"/>
      <c r="B81" s="1371"/>
      <c r="C81" s="42"/>
      <c r="D81" s="96" t="s">
        <v>325</v>
      </c>
      <c r="E81" s="1376" t="s">
        <v>160</v>
      </c>
      <c r="F81" s="1188"/>
      <c r="G81" s="1267"/>
      <c r="H81" s="1169"/>
      <c r="I81" s="1170"/>
      <c r="J81" s="1056"/>
      <c r="K81" s="873"/>
      <c r="L81" s="207"/>
      <c r="M81" s="874"/>
    </row>
    <row r="82" spans="1:14" ht="15" customHeight="1" x14ac:dyDescent="0.25">
      <c r="A82" s="1372"/>
      <c r="B82" s="1371"/>
      <c r="C82" s="42"/>
      <c r="D82" s="718" t="s">
        <v>195</v>
      </c>
      <c r="E82" s="107" t="s">
        <v>194</v>
      </c>
      <c r="F82" s="1258" t="s">
        <v>333</v>
      </c>
      <c r="G82" s="1161">
        <v>20</v>
      </c>
      <c r="H82" s="1162">
        <v>20</v>
      </c>
      <c r="I82" s="1132">
        <v>20</v>
      </c>
      <c r="J82" s="634" t="s">
        <v>261</v>
      </c>
      <c r="K82" s="558">
        <v>10.5</v>
      </c>
      <c r="L82" s="1397">
        <v>9</v>
      </c>
      <c r="M82" s="1398">
        <v>8.6</v>
      </c>
    </row>
    <row r="83" spans="1:14" ht="15" customHeight="1" x14ac:dyDescent="0.25">
      <c r="A83" s="1372"/>
      <c r="B83" s="1371"/>
      <c r="C83" s="44"/>
      <c r="D83" s="1357" t="s">
        <v>262</v>
      </c>
      <c r="E83" s="325" t="s">
        <v>125</v>
      </c>
      <c r="F83" s="1171" t="s">
        <v>332</v>
      </c>
      <c r="G83" s="1166">
        <v>525</v>
      </c>
      <c r="H83" s="1135">
        <v>540</v>
      </c>
      <c r="I83" s="1165">
        <v>602</v>
      </c>
      <c r="J83" s="340"/>
      <c r="K83" s="340"/>
      <c r="L83" s="1075"/>
      <c r="M83" s="1072"/>
    </row>
    <row r="84" spans="1:14" ht="15" customHeight="1" x14ac:dyDescent="0.25">
      <c r="A84" s="1372"/>
      <c r="B84" s="1371"/>
      <c r="C84" s="44"/>
      <c r="D84" s="719" t="s">
        <v>183</v>
      </c>
      <c r="E84" s="105"/>
      <c r="F84" s="1301"/>
      <c r="G84" s="1304"/>
      <c r="H84" s="1303"/>
      <c r="I84" s="1403"/>
      <c r="J84" s="634"/>
      <c r="K84" s="91"/>
      <c r="L84" s="1397"/>
      <c r="M84" s="13"/>
    </row>
    <row r="85" spans="1:14" ht="15" customHeight="1" x14ac:dyDescent="0.25">
      <c r="A85" s="1372"/>
      <c r="B85" s="1371"/>
      <c r="C85" s="42"/>
      <c r="D85" s="719" t="s">
        <v>196</v>
      </c>
      <c r="E85" s="325"/>
      <c r="F85" s="1301"/>
      <c r="G85" s="1302"/>
      <c r="H85" s="1303"/>
      <c r="I85" s="1403"/>
      <c r="J85" s="1365"/>
      <c r="K85" s="91"/>
      <c r="L85" s="1397"/>
      <c r="M85" s="13"/>
    </row>
    <row r="86" spans="1:14" ht="15" customHeight="1" x14ac:dyDescent="0.25">
      <c r="A86" s="1372"/>
      <c r="B86" s="1371"/>
      <c r="C86" s="42"/>
      <c r="D86" s="719" t="s">
        <v>268</v>
      </c>
      <c r="F86" s="1301"/>
      <c r="G86" s="1304"/>
      <c r="H86" s="1303"/>
      <c r="I86" s="1403"/>
      <c r="J86" s="1365"/>
      <c r="K86" s="91"/>
      <c r="L86" s="1397"/>
      <c r="M86" s="13"/>
    </row>
    <row r="87" spans="1:14" ht="15.75" customHeight="1" x14ac:dyDescent="0.25">
      <c r="A87" s="1372"/>
      <c r="B87" s="1371"/>
      <c r="C87" s="42"/>
      <c r="D87" s="719" t="s">
        <v>230</v>
      </c>
      <c r="E87" s="325"/>
      <c r="F87" s="1301"/>
      <c r="G87" s="1302"/>
      <c r="H87" s="1303"/>
      <c r="I87" s="1403"/>
      <c r="J87" s="1365"/>
      <c r="K87" s="91"/>
      <c r="L87" s="1397"/>
      <c r="M87" s="13"/>
    </row>
    <row r="88" spans="1:14" ht="15" customHeight="1" x14ac:dyDescent="0.25">
      <c r="A88" s="1372"/>
      <c r="B88" s="1371"/>
      <c r="C88" s="42"/>
      <c r="D88" s="719" t="s">
        <v>197</v>
      </c>
      <c r="E88" s="325"/>
      <c r="F88" s="1301"/>
      <c r="G88" s="1302"/>
      <c r="H88" s="1303"/>
      <c r="I88" s="1406"/>
      <c r="J88" s="1365"/>
      <c r="K88" s="91"/>
      <c r="L88" s="1397"/>
      <c r="M88" s="13"/>
    </row>
    <row r="89" spans="1:14" ht="15.75" customHeight="1" x14ac:dyDescent="0.25">
      <c r="A89" s="1372"/>
      <c r="B89" s="1371"/>
      <c r="C89" s="42"/>
      <c r="D89" s="1466" t="s">
        <v>305</v>
      </c>
      <c r="E89" s="1375" t="s">
        <v>160</v>
      </c>
      <c r="F89" s="1145" t="s">
        <v>332</v>
      </c>
      <c r="G89" s="1246">
        <f>500</f>
        <v>500</v>
      </c>
      <c r="H89" s="1173">
        <f>500</f>
        <v>500</v>
      </c>
      <c r="I89" s="1174">
        <f>500</f>
        <v>500</v>
      </c>
      <c r="J89" s="1470" t="s">
        <v>264</v>
      </c>
      <c r="K89" s="847">
        <v>0.5</v>
      </c>
      <c r="L89" s="1382">
        <v>0.5</v>
      </c>
      <c r="M89" s="848">
        <v>0.5</v>
      </c>
    </row>
    <row r="90" spans="1:14" ht="15.75" customHeight="1" x14ac:dyDescent="0.25">
      <c r="A90" s="1372"/>
      <c r="B90" s="1371"/>
      <c r="C90" s="42"/>
      <c r="D90" s="1467"/>
      <c r="E90" s="1376" t="s">
        <v>194</v>
      </c>
      <c r="F90" s="1141"/>
      <c r="G90" s="1189"/>
      <c r="H90" s="1152"/>
      <c r="I90" s="1132"/>
      <c r="J90" s="1510"/>
      <c r="K90" s="424"/>
      <c r="L90" s="898"/>
      <c r="M90" s="1076"/>
    </row>
    <row r="91" spans="1:14" ht="15.75" customHeight="1" x14ac:dyDescent="0.25">
      <c r="A91" s="1372"/>
      <c r="B91" s="1371"/>
      <c r="C91" s="42"/>
      <c r="D91" s="1467"/>
      <c r="E91" s="325" t="s">
        <v>125</v>
      </c>
      <c r="F91" s="1171" t="s">
        <v>333</v>
      </c>
      <c r="G91" s="1256">
        <v>549.79999999999995</v>
      </c>
      <c r="H91" s="1256">
        <v>550</v>
      </c>
      <c r="I91" s="1165">
        <v>550</v>
      </c>
      <c r="J91" s="1605" t="s">
        <v>265</v>
      </c>
      <c r="K91" s="1388">
        <v>39</v>
      </c>
      <c r="L91" s="1389">
        <v>39</v>
      </c>
      <c r="M91" s="1078">
        <v>39</v>
      </c>
    </row>
    <row r="92" spans="1:14" ht="15.75" customHeight="1" x14ac:dyDescent="0.25">
      <c r="A92" s="1372"/>
      <c r="B92" s="1371"/>
      <c r="C92" s="42"/>
      <c r="D92" s="1467"/>
      <c r="E92" s="1376"/>
      <c r="F92" s="1171"/>
      <c r="G92" s="1166"/>
      <c r="H92" s="1166"/>
      <c r="I92" s="1132"/>
      <c r="J92" s="1510"/>
      <c r="K92" s="1073"/>
      <c r="L92" s="1079"/>
      <c r="M92" s="1080"/>
      <c r="N92" s="340"/>
    </row>
    <row r="93" spans="1:14" ht="15.75" customHeight="1" x14ac:dyDescent="0.25">
      <c r="A93" s="1372"/>
      <c r="B93" s="1371"/>
      <c r="C93" s="42"/>
      <c r="D93" s="1467"/>
      <c r="E93" s="720"/>
      <c r="F93" s="1171"/>
      <c r="G93" s="1189"/>
      <c r="H93" s="1135"/>
      <c r="I93" s="1180"/>
      <c r="J93" s="1380" t="s">
        <v>266</v>
      </c>
      <c r="K93" s="1077">
        <v>13</v>
      </c>
      <c r="L93" s="296">
        <v>13</v>
      </c>
      <c r="M93" s="851">
        <v>13</v>
      </c>
    </row>
    <row r="94" spans="1:14" ht="31.5" customHeight="1" x14ac:dyDescent="0.25">
      <c r="A94" s="1372"/>
      <c r="B94" s="1371"/>
      <c r="C94" s="42"/>
      <c r="D94" s="1363"/>
      <c r="E94" s="325"/>
      <c r="F94" s="1186" t="s">
        <v>333</v>
      </c>
      <c r="G94" s="1130">
        <f>500-100</f>
        <v>400</v>
      </c>
      <c r="H94" s="1187">
        <f>500-100</f>
        <v>400</v>
      </c>
      <c r="I94" s="1170">
        <f>500-100</f>
        <v>400</v>
      </c>
      <c r="J94" s="849" t="s">
        <v>267</v>
      </c>
      <c r="K94" s="974">
        <v>17.600000000000001</v>
      </c>
      <c r="L94" s="261">
        <v>17.600000000000001</v>
      </c>
      <c r="M94" s="1081">
        <v>17.600000000000001</v>
      </c>
    </row>
    <row r="95" spans="1:14" ht="15" customHeight="1" x14ac:dyDescent="0.25">
      <c r="A95" s="1473"/>
      <c r="B95" s="1462"/>
      <c r="C95" s="1475"/>
      <c r="D95" s="1493" t="s">
        <v>97</v>
      </c>
      <c r="E95" s="1375" t="s">
        <v>160</v>
      </c>
      <c r="F95" s="1258" t="s">
        <v>332</v>
      </c>
      <c r="G95" s="1161">
        <v>205</v>
      </c>
      <c r="H95" s="1162"/>
      <c r="I95" s="1163"/>
      <c r="J95" s="1470" t="s">
        <v>310</v>
      </c>
      <c r="K95" s="847">
        <v>15.5</v>
      </c>
      <c r="L95" s="1382">
        <v>15.5</v>
      </c>
      <c r="M95" s="848">
        <v>15.5</v>
      </c>
    </row>
    <row r="96" spans="1:14" ht="15" customHeight="1" x14ac:dyDescent="0.25">
      <c r="A96" s="1473"/>
      <c r="B96" s="1462"/>
      <c r="C96" s="1475"/>
      <c r="D96" s="1494"/>
      <c r="E96" s="1376" t="s">
        <v>194</v>
      </c>
      <c r="F96" s="1259" t="s">
        <v>333</v>
      </c>
      <c r="G96" s="1138">
        <v>381.1</v>
      </c>
      <c r="H96" s="1164">
        <v>586.1</v>
      </c>
      <c r="I96" s="1165">
        <f>+H96</f>
        <v>586.1</v>
      </c>
      <c r="J96" s="1471"/>
      <c r="K96" s="150"/>
      <c r="L96" s="200"/>
      <c r="M96" s="1072"/>
      <c r="N96" s="340"/>
    </row>
    <row r="97" spans="1:13" ht="15" customHeight="1" x14ac:dyDescent="0.25">
      <c r="A97" s="1473"/>
      <c r="B97" s="1462"/>
      <c r="C97" s="1475"/>
      <c r="D97" s="1494"/>
      <c r="E97" s="1376" t="s">
        <v>125</v>
      </c>
      <c r="F97" s="1260"/>
      <c r="G97" s="1189"/>
      <c r="H97" s="1152"/>
      <c r="I97" s="1180"/>
      <c r="J97" s="1380"/>
      <c r="K97" s="318"/>
      <c r="L97" s="318"/>
      <c r="M97" s="275"/>
    </row>
    <row r="98" spans="1:13" ht="20.25" customHeight="1" x14ac:dyDescent="0.25">
      <c r="A98" s="1473"/>
      <c r="B98" s="1462"/>
      <c r="C98" s="1475"/>
      <c r="D98" s="1494"/>
      <c r="E98" s="1376"/>
      <c r="F98" s="1261" t="s">
        <v>332</v>
      </c>
      <c r="G98" s="1134">
        <v>590</v>
      </c>
      <c r="H98" s="1152">
        <v>500</v>
      </c>
      <c r="I98" s="1180">
        <v>500</v>
      </c>
      <c r="J98" s="1605" t="s">
        <v>311</v>
      </c>
      <c r="K98" s="1499">
        <v>12.1</v>
      </c>
      <c r="L98" s="1501">
        <v>8</v>
      </c>
      <c r="M98" s="685">
        <v>8</v>
      </c>
    </row>
    <row r="99" spans="1:13" ht="18.75" customHeight="1" x14ac:dyDescent="0.25">
      <c r="A99" s="1473"/>
      <c r="B99" s="1462"/>
      <c r="C99" s="1475"/>
      <c r="D99" s="1494"/>
      <c r="E99" s="1376"/>
      <c r="F99" s="1262" t="s">
        <v>333</v>
      </c>
      <c r="G99" s="1256">
        <v>205</v>
      </c>
      <c r="H99" s="1131"/>
      <c r="I99" s="1136"/>
      <c r="J99" s="1471"/>
      <c r="K99" s="1500"/>
      <c r="L99" s="1502"/>
      <c r="M99" s="852"/>
    </row>
    <row r="100" spans="1:13" ht="15" customHeight="1" x14ac:dyDescent="0.25">
      <c r="A100" s="1372"/>
      <c r="B100" s="1371"/>
      <c r="C100" s="1374"/>
      <c r="D100" s="1357"/>
      <c r="E100" s="1376"/>
      <c r="F100" s="1141" t="s">
        <v>333</v>
      </c>
      <c r="G100" s="1134">
        <v>40</v>
      </c>
      <c r="H100" s="1152"/>
      <c r="I100" s="1180"/>
      <c r="J100" s="226" t="s">
        <v>39</v>
      </c>
      <c r="K100" s="451">
        <v>1</v>
      </c>
      <c r="L100" s="198"/>
      <c r="M100" s="143"/>
    </row>
    <row r="101" spans="1:13" ht="15" customHeight="1" x14ac:dyDescent="0.25">
      <c r="A101" s="1372"/>
      <c r="B101" s="1371"/>
      <c r="C101" s="1374"/>
      <c r="D101" s="1357"/>
      <c r="E101" s="1376"/>
      <c r="F101" s="1171" t="s">
        <v>333</v>
      </c>
      <c r="G101" s="1134"/>
      <c r="H101" s="1135">
        <v>300</v>
      </c>
      <c r="I101" s="1132">
        <v>300</v>
      </c>
      <c r="J101" s="226" t="s">
        <v>214</v>
      </c>
      <c r="K101" s="320"/>
      <c r="L101" s="175">
        <v>50</v>
      </c>
      <c r="M101" s="297">
        <v>100</v>
      </c>
    </row>
    <row r="102" spans="1:13" ht="15" customHeight="1" x14ac:dyDescent="0.25">
      <c r="A102" s="1372"/>
      <c r="B102" s="1371"/>
      <c r="C102" s="1374"/>
      <c r="D102" s="1357"/>
      <c r="E102" s="1376"/>
      <c r="F102" s="1151" t="s">
        <v>333</v>
      </c>
      <c r="G102" s="1332">
        <v>22</v>
      </c>
      <c r="H102" s="1131"/>
      <c r="I102" s="1136"/>
      <c r="J102" s="247" t="s">
        <v>39</v>
      </c>
      <c r="K102" s="170">
        <v>1</v>
      </c>
      <c r="L102" s="176"/>
      <c r="M102" s="143"/>
    </row>
    <row r="103" spans="1:13" ht="15" customHeight="1" x14ac:dyDescent="0.25">
      <c r="A103" s="1372"/>
      <c r="B103" s="1371"/>
      <c r="C103" s="1374"/>
      <c r="D103" s="1357"/>
      <c r="E103" s="1376"/>
      <c r="F103" s="1171" t="s">
        <v>333</v>
      </c>
      <c r="G103" s="1166"/>
      <c r="H103" s="1135">
        <v>502.4</v>
      </c>
      <c r="I103" s="1132"/>
      <c r="J103" s="634" t="s">
        <v>214</v>
      </c>
      <c r="K103" s="320"/>
      <c r="L103" s="175">
        <v>100</v>
      </c>
      <c r="M103" s="297"/>
    </row>
    <row r="104" spans="1:13" ht="15.75" customHeight="1" x14ac:dyDescent="0.25">
      <c r="A104" s="1372"/>
      <c r="B104" s="1371"/>
      <c r="C104" s="1374"/>
      <c r="D104" s="1493" t="s">
        <v>242</v>
      </c>
      <c r="E104" s="107" t="s">
        <v>194</v>
      </c>
      <c r="F104" s="1145" t="s">
        <v>333</v>
      </c>
      <c r="G104" s="1172">
        <v>307.5</v>
      </c>
      <c r="H104" s="1173">
        <v>307.5</v>
      </c>
      <c r="I104" s="1174">
        <v>307.5</v>
      </c>
      <c r="J104" s="1470" t="s">
        <v>76</v>
      </c>
      <c r="K104" s="195">
        <v>2</v>
      </c>
      <c r="L104" s="178">
        <v>2</v>
      </c>
      <c r="M104" s="65">
        <v>2</v>
      </c>
    </row>
    <row r="105" spans="1:13" ht="16.5" customHeight="1" x14ac:dyDescent="0.25">
      <c r="A105" s="1372"/>
      <c r="B105" s="1371"/>
      <c r="C105" s="1374"/>
      <c r="D105" s="1495"/>
      <c r="E105" s="325" t="s">
        <v>125</v>
      </c>
      <c r="F105" s="1167"/>
      <c r="G105" s="1168"/>
      <c r="H105" s="1169"/>
      <c r="I105" s="1170"/>
      <c r="J105" s="1472"/>
      <c r="K105" s="196"/>
      <c r="L105" s="179"/>
      <c r="M105" s="67"/>
    </row>
    <row r="106" spans="1:13" ht="15" customHeight="1" x14ac:dyDescent="0.25">
      <c r="A106" s="1367"/>
      <c r="B106" s="1371"/>
      <c r="C106" s="44"/>
      <c r="D106" s="1480" t="s">
        <v>33</v>
      </c>
      <c r="E106" s="107" t="s">
        <v>194</v>
      </c>
      <c r="F106" s="1401" t="s">
        <v>332</v>
      </c>
      <c r="G106" s="1166">
        <v>160.80000000000001</v>
      </c>
      <c r="H106" s="1152">
        <v>170</v>
      </c>
      <c r="I106" s="1132">
        <v>170</v>
      </c>
      <c r="J106" s="351" t="s">
        <v>96</v>
      </c>
      <c r="K106" s="171">
        <v>16</v>
      </c>
      <c r="L106" s="195">
        <v>16</v>
      </c>
      <c r="M106" s="141">
        <v>16</v>
      </c>
    </row>
    <row r="107" spans="1:13" ht="15" customHeight="1" x14ac:dyDescent="0.25">
      <c r="A107" s="1367"/>
      <c r="B107" s="1371"/>
      <c r="C107" s="44"/>
      <c r="D107" s="1521"/>
      <c r="E107" s="325"/>
      <c r="F107" s="1137" t="s">
        <v>333</v>
      </c>
      <c r="G107" s="1134">
        <v>111.6</v>
      </c>
      <c r="H107" s="1131">
        <v>100</v>
      </c>
      <c r="I107" s="1136">
        <v>100</v>
      </c>
      <c r="J107" s="247"/>
      <c r="K107" s="674"/>
      <c r="L107" s="675"/>
      <c r="M107" s="679"/>
    </row>
    <row r="108" spans="1:13" ht="16.5" customHeight="1" x14ac:dyDescent="0.25">
      <c r="A108" s="1367"/>
      <c r="B108" s="1371"/>
      <c r="C108" s="44"/>
      <c r="D108" s="1521"/>
      <c r="E108" s="105"/>
      <c r="F108" s="1186" t="s">
        <v>333</v>
      </c>
      <c r="G108" s="1227">
        <v>492.9</v>
      </c>
      <c r="H108" s="1155">
        <v>234.1</v>
      </c>
      <c r="I108" s="1192"/>
      <c r="J108" s="227" t="s">
        <v>214</v>
      </c>
      <c r="K108" s="196">
        <v>65</v>
      </c>
      <c r="L108" s="179">
        <v>100</v>
      </c>
      <c r="M108" s="67"/>
    </row>
    <row r="109" spans="1:13" ht="14.25" customHeight="1" x14ac:dyDescent="0.25">
      <c r="A109" s="1367"/>
      <c r="B109" s="1399"/>
      <c r="C109" s="41"/>
      <c r="D109" s="1480" t="s">
        <v>109</v>
      </c>
      <c r="E109" s="49" t="s">
        <v>194</v>
      </c>
      <c r="F109" s="1225" t="s">
        <v>332</v>
      </c>
      <c r="G109" s="1172">
        <v>8</v>
      </c>
      <c r="H109" s="1173">
        <v>8</v>
      </c>
      <c r="I109" s="1174">
        <v>8</v>
      </c>
      <c r="J109" s="1057" t="s">
        <v>269</v>
      </c>
      <c r="K109" s="714">
        <v>10</v>
      </c>
      <c r="L109" s="715">
        <v>10</v>
      </c>
      <c r="M109" s="716">
        <v>10</v>
      </c>
    </row>
    <row r="110" spans="1:13" ht="15" customHeight="1" x14ac:dyDescent="0.25">
      <c r="A110" s="1367"/>
      <c r="B110" s="1399"/>
      <c r="C110" s="41"/>
      <c r="D110" s="1481"/>
      <c r="E110" s="70"/>
      <c r="F110" s="1157"/>
      <c r="G110" s="1168"/>
      <c r="H110" s="1169"/>
      <c r="I110" s="1170"/>
      <c r="J110" s="223"/>
      <c r="K110" s="196"/>
      <c r="L110" s="179"/>
      <c r="M110" s="67"/>
    </row>
    <row r="111" spans="1:13" ht="15" customHeight="1" x14ac:dyDescent="0.25">
      <c r="A111" s="1367"/>
      <c r="B111" s="1399"/>
      <c r="C111" s="41"/>
      <c r="D111" s="1480" t="s">
        <v>307</v>
      </c>
      <c r="E111" s="49" t="s">
        <v>40</v>
      </c>
      <c r="F111" s="1244" t="s">
        <v>333</v>
      </c>
      <c r="G111" s="1161">
        <v>14</v>
      </c>
      <c r="H111" s="1162">
        <v>100</v>
      </c>
      <c r="I111" s="1163">
        <v>167.1</v>
      </c>
      <c r="J111" s="1058" t="s">
        <v>59</v>
      </c>
      <c r="K111" s="320">
        <v>1</v>
      </c>
      <c r="L111" s="190"/>
      <c r="M111" s="142"/>
    </row>
    <row r="112" spans="1:13" ht="15" customHeight="1" x14ac:dyDescent="0.25">
      <c r="A112" s="1367"/>
      <c r="B112" s="1399"/>
      <c r="C112" s="41"/>
      <c r="D112" s="1521"/>
      <c r="E112" s="343" t="s">
        <v>125</v>
      </c>
      <c r="F112" s="1239" t="s">
        <v>332</v>
      </c>
      <c r="G112" s="1138"/>
      <c r="H112" s="1135">
        <v>500</v>
      </c>
      <c r="I112" s="1132">
        <v>400</v>
      </c>
      <c r="J112" s="770" t="s">
        <v>214</v>
      </c>
      <c r="K112" s="257"/>
      <c r="L112" s="175">
        <v>60</v>
      </c>
      <c r="M112" s="66">
        <v>100</v>
      </c>
    </row>
    <row r="113" spans="1:18" ht="15.75" customHeight="1" x14ac:dyDescent="0.25">
      <c r="A113" s="1367"/>
      <c r="B113" s="1399"/>
      <c r="C113" s="41"/>
      <c r="D113" s="1521"/>
      <c r="E113" s="1070" t="s">
        <v>194</v>
      </c>
      <c r="F113" s="1157"/>
      <c r="G113" s="1216"/>
      <c r="H113" s="1217"/>
      <c r="I113" s="1414"/>
      <c r="J113" s="116"/>
      <c r="K113" s="311"/>
      <c r="L113" s="101"/>
      <c r="M113" s="133"/>
    </row>
    <row r="114" spans="1:18" ht="18" customHeight="1" x14ac:dyDescent="0.25">
      <c r="A114" s="1367"/>
      <c r="B114" s="1399"/>
      <c r="C114" s="41"/>
      <c r="D114" s="1480" t="s">
        <v>298</v>
      </c>
      <c r="E114" s="49" t="s">
        <v>194</v>
      </c>
      <c r="F114" s="1244" t="s">
        <v>333</v>
      </c>
      <c r="G114" s="1246">
        <v>722.6</v>
      </c>
      <c r="H114" s="1173">
        <v>550</v>
      </c>
      <c r="I114" s="1163">
        <v>663.5</v>
      </c>
      <c r="J114" s="770" t="s">
        <v>214</v>
      </c>
      <c r="K114" s="1083">
        <v>40</v>
      </c>
      <c r="L114" s="475">
        <v>70</v>
      </c>
      <c r="M114" s="1084">
        <v>100</v>
      </c>
    </row>
    <row r="115" spans="1:18" ht="18" customHeight="1" x14ac:dyDescent="0.25">
      <c r="A115" s="1367"/>
      <c r="B115" s="1399"/>
      <c r="C115" s="41"/>
      <c r="D115" s="1521"/>
      <c r="E115" s="102" t="s">
        <v>40</v>
      </c>
      <c r="F115" s="1239" t="s">
        <v>332</v>
      </c>
      <c r="G115" s="1138">
        <v>400</v>
      </c>
      <c r="H115" s="1164">
        <v>800</v>
      </c>
      <c r="I115" s="1165">
        <v>800</v>
      </c>
      <c r="J115" s="769"/>
      <c r="K115" s="169"/>
      <c r="L115" s="175"/>
      <c r="M115" s="297"/>
    </row>
    <row r="116" spans="1:18" ht="18" customHeight="1" x14ac:dyDescent="0.25">
      <c r="A116" s="1367"/>
      <c r="B116" s="1399"/>
      <c r="C116" s="41"/>
      <c r="D116" s="1521"/>
      <c r="E116" s="1082" t="s">
        <v>125</v>
      </c>
      <c r="F116" s="1133"/>
      <c r="G116" s="1168"/>
      <c r="H116" s="1169"/>
      <c r="I116" s="1170"/>
      <c r="K116" s="136"/>
      <c r="L116" s="288"/>
      <c r="M116" s="771"/>
      <c r="N116" s="340"/>
    </row>
    <row r="117" spans="1:18" ht="15" customHeight="1" x14ac:dyDescent="0.25">
      <c r="A117" s="1367"/>
      <c r="B117" s="1371"/>
      <c r="C117" s="131"/>
      <c r="D117" s="1361" t="s">
        <v>165</v>
      </c>
      <c r="E117" s="1376" t="s">
        <v>125</v>
      </c>
      <c r="F117" s="1244"/>
      <c r="G117" s="1161"/>
      <c r="H117" s="1173"/>
      <c r="I117" s="1174"/>
      <c r="J117" s="673"/>
      <c r="K117" s="195"/>
      <c r="L117" s="178"/>
      <c r="M117" s="65"/>
    </row>
    <row r="118" spans="1:18" ht="15" customHeight="1" x14ac:dyDescent="0.25">
      <c r="A118" s="1367"/>
      <c r="B118" s="1371"/>
      <c r="C118" s="131"/>
      <c r="D118" s="1358" t="s">
        <v>312</v>
      </c>
      <c r="E118" s="581" t="s">
        <v>194</v>
      </c>
      <c r="F118" s="1239" t="s">
        <v>332</v>
      </c>
      <c r="G118" s="1138">
        <v>103</v>
      </c>
      <c r="H118" s="1248"/>
      <c r="I118" s="1249"/>
      <c r="J118" s="425" t="s">
        <v>214</v>
      </c>
      <c r="K118" s="476">
        <v>100</v>
      </c>
      <c r="L118" s="477"/>
      <c r="M118" s="478"/>
    </row>
    <row r="119" spans="1:18" s="2" customFormat="1" ht="15" customHeight="1" x14ac:dyDescent="0.25">
      <c r="A119" s="1367"/>
      <c r="B119" s="1371"/>
      <c r="C119" s="426"/>
      <c r="D119" s="1358" t="s">
        <v>184</v>
      </c>
      <c r="E119" s="581" t="s">
        <v>192</v>
      </c>
      <c r="F119" s="1239" t="s">
        <v>332</v>
      </c>
      <c r="G119" s="1250">
        <v>260</v>
      </c>
      <c r="H119" s="1251"/>
      <c r="I119" s="1312"/>
      <c r="J119" s="770" t="s">
        <v>214</v>
      </c>
      <c r="K119" s="1077">
        <v>100</v>
      </c>
      <c r="L119" s="1308"/>
      <c r="M119" s="884"/>
      <c r="N119" s="340"/>
      <c r="O119" s="1211"/>
      <c r="P119" s="1211"/>
      <c r="Q119" s="1211"/>
      <c r="R119" s="1211"/>
    </row>
    <row r="120" spans="1:18" s="2" customFormat="1" ht="15" customHeight="1" x14ac:dyDescent="0.25">
      <c r="A120" s="1367"/>
      <c r="B120" s="1371"/>
      <c r="C120" s="426"/>
      <c r="D120" s="1486" t="s">
        <v>166</v>
      </c>
      <c r="E120" s="581" t="s">
        <v>192</v>
      </c>
      <c r="F120" s="1151" t="s">
        <v>334</v>
      </c>
      <c r="G120" s="1310"/>
      <c r="H120" s="1131">
        <v>49.4</v>
      </c>
      <c r="I120" s="1415"/>
      <c r="J120" s="770" t="s">
        <v>214</v>
      </c>
      <c r="K120" s="366"/>
      <c r="L120" s="552">
        <v>100</v>
      </c>
      <c r="M120" s="1313"/>
      <c r="N120" s="1"/>
      <c r="O120" s="1071"/>
      <c r="P120" s="1211"/>
      <c r="Q120" s="1211"/>
      <c r="R120" s="1211"/>
    </row>
    <row r="121" spans="1:18" s="2" customFormat="1" ht="15" customHeight="1" x14ac:dyDescent="0.25">
      <c r="A121" s="1367"/>
      <c r="B121" s="1371"/>
      <c r="C121" s="426"/>
      <c r="D121" s="1736"/>
      <c r="E121" s="427"/>
      <c r="F121" s="1252" t="s">
        <v>332</v>
      </c>
      <c r="G121" s="1253"/>
      <c r="H121" s="1187">
        <f>820-H120</f>
        <v>770.6</v>
      </c>
      <c r="I121" s="1416"/>
      <c r="J121" s="223"/>
      <c r="K121" s="137"/>
      <c r="L121" s="553"/>
      <c r="M121" s="931"/>
      <c r="N121" s="1"/>
      <c r="O121" s="1071"/>
      <c r="P121" s="1211"/>
      <c r="Q121" s="1211"/>
      <c r="R121" s="1211"/>
    </row>
    <row r="122" spans="1:18" ht="15" customHeight="1" x14ac:dyDescent="0.25">
      <c r="A122" s="1367"/>
      <c r="B122" s="1371"/>
      <c r="C122" s="131"/>
      <c r="D122" s="1480" t="s">
        <v>185</v>
      </c>
      <c r="E122" s="49" t="s">
        <v>40</v>
      </c>
      <c r="F122" s="1133" t="s">
        <v>333</v>
      </c>
      <c r="G122" s="1189">
        <f>154.3-100</f>
        <v>54.3</v>
      </c>
      <c r="H122" s="1135">
        <v>100</v>
      </c>
      <c r="I122" s="1180"/>
      <c r="J122" s="1057" t="s">
        <v>214</v>
      </c>
      <c r="K122" s="320">
        <v>99</v>
      </c>
      <c r="L122" s="175">
        <v>100</v>
      </c>
      <c r="M122" s="66"/>
    </row>
    <row r="123" spans="1:18" ht="15" customHeight="1" x14ac:dyDescent="0.25">
      <c r="A123" s="1367"/>
      <c r="B123" s="1371"/>
      <c r="C123" s="131"/>
      <c r="D123" s="1521"/>
      <c r="E123" s="102" t="s">
        <v>194</v>
      </c>
      <c r="F123" s="1153" t="s">
        <v>332</v>
      </c>
      <c r="G123" s="1134">
        <v>500</v>
      </c>
      <c r="H123" s="1131"/>
      <c r="I123" s="1136"/>
      <c r="J123" s="1055"/>
      <c r="K123" s="320"/>
      <c r="L123" s="175"/>
      <c r="M123" s="66"/>
    </row>
    <row r="124" spans="1:18" ht="15" customHeight="1" x14ac:dyDescent="0.25">
      <c r="A124" s="1367"/>
      <c r="B124" s="1371"/>
      <c r="C124" s="131"/>
      <c r="D124" s="1521"/>
      <c r="E124" s="337" t="s">
        <v>125</v>
      </c>
      <c r="F124" s="1226" t="s">
        <v>328</v>
      </c>
      <c r="G124" s="1181">
        <v>584</v>
      </c>
      <c r="H124" s="1169"/>
      <c r="I124" s="1170"/>
      <c r="J124" s="223"/>
      <c r="K124" s="320"/>
      <c r="L124" s="175"/>
      <c r="M124" s="66"/>
    </row>
    <row r="125" spans="1:18" ht="15" customHeight="1" x14ac:dyDescent="0.25">
      <c r="A125" s="1367"/>
      <c r="B125" s="1371"/>
      <c r="C125" s="131"/>
      <c r="D125" s="1480" t="s">
        <v>186</v>
      </c>
      <c r="E125" s="49" t="s">
        <v>194</v>
      </c>
      <c r="F125" s="1225" t="s">
        <v>333</v>
      </c>
      <c r="G125" s="1166">
        <v>302.10000000000002</v>
      </c>
      <c r="H125" s="1135">
        <v>100</v>
      </c>
      <c r="I125" s="1132"/>
      <c r="J125" s="1511" t="s">
        <v>214</v>
      </c>
      <c r="K125" s="171">
        <v>75</v>
      </c>
      <c r="L125" s="178">
        <v>100</v>
      </c>
      <c r="M125" s="65"/>
    </row>
    <row r="126" spans="1:18" ht="15" customHeight="1" x14ac:dyDescent="0.25">
      <c r="A126" s="1367"/>
      <c r="B126" s="1371"/>
      <c r="C126" s="131"/>
      <c r="D126" s="1481"/>
      <c r="E126" s="102"/>
      <c r="F126" s="1157"/>
      <c r="G126" s="1168"/>
      <c r="H126" s="1135"/>
      <c r="I126" s="1170"/>
      <c r="J126" s="1745"/>
      <c r="K126" s="196"/>
      <c r="L126" s="179"/>
      <c r="M126" s="147"/>
    </row>
    <row r="127" spans="1:18" ht="15.65" customHeight="1" x14ac:dyDescent="0.25">
      <c r="A127" s="1367"/>
      <c r="B127" s="1371"/>
      <c r="C127" s="131"/>
      <c r="D127" s="1480" t="s">
        <v>224</v>
      </c>
      <c r="E127" s="49" t="s">
        <v>194</v>
      </c>
      <c r="F127" s="1151" t="s">
        <v>333</v>
      </c>
      <c r="G127" s="1166">
        <v>232.8</v>
      </c>
      <c r="H127" s="1162">
        <v>100</v>
      </c>
      <c r="I127" s="1163"/>
      <c r="J127" s="1057" t="s">
        <v>214</v>
      </c>
      <c r="K127" s="171">
        <v>80</v>
      </c>
      <c r="L127" s="178">
        <v>100</v>
      </c>
      <c r="M127" s="65"/>
    </row>
    <row r="128" spans="1:18" ht="15.65" customHeight="1" x14ac:dyDescent="0.25">
      <c r="A128" s="1367"/>
      <c r="B128" s="1371"/>
      <c r="C128" s="131"/>
      <c r="D128" s="1521"/>
      <c r="E128" s="102" t="s">
        <v>40</v>
      </c>
      <c r="F128" s="1226" t="s">
        <v>328</v>
      </c>
      <c r="G128" s="1227">
        <v>166.2</v>
      </c>
      <c r="H128" s="1228"/>
      <c r="I128" s="1417"/>
      <c r="J128" s="1059"/>
      <c r="K128" s="320"/>
      <c r="L128" s="175"/>
      <c r="M128" s="66"/>
    </row>
    <row r="129" spans="1:18" s="2" customFormat="1" ht="16.5" customHeight="1" x14ac:dyDescent="0.25">
      <c r="A129" s="1372"/>
      <c r="B129" s="1371"/>
      <c r="C129" s="42"/>
      <c r="D129" s="1362" t="s">
        <v>209</v>
      </c>
      <c r="E129" s="342" t="s">
        <v>40</v>
      </c>
      <c r="F129" s="1145" t="s">
        <v>333</v>
      </c>
      <c r="G129" s="1230"/>
      <c r="H129" s="1231">
        <v>359</v>
      </c>
      <c r="I129" s="1418"/>
      <c r="J129" s="1057" t="s">
        <v>214</v>
      </c>
      <c r="K129" s="847"/>
      <c r="L129" s="1382">
        <v>100</v>
      </c>
      <c r="M129" s="935"/>
      <c r="O129" s="1211"/>
      <c r="P129" s="1211"/>
      <c r="Q129" s="1211"/>
      <c r="R129" s="1211"/>
    </row>
    <row r="130" spans="1:18" s="2" customFormat="1" ht="16.5" customHeight="1" x14ac:dyDescent="0.25">
      <c r="A130" s="1372"/>
      <c r="B130" s="1371"/>
      <c r="C130" s="41"/>
      <c r="D130" s="337"/>
      <c r="E130" s="337" t="s">
        <v>194</v>
      </c>
      <c r="F130" s="1233"/>
      <c r="G130" s="1234"/>
      <c r="H130" s="1235"/>
      <c r="I130" s="1419"/>
      <c r="J130" s="918"/>
      <c r="K130" s="137"/>
      <c r="L130" s="174"/>
      <c r="M130" s="915"/>
      <c r="O130" s="1211"/>
      <c r="P130" s="1211"/>
      <c r="Q130" s="1211"/>
      <c r="R130" s="1211"/>
    </row>
    <row r="131" spans="1:18" ht="15" customHeight="1" x14ac:dyDescent="0.25">
      <c r="A131" s="1372"/>
      <c r="B131" s="1371"/>
      <c r="C131" s="42"/>
      <c r="D131" s="1493" t="s">
        <v>314</v>
      </c>
      <c r="E131" s="342" t="s">
        <v>40</v>
      </c>
      <c r="F131" s="1237" t="s">
        <v>333</v>
      </c>
      <c r="G131" s="1189">
        <v>25</v>
      </c>
      <c r="H131" s="1131">
        <v>200</v>
      </c>
      <c r="I131" s="1136">
        <v>319.3</v>
      </c>
      <c r="J131" s="1368" t="s">
        <v>39</v>
      </c>
      <c r="K131" s="187">
        <v>1</v>
      </c>
      <c r="L131" s="175"/>
      <c r="M131" s="141"/>
    </row>
    <row r="132" spans="1:18" ht="15" customHeight="1" x14ac:dyDescent="0.25">
      <c r="A132" s="1372"/>
      <c r="B132" s="1371"/>
      <c r="C132" s="42"/>
      <c r="D132" s="1494"/>
      <c r="E132" s="343" t="s">
        <v>194</v>
      </c>
      <c r="F132" s="1137" t="s">
        <v>332</v>
      </c>
      <c r="G132" s="1134"/>
      <c r="H132" s="1135">
        <v>600</v>
      </c>
      <c r="I132" s="1165">
        <v>1000</v>
      </c>
      <c r="J132" s="770" t="s">
        <v>214</v>
      </c>
      <c r="K132" s="188"/>
      <c r="L132" s="191">
        <v>25</v>
      </c>
      <c r="M132" s="148">
        <v>75</v>
      </c>
    </row>
    <row r="133" spans="1:18" ht="15" customHeight="1" x14ac:dyDescent="0.25">
      <c r="A133" s="1372"/>
      <c r="B133" s="1371"/>
      <c r="C133" s="41"/>
      <c r="D133" s="1494"/>
      <c r="E133" s="1376" t="s">
        <v>125</v>
      </c>
      <c r="F133" s="1226" t="s">
        <v>328</v>
      </c>
      <c r="G133" s="1166"/>
      <c r="H133" s="1187"/>
      <c r="I133" s="1192">
        <v>80.7</v>
      </c>
      <c r="J133" s="366"/>
      <c r="K133" s="169"/>
      <c r="L133" s="175"/>
      <c r="M133" s="66"/>
    </row>
    <row r="134" spans="1:18" ht="15" customHeight="1" x14ac:dyDescent="0.25">
      <c r="A134" s="1372"/>
      <c r="B134" s="1371"/>
      <c r="C134" s="42"/>
      <c r="D134" s="1493" t="s">
        <v>208</v>
      </c>
      <c r="E134" s="342" t="s">
        <v>40</v>
      </c>
      <c r="F134" s="1129" t="s">
        <v>333</v>
      </c>
      <c r="G134" s="1161"/>
      <c r="H134" s="1152">
        <f>200+50</f>
        <v>250</v>
      </c>
      <c r="I134" s="1136"/>
      <c r="J134" s="1368" t="s">
        <v>39</v>
      </c>
      <c r="K134" s="1060"/>
      <c r="L134" s="190">
        <v>1</v>
      </c>
      <c r="M134" s="142"/>
    </row>
    <row r="135" spans="1:18" ht="15" customHeight="1" x14ac:dyDescent="0.25">
      <c r="A135" s="1372"/>
      <c r="B135" s="1371"/>
      <c r="C135" s="42"/>
      <c r="D135" s="1494"/>
      <c r="E135" s="343" t="s">
        <v>194</v>
      </c>
      <c r="F135" s="1171" t="s">
        <v>332</v>
      </c>
      <c r="G135" s="1130"/>
      <c r="H135" s="1135">
        <v>400</v>
      </c>
      <c r="I135" s="1224">
        <v>800</v>
      </c>
      <c r="J135" s="770" t="s">
        <v>214</v>
      </c>
      <c r="K135" s="921"/>
      <c r="L135" s="175">
        <v>15</v>
      </c>
      <c r="M135" s="66">
        <v>25</v>
      </c>
    </row>
    <row r="136" spans="1:18" ht="15" customHeight="1" x14ac:dyDescent="0.25">
      <c r="A136" s="1372"/>
      <c r="B136" s="1371"/>
      <c r="C136" s="41"/>
      <c r="D136" s="1495"/>
      <c r="E136" s="337" t="s">
        <v>125</v>
      </c>
      <c r="F136" s="1220"/>
      <c r="G136" s="1216"/>
      <c r="H136" s="1217"/>
      <c r="I136" s="1218"/>
      <c r="J136" s="340"/>
      <c r="K136" s="172"/>
      <c r="L136" s="179"/>
      <c r="M136" s="67"/>
    </row>
    <row r="137" spans="1:18" s="6" customFormat="1" ht="13.5" customHeight="1" x14ac:dyDescent="0.25">
      <c r="A137" s="1372"/>
      <c r="B137" s="1399"/>
      <c r="C137" s="44"/>
      <c r="D137" s="303" t="s">
        <v>210</v>
      </c>
      <c r="E137" s="1375"/>
      <c r="F137" s="1238"/>
      <c r="G137" s="1161"/>
      <c r="H137" s="1162"/>
      <c r="I137" s="1163"/>
      <c r="J137" s="1368"/>
      <c r="K137" s="799"/>
      <c r="L137" s="800"/>
      <c r="M137" s="801"/>
      <c r="O137" s="1337"/>
      <c r="P137" s="1337"/>
      <c r="Q137" s="1337"/>
      <c r="R137" s="1337"/>
    </row>
    <row r="138" spans="1:18" ht="15.75" customHeight="1" x14ac:dyDescent="0.25">
      <c r="A138" s="1372"/>
      <c r="B138" s="1371"/>
      <c r="C138" s="42"/>
      <c r="D138" s="1534" t="s">
        <v>354</v>
      </c>
      <c r="E138" s="795" t="s">
        <v>194</v>
      </c>
      <c r="F138" s="1442" t="s">
        <v>327</v>
      </c>
      <c r="G138" s="1328">
        <v>103.9</v>
      </c>
      <c r="H138" s="1329"/>
      <c r="I138" s="1403"/>
      <c r="J138" s="770" t="s">
        <v>214</v>
      </c>
      <c r="K138" s="257">
        <v>100</v>
      </c>
      <c r="L138" s="191"/>
      <c r="M138" s="148"/>
    </row>
    <row r="139" spans="1:18" ht="15.75" customHeight="1" x14ac:dyDescent="0.25">
      <c r="A139" s="1372"/>
      <c r="B139" s="1371"/>
      <c r="C139" s="41"/>
      <c r="D139" s="1521"/>
      <c r="E139" s="1085" t="s">
        <v>40</v>
      </c>
      <c r="F139" s="1446"/>
      <c r="G139" s="1443"/>
      <c r="H139" s="1303"/>
      <c r="I139" s="1403"/>
      <c r="J139" s="340"/>
      <c r="K139" s="150"/>
      <c r="L139" s="175"/>
      <c r="M139" s="297"/>
    </row>
    <row r="140" spans="1:18" ht="15.75" customHeight="1" x14ac:dyDescent="0.25">
      <c r="A140" s="1372"/>
      <c r="B140" s="1371"/>
      <c r="C140" s="42"/>
      <c r="D140" s="1521"/>
      <c r="E140" s="1376" t="s">
        <v>125</v>
      </c>
      <c r="F140" s="1348"/>
      <c r="G140" s="1447"/>
      <c r="H140" s="1444"/>
      <c r="I140" s="1445"/>
      <c r="J140" s="352"/>
      <c r="K140" s="674"/>
      <c r="L140" s="175"/>
      <c r="M140" s="66"/>
    </row>
    <row r="141" spans="1:18" ht="15.75" customHeight="1" x14ac:dyDescent="0.25">
      <c r="A141" s="1372"/>
      <c r="B141" s="1371"/>
      <c r="C141" s="42"/>
      <c r="D141" s="1503" t="s">
        <v>355</v>
      </c>
      <c r="E141" s="1086" t="s">
        <v>194</v>
      </c>
      <c r="F141" s="1442" t="s">
        <v>327</v>
      </c>
      <c r="G141" s="1328">
        <v>1679.5</v>
      </c>
      <c r="H141" s="1329"/>
      <c r="I141" s="1430"/>
      <c r="J141" s="770" t="s">
        <v>214</v>
      </c>
      <c r="K141" s="266">
        <v>100</v>
      </c>
      <c r="L141" s="191"/>
      <c r="M141" s="148"/>
    </row>
    <row r="142" spans="1:18" ht="15.75" customHeight="1" x14ac:dyDescent="0.25">
      <c r="A142" s="1372"/>
      <c r="B142" s="1371"/>
      <c r="C142" s="42"/>
      <c r="D142" s="1494"/>
      <c r="E142" s="1061" t="s">
        <v>125</v>
      </c>
      <c r="F142" s="1429"/>
      <c r="G142" s="1443"/>
      <c r="H142" s="1303"/>
      <c r="I142" s="1403"/>
      <c r="K142" s="150"/>
      <c r="L142" s="175"/>
      <c r="M142" s="297"/>
    </row>
    <row r="143" spans="1:18" ht="15.75" customHeight="1" x14ac:dyDescent="0.25">
      <c r="A143" s="1372"/>
      <c r="B143" s="1371"/>
      <c r="C143" s="41"/>
      <c r="D143" s="1494"/>
      <c r="E143" s="1002" t="s">
        <v>40</v>
      </c>
      <c r="F143" s="1301"/>
      <c r="G143" s="1302"/>
      <c r="H143" s="1444"/>
      <c r="I143" s="1445"/>
      <c r="J143" s="352"/>
      <c r="K143" s="674"/>
      <c r="L143" s="198"/>
      <c r="M143" s="679"/>
    </row>
    <row r="144" spans="1:18" ht="39" customHeight="1" x14ac:dyDescent="0.25">
      <c r="A144" s="1367"/>
      <c r="B144" s="1371"/>
      <c r="C144" s="131"/>
      <c r="D144" s="1534" t="s">
        <v>320</v>
      </c>
      <c r="E144" s="1376" t="s">
        <v>192</v>
      </c>
      <c r="F144" s="1137" t="s">
        <v>335</v>
      </c>
      <c r="G144" s="1138">
        <v>1100</v>
      </c>
      <c r="H144" s="1135"/>
      <c r="I144" s="1165"/>
      <c r="J144" s="770" t="s">
        <v>214</v>
      </c>
      <c r="K144" s="188">
        <v>100</v>
      </c>
      <c r="L144" s="175"/>
      <c r="M144" s="66"/>
    </row>
    <row r="145" spans="1:18" ht="43.5" customHeight="1" x14ac:dyDescent="0.25">
      <c r="A145" s="1367"/>
      <c r="B145" s="1371"/>
      <c r="C145" s="131"/>
      <c r="D145" s="1481"/>
      <c r="E145" s="1376" t="s">
        <v>125</v>
      </c>
      <c r="F145" s="1171"/>
      <c r="G145" s="1166"/>
      <c r="H145" s="1135"/>
      <c r="I145" s="1170"/>
      <c r="J145" s="224"/>
      <c r="K145" s="320"/>
      <c r="L145" s="175"/>
      <c r="M145" s="66"/>
    </row>
    <row r="146" spans="1:18" s="666" customFormat="1" ht="17.25" customHeight="1" x14ac:dyDescent="0.25">
      <c r="A146" s="1367"/>
      <c r="B146" s="1371"/>
      <c r="C146" s="426"/>
      <c r="D146" s="1480" t="s">
        <v>303</v>
      </c>
      <c r="E146" s="1375" t="s">
        <v>192</v>
      </c>
      <c r="F146" s="1145" t="s">
        <v>333</v>
      </c>
      <c r="G146" s="1161">
        <v>5</v>
      </c>
      <c r="H146" s="1173"/>
      <c r="I146" s="1174"/>
      <c r="J146" s="1003" t="s">
        <v>285</v>
      </c>
      <c r="K146" s="589">
        <v>1</v>
      </c>
      <c r="L146" s="190"/>
      <c r="M146" s="142"/>
      <c r="O146" s="1338"/>
      <c r="P146" s="1338"/>
      <c r="Q146" s="1338"/>
      <c r="R146" s="1338"/>
    </row>
    <row r="147" spans="1:18" s="666" customFormat="1" ht="17.25" customHeight="1" x14ac:dyDescent="0.25">
      <c r="A147" s="1367"/>
      <c r="B147" s="1371"/>
      <c r="C147" s="426"/>
      <c r="D147" s="1521"/>
      <c r="E147" s="1376" t="s">
        <v>40</v>
      </c>
      <c r="F147" s="1137" t="s">
        <v>328</v>
      </c>
      <c r="G147" s="1130"/>
      <c r="H147" s="1164">
        <v>188</v>
      </c>
      <c r="I147" s="1165"/>
      <c r="J147" s="966" t="s">
        <v>284</v>
      </c>
      <c r="K147" s="942"/>
      <c r="L147" s="948">
        <v>1</v>
      </c>
      <c r="M147" s="297"/>
      <c r="O147" s="1338"/>
      <c r="P147" s="1338"/>
      <c r="Q147" s="1338"/>
      <c r="R147" s="1338"/>
    </row>
    <row r="148" spans="1:18" s="666" customFormat="1" ht="17.25" customHeight="1" x14ac:dyDescent="0.25">
      <c r="A148" s="1367"/>
      <c r="B148" s="1371"/>
      <c r="C148" s="426"/>
      <c r="D148" s="1521"/>
      <c r="E148" s="1376" t="s">
        <v>125</v>
      </c>
      <c r="F148" s="1167"/>
      <c r="G148" s="1168"/>
      <c r="H148" s="1169"/>
      <c r="I148" s="1170"/>
      <c r="J148" s="224"/>
      <c r="K148" s="969"/>
      <c r="L148" s="970"/>
      <c r="M148" s="971"/>
      <c r="O148" s="1338"/>
      <c r="P148" s="1338"/>
      <c r="Q148" s="1338"/>
      <c r="R148" s="1338"/>
    </row>
    <row r="149" spans="1:18" ht="15.75" customHeight="1" x14ac:dyDescent="0.25">
      <c r="A149" s="1367"/>
      <c r="B149" s="1371"/>
      <c r="C149" s="131"/>
      <c r="D149" s="1480" t="s">
        <v>290</v>
      </c>
      <c r="E149" s="1375" t="s">
        <v>287</v>
      </c>
      <c r="F149" s="1171" t="s">
        <v>333</v>
      </c>
      <c r="G149" s="1172">
        <v>20</v>
      </c>
      <c r="H149" s="1173">
        <v>80</v>
      </c>
      <c r="I149" s="1132">
        <v>180</v>
      </c>
      <c r="J149" s="669" t="s">
        <v>39</v>
      </c>
      <c r="K149" s="320"/>
      <c r="L149" s="190">
        <v>1</v>
      </c>
      <c r="M149" s="142"/>
    </row>
    <row r="150" spans="1:18" ht="15.75" customHeight="1" x14ac:dyDescent="0.25">
      <c r="A150" s="1367"/>
      <c r="B150" s="1371"/>
      <c r="C150" s="131"/>
      <c r="D150" s="1521"/>
      <c r="E150" s="1376" t="s">
        <v>192</v>
      </c>
      <c r="F150" s="1171"/>
      <c r="G150" s="1130"/>
      <c r="H150" s="1135"/>
      <c r="I150" s="1132"/>
      <c r="J150" s="238" t="s">
        <v>214</v>
      </c>
      <c r="K150" s="188"/>
      <c r="L150" s="175"/>
      <c r="M150" s="66">
        <v>20</v>
      </c>
    </row>
    <row r="151" spans="1:18" ht="15.75" customHeight="1" x14ac:dyDescent="0.25">
      <c r="A151" s="1367"/>
      <c r="B151" s="1371"/>
      <c r="C151" s="131"/>
      <c r="D151" s="1481"/>
      <c r="E151" s="1384" t="s">
        <v>40</v>
      </c>
      <c r="F151" s="1167"/>
      <c r="G151" s="1168"/>
      <c r="H151" s="1169"/>
      <c r="I151" s="1132"/>
      <c r="J151" s="116"/>
      <c r="K151" s="172"/>
      <c r="L151" s="179"/>
      <c r="M151" s="771"/>
      <c r="N151" s="340"/>
    </row>
    <row r="152" spans="1:18" ht="15" customHeight="1" x14ac:dyDescent="0.25">
      <c r="A152" s="1367"/>
      <c r="B152" s="1371"/>
      <c r="C152" s="131"/>
      <c r="D152" s="1480" t="s">
        <v>294</v>
      </c>
      <c r="E152" s="1375" t="s">
        <v>291</v>
      </c>
      <c r="F152" s="1171" t="s">
        <v>333</v>
      </c>
      <c r="G152" s="1172"/>
      <c r="H152" s="1135">
        <v>40</v>
      </c>
      <c r="I152" s="1174">
        <v>200</v>
      </c>
      <c r="J152" s="669" t="s">
        <v>39</v>
      </c>
      <c r="K152" s="187"/>
      <c r="L152" s="190">
        <v>1</v>
      </c>
      <c r="M152" s="142"/>
    </row>
    <row r="153" spans="1:18" ht="15" customHeight="1" x14ac:dyDescent="0.25">
      <c r="A153" s="1367"/>
      <c r="B153" s="1371"/>
      <c r="C153" s="131"/>
      <c r="D153" s="1521"/>
      <c r="E153" s="1376" t="s">
        <v>192</v>
      </c>
      <c r="F153" s="1171"/>
      <c r="G153" s="1130"/>
      <c r="H153" s="1135"/>
      <c r="I153" s="1132"/>
      <c r="J153" s="238" t="s">
        <v>214</v>
      </c>
      <c r="K153" s="320"/>
      <c r="L153" s="175"/>
      <c r="M153" s="66">
        <v>100</v>
      </c>
    </row>
    <row r="154" spans="1:18" ht="15" customHeight="1" x14ac:dyDescent="0.25">
      <c r="A154" s="1367"/>
      <c r="B154" s="1371"/>
      <c r="C154" s="131"/>
      <c r="D154" s="1481"/>
      <c r="E154" s="1384" t="s">
        <v>40</v>
      </c>
      <c r="F154" s="1171"/>
      <c r="G154" s="1130"/>
      <c r="H154" s="1135"/>
      <c r="I154" s="1132"/>
      <c r="J154" s="116"/>
      <c r="K154" s="320"/>
      <c r="L154" s="179"/>
      <c r="M154" s="771"/>
    </row>
    <row r="155" spans="1:18" ht="18.75" customHeight="1" x14ac:dyDescent="0.25">
      <c r="A155" s="1367"/>
      <c r="B155" s="1371"/>
      <c r="C155" s="131"/>
      <c r="D155" s="1480" t="s">
        <v>286</v>
      </c>
      <c r="E155" s="1375" t="s">
        <v>287</v>
      </c>
      <c r="F155" s="1145" t="s">
        <v>332</v>
      </c>
      <c r="G155" s="1172"/>
      <c r="H155" s="1173"/>
      <c r="I155" s="1174">
        <v>569.9</v>
      </c>
      <c r="J155" s="228" t="s">
        <v>214</v>
      </c>
      <c r="K155" s="171"/>
      <c r="L155" s="178"/>
      <c r="M155" s="141">
        <v>50</v>
      </c>
    </row>
    <row r="156" spans="1:18" ht="18.75" customHeight="1" x14ac:dyDescent="0.25">
      <c r="A156" s="1367"/>
      <c r="B156" s="1371"/>
      <c r="C156" s="131"/>
      <c r="D156" s="1521"/>
      <c r="E156" s="1376" t="s">
        <v>40</v>
      </c>
      <c r="F156" s="1171"/>
      <c r="G156" s="1130"/>
      <c r="H156" s="1135"/>
      <c r="I156" s="1132"/>
      <c r="J156" s="634"/>
      <c r="K156" s="320"/>
      <c r="L156" s="175"/>
      <c r="M156" s="66"/>
    </row>
    <row r="157" spans="1:18" ht="31.5" customHeight="1" x14ac:dyDescent="0.25">
      <c r="A157" s="1367"/>
      <c r="B157" s="1371"/>
      <c r="C157" s="131"/>
      <c r="D157" s="1481"/>
      <c r="E157" s="1384" t="s">
        <v>192</v>
      </c>
      <c r="F157" s="1215"/>
      <c r="G157" s="1216"/>
      <c r="H157" s="1217"/>
      <c r="I157" s="1218"/>
      <c r="J157" s="224"/>
      <c r="K157" s="172"/>
      <c r="L157" s="179"/>
      <c r="M157" s="147"/>
    </row>
    <row r="158" spans="1:18" ht="15.75" customHeight="1" x14ac:dyDescent="0.25">
      <c r="A158" s="1367"/>
      <c r="B158" s="1371"/>
      <c r="C158" s="131"/>
      <c r="D158" s="1480" t="s">
        <v>356</v>
      </c>
      <c r="E158" s="1375" t="s">
        <v>289</v>
      </c>
      <c r="F158" s="1145" t="s">
        <v>333</v>
      </c>
      <c r="G158" s="1172"/>
      <c r="H158" s="1173"/>
      <c r="I158" s="1219">
        <v>500</v>
      </c>
      <c r="J158" s="228" t="s">
        <v>214</v>
      </c>
      <c r="K158" s="320"/>
      <c r="L158" s="175"/>
      <c r="M158" s="66">
        <v>10</v>
      </c>
    </row>
    <row r="159" spans="1:18" ht="15.75" customHeight="1" x14ac:dyDescent="0.25">
      <c r="A159" s="1367"/>
      <c r="B159" s="1371"/>
      <c r="C159" s="131"/>
      <c r="D159" s="1521"/>
      <c r="E159" s="1376" t="s">
        <v>192</v>
      </c>
      <c r="F159" s="1171"/>
      <c r="G159" s="1130"/>
      <c r="H159" s="1135"/>
      <c r="I159" s="1132"/>
      <c r="J159" s="634"/>
      <c r="K159" s="320"/>
      <c r="L159" s="175"/>
      <c r="M159" s="66"/>
    </row>
    <row r="160" spans="1:18" ht="15.75" customHeight="1" x14ac:dyDescent="0.25">
      <c r="A160" s="1367"/>
      <c r="B160" s="1371"/>
      <c r="C160" s="131"/>
      <c r="D160" s="1481"/>
      <c r="E160" s="1384" t="s">
        <v>40</v>
      </c>
      <c r="F160" s="1220"/>
      <c r="G160" s="1221"/>
      <c r="H160" s="1222"/>
      <c r="I160" s="1218"/>
      <c r="J160" s="224"/>
      <c r="K160" s="172"/>
      <c r="L160" s="179"/>
      <c r="M160" s="147"/>
    </row>
    <row r="161" spans="1:18" ht="16.5" customHeight="1" x14ac:dyDescent="0.25">
      <c r="A161" s="1461"/>
      <c r="B161" s="1462"/>
      <c r="C161" s="1366"/>
      <c r="D161" s="1466" t="s">
        <v>275</v>
      </c>
      <c r="E161" s="766" t="s">
        <v>113</v>
      </c>
      <c r="F161" s="1145" t="s">
        <v>333</v>
      </c>
      <c r="G161" s="1130"/>
      <c r="H161" s="1173"/>
      <c r="I161" s="1174"/>
      <c r="J161" s="1470" t="s">
        <v>306</v>
      </c>
      <c r="K161" s="983"/>
      <c r="L161" s="183"/>
      <c r="M161" s="140"/>
    </row>
    <row r="162" spans="1:18" ht="16.5" customHeight="1" x14ac:dyDescent="0.25">
      <c r="A162" s="1461"/>
      <c r="B162" s="1462"/>
      <c r="C162" s="1366"/>
      <c r="D162" s="1467"/>
      <c r="E162" s="321" t="s">
        <v>40</v>
      </c>
      <c r="F162" s="1171"/>
      <c r="G162" s="1166"/>
      <c r="H162" s="1135"/>
      <c r="I162" s="1132"/>
      <c r="J162" s="1471"/>
      <c r="K162" s="185"/>
      <c r="L162" s="299"/>
      <c r="M162" s="138"/>
    </row>
    <row r="163" spans="1:18" ht="16.5" customHeight="1" x14ac:dyDescent="0.25">
      <c r="A163" s="1461"/>
      <c r="B163" s="1462"/>
      <c r="C163" s="1366"/>
      <c r="D163" s="1467"/>
      <c r="E163" s="1062" t="s">
        <v>194</v>
      </c>
      <c r="F163" s="1175"/>
      <c r="G163" s="1130"/>
      <c r="H163" s="1135"/>
      <c r="I163" s="1132"/>
      <c r="J163" s="1471"/>
      <c r="K163" s="185"/>
      <c r="L163" s="299"/>
      <c r="M163" s="138"/>
    </row>
    <row r="164" spans="1:18" ht="16.5" customHeight="1" x14ac:dyDescent="0.25">
      <c r="A164" s="1461"/>
      <c r="B164" s="1462"/>
      <c r="C164" s="1366"/>
      <c r="D164" s="1467"/>
      <c r="E164" s="1063" t="s">
        <v>160</v>
      </c>
      <c r="F164" s="1071"/>
      <c r="G164" s="1216"/>
      <c r="H164" s="1135"/>
      <c r="I164" s="1132"/>
      <c r="J164" s="1472"/>
      <c r="K164" s="785"/>
      <c r="L164" s="400"/>
      <c r="M164" s="139"/>
    </row>
    <row r="165" spans="1:18" ht="15" customHeight="1" x14ac:dyDescent="0.25">
      <c r="A165" s="1372"/>
      <c r="B165" s="1399"/>
      <c r="C165" s="41"/>
      <c r="D165" s="1480" t="s">
        <v>169</v>
      </c>
      <c r="E165" s="1375" t="s">
        <v>125</v>
      </c>
      <c r="F165" s="1145" t="s">
        <v>330</v>
      </c>
      <c r="G165" s="1172">
        <v>200</v>
      </c>
      <c r="H165" s="1173"/>
      <c r="I165" s="1174"/>
      <c r="J165" s="352" t="s">
        <v>214</v>
      </c>
      <c r="K165" s="171">
        <v>100</v>
      </c>
      <c r="L165" s="175"/>
      <c r="M165" s="141"/>
    </row>
    <row r="166" spans="1:18" ht="15" customHeight="1" x14ac:dyDescent="0.25">
      <c r="A166" s="1372"/>
      <c r="B166" s="1399"/>
      <c r="C166" s="41"/>
      <c r="D166" s="1521"/>
      <c r="E166" s="343" t="s">
        <v>40</v>
      </c>
      <c r="F166" s="1171"/>
      <c r="G166" s="1130"/>
      <c r="H166" s="1135"/>
      <c r="I166" s="1132"/>
      <c r="J166" s="236"/>
      <c r="K166" s="367"/>
      <c r="L166" s="404"/>
      <c r="M166" s="394"/>
    </row>
    <row r="167" spans="1:18" ht="15" customHeight="1" x14ac:dyDescent="0.25">
      <c r="A167" s="1372"/>
      <c r="B167" s="1399"/>
      <c r="C167" s="41"/>
      <c r="D167" s="1481"/>
      <c r="E167" s="1384" t="s">
        <v>194</v>
      </c>
      <c r="F167" s="1167"/>
      <c r="G167" s="1168"/>
      <c r="H167" s="1169"/>
      <c r="I167" s="1170"/>
      <c r="J167" s="237"/>
      <c r="K167" s="457"/>
      <c r="L167" s="174"/>
      <c r="M167" s="135"/>
    </row>
    <row r="168" spans="1:18" ht="26.25" customHeight="1" x14ac:dyDescent="0.25">
      <c r="A168" s="1367"/>
      <c r="B168" s="1399"/>
      <c r="C168" s="41"/>
      <c r="D168" s="1427" t="s">
        <v>364</v>
      </c>
      <c r="E168" s="343" t="s">
        <v>192</v>
      </c>
      <c r="F168" s="1402"/>
      <c r="G168" s="983"/>
      <c r="H168" s="20"/>
      <c r="I168" s="146"/>
      <c r="J168" s="474" t="s">
        <v>365</v>
      </c>
      <c r="K168" s="454">
        <v>1</v>
      </c>
      <c r="L168" s="404"/>
      <c r="M168" s="394"/>
    </row>
    <row r="169" spans="1:18" ht="15" customHeight="1" thickBot="1" x14ac:dyDescent="0.3">
      <c r="A169" s="15"/>
      <c r="B169" s="54"/>
      <c r="C169" s="26"/>
      <c r="D169" s="1355"/>
      <c r="E169" s="258"/>
      <c r="F169" s="99" t="s">
        <v>4</v>
      </c>
      <c r="G169" s="242">
        <f>+G16+G17+G18+G19+G20+G21+G22+G23+G24+G25</f>
        <v>24908.799999999999</v>
      </c>
      <c r="H169" s="1102">
        <f>+H16+H17+H18+H19+H20+H21+H22+H23+H24+H25</f>
        <v>14997.8</v>
      </c>
      <c r="I169" s="1101">
        <f>+I16+I17+I18+I19+I20+I21+I22+I23+I24+I25</f>
        <v>15612.3</v>
      </c>
      <c r="J169" s="1064"/>
      <c r="K169" s="461"/>
      <c r="L169" s="199"/>
      <c r="M169" s="129"/>
    </row>
    <row r="170" spans="1:18" ht="15" customHeight="1" thickBot="1" x14ac:dyDescent="0.3">
      <c r="A170" s="16" t="s">
        <v>3</v>
      </c>
      <c r="B170" s="33" t="s">
        <v>3</v>
      </c>
      <c r="C170" s="1504" t="s">
        <v>6</v>
      </c>
      <c r="D170" s="1505"/>
      <c r="E170" s="1505"/>
      <c r="F170" s="1506"/>
      <c r="G170" s="240">
        <f t="shared" ref="G170:I170" si="0">G169</f>
        <v>24908.799999999999</v>
      </c>
      <c r="H170" s="17">
        <f t="shared" si="0"/>
        <v>14997.8</v>
      </c>
      <c r="I170" s="506">
        <f t="shared" si="0"/>
        <v>15612.3</v>
      </c>
      <c r="J170" s="1538"/>
      <c r="K170" s="1539"/>
      <c r="L170" s="1539"/>
      <c r="M170" s="1540"/>
    </row>
    <row r="171" spans="1:18" ht="15" customHeight="1" thickBot="1" x14ac:dyDescent="0.3">
      <c r="A171" s="16" t="s">
        <v>3</v>
      </c>
      <c r="B171" s="33" t="s">
        <v>5</v>
      </c>
      <c r="C171" s="1602" t="s">
        <v>27</v>
      </c>
      <c r="D171" s="1603"/>
      <c r="E171" s="1603"/>
      <c r="F171" s="1603"/>
      <c r="G171" s="1603"/>
      <c r="H171" s="1603"/>
      <c r="I171" s="1603"/>
      <c r="J171" s="1603"/>
      <c r="K171" s="1603"/>
      <c r="L171" s="1603"/>
      <c r="M171" s="1604"/>
    </row>
    <row r="172" spans="1:18" ht="15.65" customHeight="1" x14ac:dyDescent="0.25">
      <c r="A172" s="60" t="s">
        <v>3</v>
      </c>
      <c r="B172" s="32" t="s">
        <v>5</v>
      </c>
      <c r="C172" s="40" t="s">
        <v>3</v>
      </c>
      <c r="D172" s="120" t="s">
        <v>44</v>
      </c>
      <c r="E172" s="1105"/>
      <c r="F172" s="61" t="s">
        <v>21</v>
      </c>
      <c r="G172" s="130">
        <v>1789.6</v>
      </c>
      <c r="H172" s="1112">
        <v>10068.799999999999</v>
      </c>
      <c r="I172" s="1113">
        <v>8535.2999999999993</v>
      </c>
      <c r="J172" s="1106"/>
      <c r="K172" s="1107"/>
      <c r="L172" s="1108"/>
      <c r="M172" s="1109"/>
      <c r="O172" s="1175" t="s">
        <v>21</v>
      </c>
      <c r="P172" s="1176">
        <f>+G177+G183+G185+G187+G189+G193+G197+G199+G203</f>
        <v>1789.6</v>
      </c>
      <c r="Q172" s="1176">
        <f>+H177+H183+H185+H187+H189+H193+H197+H199+H203</f>
        <v>10068.799999999999</v>
      </c>
      <c r="R172" s="1176">
        <f>+I177+I183+I185+I187+I189+I193+I197+I199+I203</f>
        <v>8535.2999999999993</v>
      </c>
    </row>
    <row r="173" spans="1:18" ht="15.65" customHeight="1" x14ac:dyDescent="0.25">
      <c r="A173" s="1372"/>
      <c r="B173" s="1399"/>
      <c r="C173" s="1374"/>
      <c r="D173" s="1103"/>
      <c r="E173" s="343"/>
      <c r="F173" s="115" t="s">
        <v>53</v>
      </c>
      <c r="G173" s="202">
        <v>360</v>
      </c>
      <c r="H173" s="113">
        <v>74.5</v>
      </c>
      <c r="I173" s="282">
        <v>44.5</v>
      </c>
      <c r="J173" s="345"/>
      <c r="K173" s="1110"/>
      <c r="L173" s="1087"/>
      <c r="M173" s="1088"/>
      <c r="O173" s="1175" t="s">
        <v>53</v>
      </c>
      <c r="P173" s="1176">
        <f>+G194+G196+G198</f>
        <v>360</v>
      </c>
      <c r="Q173" s="1176">
        <f>+H194+H196+H198</f>
        <v>74.5</v>
      </c>
      <c r="R173" s="1176">
        <f>+I194+I196+I198</f>
        <v>44.5</v>
      </c>
    </row>
    <row r="174" spans="1:18" ht="15.65" customHeight="1" x14ac:dyDescent="0.25">
      <c r="A174" s="1372"/>
      <c r="B174" s="1399"/>
      <c r="C174" s="1374"/>
      <c r="D174" s="1103"/>
      <c r="E174" s="343"/>
      <c r="F174" s="1386" t="s">
        <v>89</v>
      </c>
      <c r="G174" s="1077">
        <v>7578.6</v>
      </c>
      <c r="H174" s="1397"/>
      <c r="I174" s="282"/>
      <c r="J174" s="345"/>
      <c r="K174" s="1110"/>
      <c r="L174" s="1087"/>
      <c r="M174" s="1111"/>
      <c r="O174" s="1175" t="s">
        <v>89</v>
      </c>
      <c r="P174" s="1176">
        <f>+G204</f>
        <v>7578.6</v>
      </c>
      <c r="Q174" s="1176">
        <f>+H204</f>
        <v>0</v>
      </c>
      <c r="R174" s="1176">
        <f>+I204</f>
        <v>0</v>
      </c>
    </row>
    <row r="175" spans="1:18" ht="15.65" customHeight="1" x14ac:dyDescent="0.25">
      <c r="A175" s="1372"/>
      <c r="B175" s="1399"/>
      <c r="C175" s="1374"/>
      <c r="D175" s="1103"/>
      <c r="E175" s="343"/>
      <c r="F175" s="1386" t="s">
        <v>46</v>
      </c>
      <c r="G175" s="91">
        <v>10640</v>
      </c>
      <c r="H175" s="167"/>
      <c r="I175" s="20"/>
      <c r="J175" s="345"/>
      <c r="K175" s="1110"/>
      <c r="L175" s="1087"/>
      <c r="M175" s="1111"/>
      <c r="O175" s="1175" t="s">
        <v>46</v>
      </c>
      <c r="P175" s="1176">
        <f>+G178+G184+G186+G188+G190+G200</f>
        <v>10640</v>
      </c>
      <c r="Q175" s="1176">
        <f>+H178+H184+H186+H188+H190+H200</f>
        <v>0</v>
      </c>
      <c r="R175" s="1176">
        <f>+I178+I184+I186+I188+I190+I200</f>
        <v>0</v>
      </c>
    </row>
    <row r="176" spans="1:18" ht="15.65" customHeight="1" x14ac:dyDescent="0.25">
      <c r="A176" s="1372"/>
      <c r="B176" s="1399"/>
      <c r="C176" s="1374"/>
      <c r="D176" s="1103"/>
      <c r="E176" s="343"/>
      <c r="F176" s="132" t="s">
        <v>55</v>
      </c>
      <c r="G176" s="291">
        <v>70.099999999999994</v>
      </c>
      <c r="H176" s="197"/>
      <c r="I176" s="293"/>
      <c r="J176" s="234"/>
      <c r="K176" s="1110"/>
      <c r="L176" s="772"/>
      <c r="M176" s="773"/>
      <c r="O176" s="1175" t="s">
        <v>55</v>
      </c>
      <c r="P176" s="1176">
        <f>+G195+G208</f>
        <v>70.099999999999994</v>
      </c>
      <c r="Q176" s="1176">
        <f>+H195+H208</f>
        <v>0</v>
      </c>
      <c r="R176" s="1176">
        <f>+I195+I208</f>
        <v>0</v>
      </c>
    </row>
    <row r="177" spans="1:20" ht="23.25" customHeight="1" x14ac:dyDescent="0.25">
      <c r="A177" s="1372"/>
      <c r="B177" s="1399"/>
      <c r="C177" s="1374"/>
      <c r="D177" s="1480" t="s">
        <v>270</v>
      </c>
      <c r="E177" s="1104" t="s">
        <v>125</v>
      </c>
      <c r="F177" s="1258" t="s">
        <v>333</v>
      </c>
      <c r="G177" s="1172">
        <v>50</v>
      </c>
      <c r="H177" s="1173">
        <v>6500</v>
      </c>
      <c r="I177" s="1174">
        <v>6610</v>
      </c>
      <c r="J177" s="352" t="s">
        <v>273</v>
      </c>
      <c r="K177" s="239">
        <v>2.6</v>
      </c>
      <c r="L177" s="113">
        <v>2.2999999999999998</v>
      </c>
      <c r="M177" s="292">
        <v>2</v>
      </c>
      <c r="P177" s="1176">
        <f>SUM(P172:P176)</f>
        <v>20438.3</v>
      </c>
      <c r="Q177" s="1176">
        <f t="shared" ref="Q177:R177" si="1">SUM(Q172:Q176)</f>
        <v>10143.299999999999</v>
      </c>
      <c r="R177" s="1176">
        <f t="shared" si="1"/>
        <v>8579.7999999999993</v>
      </c>
    </row>
    <row r="178" spans="1:20" ht="29.15" customHeight="1" x14ac:dyDescent="0.25">
      <c r="A178" s="1372"/>
      <c r="B178" s="1399"/>
      <c r="C178" s="1374"/>
      <c r="D178" s="1521"/>
      <c r="E178" s="1376" t="s">
        <v>113</v>
      </c>
      <c r="F178" s="1137" t="s">
        <v>330</v>
      </c>
      <c r="G178" s="1138">
        <f>300+6060</f>
        <v>6360</v>
      </c>
      <c r="H178" s="1164"/>
      <c r="I178" s="1165"/>
      <c r="J178" s="440" t="s">
        <v>300</v>
      </c>
      <c r="K178" s="365">
        <v>6.9</v>
      </c>
      <c r="L178" s="429">
        <v>5.2</v>
      </c>
      <c r="M178" s="282">
        <v>4.2</v>
      </c>
      <c r="P178" s="1176">
        <f>+P177-G212</f>
        <v>0</v>
      </c>
      <c r="Q178" s="1176">
        <f>+Q177-H212</f>
        <v>0</v>
      </c>
      <c r="R178" s="1176">
        <f>+R177-I212</f>
        <v>0</v>
      </c>
    </row>
    <row r="179" spans="1:20" ht="25.5" customHeight="1" x14ac:dyDescent="0.25">
      <c r="A179" s="1372"/>
      <c r="B179" s="1399"/>
      <c r="C179" s="1374"/>
      <c r="D179" s="1521"/>
      <c r="E179" s="1376" t="s">
        <v>194</v>
      </c>
      <c r="F179" s="1171"/>
      <c r="G179" s="1130"/>
      <c r="H179" s="1135"/>
      <c r="I179" s="1132"/>
      <c r="J179" s="440" t="s">
        <v>301</v>
      </c>
      <c r="K179" s="365">
        <v>80</v>
      </c>
      <c r="L179" s="167">
        <v>86.6</v>
      </c>
      <c r="M179" s="282">
        <v>93.7</v>
      </c>
    </row>
    <row r="180" spans="1:20" ht="26.15" customHeight="1" x14ac:dyDescent="0.25">
      <c r="A180" s="1372"/>
      <c r="B180" s="1399"/>
      <c r="C180" s="1374"/>
      <c r="D180" s="1521"/>
      <c r="E180" s="1376"/>
      <c r="F180" s="1271"/>
      <c r="G180" s="1130"/>
      <c r="H180" s="1135"/>
      <c r="I180" s="1132"/>
      <c r="J180" s="440" t="s">
        <v>302</v>
      </c>
      <c r="K180" s="894">
        <v>12.7</v>
      </c>
      <c r="L180" s="895">
        <v>14.2</v>
      </c>
      <c r="M180" s="896">
        <v>15.8</v>
      </c>
    </row>
    <row r="181" spans="1:20" ht="27.65" customHeight="1" x14ac:dyDescent="0.25">
      <c r="A181" s="1372"/>
      <c r="B181" s="1399"/>
      <c r="C181" s="1374"/>
      <c r="D181" s="1521"/>
      <c r="E181" s="1376"/>
      <c r="F181" s="1171"/>
      <c r="G181" s="1175"/>
      <c r="H181" s="1135"/>
      <c r="I181" s="1132"/>
      <c r="J181" s="440" t="s">
        <v>274</v>
      </c>
      <c r="K181" s="291">
        <f>15+2</f>
        <v>17</v>
      </c>
      <c r="L181" s="619">
        <f t="shared" ref="L181:M181" si="2">15+2</f>
        <v>17</v>
      </c>
      <c r="M181" s="293">
        <f t="shared" si="2"/>
        <v>17</v>
      </c>
    </row>
    <row r="182" spans="1:20" ht="15.75" customHeight="1" x14ac:dyDescent="0.25">
      <c r="A182" s="1372"/>
      <c r="B182" s="1399"/>
      <c r="C182" s="1374"/>
      <c r="D182" s="729" t="s">
        <v>79</v>
      </c>
      <c r="E182" s="1375" t="s">
        <v>194</v>
      </c>
      <c r="F182" s="1145"/>
      <c r="G182" s="1161"/>
      <c r="H182" s="1162"/>
      <c r="I182" s="1163"/>
      <c r="J182" s="1373"/>
      <c r="K182" s="621"/>
      <c r="L182" s="622"/>
      <c r="M182" s="623"/>
    </row>
    <row r="183" spans="1:20" ht="21" customHeight="1" x14ac:dyDescent="0.25">
      <c r="A183" s="1372"/>
      <c r="B183" s="1399"/>
      <c r="C183" s="1374"/>
      <c r="D183" s="1478" t="s">
        <v>139</v>
      </c>
      <c r="E183" s="343" t="s">
        <v>125</v>
      </c>
      <c r="F183" s="1151" t="s">
        <v>333</v>
      </c>
      <c r="G183" s="1212"/>
      <c r="H183" s="1213">
        <v>1000</v>
      </c>
      <c r="I183" s="1214">
        <v>1000</v>
      </c>
      <c r="J183" s="1065" t="s">
        <v>78</v>
      </c>
      <c r="K183" s="257">
        <v>58</v>
      </c>
      <c r="L183" s="191">
        <v>58</v>
      </c>
      <c r="M183" s="81">
        <v>58</v>
      </c>
      <c r="N183" s="340"/>
      <c r="O183" s="1211"/>
      <c r="P183" s="1211"/>
      <c r="Q183" s="1211"/>
      <c r="R183" s="1211"/>
      <c r="S183" s="2"/>
      <c r="T183" s="687"/>
    </row>
    <row r="184" spans="1:20" ht="21" customHeight="1" x14ac:dyDescent="0.25">
      <c r="A184" s="1372"/>
      <c r="B184" s="1399"/>
      <c r="C184" s="1374"/>
      <c r="D184" s="1479"/>
      <c r="E184" s="343"/>
      <c r="F184" s="1137" t="s">
        <v>330</v>
      </c>
      <c r="G184" s="1212">
        <f>3700</f>
        <v>3700</v>
      </c>
      <c r="H184" s="1164"/>
      <c r="I184" s="1179"/>
      <c r="J184" s="704"/>
      <c r="K184" s="674"/>
      <c r="L184" s="198"/>
      <c r="M184" s="679"/>
      <c r="N184" s="340"/>
      <c r="O184" s="1211"/>
      <c r="P184" s="1211"/>
      <c r="Q184" s="1211"/>
      <c r="R184" s="1211"/>
      <c r="S184" s="2"/>
      <c r="T184" s="687"/>
    </row>
    <row r="185" spans="1:20" ht="21" customHeight="1" x14ac:dyDescent="0.25">
      <c r="A185" s="1372"/>
      <c r="B185" s="1399"/>
      <c r="C185" s="1374"/>
      <c r="D185" s="1486" t="s">
        <v>140</v>
      </c>
      <c r="E185" s="343" t="s">
        <v>113</v>
      </c>
      <c r="F185" s="1151" t="s">
        <v>333</v>
      </c>
      <c r="G185" s="1134">
        <v>220</v>
      </c>
      <c r="H185" s="1164">
        <v>564.70000000000005</v>
      </c>
      <c r="I185" s="1165">
        <v>617.70000000000005</v>
      </c>
      <c r="J185" s="1605" t="s">
        <v>237</v>
      </c>
      <c r="K185" s="320">
        <f>2+10+13</f>
        <v>25</v>
      </c>
      <c r="L185" s="632">
        <f>2+10+13+10</f>
        <v>35</v>
      </c>
      <c r="M185" s="148">
        <v>35</v>
      </c>
    </row>
    <row r="186" spans="1:20" ht="21" customHeight="1" x14ac:dyDescent="0.25">
      <c r="A186" s="1372"/>
      <c r="B186" s="1399"/>
      <c r="C186" s="1374"/>
      <c r="D186" s="1487"/>
      <c r="F186" s="1167" t="s">
        <v>330</v>
      </c>
      <c r="G186" s="1168">
        <v>5.5</v>
      </c>
      <c r="H186" s="1187"/>
      <c r="I186" s="1192"/>
      <c r="J186" s="1472"/>
      <c r="K186" s="196"/>
      <c r="L186" s="179"/>
      <c r="M186" s="67"/>
    </row>
    <row r="187" spans="1:20" ht="16.399999999999999" customHeight="1" x14ac:dyDescent="0.25">
      <c r="A187" s="1473"/>
      <c r="B187" s="1462"/>
      <c r="C187" s="1475"/>
      <c r="D187" s="1493" t="s">
        <v>36</v>
      </c>
      <c r="E187" s="1626" t="s">
        <v>194</v>
      </c>
      <c r="F187" s="1171" t="s">
        <v>333</v>
      </c>
      <c r="G187" s="1166">
        <f>60-5</f>
        <v>55</v>
      </c>
      <c r="H187" s="1173">
        <f>62-H188</f>
        <v>62</v>
      </c>
      <c r="I187" s="1174">
        <f>65-I188</f>
        <v>65</v>
      </c>
      <c r="J187" s="1743" t="s">
        <v>43</v>
      </c>
      <c r="K187" s="1624">
        <v>7</v>
      </c>
      <c r="L187" s="1620">
        <v>7</v>
      </c>
      <c r="M187" s="1610">
        <v>7</v>
      </c>
    </row>
    <row r="188" spans="1:20" ht="17.25" customHeight="1" x14ac:dyDescent="0.25">
      <c r="A188" s="1473"/>
      <c r="B188" s="1462"/>
      <c r="C188" s="1475"/>
      <c r="D188" s="1495"/>
      <c r="E188" s="1627"/>
      <c r="F188" s="1186" t="s">
        <v>330</v>
      </c>
      <c r="G188" s="1191">
        <v>5</v>
      </c>
      <c r="H188" s="1187"/>
      <c r="I188" s="1192"/>
      <c r="J188" s="1744"/>
      <c r="K188" s="1625"/>
      <c r="L188" s="1621"/>
      <c r="M188" s="1611"/>
    </row>
    <row r="189" spans="1:20" ht="15.65" customHeight="1" x14ac:dyDescent="0.25">
      <c r="A189" s="1473"/>
      <c r="B189" s="1474"/>
      <c r="C189" s="1475"/>
      <c r="D189" s="1482" t="s">
        <v>103</v>
      </c>
      <c r="E189" s="1626" t="s">
        <v>194</v>
      </c>
      <c r="F189" s="1258" t="s">
        <v>333</v>
      </c>
      <c r="G189" s="1193">
        <f>172-7</f>
        <v>165</v>
      </c>
      <c r="H189" s="1184">
        <f>58+122</f>
        <v>180</v>
      </c>
      <c r="I189" s="1194">
        <f>60+128</f>
        <v>188</v>
      </c>
      <c r="J189" s="1373" t="s">
        <v>82</v>
      </c>
      <c r="K189" s="456"/>
      <c r="L189" s="284"/>
      <c r="M189" s="285"/>
    </row>
    <row r="190" spans="1:20" ht="16.5" customHeight="1" x14ac:dyDescent="0.25">
      <c r="A190" s="1473"/>
      <c r="B190" s="1474"/>
      <c r="C190" s="1475"/>
      <c r="D190" s="1483"/>
      <c r="E190" s="1627"/>
      <c r="F190" s="1171" t="s">
        <v>330</v>
      </c>
      <c r="G190" s="1166">
        <v>7</v>
      </c>
      <c r="H190" s="1166"/>
      <c r="I190" s="1165"/>
      <c r="J190" s="699" t="s">
        <v>339</v>
      </c>
      <c r="K190" s="497">
        <v>1</v>
      </c>
      <c r="L190" s="286">
        <v>1</v>
      </c>
      <c r="M190" s="287">
        <v>1</v>
      </c>
    </row>
    <row r="191" spans="1:20" ht="17.25" customHeight="1" x14ac:dyDescent="0.25">
      <c r="A191" s="1372"/>
      <c r="B191" s="1399"/>
      <c r="C191" s="1374"/>
      <c r="D191" s="1392"/>
      <c r="E191" s="1627"/>
      <c r="F191" s="1171"/>
      <c r="G191" s="1166"/>
      <c r="H191" s="1166"/>
      <c r="I191" s="1179"/>
      <c r="J191" s="1364" t="s">
        <v>340</v>
      </c>
      <c r="K191" s="498">
        <v>1</v>
      </c>
      <c r="L191" s="279">
        <v>1</v>
      </c>
      <c r="M191" s="280">
        <v>1</v>
      </c>
    </row>
    <row r="192" spans="1:20" ht="15" customHeight="1" x14ac:dyDescent="0.25">
      <c r="A192" s="1372"/>
      <c r="B192" s="1399"/>
      <c r="C192" s="1374"/>
      <c r="D192" s="1392"/>
      <c r="E192" s="1627"/>
      <c r="F192" s="1141"/>
      <c r="G192" s="1189"/>
      <c r="H192" s="1152"/>
      <c r="I192" s="1180"/>
      <c r="J192" s="1364" t="s">
        <v>341</v>
      </c>
      <c r="K192" s="498">
        <v>1</v>
      </c>
      <c r="L192" s="279">
        <v>1</v>
      </c>
      <c r="M192" s="280">
        <v>1</v>
      </c>
    </row>
    <row r="193" spans="1:19" ht="15.65" customHeight="1" x14ac:dyDescent="0.25">
      <c r="A193" s="1372"/>
      <c r="B193" s="1399"/>
      <c r="C193" s="1374"/>
      <c r="D193" s="1392"/>
      <c r="E193" s="1628"/>
      <c r="F193" s="1167" t="s">
        <v>333</v>
      </c>
      <c r="G193" s="1168">
        <v>54.6</v>
      </c>
      <c r="H193" s="1169">
        <v>54.6</v>
      </c>
      <c r="I193" s="1179">
        <v>54.6</v>
      </c>
      <c r="J193" s="849" t="s">
        <v>342</v>
      </c>
      <c r="K193" s="251">
        <v>1</v>
      </c>
      <c r="L193" s="192">
        <v>1</v>
      </c>
      <c r="M193" s="145">
        <v>1</v>
      </c>
    </row>
    <row r="194" spans="1:19" ht="15.75" customHeight="1" x14ac:dyDescent="0.25">
      <c r="A194" s="1387"/>
      <c r="B194" s="63"/>
      <c r="C194" s="1377"/>
      <c r="D194" s="1493" t="s">
        <v>70</v>
      </c>
      <c r="E194" s="1375" t="s">
        <v>91</v>
      </c>
      <c r="F194" s="1258" t="s">
        <v>328</v>
      </c>
      <c r="G194" s="1195"/>
      <c r="H194" s="1196">
        <v>30</v>
      </c>
      <c r="I194" s="1197"/>
      <c r="J194" s="1373" t="s">
        <v>238</v>
      </c>
      <c r="K194" s="195">
        <v>1</v>
      </c>
      <c r="L194" s="178">
        <v>2</v>
      </c>
      <c r="M194" s="65"/>
    </row>
    <row r="195" spans="1:19" ht="15.75" customHeight="1" x14ac:dyDescent="0.25">
      <c r="A195" s="1367"/>
      <c r="B195" s="1399"/>
      <c r="C195" s="42"/>
      <c r="D195" s="1494"/>
      <c r="E195" s="1376" t="s">
        <v>194</v>
      </c>
      <c r="F195" s="1171" t="s">
        <v>336</v>
      </c>
      <c r="G195" s="1198">
        <v>12.4</v>
      </c>
      <c r="H195" s="1199"/>
      <c r="I195" s="1200"/>
      <c r="J195" s="634"/>
      <c r="K195" s="324"/>
      <c r="L195" s="261"/>
      <c r="M195" s="260"/>
    </row>
    <row r="196" spans="1:19" ht="28.4" customHeight="1" x14ac:dyDescent="0.25">
      <c r="A196" s="1367"/>
      <c r="B196" s="1399"/>
      <c r="C196" s="42"/>
      <c r="D196" s="1360"/>
      <c r="E196" s="1384"/>
      <c r="F196" s="1186" t="s">
        <v>328</v>
      </c>
      <c r="G196" s="1138"/>
      <c r="H196" s="1166">
        <v>44.5</v>
      </c>
      <c r="I196" s="1192">
        <v>44.5</v>
      </c>
      <c r="J196" s="227" t="s">
        <v>188</v>
      </c>
      <c r="K196" s="945"/>
      <c r="L196" s="904">
        <v>7</v>
      </c>
      <c r="M196" s="905">
        <v>7</v>
      </c>
    </row>
    <row r="197" spans="1:19" s="2" customFormat="1" ht="16.399999999999999" customHeight="1" x14ac:dyDescent="0.25">
      <c r="A197" s="1387"/>
      <c r="B197" s="63"/>
      <c r="C197" s="95"/>
      <c r="D197" s="1480" t="s">
        <v>98</v>
      </c>
      <c r="E197" s="342" t="s">
        <v>194</v>
      </c>
      <c r="F197" s="1258" t="s">
        <v>333</v>
      </c>
      <c r="G197" s="1201"/>
      <c r="H197" s="1162">
        <v>20</v>
      </c>
      <c r="I197" s="1163"/>
      <c r="J197" s="228" t="s">
        <v>215</v>
      </c>
      <c r="K197" s="1383">
        <v>100</v>
      </c>
      <c r="L197" s="418"/>
      <c r="M197" s="776"/>
      <c r="N197" s="340"/>
      <c r="O197" s="1211"/>
      <c r="P197" s="1211"/>
      <c r="Q197" s="1211"/>
      <c r="R197" s="1211"/>
    </row>
    <row r="198" spans="1:19" s="2" customFormat="1" ht="27.75" customHeight="1" x14ac:dyDescent="0.25">
      <c r="A198" s="38"/>
      <c r="B198" s="63"/>
      <c r="C198" s="268"/>
      <c r="D198" s="1521"/>
      <c r="E198" s="1063" t="s">
        <v>321</v>
      </c>
      <c r="F198" s="1278" t="s">
        <v>328</v>
      </c>
      <c r="G198" s="1202">
        <v>360</v>
      </c>
      <c r="H198" s="1203"/>
      <c r="I198" s="1204"/>
      <c r="J198" s="778" t="s">
        <v>39</v>
      </c>
      <c r="K198" s="1066"/>
      <c r="L198" s="553">
        <v>1</v>
      </c>
      <c r="M198" s="940"/>
      <c r="N198" s="340"/>
      <c r="O198" s="1211"/>
      <c r="P198" s="1211"/>
      <c r="Q198" s="1211"/>
      <c r="R198" s="1211"/>
    </row>
    <row r="199" spans="1:19" ht="15" customHeight="1" x14ac:dyDescent="0.25">
      <c r="A199" s="1372"/>
      <c r="B199" s="1399"/>
      <c r="C199" s="44"/>
      <c r="D199" s="1633" t="s">
        <v>357</v>
      </c>
      <c r="E199" s="338" t="s">
        <v>159</v>
      </c>
      <c r="F199" s="1145" t="s">
        <v>333</v>
      </c>
      <c r="G199" s="1161"/>
      <c r="H199" s="1205">
        <v>1687.5</v>
      </c>
      <c r="I199" s="1174"/>
      <c r="J199" s="1067" t="s">
        <v>338</v>
      </c>
      <c r="K199" s="1383">
        <v>100</v>
      </c>
      <c r="L199" s="204">
        <v>100</v>
      </c>
      <c r="M199" s="1381"/>
    </row>
    <row r="200" spans="1:19" ht="15" customHeight="1" x14ac:dyDescent="0.25">
      <c r="A200" s="1372"/>
      <c r="B200" s="1399"/>
      <c r="C200" s="44"/>
      <c r="D200" s="1634"/>
      <c r="E200" s="1376" t="s">
        <v>160</v>
      </c>
      <c r="F200" s="1137" t="s">
        <v>330</v>
      </c>
      <c r="G200" s="1130">
        <v>562.5</v>
      </c>
      <c r="H200" s="1166"/>
      <c r="I200" s="1165"/>
      <c r="J200" s="634"/>
      <c r="K200" s="324"/>
      <c r="L200" s="261"/>
      <c r="M200" s="260"/>
    </row>
    <row r="201" spans="1:19" ht="15" customHeight="1" x14ac:dyDescent="0.25">
      <c r="A201" s="1372"/>
      <c r="B201" s="1399"/>
      <c r="C201" s="44"/>
      <c r="D201" s="1634"/>
      <c r="E201" s="1376" t="s">
        <v>194</v>
      </c>
      <c r="F201" s="1171"/>
      <c r="G201" s="1166"/>
      <c r="H201" s="1166"/>
      <c r="I201" s="1132"/>
      <c r="J201" s="634"/>
      <c r="K201" s="324"/>
      <c r="L201" s="261"/>
      <c r="M201" s="260"/>
    </row>
    <row r="202" spans="1:19" ht="15" customHeight="1" x14ac:dyDescent="0.25">
      <c r="A202" s="1372"/>
      <c r="B202" s="1399"/>
      <c r="C202" s="44"/>
      <c r="D202" s="1634"/>
      <c r="E202" s="1376" t="s">
        <v>125</v>
      </c>
      <c r="F202" s="1167"/>
      <c r="G202" s="1130"/>
      <c r="H202" s="1135"/>
      <c r="I202" s="1170"/>
      <c r="J202" s="634"/>
      <c r="K202" s="324"/>
      <c r="L202" s="261"/>
      <c r="M202" s="260"/>
    </row>
    <row r="203" spans="1:19" ht="15" customHeight="1" x14ac:dyDescent="0.25">
      <c r="A203" s="1372"/>
      <c r="B203" s="1399"/>
      <c r="C203" s="44"/>
      <c r="D203" s="1480" t="s">
        <v>247</v>
      </c>
      <c r="E203" s="338" t="s">
        <v>159</v>
      </c>
      <c r="F203" s="1295" t="s">
        <v>333</v>
      </c>
      <c r="G203" s="1161">
        <v>1245</v>
      </c>
      <c r="H203" s="1162"/>
      <c r="I203" s="1163"/>
      <c r="J203" s="228" t="s">
        <v>189</v>
      </c>
      <c r="K203" s="274">
        <v>12</v>
      </c>
      <c r="L203" s="204"/>
      <c r="M203" s="1381"/>
    </row>
    <row r="204" spans="1:19" ht="14.15" customHeight="1" x14ac:dyDescent="0.25">
      <c r="A204" s="1372"/>
      <c r="B204" s="1399"/>
      <c r="C204" s="44"/>
      <c r="D204" s="1521"/>
      <c r="E204" s="1376" t="s">
        <v>125</v>
      </c>
      <c r="F204" s="1137" t="s">
        <v>331</v>
      </c>
      <c r="G204" s="1166">
        <v>7578.6</v>
      </c>
      <c r="H204" s="1135"/>
      <c r="I204" s="1165"/>
      <c r="J204" s="634"/>
      <c r="K204" s="324"/>
      <c r="L204" s="261"/>
      <c r="M204" s="260"/>
    </row>
    <row r="205" spans="1:19" ht="12.65" customHeight="1" x14ac:dyDescent="0.25">
      <c r="A205" s="1372"/>
      <c r="B205" s="1399"/>
      <c r="C205" s="44"/>
      <c r="D205" s="1521"/>
      <c r="E205" s="1376" t="s">
        <v>40</v>
      </c>
      <c r="F205" s="1171"/>
      <c r="G205" s="1166"/>
      <c r="H205" s="1135"/>
      <c r="I205" s="1132"/>
      <c r="J205" s="634"/>
      <c r="K205" s="324"/>
      <c r="L205" s="261"/>
      <c r="M205" s="260"/>
    </row>
    <row r="206" spans="1:19" ht="11.9" customHeight="1" x14ac:dyDescent="0.25">
      <c r="A206" s="1372"/>
      <c r="B206" s="1399"/>
      <c r="C206" s="44"/>
      <c r="D206" s="1521"/>
      <c r="E206" s="1376" t="s">
        <v>194</v>
      </c>
      <c r="F206" s="1171"/>
      <c r="G206" s="1166"/>
      <c r="H206" s="1166"/>
      <c r="I206" s="1132"/>
      <c r="J206" s="634"/>
      <c r="K206" s="324"/>
      <c r="L206" s="261"/>
      <c r="M206" s="260"/>
    </row>
    <row r="207" spans="1:19" ht="15" customHeight="1" x14ac:dyDescent="0.25">
      <c r="A207" s="1372"/>
      <c r="B207" s="1399"/>
      <c r="C207" s="44"/>
      <c r="D207" s="1521"/>
      <c r="E207" s="1384" t="s">
        <v>160</v>
      </c>
      <c r="F207" s="1167"/>
      <c r="G207" s="1181"/>
      <c r="H207" s="1181"/>
      <c r="I207" s="1170"/>
      <c r="J207" s="224"/>
      <c r="K207" s="499"/>
      <c r="L207" s="205"/>
      <c r="M207" s="396"/>
    </row>
    <row r="208" spans="1:19" ht="15" customHeight="1" x14ac:dyDescent="0.25">
      <c r="A208" s="1372"/>
      <c r="B208" s="1399"/>
      <c r="C208" s="44"/>
      <c r="D208" s="1480" t="s">
        <v>146</v>
      </c>
      <c r="E208" s="328" t="s">
        <v>159</v>
      </c>
      <c r="F208" s="1171" t="s">
        <v>336</v>
      </c>
      <c r="G208" s="1166">
        <v>57.7</v>
      </c>
      <c r="H208" s="1206"/>
      <c r="I208" s="1207"/>
      <c r="J208" s="228" t="s">
        <v>39</v>
      </c>
      <c r="K208" s="274">
        <v>1</v>
      </c>
      <c r="L208" s="204"/>
      <c r="M208" s="848"/>
      <c r="N208" s="340"/>
      <c r="O208" s="1211"/>
      <c r="P208" s="1211"/>
      <c r="Q208" s="1211"/>
      <c r="R208" s="1211"/>
      <c r="S208" s="2"/>
    </row>
    <row r="209" spans="1:21" ht="15" customHeight="1" x14ac:dyDescent="0.25">
      <c r="A209" s="1372"/>
      <c r="B209" s="1399"/>
      <c r="C209" s="44"/>
      <c r="D209" s="1521"/>
      <c r="E209" s="328" t="s">
        <v>194</v>
      </c>
      <c r="F209" s="1296"/>
      <c r="G209" s="1208"/>
      <c r="H209" s="1209"/>
      <c r="I209" s="1210"/>
      <c r="J209" s="634"/>
      <c r="K209" s="731"/>
      <c r="L209" s="261"/>
      <c r="M209" s="260"/>
      <c r="N209" s="340"/>
      <c r="O209" s="1211"/>
      <c r="P209" s="1211"/>
      <c r="Q209" s="1211"/>
      <c r="R209" s="1211"/>
      <c r="S209" s="2"/>
    </row>
    <row r="210" spans="1:21" ht="15" customHeight="1" x14ac:dyDescent="0.25">
      <c r="A210" s="1372"/>
      <c r="B210" s="1399"/>
      <c r="C210" s="44"/>
      <c r="D210" s="1521"/>
      <c r="E210" s="328" t="s">
        <v>40</v>
      </c>
      <c r="F210" s="1271"/>
      <c r="G210" s="1211"/>
      <c r="H210" s="1135"/>
      <c r="I210" s="1132"/>
      <c r="J210" s="634"/>
      <c r="K210" s="324"/>
      <c r="L210" s="261"/>
      <c r="M210" s="260"/>
      <c r="N210" s="340"/>
      <c r="O210" s="1211"/>
      <c r="P210" s="1211"/>
      <c r="Q210" s="1211"/>
      <c r="R210" s="1211"/>
      <c r="S210" s="2"/>
    </row>
    <row r="211" spans="1:21" ht="15" customHeight="1" x14ac:dyDescent="0.25">
      <c r="A211" s="1372"/>
      <c r="B211" s="1399"/>
      <c r="C211" s="44"/>
      <c r="D211" s="1481"/>
      <c r="E211" s="328" t="s">
        <v>125</v>
      </c>
      <c r="F211" s="1297"/>
      <c r="G211" s="1168"/>
      <c r="H211" s="1169"/>
      <c r="I211" s="1170"/>
      <c r="J211" s="333"/>
      <c r="K211" s="137"/>
      <c r="L211" s="174"/>
      <c r="M211" s="135"/>
      <c r="N211" s="340"/>
      <c r="O211" s="1211"/>
      <c r="P211" s="1211"/>
      <c r="Q211" s="1211"/>
      <c r="R211" s="1211"/>
      <c r="S211" s="2"/>
    </row>
    <row r="212" spans="1:21" ht="15" customHeight="1" thickBot="1" x14ac:dyDescent="0.3">
      <c r="A212" s="53"/>
      <c r="B212" s="31"/>
      <c r="C212" s="39"/>
      <c r="D212" s="370"/>
      <c r="E212" s="369"/>
      <c r="F212" s="99" t="s">
        <v>4</v>
      </c>
      <c r="G212" s="242">
        <f>+G172+G173+G174+G175+G176</f>
        <v>20438.3</v>
      </c>
      <c r="H212" s="1102">
        <f t="shared" ref="H212:I212" si="3">+H172+H173+H174+H175+H176</f>
        <v>10143.299999999999</v>
      </c>
      <c r="I212" s="1101">
        <f t="shared" si="3"/>
        <v>8579.7999999999993</v>
      </c>
      <c r="J212" s="450"/>
      <c r="K212" s="1097"/>
      <c r="L212" s="199"/>
      <c r="M212" s="129"/>
    </row>
    <row r="213" spans="1:21" ht="15" customHeight="1" thickBot="1" x14ac:dyDescent="0.3">
      <c r="A213" s="18" t="s">
        <v>3</v>
      </c>
      <c r="B213" s="33" t="s">
        <v>5</v>
      </c>
      <c r="C213" s="1504" t="s">
        <v>6</v>
      </c>
      <c r="D213" s="1505"/>
      <c r="E213" s="1505"/>
      <c r="F213" s="1506"/>
      <c r="G213" s="240">
        <f t="shared" ref="G213:I213" si="4">G212</f>
        <v>20438.3</v>
      </c>
      <c r="H213" s="17">
        <f t="shared" si="4"/>
        <v>10143.299999999999</v>
      </c>
      <c r="I213" s="506">
        <f t="shared" si="4"/>
        <v>8579.7999999999993</v>
      </c>
      <c r="J213" s="1522"/>
      <c r="K213" s="1522"/>
      <c r="L213" s="1522"/>
      <c r="M213" s="1523"/>
    </row>
    <row r="214" spans="1:21" ht="15" customHeight="1" thickBot="1" x14ac:dyDescent="0.3">
      <c r="A214" s="16" t="s">
        <v>3</v>
      </c>
      <c r="B214" s="33" t="s">
        <v>24</v>
      </c>
      <c r="C214" s="1602" t="s">
        <v>67</v>
      </c>
      <c r="D214" s="1603"/>
      <c r="E214" s="1603"/>
      <c r="F214" s="1603"/>
      <c r="G214" s="1603"/>
      <c r="H214" s="1603"/>
      <c r="I214" s="1603"/>
      <c r="J214" s="1603"/>
      <c r="K214" s="1622"/>
      <c r="L214" s="1622"/>
      <c r="M214" s="1623"/>
    </row>
    <row r="215" spans="1:21" ht="15.75" customHeight="1" x14ac:dyDescent="0.25">
      <c r="A215" s="60" t="s">
        <v>3</v>
      </c>
      <c r="B215" s="32" t="s">
        <v>24</v>
      </c>
      <c r="C215" s="40" t="s">
        <v>3</v>
      </c>
      <c r="D215" s="1737" t="s">
        <v>65</v>
      </c>
      <c r="E215" s="1116" t="s">
        <v>91</v>
      </c>
      <c r="F215" s="115" t="s">
        <v>21</v>
      </c>
      <c r="G215" s="91">
        <v>712.2</v>
      </c>
      <c r="H215" s="401">
        <v>887.5</v>
      </c>
      <c r="I215" s="1113">
        <v>910.9</v>
      </c>
      <c r="J215" s="1118"/>
      <c r="K215" s="399"/>
      <c r="L215" s="401"/>
      <c r="M215" s="152"/>
      <c r="O215" s="1175" t="s">
        <v>21</v>
      </c>
      <c r="P215" s="1176">
        <f>+G220+G222+G224+G231+G235+G239</f>
        <v>712.2</v>
      </c>
      <c r="Q215" s="1176">
        <f>+H220+H222+H224+H231+H235+H239</f>
        <v>887.5</v>
      </c>
      <c r="R215" s="1176">
        <f>+I220+I222+I224+I231+I235+I239</f>
        <v>910.9</v>
      </c>
    </row>
    <row r="216" spans="1:21" ht="15.75" customHeight="1" x14ac:dyDescent="0.25">
      <c r="A216" s="1372"/>
      <c r="B216" s="1399"/>
      <c r="C216" s="1374"/>
      <c r="D216" s="1738"/>
      <c r="E216" s="1117"/>
      <c r="F216" s="115" t="s">
        <v>53</v>
      </c>
      <c r="G216" s="558">
        <v>1010.2</v>
      </c>
      <c r="H216" s="167">
        <v>1011</v>
      </c>
      <c r="I216" s="282">
        <v>1031</v>
      </c>
      <c r="J216" s="1369"/>
      <c r="K216" s="983"/>
      <c r="L216" s="1397"/>
      <c r="M216" s="1398"/>
      <c r="O216" s="1175" t="s">
        <v>53</v>
      </c>
      <c r="P216" s="1176">
        <f>+G230+G233+G237+G243+G244</f>
        <v>1010.2</v>
      </c>
      <c r="Q216" s="1176">
        <f>+H230+H233+H237+H243+H244</f>
        <v>1011</v>
      </c>
      <c r="R216" s="1176">
        <f>+I230+I233+I237+I243+I244</f>
        <v>1031</v>
      </c>
    </row>
    <row r="217" spans="1:21" ht="15.75" customHeight="1" x14ac:dyDescent="0.25">
      <c r="A217" s="1372"/>
      <c r="B217" s="1399"/>
      <c r="C217" s="1374"/>
      <c r="D217" s="1103"/>
      <c r="E217" s="1393"/>
      <c r="F217" s="14" t="s">
        <v>62</v>
      </c>
      <c r="G217" s="558">
        <v>584.79999999999995</v>
      </c>
      <c r="H217" s="167">
        <v>400</v>
      </c>
      <c r="I217" s="1398">
        <v>200</v>
      </c>
      <c r="J217" s="1369"/>
      <c r="K217" s="983"/>
      <c r="L217" s="1397"/>
      <c r="M217" s="13"/>
      <c r="O217" s="1175" t="s">
        <v>62</v>
      </c>
      <c r="P217" s="1176">
        <f>+G221+G226+G227+G228+G229</f>
        <v>584.79999999999995</v>
      </c>
      <c r="Q217" s="1176">
        <f>+H221+H226+H227+H228+H229</f>
        <v>400</v>
      </c>
      <c r="R217" s="1176">
        <f>+I221+I226+I227+I228+I229</f>
        <v>200</v>
      </c>
    </row>
    <row r="218" spans="1:21" ht="15.75" customHeight="1" x14ac:dyDescent="0.25">
      <c r="A218" s="1372"/>
      <c r="B218" s="1399"/>
      <c r="C218" s="1374"/>
      <c r="D218" s="1103"/>
      <c r="E218" s="1393"/>
      <c r="F218" s="115" t="s">
        <v>46</v>
      </c>
      <c r="G218" s="558">
        <v>20.5</v>
      </c>
      <c r="H218" s="167"/>
      <c r="I218" s="281"/>
      <c r="J218" s="1369"/>
      <c r="K218" s="983"/>
      <c r="L218" s="1397"/>
      <c r="M218" s="13"/>
      <c r="O218" s="1175" t="s">
        <v>46</v>
      </c>
      <c r="P218" s="1176">
        <f>+G223</f>
        <v>20.5</v>
      </c>
      <c r="Q218" s="1176">
        <f>+H223</f>
        <v>0</v>
      </c>
      <c r="R218" s="1176">
        <f>+I223</f>
        <v>0</v>
      </c>
    </row>
    <row r="219" spans="1:21" ht="15.75" customHeight="1" x14ac:dyDescent="0.25">
      <c r="A219" s="1372"/>
      <c r="B219" s="1399"/>
      <c r="C219" s="1374"/>
      <c r="D219" s="1103"/>
      <c r="E219" s="1115"/>
      <c r="F219" s="132" t="s">
        <v>55</v>
      </c>
      <c r="G219" s="291">
        <v>95.8</v>
      </c>
      <c r="H219" s="197"/>
      <c r="I219" s="293"/>
      <c r="J219" s="1369"/>
      <c r="K219" s="983"/>
      <c r="L219" s="1397"/>
      <c r="M219" s="13"/>
      <c r="O219" s="1175" t="s">
        <v>55</v>
      </c>
      <c r="P219" s="1176">
        <f>+G225+G238</f>
        <v>95.8</v>
      </c>
      <c r="Q219" s="1176">
        <f>+H225+H238</f>
        <v>0</v>
      </c>
      <c r="R219" s="1176">
        <f>+I225+I238</f>
        <v>0</v>
      </c>
    </row>
    <row r="220" spans="1:21" ht="15" customHeight="1" x14ac:dyDescent="0.25">
      <c r="A220" s="1372"/>
      <c r="B220" s="1399"/>
      <c r="C220" s="1374"/>
      <c r="D220" s="1480" t="s">
        <v>63</v>
      </c>
      <c r="E220" s="1376" t="s">
        <v>194</v>
      </c>
      <c r="F220" s="1141" t="s">
        <v>333</v>
      </c>
      <c r="G220" s="1161">
        <v>55.1</v>
      </c>
      <c r="H220" s="1162">
        <v>60</v>
      </c>
      <c r="I220" s="1163">
        <v>60</v>
      </c>
      <c r="J220" s="1470" t="s">
        <v>68</v>
      </c>
      <c r="K220" s="1394">
        <v>16.3</v>
      </c>
      <c r="L220" s="1396">
        <v>16.5</v>
      </c>
      <c r="M220" s="180">
        <v>16.5</v>
      </c>
      <c r="P220" s="1176">
        <f>SUM(P215:P219)</f>
        <v>2423.5</v>
      </c>
      <c r="Q220" s="1176">
        <f t="shared" ref="Q220:R220" si="5">SUM(Q215:Q219)</f>
        <v>2298.5</v>
      </c>
      <c r="R220" s="1176">
        <f t="shared" si="5"/>
        <v>2141.9</v>
      </c>
    </row>
    <row r="221" spans="1:21" ht="15" customHeight="1" x14ac:dyDescent="0.25">
      <c r="A221" s="1372"/>
      <c r="B221" s="1399"/>
      <c r="C221" s="1374"/>
      <c r="D221" s="1521"/>
      <c r="E221" s="1061" t="s">
        <v>125</v>
      </c>
      <c r="F221" s="1171" t="s">
        <v>332</v>
      </c>
      <c r="G221" s="1189">
        <v>100</v>
      </c>
      <c r="H221" s="1152">
        <v>100</v>
      </c>
      <c r="I221" s="1165">
        <v>100</v>
      </c>
      <c r="J221" s="1510"/>
      <c r="K221" s="983"/>
      <c r="L221" s="1397"/>
      <c r="M221" s="292"/>
      <c r="P221" s="1176">
        <f>+P220-G246</f>
        <v>0</v>
      </c>
      <c r="Q221" s="1176">
        <f>+Q220-H246</f>
        <v>0</v>
      </c>
      <c r="R221" s="1176">
        <f>+R220-I246</f>
        <v>0</v>
      </c>
      <c r="S221" s="12"/>
    </row>
    <row r="222" spans="1:21" ht="14.9" customHeight="1" x14ac:dyDescent="0.25">
      <c r="A222" s="1372"/>
      <c r="B222" s="1399"/>
      <c r="C222" s="1374"/>
      <c r="D222" s="1359"/>
      <c r="E222" s="106"/>
      <c r="F222" s="1151" t="s">
        <v>333</v>
      </c>
      <c r="G222" s="1134">
        <f>520.5-20.5-100</f>
        <v>400</v>
      </c>
      <c r="H222" s="1131">
        <f>595-100</f>
        <v>495</v>
      </c>
      <c r="I222" s="1136">
        <f>595-100</f>
        <v>495</v>
      </c>
      <c r="J222" s="1605" t="s">
        <v>32</v>
      </c>
      <c r="K222" s="188">
        <v>95</v>
      </c>
      <c r="L222" s="191">
        <v>102</v>
      </c>
      <c r="M222" s="297">
        <v>102</v>
      </c>
      <c r="T222" s="687"/>
      <c r="U222" s="687"/>
    </row>
    <row r="223" spans="1:21" ht="14.9" customHeight="1" x14ac:dyDescent="0.25">
      <c r="A223" s="1372"/>
      <c r="B223" s="1399"/>
      <c r="C223" s="1374"/>
      <c r="D223" s="1359"/>
      <c r="E223" s="106"/>
      <c r="F223" s="1151" t="s">
        <v>330</v>
      </c>
      <c r="G223" s="1134">
        <v>20.5</v>
      </c>
      <c r="H223" s="1164"/>
      <c r="I223" s="1136"/>
      <c r="J223" s="1471"/>
      <c r="K223" s="674"/>
      <c r="L223" s="269"/>
      <c r="M223" s="297"/>
      <c r="T223" s="687"/>
      <c r="U223" s="687"/>
    </row>
    <row r="224" spans="1:21" ht="27" customHeight="1" x14ac:dyDescent="0.25">
      <c r="A224" s="1372"/>
      <c r="B224" s="1399"/>
      <c r="C224" s="1374"/>
      <c r="D224" s="1357"/>
      <c r="E224" s="106"/>
      <c r="F224" s="1151" t="s">
        <v>333</v>
      </c>
      <c r="G224" s="1178">
        <v>48</v>
      </c>
      <c r="H224" s="1164">
        <v>72</v>
      </c>
      <c r="I224" s="1175">
        <v>96</v>
      </c>
      <c r="J224" s="699" t="s">
        <v>271</v>
      </c>
      <c r="K224" s="731">
        <v>20</v>
      </c>
      <c r="L224" s="1089">
        <v>30</v>
      </c>
      <c r="M224" s="1090">
        <v>40</v>
      </c>
      <c r="T224" s="687"/>
      <c r="U224" s="687"/>
    </row>
    <row r="225" spans="1:13" ht="27" customHeight="1" x14ac:dyDescent="0.25">
      <c r="A225" s="1372"/>
      <c r="B225" s="1399"/>
      <c r="C225" s="1374"/>
      <c r="D225" s="1357"/>
      <c r="E225" s="106"/>
      <c r="F225" s="1151" t="s">
        <v>336</v>
      </c>
      <c r="G225" s="1134">
        <v>30</v>
      </c>
      <c r="H225" s="1164"/>
      <c r="I225" s="1165"/>
      <c r="J225" s="226" t="s">
        <v>315</v>
      </c>
      <c r="K225" s="257">
        <v>100</v>
      </c>
      <c r="L225" s="191"/>
      <c r="M225" s="81"/>
    </row>
    <row r="226" spans="1:13" ht="30" customHeight="1" x14ac:dyDescent="0.25">
      <c r="A226" s="1372"/>
      <c r="B226" s="1399"/>
      <c r="C226" s="1374"/>
      <c r="D226" s="1357"/>
      <c r="E226" s="72"/>
      <c r="F226" s="1151" t="s">
        <v>332</v>
      </c>
      <c r="G226" s="1134">
        <v>15</v>
      </c>
      <c r="H226" s="1164"/>
      <c r="I226" s="1165"/>
      <c r="J226" s="354" t="s">
        <v>239</v>
      </c>
      <c r="K226" s="188">
        <v>1</v>
      </c>
      <c r="L226" s="191"/>
      <c r="M226" s="81"/>
    </row>
    <row r="227" spans="1:13" ht="29.25" customHeight="1" x14ac:dyDescent="0.25">
      <c r="A227" s="1372"/>
      <c r="B227" s="1399"/>
      <c r="C227" s="1374"/>
      <c r="D227" s="1357"/>
      <c r="E227" s="72"/>
      <c r="F227" s="1151" t="s">
        <v>332</v>
      </c>
      <c r="G227" s="1179"/>
      <c r="H227" s="1164">
        <v>200</v>
      </c>
      <c r="I227" s="1165"/>
      <c r="J227" s="226" t="s">
        <v>240</v>
      </c>
      <c r="K227" s="188"/>
      <c r="L227" s="191">
        <v>100</v>
      </c>
      <c r="M227" s="81"/>
    </row>
    <row r="228" spans="1:13" ht="15" customHeight="1" x14ac:dyDescent="0.25">
      <c r="A228" s="1372"/>
      <c r="B228" s="1399"/>
      <c r="C228" s="1374"/>
      <c r="D228" s="1357"/>
      <c r="E228" s="72"/>
      <c r="F228" s="1171" t="s">
        <v>332</v>
      </c>
      <c r="G228" s="1138">
        <v>369.8</v>
      </c>
      <c r="H228" s="1164"/>
      <c r="I228" s="1136"/>
      <c r="J228" s="226" t="s">
        <v>107</v>
      </c>
      <c r="K228" s="170">
        <v>7</v>
      </c>
      <c r="L228" s="419"/>
      <c r="M228" s="143"/>
    </row>
    <row r="229" spans="1:13" ht="15" customHeight="1" x14ac:dyDescent="0.25">
      <c r="A229" s="1372"/>
      <c r="B229" s="1399"/>
      <c r="C229" s="1374"/>
      <c r="D229" s="1357"/>
      <c r="E229" s="72"/>
      <c r="F229" s="1151" t="s">
        <v>332</v>
      </c>
      <c r="G229" s="1134">
        <v>100</v>
      </c>
      <c r="H229" s="1131">
        <v>100</v>
      </c>
      <c r="I229" s="1180">
        <v>100</v>
      </c>
      <c r="J229" s="1471" t="s">
        <v>296</v>
      </c>
      <c r="K229" s="840">
        <v>9</v>
      </c>
      <c r="L229" s="841">
        <v>9</v>
      </c>
      <c r="M229" s="842">
        <v>9</v>
      </c>
    </row>
    <row r="230" spans="1:13" ht="15" customHeight="1" x14ac:dyDescent="0.25">
      <c r="A230" s="1372"/>
      <c r="B230" s="1399"/>
      <c r="C230" s="1374"/>
      <c r="D230" s="1357"/>
      <c r="E230" s="72"/>
      <c r="F230" s="1151" t="s">
        <v>328</v>
      </c>
      <c r="G230" s="1166">
        <v>18.5</v>
      </c>
      <c r="H230" s="1131">
        <v>20</v>
      </c>
      <c r="I230" s="1136">
        <v>20</v>
      </c>
      <c r="J230" s="1471"/>
      <c r="K230" s="169"/>
      <c r="L230" s="198"/>
      <c r="M230" s="871"/>
    </row>
    <row r="231" spans="1:13" ht="15" customHeight="1" x14ac:dyDescent="0.25">
      <c r="A231" s="1372"/>
      <c r="B231" s="1399"/>
      <c r="C231" s="1374"/>
      <c r="D231" s="1357"/>
      <c r="E231" s="72"/>
      <c r="F231" s="1171" t="s">
        <v>333</v>
      </c>
      <c r="G231" s="1138">
        <f>4.1</f>
        <v>4.0999999999999996</v>
      </c>
      <c r="H231" s="1166">
        <v>4.5</v>
      </c>
      <c r="I231" s="1165">
        <v>5.5</v>
      </c>
      <c r="J231" s="1605" t="s">
        <v>203</v>
      </c>
      <c r="K231" s="188">
        <v>4</v>
      </c>
      <c r="L231" s="175">
        <v>4</v>
      </c>
      <c r="M231" s="148">
        <v>5</v>
      </c>
    </row>
    <row r="232" spans="1:13" ht="27.75" customHeight="1" x14ac:dyDescent="0.25">
      <c r="A232" s="1372"/>
      <c r="B232" s="1399"/>
      <c r="C232" s="1374"/>
      <c r="D232" s="1357"/>
      <c r="E232" s="72"/>
      <c r="F232" s="1167"/>
      <c r="G232" s="1181"/>
      <c r="H232" s="1181"/>
      <c r="I232" s="1170"/>
      <c r="J232" s="1472"/>
      <c r="K232" s="172"/>
      <c r="L232" s="179"/>
      <c r="M232" s="67"/>
    </row>
    <row r="233" spans="1:13" ht="16.5" customHeight="1" x14ac:dyDescent="0.25">
      <c r="A233" s="1372"/>
      <c r="B233" s="1399"/>
      <c r="C233" s="1374"/>
      <c r="D233" s="1658" t="s">
        <v>69</v>
      </c>
      <c r="E233" s="1375" t="s">
        <v>194</v>
      </c>
      <c r="F233" s="1145" t="s">
        <v>328</v>
      </c>
      <c r="G233" s="1172">
        <v>8</v>
      </c>
      <c r="H233" s="1173">
        <v>8</v>
      </c>
      <c r="I233" s="1132">
        <v>8</v>
      </c>
      <c r="J233" s="1551" t="s">
        <v>144</v>
      </c>
      <c r="K233" s="171">
        <v>14</v>
      </c>
      <c r="L233" s="178">
        <v>14</v>
      </c>
      <c r="M233" s="65">
        <v>14</v>
      </c>
    </row>
    <row r="234" spans="1:13" ht="16.5" customHeight="1" x14ac:dyDescent="0.25">
      <c r="A234" s="1367"/>
      <c r="B234" s="1399"/>
      <c r="C234" s="44"/>
      <c r="D234" s="1487"/>
      <c r="E234" s="1384" t="s">
        <v>220</v>
      </c>
      <c r="F234" s="1167"/>
      <c r="G234" s="1168"/>
      <c r="H234" s="1169"/>
      <c r="I234" s="1170"/>
      <c r="J234" s="1477"/>
      <c r="K234" s="169"/>
      <c r="L234" s="175"/>
      <c r="M234" s="66"/>
    </row>
    <row r="235" spans="1:13" ht="17.149999999999999" customHeight="1" x14ac:dyDescent="0.25">
      <c r="A235" s="1367"/>
      <c r="B235" s="1399"/>
      <c r="C235" s="42"/>
      <c r="D235" s="1480" t="s">
        <v>77</v>
      </c>
      <c r="E235" s="1376" t="s">
        <v>194</v>
      </c>
      <c r="F235" s="1171" t="s">
        <v>333</v>
      </c>
      <c r="G235" s="1166">
        <v>45.7</v>
      </c>
      <c r="H235" s="1135">
        <v>50</v>
      </c>
      <c r="I235" s="1174">
        <v>55</v>
      </c>
      <c r="J235" s="351" t="s">
        <v>145</v>
      </c>
      <c r="K235" s="1068">
        <v>6</v>
      </c>
      <c r="L235" s="183">
        <v>6</v>
      </c>
      <c r="M235" s="140">
        <v>6</v>
      </c>
    </row>
    <row r="236" spans="1:13" ht="17.149999999999999" customHeight="1" x14ac:dyDescent="0.25">
      <c r="A236" s="1367"/>
      <c r="B236" s="1399"/>
      <c r="C236" s="42"/>
      <c r="D236" s="1481"/>
      <c r="E236" s="1384" t="s">
        <v>220</v>
      </c>
      <c r="F236" s="1171"/>
      <c r="G236" s="1166"/>
      <c r="H236" s="1135"/>
      <c r="I236" s="1170"/>
      <c r="J236" s="352"/>
      <c r="K236" s="186"/>
      <c r="L236" s="400"/>
      <c r="M236" s="139"/>
    </row>
    <row r="237" spans="1:13" ht="15" customHeight="1" x14ac:dyDescent="0.25">
      <c r="A237" s="1372"/>
      <c r="B237" s="1399"/>
      <c r="C237" s="1374"/>
      <c r="D237" s="1493" t="s">
        <v>64</v>
      </c>
      <c r="E237" s="1375" t="s">
        <v>194</v>
      </c>
      <c r="F237" s="1145" t="s">
        <v>328</v>
      </c>
      <c r="G237" s="1183">
        <v>938.9</v>
      </c>
      <c r="H237" s="1184">
        <v>960</v>
      </c>
      <c r="I237" s="1185">
        <v>980</v>
      </c>
      <c r="J237" s="351" t="s">
        <v>73</v>
      </c>
      <c r="K237" s="1068">
        <v>173</v>
      </c>
      <c r="L237" s="183">
        <v>173</v>
      </c>
      <c r="M237" s="140">
        <v>173</v>
      </c>
    </row>
    <row r="238" spans="1:13" ht="15" customHeight="1" x14ac:dyDescent="0.25">
      <c r="A238" s="1367"/>
      <c r="B238" s="1399"/>
      <c r="C238" s="44"/>
      <c r="D238" s="1552"/>
      <c r="E238" s="1384" t="s">
        <v>125</v>
      </c>
      <c r="F238" s="1186" t="s">
        <v>336</v>
      </c>
      <c r="G238" s="1166">
        <v>65.8</v>
      </c>
      <c r="H238" s="1187"/>
      <c r="I238" s="1179"/>
      <c r="J238" s="353"/>
      <c r="K238" s="398"/>
      <c r="L238" s="262"/>
      <c r="M238" s="397"/>
    </row>
    <row r="239" spans="1:13" ht="15.75" customHeight="1" x14ac:dyDescent="0.25">
      <c r="A239" s="1473"/>
      <c r="B239" s="1462"/>
      <c r="C239" s="1489"/>
      <c r="D239" s="1482" t="s">
        <v>231</v>
      </c>
      <c r="E239" s="329" t="s">
        <v>91</v>
      </c>
      <c r="F239" s="1171" t="s">
        <v>333</v>
      </c>
      <c r="G239" s="1172">
        <v>159.30000000000001</v>
      </c>
      <c r="H239" s="1135">
        <v>206</v>
      </c>
      <c r="I239" s="1174">
        <v>199.4</v>
      </c>
      <c r="J239" s="228" t="s">
        <v>52</v>
      </c>
      <c r="K239" s="996">
        <v>18</v>
      </c>
      <c r="L239" s="183">
        <v>18</v>
      </c>
      <c r="M239" s="140"/>
    </row>
    <row r="240" spans="1:13" ht="15.75" customHeight="1" x14ac:dyDescent="0.25">
      <c r="A240" s="1473"/>
      <c r="B240" s="1462"/>
      <c r="C240" s="1489"/>
      <c r="D240" s="1483"/>
      <c r="E240" s="1376" t="s">
        <v>160</v>
      </c>
      <c r="F240" s="1171"/>
      <c r="G240" s="1130"/>
      <c r="H240" s="1135"/>
      <c r="I240" s="1132"/>
      <c r="J240" s="238" t="s">
        <v>57</v>
      </c>
      <c r="K240" s="257">
        <v>7</v>
      </c>
      <c r="L240" s="191">
        <v>7</v>
      </c>
      <c r="M240" s="148">
        <v>7</v>
      </c>
    </row>
    <row r="241" spans="1:18" ht="15.75" customHeight="1" x14ac:dyDescent="0.25">
      <c r="A241" s="1473"/>
      <c r="B241" s="1462"/>
      <c r="C241" s="1489"/>
      <c r="D241" s="1483"/>
      <c r="E241" s="93" t="s">
        <v>125</v>
      </c>
      <c r="F241" s="1746"/>
      <c r="G241" s="1130"/>
      <c r="H241" s="1135"/>
      <c r="I241" s="1132"/>
      <c r="J241" s="1630"/>
      <c r="K241" s="169"/>
      <c r="L241" s="175"/>
      <c r="M241" s="66"/>
    </row>
    <row r="242" spans="1:18" ht="15.75" customHeight="1" x14ac:dyDescent="0.25">
      <c r="A242" s="1473"/>
      <c r="B242" s="1462"/>
      <c r="C242" s="1489"/>
      <c r="D242" s="1515"/>
      <c r="E242" s="1376" t="s">
        <v>194</v>
      </c>
      <c r="F242" s="1747"/>
      <c r="G242" s="1168"/>
      <c r="H242" s="1169"/>
      <c r="I242" s="1170"/>
      <c r="J242" s="1477"/>
      <c r="K242" s="136"/>
      <c r="L242" s="101"/>
      <c r="M242" s="133"/>
    </row>
    <row r="243" spans="1:18" ht="27.65" customHeight="1" x14ac:dyDescent="0.25">
      <c r="A243" s="1367"/>
      <c r="B243" s="1399"/>
      <c r="C243" s="41"/>
      <c r="D243" s="96" t="s">
        <v>147</v>
      </c>
      <c r="E243" s="327" t="s">
        <v>194</v>
      </c>
      <c r="F243" s="1188" t="s">
        <v>328</v>
      </c>
      <c r="G243" s="1166">
        <v>21.8</v>
      </c>
      <c r="H243" s="1135"/>
      <c r="I243" s="1179"/>
      <c r="J243" s="856" t="s">
        <v>148</v>
      </c>
      <c r="K243" s="1069">
        <v>6</v>
      </c>
      <c r="L243" s="607"/>
      <c r="M243" s="608"/>
    </row>
    <row r="244" spans="1:18" x14ac:dyDescent="0.25">
      <c r="A244" s="1367"/>
      <c r="B244" s="1371"/>
      <c r="C244" s="131"/>
      <c r="D244" s="1480" t="s">
        <v>190</v>
      </c>
      <c r="E244" s="1375" t="s">
        <v>194</v>
      </c>
      <c r="F244" s="1171" t="s">
        <v>328</v>
      </c>
      <c r="G244" s="1172">
        <v>23</v>
      </c>
      <c r="H244" s="1173">
        <v>23</v>
      </c>
      <c r="I244" s="1174">
        <v>23</v>
      </c>
      <c r="J244" s="228" t="s">
        <v>259</v>
      </c>
      <c r="K244" s="614">
        <v>1</v>
      </c>
      <c r="L244" s="615">
        <v>1</v>
      </c>
      <c r="M244" s="1092">
        <v>1</v>
      </c>
    </row>
    <row r="245" spans="1:18" ht="30" customHeight="1" x14ac:dyDescent="0.25">
      <c r="A245" s="1367"/>
      <c r="B245" s="1371"/>
      <c r="C245" s="131"/>
      <c r="D245" s="1481"/>
      <c r="E245" s="1384"/>
      <c r="F245" s="1167"/>
      <c r="G245" s="1166"/>
      <c r="H245" s="1169"/>
      <c r="I245" s="1170"/>
      <c r="J245" s="116"/>
      <c r="L245" s="288"/>
      <c r="M245" s="771"/>
      <c r="N245" s="340"/>
    </row>
    <row r="246" spans="1:18" ht="18" customHeight="1" thickBot="1" x14ac:dyDescent="0.3">
      <c r="A246" s="15"/>
      <c r="B246" s="54"/>
      <c r="C246" s="43"/>
      <c r="D246" s="124"/>
      <c r="E246" s="125"/>
      <c r="F246" s="24" t="s">
        <v>4</v>
      </c>
      <c r="G246" s="1100">
        <f>+G215+G216+G217+G218+G219</f>
        <v>2423.5</v>
      </c>
      <c r="H246" s="90">
        <f>+H215+H216+H217+H218+H219</f>
        <v>2298.5</v>
      </c>
      <c r="I246" s="1102">
        <f>+I215+I216+I217+I218+I219</f>
        <v>2141.9</v>
      </c>
      <c r="J246" s="356"/>
      <c r="K246" s="209"/>
      <c r="L246" s="211"/>
      <c r="M246" s="151"/>
    </row>
    <row r="247" spans="1:18" ht="15.65" customHeight="1" x14ac:dyDescent="0.25">
      <c r="A247" s="64" t="s">
        <v>3</v>
      </c>
      <c r="B247" s="59" t="s">
        <v>24</v>
      </c>
      <c r="C247" s="47" t="s">
        <v>5</v>
      </c>
      <c r="D247" s="120" t="s">
        <v>115</v>
      </c>
      <c r="E247" s="121"/>
      <c r="F247" s="1124" t="s">
        <v>21</v>
      </c>
      <c r="G247" s="1125">
        <v>100.7</v>
      </c>
      <c r="H247" s="1112">
        <v>20</v>
      </c>
      <c r="I247" s="1113">
        <v>322</v>
      </c>
      <c r="J247" s="1122"/>
      <c r="K247" s="399"/>
      <c r="L247" s="401"/>
      <c r="M247" s="152"/>
      <c r="O247" s="1175" t="s">
        <v>21</v>
      </c>
      <c r="P247" s="1176">
        <f>+G262+G266+G270</f>
        <v>100.7</v>
      </c>
      <c r="Q247" s="1176">
        <f>+H262+H266+H270</f>
        <v>20</v>
      </c>
      <c r="R247" s="1176">
        <f>+I262+I266+I270</f>
        <v>122</v>
      </c>
    </row>
    <row r="248" spans="1:18" ht="15.65" customHeight="1" x14ac:dyDescent="0.25">
      <c r="A248" s="1387"/>
      <c r="B248" s="1378"/>
      <c r="C248" s="1377"/>
      <c r="D248" s="1119"/>
      <c r="E248" s="1120"/>
      <c r="F248" s="1379" t="s">
        <v>53</v>
      </c>
      <c r="G248" s="1395">
        <v>744.6</v>
      </c>
      <c r="H248" s="167">
        <v>1023.2</v>
      </c>
      <c r="I248" s="384">
        <v>1276.0999999999999</v>
      </c>
      <c r="J248" s="1123"/>
      <c r="K248" s="983"/>
      <c r="L248" s="1397"/>
      <c r="M248" s="13"/>
      <c r="O248" s="1155" t="s">
        <v>53</v>
      </c>
      <c r="P248" s="1177">
        <f>+G254+G257+G260+G265</f>
        <v>744.6</v>
      </c>
      <c r="Q248" s="1177">
        <f>+H254+H257+H260+H265</f>
        <v>1023.2</v>
      </c>
      <c r="R248" s="1177">
        <f>+I254+I257+I260+I265</f>
        <v>1276.0999999999999</v>
      </c>
    </row>
    <row r="249" spans="1:18" ht="15.65" customHeight="1" x14ac:dyDescent="0.25">
      <c r="A249" s="1387"/>
      <c r="B249" s="1378"/>
      <c r="C249" s="1377"/>
      <c r="D249" s="1119"/>
      <c r="E249" s="1120"/>
      <c r="F249" s="1386" t="s">
        <v>46</v>
      </c>
      <c r="G249" s="91">
        <v>161.4</v>
      </c>
      <c r="H249" s="1397"/>
      <c r="I249" s="282"/>
      <c r="J249" s="1121"/>
      <c r="K249" s="983"/>
      <c r="L249" s="1397"/>
      <c r="M249" s="13"/>
      <c r="O249" s="1175" t="s">
        <v>46</v>
      </c>
      <c r="P249" s="1176">
        <f>+G255+G263</f>
        <v>161.4</v>
      </c>
      <c r="Q249" s="1176">
        <f>+H255+H263</f>
        <v>0</v>
      </c>
      <c r="R249" s="1176">
        <f>+I255+I263</f>
        <v>0</v>
      </c>
    </row>
    <row r="250" spans="1:18" ht="15.65" customHeight="1" x14ac:dyDescent="0.25">
      <c r="A250" s="1387"/>
      <c r="B250" s="1378"/>
      <c r="C250" s="1377"/>
      <c r="D250" s="1119"/>
      <c r="E250" s="1120"/>
      <c r="F250" s="1386" t="s">
        <v>55</v>
      </c>
      <c r="G250" s="558">
        <v>99.3</v>
      </c>
      <c r="H250" s="88"/>
      <c r="I250" s="384"/>
      <c r="J250" s="1121"/>
      <c r="K250" s="983"/>
      <c r="L250" s="1397"/>
      <c r="M250" s="13"/>
      <c r="O250" s="1175" t="s">
        <v>55</v>
      </c>
      <c r="P250" s="1176">
        <f>+G253+G259+G264</f>
        <v>99.3</v>
      </c>
      <c r="Q250" s="1176">
        <f>+H253+H259+H264</f>
        <v>0</v>
      </c>
      <c r="R250" s="1176">
        <f>+I253+I259+I264</f>
        <v>0</v>
      </c>
    </row>
    <row r="251" spans="1:18" ht="15.65" customHeight="1" x14ac:dyDescent="0.25">
      <c r="A251" s="1387"/>
      <c r="B251" s="1378"/>
      <c r="C251" s="1377"/>
      <c r="D251" s="1119"/>
      <c r="E251" s="1120"/>
      <c r="F251" s="132" t="s">
        <v>37</v>
      </c>
      <c r="G251" s="291"/>
      <c r="H251" s="197"/>
      <c r="I251" s="293">
        <v>1400</v>
      </c>
      <c r="J251" s="1121"/>
      <c r="K251" s="983"/>
      <c r="L251" s="1397"/>
      <c r="M251" s="13"/>
      <c r="O251" s="1175" t="s">
        <v>37</v>
      </c>
      <c r="P251" s="1176">
        <f>+G267</f>
        <v>0</v>
      </c>
      <c r="Q251" s="1176">
        <f>+H267</f>
        <v>0</v>
      </c>
      <c r="R251" s="1176">
        <f>+I267</f>
        <v>0</v>
      </c>
    </row>
    <row r="252" spans="1:18" ht="15.65" customHeight="1" x14ac:dyDescent="0.25">
      <c r="A252" s="1387"/>
      <c r="B252" s="1378"/>
      <c r="C252" s="1377"/>
      <c r="D252" s="103" t="s">
        <v>152</v>
      </c>
      <c r="E252" s="92" t="s">
        <v>113</v>
      </c>
      <c r="F252" s="58"/>
      <c r="G252" s="414"/>
      <c r="H252" s="415"/>
      <c r="I252" s="416"/>
      <c r="J252" s="1091"/>
      <c r="K252" s="216"/>
      <c r="L252" s="219"/>
      <c r="M252" s="1127"/>
      <c r="P252" s="1176">
        <f>SUM(P247:P251)</f>
        <v>1106</v>
      </c>
      <c r="Q252" s="1176">
        <f t="shared" ref="Q252:R252" si="6">SUM(Q247:Q251)</f>
        <v>1043.2</v>
      </c>
      <c r="R252" s="1176">
        <f t="shared" si="6"/>
        <v>1398.1</v>
      </c>
    </row>
    <row r="253" spans="1:18" ht="15" customHeight="1" x14ac:dyDescent="0.25">
      <c r="A253" s="1387"/>
      <c r="B253" s="1378"/>
      <c r="C253" s="1377"/>
      <c r="D253" s="1497" t="s">
        <v>155</v>
      </c>
      <c r="E253" s="93" t="s">
        <v>40</v>
      </c>
      <c r="F253" s="1129" t="s">
        <v>336</v>
      </c>
      <c r="G253" s="1130">
        <v>11</v>
      </c>
      <c r="H253" s="1131"/>
      <c r="I253" s="1132"/>
      <c r="J253" s="1057" t="s">
        <v>156</v>
      </c>
      <c r="K253" s="171">
        <v>12</v>
      </c>
      <c r="L253" s="178">
        <v>12</v>
      </c>
      <c r="M253" s="66">
        <v>12</v>
      </c>
      <c r="P253" s="1176">
        <f>+P252-G273</f>
        <v>0</v>
      </c>
      <c r="Q253" s="1176">
        <f>+Q252-H273</f>
        <v>0</v>
      </c>
      <c r="R253" s="1176">
        <f>+R252-I273</f>
        <v>-1600</v>
      </c>
    </row>
    <row r="254" spans="1:18" ht="22.25" customHeight="1" x14ac:dyDescent="0.25">
      <c r="A254" s="1387"/>
      <c r="B254" s="1378"/>
      <c r="C254" s="1377"/>
      <c r="D254" s="1498"/>
      <c r="E254" s="1376" t="s">
        <v>125</v>
      </c>
      <c r="F254" s="1133" t="s">
        <v>328</v>
      </c>
      <c r="G254" s="1134">
        <f>133.1+-G253</f>
        <v>122.1</v>
      </c>
      <c r="H254" s="1135">
        <v>133.1</v>
      </c>
      <c r="I254" s="1136">
        <v>133.1</v>
      </c>
      <c r="J254" s="1126"/>
      <c r="K254" s="674"/>
      <c r="L254" s="198"/>
      <c r="M254" s="679"/>
      <c r="O254" s="1"/>
      <c r="P254" s="1"/>
      <c r="Q254" s="1"/>
      <c r="R254" s="1"/>
    </row>
    <row r="255" spans="1:18" ht="14.25" customHeight="1" x14ac:dyDescent="0.25">
      <c r="A255" s="1387"/>
      <c r="B255" s="1378"/>
      <c r="C255" s="1377"/>
      <c r="D255" s="1654" t="s">
        <v>358</v>
      </c>
      <c r="E255" s="321" t="s">
        <v>194</v>
      </c>
      <c r="F255" s="1137" t="s">
        <v>330</v>
      </c>
      <c r="G255" s="1138">
        <v>150</v>
      </c>
      <c r="H255" s="1139"/>
      <c r="I255" s="1140"/>
      <c r="J255" s="1513" t="s">
        <v>214</v>
      </c>
      <c r="K255" s="188">
        <v>100</v>
      </c>
      <c r="L255" s="191"/>
      <c r="M255" s="81"/>
      <c r="O255" s="1"/>
      <c r="P255" s="1"/>
      <c r="Q255" s="1"/>
      <c r="R255" s="1"/>
    </row>
    <row r="256" spans="1:18" ht="14.25" customHeight="1" x14ac:dyDescent="0.25">
      <c r="A256" s="1387"/>
      <c r="B256" s="1378"/>
      <c r="C256" s="1377"/>
      <c r="D256" s="1655"/>
      <c r="E256" s="93"/>
      <c r="F256" s="1141"/>
      <c r="G256" s="1142"/>
      <c r="H256" s="1143"/>
      <c r="I256" s="1144"/>
      <c r="J256" s="1514"/>
      <c r="K256" s="169"/>
      <c r="L256" s="175"/>
      <c r="M256" s="66"/>
      <c r="O256" s="1"/>
      <c r="P256" s="1"/>
      <c r="Q256" s="1"/>
      <c r="R256" s="1"/>
    </row>
    <row r="257" spans="1:21" ht="15" customHeight="1" x14ac:dyDescent="0.25">
      <c r="A257" s="1473"/>
      <c r="B257" s="1462"/>
      <c r="C257" s="1489"/>
      <c r="D257" s="1493" t="s">
        <v>88</v>
      </c>
      <c r="E257" s="1375" t="s">
        <v>125</v>
      </c>
      <c r="F257" s="1145" t="s">
        <v>328</v>
      </c>
      <c r="G257" s="1146">
        <v>350</v>
      </c>
      <c r="H257" s="1147">
        <v>432.4</v>
      </c>
      <c r="I257" s="1148">
        <v>852.1</v>
      </c>
      <c r="J257" s="1470" t="s">
        <v>90</v>
      </c>
      <c r="K257" s="171">
        <v>16</v>
      </c>
      <c r="L257" s="590">
        <v>31</v>
      </c>
      <c r="M257" s="1093">
        <v>70</v>
      </c>
      <c r="O257" s="1"/>
      <c r="P257" s="1"/>
      <c r="Q257" s="1"/>
      <c r="R257" s="1"/>
      <c r="T257" s="687"/>
      <c r="U257" s="687"/>
    </row>
    <row r="258" spans="1:21" ht="15" customHeight="1" x14ac:dyDescent="0.25">
      <c r="A258" s="1473"/>
      <c r="B258" s="1462"/>
      <c r="C258" s="1489"/>
      <c r="D258" s="1494"/>
      <c r="E258" s="343"/>
      <c r="F258" s="1141"/>
      <c r="G258" s="1130"/>
      <c r="H258" s="1149"/>
      <c r="I258" s="1150"/>
      <c r="J258" s="1510"/>
      <c r="K258" s="674"/>
      <c r="L258" s="198"/>
      <c r="M258" s="66"/>
      <c r="O258" s="1"/>
      <c r="P258" s="1"/>
      <c r="Q258" s="1"/>
      <c r="R258" s="1"/>
      <c r="T258" s="687"/>
      <c r="U258" s="687"/>
    </row>
    <row r="259" spans="1:21" ht="27.75" customHeight="1" x14ac:dyDescent="0.25">
      <c r="A259" s="1473"/>
      <c r="B259" s="1462"/>
      <c r="C259" s="1489"/>
      <c r="D259" s="1494"/>
      <c r="E259" s="343" t="s">
        <v>106</v>
      </c>
      <c r="F259" s="1151" t="s">
        <v>336</v>
      </c>
      <c r="G259" s="1134">
        <v>13.3</v>
      </c>
      <c r="H259" s="1152"/>
      <c r="I259" s="1136"/>
      <c r="J259" s="359" t="s">
        <v>136</v>
      </c>
      <c r="K259" s="170">
        <v>5</v>
      </c>
      <c r="L259" s="175">
        <v>5</v>
      </c>
      <c r="M259" s="143">
        <v>5</v>
      </c>
      <c r="O259" s="1"/>
      <c r="P259" s="1"/>
      <c r="Q259" s="1"/>
      <c r="R259" s="1"/>
      <c r="U259" s="587"/>
    </row>
    <row r="260" spans="1:21" ht="15" customHeight="1" x14ac:dyDescent="0.25">
      <c r="A260" s="1473"/>
      <c r="B260" s="1462"/>
      <c r="C260" s="1489"/>
      <c r="D260" s="1494"/>
      <c r="E260" s="343" t="s">
        <v>194</v>
      </c>
      <c r="F260" s="1153" t="s">
        <v>328</v>
      </c>
      <c r="G260" s="1154">
        <v>142.5</v>
      </c>
      <c r="H260" s="1155">
        <v>327.60000000000002</v>
      </c>
      <c r="I260" s="1156">
        <v>290.89999999999998</v>
      </c>
      <c r="J260" s="363" t="s">
        <v>149</v>
      </c>
      <c r="K260" s="942">
        <v>15</v>
      </c>
      <c r="L260" s="948">
        <v>39</v>
      </c>
      <c r="M260" s="155">
        <v>32</v>
      </c>
      <c r="O260" s="1"/>
      <c r="P260" s="1"/>
      <c r="Q260" s="1"/>
      <c r="R260" s="1"/>
    </row>
    <row r="261" spans="1:21" ht="15" customHeight="1" x14ac:dyDescent="0.25">
      <c r="A261" s="1473"/>
      <c r="B261" s="1462"/>
      <c r="C261" s="1489"/>
      <c r="D261" s="1495"/>
      <c r="E261" s="1063" t="s">
        <v>160</v>
      </c>
      <c r="F261" s="1157"/>
      <c r="G261" s="1158"/>
      <c r="H261" s="1159"/>
      <c r="I261" s="1160"/>
      <c r="J261" s="333"/>
      <c r="K261" s="137"/>
      <c r="L261" s="174"/>
      <c r="M261" s="135"/>
      <c r="O261" s="1"/>
      <c r="P261" s="1"/>
      <c r="Q261" s="1"/>
      <c r="R261" s="1"/>
    </row>
    <row r="262" spans="1:21" ht="15.75" customHeight="1" x14ac:dyDescent="0.25">
      <c r="A262" s="1367"/>
      <c r="B262" s="1371"/>
      <c r="C262" s="157"/>
      <c r="D262" s="1493" t="s">
        <v>170</v>
      </c>
      <c r="E262" s="49" t="s">
        <v>221</v>
      </c>
      <c r="F262" s="1145" t="s">
        <v>333</v>
      </c>
      <c r="G262" s="1161">
        <v>100.7</v>
      </c>
      <c r="H262" s="1162"/>
      <c r="I262" s="1163"/>
      <c r="J262" s="226" t="s">
        <v>216</v>
      </c>
      <c r="K262" s="170">
        <v>5</v>
      </c>
      <c r="L262" s="175"/>
      <c r="M262" s="66"/>
    </row>
    <row r="263" spans="1:21" ht="15.75" customHeight="1" x14ac:dyDescent="0.25">
      <c r="A263" s="1367"/>
      <c r="B263" s="1371"/>
      <c r="C263" s="157"/>
      <c r="D263" s="1494"/>
      <c r="E263" s="102" t="s">
        <v>194</v>
      </c>
      <c r="F263" s="1129" t="s">
        <v>330</v>
      </c>
      <c r="G263" s="1134">
        <v>11.4</v>
      </c>
      <c r="H263" s="1164"/>
      <c r="I263" s="1165"/>
      <c r="J263" s="226" t="s">
        <v>217</v>
      </c>
      <c r="K263" s="170">
        <v>5</v>
      </c>
      <c r="L263" s="191"/>
      <c r="M263" s="81"/>
    </row>
    <row r="264" spans="1:21" ht="15.75" customHeight="1" x14ac:dyDescent="0.25">
      <c r="A264" s="1367"/>
      <c r="B264" s="1371"/>
      <c r="C264" s="157"/>
      <c r="D264" s="1494"/>
      <c r="E264" s="102" t="s">
        <v>125</v>
      </c>
      <c r="F264" s="1151" t="s">
        <v>336</v>
      </c>
      <c r="G264" s="1166">
        <v>75</v>
      </c>
      <c r="H264" s="1131"/>
      <c r="I264" s="1165"/>
      <c r="J264" s="354" t="s">
        <v>218</v>
      </c>
      <c r="K264" s="170">
        <v>1</v>
      </c>
      <c r="L264" s="176"/>
      <c r="M264" s="128"/>
    </row>
    <row r="265" spans="1:21" ht="15" customHeight="1" x14ac:dyDescent="0.25">
      <c r="A265" s="1367"/>
      <c r="B265" s="1371"/>
      <c r="C265" s="157"/>
      <c r="D265" s="1480" t="s">
        <v>308</v>
      </c>
      <c r="E265" s="1375" t="s">
        <v>287</v>
      </c>
      <c r="F265" s="1431" t="s">
        <v>328</v>
      </c>
      <c r="G265" s="1432">
        <v>130</v>
      </c>
      <c r="H265" s="1433">
        <v>130.1</v>
      </c>
      <c r="I265" s="1434"/>
      <c r="J265" s="228" t="s">
        <v>39</v>
      </c>
      <c r="K265" s="611"/>
      <c r="L265" s="612">
        <v>1</v>
      </c>
      <c r="M265" s="613"/>
    </row>
    <row r="266" spans="1:21" ht="15" customHeight="1" x14ac:dyDescent="0.25">
      <c r="A266" s="1367"/>
      <c r="B266" s="1371"/>
      <c r="C266" s="131"/>
      <c r="D266" s="1521"/>
      <c r="E266" s="328" t="s">
        <v>159</v>
      </c>
      <c r="F266" s="1407"/>
      <c r="G266" s="1420"/>
      <c r="H266" s="1421"/>
      <c r="I266" s="1408"/>
      <c r="J266" s="1349"/>
      <c r="K266" s="169"/>
      <c r="L266" s="175"/>
      <c r="M266" s="1411"/>
    </row>
    <row r="267" spans="1:21" ht="15" customHeight="1" x14ac:dyDescent="0.25">
      <c r="A267" s="1367"/>
      <c r="B267" s="1371"/>
      <c r="C267" s="131"/>
      <c r="D267" s="1521"/>
      <c r="E267" s="1376" t="s">
        <v>40</v>
      </c>
      <c r="F267" s="1409"/>
      <c r="G267" s="1422"/>
      <c r="H267" s="1423"/>
      <c r="I267" s="1403"/>
      <c r="J267" s="352"/>
      <c r="K267" s="169"/>
      <c r="L267" s="175"/>
      <c r="M267" s="297"/>
    </row>
    <row r="268" spans="1:21" ht="15" customHeight="1" x14ac:dyDescent="0.25">
      <c r="A268" s="1367"/>
      <c r="B268" s="1371"/>
      <c r="C268" s="131"/>
      <c r="D268" s="1521"/>
      <c r="E268" s="1376" t="s">
        <v>192</v>
      </c>
      <c r="F268" s="1424"/>
      <c r="G268" s="1425"/>
      <c r="H268" s="1426"/>
      <c r="I268" s="1435"/>
      <c r="J268" s="352"/>
      <c r="K268" s="169"/>
      <c r="L268" s="175"/>
      <c r="M268" s="297"/>
    </row>
    <row r="269" spans="1:21" ht="15" customHeight="1" x14ac:dyDescent="0.25">
      <c r="A269" s="1367"/>
      <c r="B269" s="1371"/>
      <c r="C269" s="131"/>
      <c r="D269" s="1481"/>
      <c r="E269" s="1376"/>
      <c r="F269" s="1410"/>
      <c r="G269" s="1404"/>
      <c r="H269" s="1405"/>
      <c r="I269" s="1406"/>
      <c r="J269" s="353"/>
      <c r="K269" s="172"/>
      <c r="L269" s="179"/>
      <c r="M269" s="147"/>
    </row>
    <row r="270" spans="1:21" ht="18.75" customHeight="1" x14ac:dyDescent="0.25">
      <c r="A270" s="1367"/>
      <c r="B270" s="1371"/>
      <c r="C270" s="131"/>
      <c r="D270" s="1480" t="s">
        <v>293</v>
      </c>
      <c r="E270" s="1375" t="s">
        <v>287</v>
      </c>
      <c r="F270" s="1171" t="s">
        <v>333</v>
      </c>
      <c r="G270" s="1172"/>
      <c r="H270" s="1173">
        <v>20</v>
      </c>
      <c r="I270" s="1174">
        <v>122</v>
      </c>
      <c r="J270" s="228" t="s">
        <v>39</v>
      </c>
      <c r="K270" s="171"/>
      <c r="L270" s="178"/>
      <c r="M270" s="141">
        <v>1</v>
      </c>
    </row>
    <row r="271" spans="1:21" ht="18.75" customHeight="1" x14ac:dyDescent="0.25">
      <c r="A271" s="1367"/>
      <c r="B271" s="1371"/>
      <c r="C271" s="131"/>
      <c r="D271" s="1521"/>
      <c r="E271" s="1376" t="s">
        <v>192</v>
      </c>
      <c r="F271" s="1171"/>
      <c r="G271" s="1130"/>
      <c r="H271" s="1135"/>
      <c r="I271" s="1132"/>
      <c r="J271" s="634"/>
      <c r="K271" s="169"/>
      <c r="L271" s="175"/>
      <c r="M271" s="297"/>
    </row>
    <row r="272" spans="1:21" ht="18.75" customHeight="1" x14ac:dyDescent="0.25">
      <c r="A272" s="1367"/>
      <c r="B272" s="1371"/>
      <c r="C272" s="131"/>
      <c r="D272" s="1521"/>
      <c r="E272" s="1384" t="s">
        <v>40</v>
      </c>
      <c r="F272" s="1171"/>
      <c r="G272" s="1168"/>
      <c r="H272" s="1169"/>
      <c r="I272" s="1170"/>
      <c r="J272" s="224"/>
      <c r="K272" s="320"/>
      <c r="L272" s="179"/>
      <c r="M272" s="66"/>
    </row>
    <row r="273" spans="1:37" ht="15" customHeight="1" thickBot="1" x14ac:dyDescent="0.3">
      <c r="A273" s="15"/>
      <c r="B273" s="54"/>
      <c r="C273" s="43"/>
      <c r="D273" s="348"/>
      <c r="E273" s="125"/>
      <c r="F273" s="99" t="s">
        <v>4</v>
      </c>
      <c r="G273" s="1100">
        <f>+G247+G248+G249+G250+G251</f>
        <v>1106</v>
      </c>
      <c r="H273" s="1128">
        <f t="shared" ref="H273:I273" si="7">+H247+H248+H249+H250+H251</f>
        <v>1043.2</v>
      </c>
      <c r="I273" s="1101">
        <f t="shared" si="7"/>
        <v>2998.1</v>
      </c>
      <c r="J273" s="356"/>
      <c r="K273" s="209"/>
      <c r="L273" s="222"/>
      <c r="M273" s="1096"/>
    </row>
    <row r="274" spans="1:37" ht="15" customHeight="1" thickBot="1" x14ac:dyDescent="0.3">
      <c r="A274" s="18" t="s">
        <v>3</v>
      </c>
      <c r="B274" s="17" t="s">
        <v>24</v>
      </c>
      <c r="C274" s="1505" t="s">
        <v>6</v>
      </c>
      <c r="D274" s="1505"/>
      <c r="E274" s="1505"/>
      <c r="F274" s="1506"/>
      <c r="G274" s="244">
        <f>G273+G246</f>
        <v>3529.5</v>
      </c>
      <c r="H274" s="54">
        <f>H273+H246</f>
        <v>3341.7</v>
      </c>
      <c r="I274" s="243">
        <f>I273+I246</f>
        <v>5140</v>
      </c>
      <c r="J274" s="1597"/>
      <c r="K274" s="1522"/>
      <c r="L274" s="1522"/>
      <c r="M274" s="1523"/>
    </row>
    <row r="275" spans="1:37" ht="15" customHeight="1" thickBot="1" x14ac:dyDescent="0.3">
      <c r="A275" s="18" t="s">
        <v>3</v>
      </c>
      <c r="B275" s="1565" t="s">
        <v>7</v>
      </c>
      <c r="C275" s="1566"/>
      <c r="D275" s="1566"/>
      <c r="E275" s="1566"/>
      <c r="F275" s="1567"/>
      <c r="G275" s="16">
        <f>G274+G213+G170</f>
        <v>48876.6</v>
      </c>
      <c r="H275" s="214">
        <f>H274+H213+H170</f>
        <v>28482.799999999999</v>
      </c>
      <c r="I275" s="212">
        <f>I274+I213+I170</f>
        <v>29332.1</v>
      </c>
      <c r="J275" s="1594"/>
      <c r="K275" s="1595"/>
      <c r="L275" s="1595"/>
      <c r="M275" s="1596"/>
    </row>
    <row r="276" spans="1:37" ht="15" customHeight="1" thickBot="1" x14ac:dyDescent="0.3">
      <c r="A276" s="21" t="s">
        <v>30</v>
      </c>
      <c r="B276" s="1568" t="s">
        <v>45</v>
      </c>
      <c r="C276" s="1569"/>
      <c r="D276" s="1569"/>
      <c r="E276" s="1569"/>
      <c r="F276" s="1570"/>
      <c r="G276" s="21">
        <f t="shared" ref="G276:I276" si="8">SUM(G275)</f>
        <v>48876.6</v>
      </c>
      <c r="H276" s="215">
        <f t="shared" si="8"/>
        <v>28482.799999999999</v>
      </c>
      <c r="I276" s="213">
        <f t="shared" si="8"/>
        <v>29332.1</v>
      </c>
      <c r="J276" s="1591"/>
      <c r="K276" s="1592"/>
      <c r="L276" s="1592"/>
      <c r="M276" s="1593"/>
    </row>
    <row r="277" spans="1:37" s="5" customFormat="1" ht="17.25" customHeight="1" x14ac:dyDescent="0.25">
      <c r="A277" s="1650" t="s">
        <v>360</v>
      </c>
      <c r="B277" s="1650"/>
      <c r="C277" s="1650"/>
      <c r="D277" s="1650"/>
      <c r="E277" s="1650"/>
      <c r="F277" s="1650"/>
      <c r="G277" s="1650"/>
      <c r="H277" s="1650"/>
      <c r="I277" s="1650"/>
      <c r="J277" s="1650"/>
      <c r="K277" s="1"/>
      <c r="L277" s="1"/>
      <c r="M277" s="1"/>
      <c r="N277" s="1"/>
      <c r="O277" s="1071"/>
      <c r="P277" s="1071"/>
      <c r="Q277" s="1071"/>
      <c r="R277" s="1071"/>
      <c r="S277" s="1"/>
      <c r="T277" s="1"/>
      <c r="U277" s="1"/>
      <c r="V277" s="1"/>
      <c r="W277" s="1"/>
      <c r="X277" s="1"/>
      <c r="Y277" s="1"/>
      <c r="Z277" s="1"/>
      <c r="AA277" s="1"/>
      <c r="AB277" s="1"/>
      <c r="AC277" s="1"/>
      <c r="AD277" s="1"/>
      <c r="AE277" s="1"/>
      <c r="AF277" s="1"/>
      <c r="AG277" s="1"/>
      <c r="AH277" s="1"/>
      <c r="AI277" s="1"/>
      <c r="AJ277" s="1"/>
      <c r="AK277" s="1"/>
    </row>
    <row r="278" spans="1:37" ht="15" customHeight="1" x14ac:dyDescent="0.25">
      <c r="A278" s="97"/>
      <c r="B278" s="97"/>
      <c r="C278" s="97"/>
      <c r="D278" s="97"/>
      <c r="E278" s="97"/>
      <c r="F278" s="97"/>
      <c r="G278" s="1385"/>
      <c r="H278" s="1385"/>
      <c r="I278" s="1385"/>
      <c r="J278" s="22"/>
      <c r="K278" s="22"/>
      <c r="L278" s="22"/>
      <c r="M278" s="22"/>
    </row>
    <row r="279" spans="1:37" s="5" customFormat="1" ht="15" customHeight="1" thickBot="1" x14ac:dyDescent="0.3">
      <c r="A279" s="1590" t="s">
        <v>10</v>
      </c>
      <c r="B279" s="1590"/>
      <c r="C279" s="1590"/>
      <c r="D279" s="1590"/>
      <c r="E279" s="1590"/>
      <c r="F279" s="1590"/>
      <c r="G279" s="382"/>
      <c r="H279" s="382"/>
      <c r="I279" s="382"/>
      <c r="J279" s="22"/>
      <c r="K279" s="22"/>
      <c r="L279" s="22"/>
      <c r="M279" s="22"/>
      <c r="N279" s="1"/>
      <c r="O279" s="1071"/>
      <c r="P279" s="1071"/>
      <c r="Q279" s="1071"/>
      <c r="R279" s="1071"/>
      <c r="S279" s="1"/>
      <c r="T279" s="1"/>
      <c r="U279" s="1"/>
      <c r="V279" s="1"/>
      <c r="W279" s="1"/>
      <c r="X279" s="1"/>
      <c r="Y279" s="1"/>
      <c r="Z279" s="1"/>
      <c r="AA279" s="1"/>
      <c r="AB279" s="1"/>
      <c r="AC279" s="1"/>
      <c r="AD279" s="1"/>
    </row>
    <row r="280" spans="1:37" ht="94.5" customHeight="1" thickBot="1" x14ac:dyDescent="0.3">
      <c r="A280" s="1583" t="s">
        <v>8</v>
      </c>
      <c r="B280" s="1584"/>
      <c r="C280" s="1584"/>
      <c r="D280" s="1584"/>
      <c r="E280" s="1584"/>
      <c r="F280" s="1585"/>
      <c r="G280" s="245" t="s">
        <v>359</v>
      </c>
      <c r="H280" s="561" t="s">
        <v>176</v>
      </c>
      <c r="I280" s="246" t="s">
        <v>256</v>
      </c>
      <c r="J280" s="9"/>
      <c r="K280" s="9"/>
      <c r="L280" s="9"/>
      <c r="M280" s="9"/>
    </row>
    <row r="281" spans="1:37" ht="14.25" customHeight="1" x14ac:dyDescent="0.25">
      <c r="A281" s="1586" t="s">
        <v>11</v>
      </c>
      <c r="B281" s="1587"/>
      <c r="C281" s="1587"/>
      <c r="D281" s="1587"/>
      <c r="E281" s="1587"/>
      <c r="F281" s="1588"/>
      <c r="G281" s="574">
        <f>G282+G288+G289</f>
        <v>37690.1</v>
      </c>
      <c r="H281" s="568">
        <f>H282+H288+H289</f>
        <v>26983.4</v>
      </c>
      <c r="I281" s="562">
        <f>I282+I288+I289</f>
        <v>23807.1</v>
      </c>
      <c r="J281" s="12"/>
      <c r="K281" s="9"/>
      <c r="L281" s="9"/>
      <c r="M281" s="9"/>
    </row>
    <row r="282" spans="1:37" ht="16.5" customHeight="1" x14ac:dyDescent="0.25">
      <c r="A282" s="1562" t="s">
        <v>58</v>
      </c>
      <c r="B282" s="1563"/>
      <c r="C282" s="1563"/>
      <c r="D282" s="1563"/>
      <c r="E282" s="1563"/>
      <c r="F282" s="1564"/>
      <c r="G282" s="575">
        <f>SUM(G283:G287)</f>
        <v>26081.1</v>
      </c>
      <c r="H282" s="569">
        <f>SUM(H283:H287)</f>
        <v>26983.4</v>
      </c>
      <c r="I282" s="563">
        <f>SUM(I283:I287)</f>
        <v>23807.1</v>
      </c>
      <c r="J282" s="12"/>
      <c r="K282" s="9"/>
      <c r="L282" s="9"/>
      <c r="M282" s="9"/>
    </row>
    <row r="283" spans="1:37" ht="14.25" customHeight="1" x14ac:dyDescent="0.25">
      <c r="A283" s="1477" t="s">
        <v>16</v>
      </c>
      <c r="B283" s="1646"/>
      <c r="C283" s="1646"/>
      <c r="D283" s="1646"/>
      <c r="E283" s="1646"/>
      <c r="F283" s="1647"/>
      <c r="G283" s="559">
        <f>SUMIF(F16:F276,"SB",G16:G276)</f>
        <v>8229.2999999999993</v>
      </c>
      <c r="H283" s="82">
        <f>SUMIF(F16:F276,"SB",H16:H276)</f>
        <v>17948.099999999999</v>
      </c>
      <c r="I283" s="194">
        <f>SUMIF(F16:F276,"SB",I16:I276)</f>
        <v>15124.9</v>
      </c>
      <c r="J283" s="12"/>
      <c r="K283" s="9"/>
      <c r="L283" s="9"/>
      <c r="M283" s="9"/>
    </row>
    <row r="284" spans="1:37" ht="14.25" customHeight="1" x14ac:dyDescent="0.25">
      <c r="A284" s="1641" t="s">
        <v>227</v>
      </c>
      <c r="B284" s="1642"/>
      <c r="C284" s="1642"/>
      <c r="D284" s="1642"/>
      <c r="E284" s="1642"/>
      <c r="F284" s="1643"/>
      <c r="G284" s="559">
        <f>SUMIF(F16:F276,"SB(ŽP)",G16:G276)</f>
        <v>769.1</v>
      </c>
      <c r="H284" s="82">
        <f>SUMIF(F16:F276,"SB(ŽP)",H16:H276)</f>
        <v>277</v>
      </c>
      <c r="I284" s="194">
        <f>SUMIF(F16:F276,"SB(ŽP)",I16:I276)</f>
        <v>0</v>
      </c>
      <c r="J284" s="635"/>
      <c r="K284" s="638"/>
      <c r="L284" s="638"/>
      <c r="M284" s="9"/>
    </row>
    <row r="285" spans="1:37" ht="14.25" customHeight="1" x14ac:dyDescent="0.25">
      <c r="A285" s="1553" t="s">
        <v>54</v>
      </c>
      <c r="B285" s="1554"/>
      <c r="C285" s="1554"/>
      <c r="D285" s="1554"/>
      <c r="E285" s="1554"/>
      <c r="F285" s="1555"/>
      <c r="G285" s="559">
        <f>SUMIF(F16:F276,"SB(VR)",G16:G276)</f>
        <v>3365</v>
      </c>
      <c r="H285" s="82">
        <f>SUMIF(F16:F276,"SB(VR)",H16:H276)</f>
        <v>2769.7</v>
      </c>
      <c r="I285" s="194">
        <f>SUMIF(F16:F276,"SB(VR)",I16:I276)</f>
        <v>2432.3000000000002</v>
      </c>
      <c r="J285" s="636"/>
      <c r="K285" s="9"/>
      <c r="L285" s="9"/>
      <c r="M285" s="9"/>
    </row>
    <row r="286" spans="1:37" ht="27.75" customHeight="1" x14ac:dyDescent="0.25">
      <c r="A286" s="1577" t="s">
        <v>234</v>
      </c>
      <c r="B286" s="1578"/>
      <c r="C286" s="1578"/>
      <c r="D286" s="1578"/>
      <c r="E286" s="1578"/>
      <c r="F286" s="1579"/>
      <c r="G286" s="576">
        <f>SUMIF(F16:F276,"SB(ES)",G16:G276)</f>
        <v>8131.1</v>
      </c>
      <c r="H286" s="570">
        <f>SUMIF(F16:F276,"SB(ES)",H16:H276)</f>
        <v>0</v>
      </c>
      <c r="I286" s="564">
        <f>SUMIF(F16:F276,"SB(ES)",I16:I276)</f>
        <v>0</v>
      </c>
      <c r="J286" s="637"/>
      <c r="K286" s="9"/>
      <c r="L286" s="9"/>
      <c r="M286" s="9"/>
    </row>
    <row r="287" spans="1:37" ht="26.25" customHeight="1" x14ac:dyDescent="0.25">
      <c r="A287" s="1641" t="s">
        <v>235</v>
      </c>
      <c r="B287" s="1642"/>
      <c r="C287" s="1642"/>
      <c r="D287" s="1642"/>
      <c r="E287" s="1642"/>
      <c r="F287" s="1643"/>
      <c r="G287" s="576">
        <f>SUMIF(F16:F276,"SB(KPP)",G16:G276)</f>
        <v>5586.6</v>
      </c>
      <c r="H287" s="570">
        <f>SUMIF(F16:F276,"SB(KPP)",H16:H276)</f>
        <v>5988.6</v>
      </c>
      <c r="I287" s="564">
        <f>SUMIF(F16:F276,"SB(KPP)",I16:I276)</f>
        <v>6249.9</v>
      </c>
      <c r="J287" s="9"/>
      <c r="K287" s="9"/>
      <c r="L287" s="9"/>
      <c r="M287" s="9"/>
    </row>
    <row r="288" spans="1:37" ht="14.25" customHeight="1" x14ac:dyDescent="0.25">
      <c r="A288" s="1648" t="s">
        <v>60</v>
      </c>
      <c r="B288" s="1636"/>
      <c r="C288" s="1636"/>
      <c r="D288" s="1636"/>
      <c r="E288" s="1636"/>
      <c r="F288" s="1637"/>
      <c r="G288" s="577">
        <f>SUMIF(F16:F276,"SB(VRL)",G16:G276)</f>
        <v>265.2</v>
      </c>
      <c r="H288" s="571">
        <f>SUMIF(F16:F276,"SB(VRL)",H16:H276)</f>
        <v>0</v>
      </c>
      <c r="I288" s="565">
        <f>SUMIF(F16:F276,"SB(VRL)",I16:I276)</f>
        <v>0</v>
      </c>
      <c r="J288" s="9"/>
      <c r="K288" s="9"/>
      <c r="L288" s="9"/>
      <c r="M288" s="9"/>
    </row>
    <row r="289" spans="1:18" ht="14.25" customHeight="1" x14ac:dyDescent="0.25">
      <c r="A289" s="1638" t="s">
        <v>81</v>
      </c>
      <c r="B289" s="1639"/>
      <c r="C289" s="1639"/>
      <c r="D289" s="1639"/>
      <c r="E289" s="1639"/>
      <c r="F289" s="1640"/>
      <c r="G289" s="577">
        <f>SUMIF(F16:F276,"SB(L)",G16:G276)</f>
        <v>11343.8</v>
      </c>
      <c r="H289" s="571">
        <f>SUMIF(F16:F276,"SB(L)",H16:H276)</f>
        <v>0</v>
      </c>
      <c r="I289" s="565">
        <f>SUMIF(F16:F276,"SB(L)",I16:I276)</f>
        <v>0</v>
      </c>
      <c r="J289" s="9"/>
      <c r="K289" s="9"/>
      <c r="L289" s="9"/>
      <c r="M289" s="9"/>
    </row>
    <row r="290" spans="1:18" ht="14.25" customHeight="1" x14ac:dyDescent="0.25">
      <c r="A290" s="1574" t="s">
        <v>12</v>
      </c>
      <c r="B290" s="1575"/>
      <c r="C290" s="1575"/>
      <c r="D290" s="1575"/>
      <c r="E290" s="1575"/>
      <c r="F290" s="1576"/>
      <c r="G290" s="578">
        <f t="shared" ref="G290:I290" si="9">G292+G293+G294+G291</f>
        <v>11186.5</v>
      </c>
      <c r="H290" s="572">
        <f t="shared" si="9"/>
        <v>1499.4</v>
      </c>
      <c r="I290" s="566">
        <f t="shared" si="9"/>
        <v>5525</v>
      </c>
      <c r="J290" s="9"/>
      <c r="K290" s="9"/>
      <c r="L290" s="9"/>
      <c r="M290" s="9"/>
    </row>
    <row r="291" spans="1:18" ht="14.25" customHeight="1" x14ac:dyDescent="0.25">
      <c r="A291" s="1577" t="s">
        <v>17</v>
      </c>
      <c r="B291" s="1578"/>
      <c r="C291" s="1578"/>
      <c r="D291" s="1578"/>
      <c r="E291" s="1578"/>
      <c r="F291" s="1579"/>
      <c r="G291" s="576">
        <f>SUMIF(F16:F276,"ES",G16:G276)</f>
        <v>1100</v>
      </c>
      <c r="H291" s="570">
        <f>SUMIF(F16:F276,"ES",H16:H276)</f>
        <v>0</v>
      </c>
      <c r="I291" s="564">
        <f>SUMIF(F16:F276,"ES",I16:I276)</f>
        <v>1400</v>
      </c>
      <c r="J291" s="9"/>
      <c r="K291" s="9"/>
      <c r="L291" s="9"/>
      <c r="M291" s="9"/>
    </row>
    <row r="292" spans="1:18" ht="14.25" customHeight="1" x14ac:dyDescent="0.25">
      <c r="A292" s="1580" t="s">
        <v>18</v>
      </c>
      <c r="B292" s="1581"/>
      <c r="C292" s="1581"/>
      <c r="D292" s="1581"/>
      <c r="E292" s="1581"/>
      <c r="F292" s="1582"/>
      <c r="G292" s="576">
        <f>SUMIF(F16:F276,"KVJUD",G16:G276)</f>
        <v>1800</v>
      </c>
      <c r="H292" s="570">
        <f>SUMIF(F16:F276,"KVJUD",H16:H276)</f>
        <v>0</v>
      </c>
      <c r="I292" s="564">
        <f>SUMIF(F16:F276,"KVJUD",I16:I276)</f>
        <v>0</v>
      </c>
      <c r="J292" s="12"/>
      <c r="K292" s="12"/>
      <c r="L292" s="12"/>
      <c r="M292" s="12"/>
    </row>
    <row r="293" spans="1:18" ht="14.25" customHeight="1" x14ac:dyDescent="0.25">
      <c r="A293" s="1553" t="s">
        <v>19</v>
      </c>
      <c r="B293" s="1554"/>
      <c r="C293" s="1554"/>
      <c r="D293" s="1554"/>
      <c r="E293" s="1554"/>
      <c r="F293" s="1555"/>
      <c r="G293" s="576">
        <f>SUMIF(F16:F276,"LRVB",G16:G276)</f>
        <v>8183.4</v>
      </c>
      <c r="H293" s="570">
        <f>SUMIF(F16:F276,"LRVB",H16:H276)</f>
        <v>1450</v>
      </c>
      <c r="I293" s="564">
        <f>SUMIF(F16:F276,"LRVB",I16:I276)</f>
        <v>4125</v>
      </c>
      <c r="J293" s="12"/>
      <c r="K293" s="12"/>
      <c r="L293" s="12"/>
      <c r="M293" s="12"/>
    </row>
    <row r="294" spans="1:18" ht="14.25" customHeight="1" x14ac:dyDescent="0.25">
      <c r="A294" s="1556" t="s">
        <v>20</v>
      </c>
      <c r="B294" s="1557"/>
      <c r="C294" s="1557"/>
      <c r="D294" s="1557"/>
      <c r="E294" s="1557"/>
      <c r="F294" s="1558"/>
      <c r="G294" s="576">
        <f>SUMIF(F16:F276,"Kt",G16:G276)</f>
        <v>103.1</v>
      </c>
      <c r="H294" s="570">
        <f>SUMIF(F16:F276,"Kt",H16:H276)</f>
        <v>49.4</v>
      </c>
      <c r="I294" s="564">
        <f>SUMIF(F16:F276,"Kt",I16:I276)</f>
        <v>0</v>
      </c>
      <c r="J294" s="12"/>
      <c r="K294" s="12"/>
      <c r="L294" s="12"/>
      <c r="M294" s="12"/>
    </row>
    <row r="295" spans="1:18" ht="14.25" customHeight="1" thickBot="1" x14ac:dyDescent="0.3">
      <c r="A295" s="1559" t="s">
        <v>13</v>
      </c>
      <c r="B295" s="1560"/>
      <c r="C295" s="1560"/>
      <c r="D295" s="1560"/>
      <c r="E295" s="1560"/>
      <c r="F295" s="1561"/>
      <c r="G295" s="579">
        <f>SUM(G281,G290)</f>
        <v>48876.6</v>
      </c>
      <c r="H295" s="573">
        <f>SUM(H281,H290)</f>
        <v>28482.799999999999</v>
      </c>
      <c r="I295" s="567">
        <f>SUM(I281,I290)</f>
        <v>29332.1</v>
      </c>
      <c r="J295" s="12"/>
      <c r="K295" s="12"/>
      <c r="L295" s="12"/>
      <c r="M295" s="12"/>
    </row>
    <row r="296" spans="1:18" x14ac:dyDescent="0.25">
      <c r="F296" s="1094"/>
      <c r="G296" s="1095"/>
      <c r="H296" s="1095"/>
      <c r="I296" s="1095"/>
      <c r="J296" s="4"/>
      <c r="K296" s="9"/>
      <c r="L296" s="9"/>
      <c r="M296" s="9"/>
    </row>
    <row r="298" spans="1:18" x14ac:dyDescent="0.25">
      <c r="G298" s="9"/>
      <c r="H298" s="9"/>
      <c r="I298" s="9"/>
      <c r="J298" s="635"/>
      <c r="K298" s="709"/>
      <c r="L298" s="709"/>
      <c r="M298" s="709"/>
    </row>
    <row r="299" spans="1:18" s="2" customFormat="1" x14ac:dyDescent="0.25">
      <c r="E299" s="73"/>
      <c r="F299" s="3"/>
      <c r="G299" s="707"/>
      <c r="H299" s="707"/>
      <c r="I299" s="707"/>
      <c r="J299" s="780"/>
      <c r="O299" s="1211"/>
      <c r="P299" s="1211"/>
      <c r="Q299" s="1211"/>
      <c r="R299" s="1211"/>
    </row>
    <row r="300" spans="1:18" x14ac:dyDescent="0.25">
      <c r="A300" s="1"/>
      <c r="B300" s="1"/>
      <c r="C300" s="1"/>
      <c r="G300" s="708"/>
      <c r="H300" s="708"/>
      <c r="I300" s="708"/>
      <c r="J300" s="781"/>
      <c r="K300" s="633"/>
      <c r="L300" s="633"/>
      <c r="M300" s="633"/>
    </row>
    <row r="302" spans="1:18" s="2" customFormat="1" x14ac:dyDescent="0.25">
      <c r="E302" s="73"/>
      <c r="F302" s="3"/>
      <c r="J302" s="9"/>
      <c r="O302" s="1211"/>
      <c r="P302" s="1211"/>
      <c r="Q302" s="1211"/>
      <c r="R302" s="1211"/>
    </row>
    <row r="305" spans="5:18" s="2" customFormat="1" x14ac:dyDescent="0.25">
      <c r="E305" s="73"/>
      <c r="F305" s="3"/>
      <c r="J305" s="9"/>
      <c r="O305" s="1211"/>
      <c r="P305" s="1211"/>
      <c r="Q305" s="1211"/>
      <c r="R305" s="1211"/>
    </row>
  </sheetData>
  <mergeCells count="162">
    <mergeCell ref="A295:F295"/>
    <mergeCell ref="A288:F288"/>
    <mergeCell ref="A289:F289"/>
    <mergeCell ref="A290:F290"/>
    <mergeCell ref="A291:F291"/>
    <mergeCell ref="A292:F292"/>
    <mergeCell ref="A293:F293"/>
    <mergeCell ref="A282:F282"/>
    <mergeCell ref="A283:F283"/>
    <mergeCell ref="A284:F284"/>
    <mergeCell ref="A285:F285"/>
    <mergeCell ref="A286:F286"/>
    <mergeCell ref="A287:F287"/>
    <mergeCell ref="D237:D238"/>
    <mergeCell ref="D194:D195"/>
    <mergeCell ref="D197:D198"/>
    <mergeCell ref="D199:D202"/>
    <mergeCell ref="D203:D207"/>
    <mergeCell ref="D208:D211"/>
    <mergeCell ref="A161:A164"/>
    <mergeCell ref="B161:B164"/>
    <mergeCell ref="A294:F294"/>
    <mergeCell ref="J276:M276"/>
    <mergeCell ref="A277:J277"/>
    <mergeCell ref="A279:F279"/>
    <mergeCell ref="A280:F280"/>
    <mergeCell ref="A281:F281"/>
    <mergeCell ref="D262:D264"/>
    <mergeCell ref="D265:D269"/>
    <mergeCell ref="D270:D272"/>
    <mergeCell ref="C274:F274"/>
    <mergeCell ref="J274:M274"/>
    <mergeCell ref="B275:F275"/>
    <mergeCell ref="J275:M275"/>
    <mergeCell ref="B276:F276"/>
    <mergeCell ref="J241:J242"/>
    <mergeCell ref="D244:D245"/>
    <mergeCell ref="D253:D254"/>
    <mergeCell ref="D255:D256"/>
    <mergeCell ref="J255:J256"/>
    <mergeCell ref="A257:A261"/>
    <mergeCell ref="B257:B261"/>
    <mergeCell ref="C257:C261"/>
    <mergeCell ref="D257:D261"/>
    <mergeCell ref="J257:J258"/>
    <mergeCell ref="A239:A242"/>
    <mergeCell ref="B239:B242"/>
    <mergeCell ref="C239:C242"/>
    <mergeCell ref="D239:D242"/>
    <mergeCell ref="F241:F242"/>
    <mergeCell ref="J222:J223"/>
    <mergeCell ref="J229:J230"/>
    <mergeCell ref="J231:J232"/>
    <mergeCell ref="D233:D234"/>
    <mergeCell ref="J233:J234"/>
    <mergeCell ref="D235:D236"/>
    <mergeCell ref="J213:M213"/>
    <mergeCell ref="C214:J214"/>
    <mergeCell ref="K214:M214"/>
    <mergeCell ref="D215:D216"/>
    <mergeCell ref="D220:D221"/>
    <mergeCell ref="J220:J221"/>
    <mergeCell ref="C213:F213"/>
    <mergeCell ref="K187:K188"/>
    <mergeCell ref="L187:L188"/>
    <mergeCell ref="M187:M188"/>
    <mergeCell ref="A189:A190"/>
    <mergeCell ref="B189:B190"/>
    <mergeCell ref="C189:C190"/>
    <mergeCell ref="D189:D190"/>
    <mergeCell ref="E189:E193"/>
    <mergeCell ref="D183:D184"/>
    <mergeCell ref="D185:D186"/>
    <mergeCell ref="J185:J186"/>
    <mergeCell ref="A187:A188"/>
    <mergeCell ref="B187:B188"/>
    <mergeCell ref="C187:C188"/>
    <mergeCell ref="D187:D188"/>
    <mergeCell ref="E187:E188"/>
    <mergeCell ref="J187:J188"/>
    <mergeCell ref="J161:J164"/>
    <mergeCell ref="D165:D167"/>
    <mergeCell ref="C170:F170"/>
    <mergeCell ref="J170:M170"/>
    <mergeCell ref="C171:M171"/>
    <mergeCell ref="D177:D181"/>
    <mergeCell ref="D146:D148"/>
    <mergeCell ref="D149:D151"/>
    <mergeCell ref="D152:D154"/>
    <mergeCell ref="D155:D157"/>
    <mergeCell ref="D158:D160"/>
    <mergeCell ref="D161:D164"/>
    <mergeCell ref="D127:D128"/>
    <mergeCell ref="D131:D133"/>
    <mergeCell ref="D134:D136"/>
    <mergeCell ref="D138:D140"/>
    <mergeCell ref="D141:D143"/>
    <mergeCell ref="D144:D145"/>
    <mergeCell ref="D111:D113"/>
    <mergeCell ref="D114:D116"/>
    <mergeCell ref="D120:D121"/>
    <mergeCell ref="D122:D124"/>
    <mergeCell ref="D125:D126"/>
    <mergeCell ref="J125:J126"/>
    <mergeCell ref="K98:K99"/>
    <mergeCell ref="L98:L99"/>
    <mergeCell ref="D104:D105"/>
    <mergeCell ref="J104:J105"/>
    <mergeCell ref="D106:D108"/>
    <mergeCell ref="D109:D110"/>
    <mergeCell ref="A95:A99"/>
    <mergeCell ref="B95:B99"/>
    <mergeCell ref="C95:C99"/>
    <mergeCell ref="D95:D99"/>
    <mergeCell ref="J95:J96"/>
    <mergeCell ref="J98:J99"/>
    <mergeCell ref="D75:D77"/>
    <mergeCell ref="J75:J77"/>
    <mergeCell ref="D78:D80"/>
    <mergeCell ref="J78:J80"/>
    <mergeCell ref="D89:D93"/>
    <mergeCell ref="J89:J90"/>
    <mergeCell ref="J91:J92"/>
    <mergeCell ref="D54:D57"/>
    <mergeCell ref="D58:D61"/>
    <mergeCell ref="J58:J60"/>
    <mergeCell ref="D62:D63"/>
    <mergeCell ref="D68:D71"/>
    <mergeCell ref="D72:D74"/>
    <mergeCell ref="D32:D36"/>
    <mergeCell ref="C37:C48"/>
    <mergeCell ref="D37:D42"/>
    <mergeCell ref="D43:D48"/>
    <mergeCell ref="J43:J48"/>
    <mergeCell ref="A49:A53"/>
    <mergeCell ref="B49:B53"/>
    <mergeCell ref="C49:C53"/>
    <mergeCell ref="D49:D51"/>
    <mergeCell ref="C15:J15"/>
    <mergeCell ref="D26:D31"/>
    <mergeCell ref="J27:J31"/>
    <mergeCell ref="G9:G11"/>
    <mergeCell ref="H9:H11"/>
    <mergeCell ref="I9:I11"/>
    <mergeCell ref="J9:M9"/>
    <mergeCell ref="J10:J11"/>
    <mergeCell ref="K10:M10"/>
    <mergeCell ref="C9:C11"/>
    <mergeCell ref="D9:D11"/>
    <mergeCell ref="E9:E11"/>
    <mergeCell ref="F9:F11"/>
    <mergeCell ref="J1:M1"/>
    <mergeCell ref="J2:M2"/>
    <mergeCell ref="A4:P4"/>
    <mergeCell ref="A5:P5"/>
    <mergeCell ref="A6:P6"/>
    <mergeCell ref="J8:M8"/>
    <mergeCell ref="A12:J12"/>
    <mergeCell ref="A13:J13"/>
    <mergeCell ref="B14:J14"/>
    <mergeCell ref="A9:A11"/>
    <mergeCell ref="B9:B11"/>
  </mergeCells>
  <printOptions horizontalCentered="1"/>
  <pageMargins left="0.78740157480314965" right="0.39370078740157483" top="0.39370078740157483" bottom="0.39370078740157483" header="0" footer="0"/>
  <pageSetup paperSize="9" scale="60" fitToHeight="0" orientation="portrait" r:id="rId1"/>
  <headerFooter alignWithMargins="0"/>
  <rowBreaks count="4" manualBreakCount="4">
    <brk id="74" max="12" man="1"/>
    <brk id="143" max="12" man="1"/>
    <brk id="207" max="12" man="1"/>
    <brk id="269"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6</vt:i4>
      </vt:variant>
    </vt:vector>
  </HeadingPairs>
  <TitlesOfParts>
    <vt:vector size="9" baseType="lpstr">
      <vt:lpstr>Aiškinamoji lentelė</vt:lpstr>
      <vt:lpstr>6 programa</vt:lpstr>
      <vt:lpstr>Lyginamasis variantas</vt:lpstr>
      <vt:lpstr>'6 programa'!Print_Area</vt:lpstr>
      <vt:lpstr>'Aiškinamoji lentelė'!Print_Area</vt:lpstr>
      <vt:lpstr>'Lyginamasis variantas'!Print_Area</vt:lpstr>
      <vt:lpstr>'6 programa'!Print_Titles</vt:lpstr>
      <vt:lpstr>'Aiškinamoji lentelė'!Print_Titles</vt:lpstr>
      <vt:lpstr>'Lyginamasis variantas'!Print_Titles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Inga Mikalauskienė</cp:lastModifiedBy>
  <cp:lastPrinted>2023-01-30T10:04:24Z</cp:lastPrinted>
  <dcterms:created xsi:type="dcterms:W3CDTF">2007-07-27T10:32:34Z</dcterms:created>
  <dcterms:modified xsi:type="dcterms:W3CDTF">2023-01-30T10:04:42Z</dcterms:modified>
</cp:coreProperties>
</file>