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luosnis\Kmsa\Savivaldybės administracija\BENDROSIOS VALDYMO FUNKCIJOS\Strateginio planavimo skyrius\SVP PLANAI\2023-2025 SVP\SPRENDIMAS\"/>
    </mc:Choice>
  </mc:AlternateContent>
  <bookViews>
    <workbookView xWindow="-120" yWindow="-120" windowWidth="26505" windowHeight="10845" firstSheet="1" activeTab="1"/>
  </bookViews>
  <sheets>
    <sheet name="Aiškinamoji lentelė" sheetId="27" state="hidden" r:id="rId1"/>
    <sheet name="7 programa " sheetId="26" r:id="rId2"/>
  </sheets>
  <definedNames>
    <definedName name="_xlnm.Print_Area" localSheetId="1">'7 programa '!$A$1:$M$259</definedName>
    <definedName name="_xlnm.Print_Area" localSheetId="0">'Aiškinamoji lentelė'!$A$1:$Q$307</definedName>
    <definedName name="_xlnm.Print_Titles" localSheetId="1">'7 programa '!$9:$11</definedName>
    <definedName name="_xlnm.Print_Titles" localSheetId="0">'Aiškinamoji lentelė'!$8:$10</definedName>
  </definedNames>
  <calcPr calcId="162913" fullPrecision="0"/>
</workbook>
</file>

<file path=xl/calcChain.xml><?xml version="1.0" encoding="utf-8"?>
<calcChain xmlns="http://schemas.openxmlformats.org/spreadsheetml/2006/main">
  <c r="G236" i="26" l="1"/>
  <c r="H218" i="26"/>
  <c r="I218" i="26"/>
  <c r="G218" i="26"/>
  <c r="G158" i="26"/>
  <c r="I256" i="26"/>
  <c r="I255" i="26"/>
  <c r="I253" i="26"/>
  <c r="I252" i="26"/>
  <c r="I251" i="26"/>
  <c r="I250" i="26"/>
  <c r="I249" i="26"/>
  <c r="I248" i="26"/>
  <c r="I247" i="26"/>
  <c r="I245" i="26"/>
  <c r="H256" i="26"/>
  <c r="H255" i="26"/>
  <c r="H253" i="26"/>
  <c r="H252" i="26"/>
  <c r="H251" i="26"/>
  <c r="H250" i="26"/>
  <c r="H249" i="26"/>
  <c r="H248" i="26"/>
  <c r="H247" i="26"/>
  <c r="H246" i="26"/>
  <c r="G248" i="26"/>
  <c r="G256" i="26"/>
  <c r="G255" i="26"/>
  <c r="G253" i="26"/>
  <c r="G252" i="26"/>
  <c r="G251" i="26"/>
  <c r="G250" i="26"/>
  <c r="G249" i="26"/>
  <c r="G247" i="26"/>
  <c r="G246" i="26"/>
  <c r="H236" i="26"/>
  <c r="I236" i="26"/>
  <c r="Q225" i="26"/>
  <c r="R225" i="26"/>
  <c r="R226" i="26" s="1"/>
  <c r="R227" i="26" s="1"/>
  <c r="Q224" i="26"/>
  <c r="R224" i="26"/>
  <c r="P224" i="26"/>
  <c r="Q223" i="26"/>
  <c r="Q226" i="26" s="1"/>
  <c r="Q227" i="26" s="1"/>
  <c r="R223" i="26"/>
  <c r="P223" i="26"/>
  <c r="Q188" i="26"/>
  <c r="R188" i="26"/>
  <c r="P188" i="26"/>
  <c r="Q187" i="26"/>
  <c r="R187" i="26"/>
  <c r="Q186" i="26"/>
  <c r="R186" i="26"/>
  <c r="P186" i="26"/>
  <c r="R185" i="26"/>
  <c r="Q185" i="26"/>
  <c r="P185" i="26"/>
  <c r="Q184" i="26"/>
  <c r="R184" i="26"/>
  <c r="P184" i="26"/>
  <c r="R183" i="26"/>
  <c r="R189" i="26"/>
  <c r="R190" i="26" s="1"/>
  <c r="H180" i="26"/>
  <c r="I180" i="26"/>
  <c r="G180" i="26"/>
  <c r="Q162" i="26"/>
  <c r="R162" i="26"/>
  <c r="R161" i="26"/>
  <c r="H158" i="26"/>
  <c r="I158" i="26"/>
  <c r="Q148" i="26"/>
  <c r="R148" i="26"/>
  <c r="P148" i="26"/>
  <c r="H146" i="26"/>
  <c r="I146" i="26"/>
  <c r="G146" i="26"/>
  <c r="Q22" i="26"/>
  <c r="P22" i="26"/>
  <c r="Q21" i="26"/>
  <c r="R21" i="26"/>
  <c r="Q20" i="26"/>
  <c r="R20" i="26"/>
  <c r="P20" i="26"/>
  <c r="Q19" i="26"/>
  <c r="R19" i="26"/>
  <c r="P19" i="26"/>
  <c r="Q18" i="26"/>
  <c r="R18" i="26"/>
  <c r="P18" i="26"/>
  <c r="Q17" i="26"/>
  <c r="R17" i="26"/>
  <c r="P17" i="26"/>
  <c r="R163" i="26"/>
  <c r="I246" i="26"/>
  <c r="I244" i="26" s="1"/>
  <c r="I243" i="26" s="1"/>
  <c r="I257" i="26" s="1"/>
  <c r="L304" i="27"/>
  <c r="K304" i="27"/>
  <c r="J304" i="27"/>
  <c r="I304" i="27"/>
  <c r="K303" i="27"/>
  <c r="J303" i="27"/>
  <c r="J302" i="27"/>
  <c r="I303" i="27"/>
  <c r="I302" i="27"/>
  <c r="K302" i="27"/>
  <c r="L301" i="27"/>
  <c r="K301" i="27"/>
  <c r="J301" i="27"/>
  <c r="I301" i="27"/>
  <c r="L300" i="27"/>
  <c r="K300" i="27"/>
  <c r="J300" i="27"/>
  <c r="I300" i="27"/>
  <c r="L299" i="27"/>
  <c r="K299" i="27"/>
  <c r="J299" i="27"/>
  <c r="I299" i="27"/>
  <c r="L298" i="27"/>
  <c r="K298" i="27"/>
  <c r="J298" i="27"/>
  <c r="I298" i="27"/>
  <c r="L297" i="27"/>
  <c r="K297" i="27"/>
  <c r="L296" i="27"/>
  <c r="K296" i="27"/>
  <c r="J296" i="27"/>
  <c r="I296" i="27"/>
  <c r="L295" i="27"/>
  <c r="K295" i="27"/>
  <c r="J295" i="27"/>
  <c r="I295" i="27"/>
  <c r="L294" i="27"/>
  <c r="K294" i="27"/>
  <c r="J294" i="27"/>
  <c r="I294" i="27"/>
  <c r="L293" i="27"/>
  <c r="K293" i="27"/>
  <c r="J293" i="27"/>
  <c r="I293" i="27"/>
  <c r="L292" i="27"/>
  <c r="K292" i="27"/>
  <c r="J292" i="27"/>
  <c r="I292" i="27"/>
  <c r="L291" i="27"/>
  <c r="K291" i="27"/>
  <c r="J291" i="27"/>
  <c r="I291" i="27"/>
  <c r="L290" i="27"/>
  <c r="K290" i="27"/>
  <c r="J290" i="27"/>
  <c r="I290" i="27"/>
  <c r="L279" i="27"/>
  <c r="K279" i="27"/>
  <c r="I270" i="27"/>
  <c r="J269" i="27"/>
  <c r="J279" i="27"/>
  <c r="I268" i="27"/>
  <c r="I279" i="27"/>
  <c r="L263" i="27"/>
  <c r="L248" i="27"/>
  <c r="L264" i="27"/>
  <c r="J249" i="27"/>
  <c r="J263" i="27"/>
  <c r="I263" i="27"/>
  <c r="K249" i="27"/>
  <c r="K263" i="27"/>
  <c r="I243" i="27"/>
  <c r="I242" i="27"/>
  <c r="I240" i="27"/>
  <c r="J239" i="27"/>
  <c r="I239" i="27"/>
  <c r="J237" i="27"/>
  <c r="I237" i="27"/>
  <c r="K219" i="27"/>
  <c r="K248" i="27"/>
  <c r="J217" i="27"/>
  <c r="J248" i="27"/>
  <c r="I213" i="27"/>
  <c r="I248" i="27"/>
  <c r="L209" i="27"/>
  <c r="L210" i="27"/>
  <c r="J192" i="27"/>
  <c r="I192" i="27"/>
  <c r="K191" i="27"/>
  <c r="K209" i="27"/>
  <c r="K210" i="27"/>
  <c r="J191" i="27"/>
  <c r="J209" i="27"/>
  <c r="J210" i="27"/>
  <c r="I191" i="27"/>
  <c r="I190" i="27"/>
  <c r="I187" i="27"/>
  <c r="I179" i="27"/>
  <c r="P177" i="27"/>
  <c r="Q177" i="27"/>
  <c r="I177" i="27"/>
  <c r="L175" i="27"/>
  <c r="K175" i="27"/>
  <c r="J175" i="27"/>
  <c r="I175" i="27"/>
  <c r="L173" i="27"/>
  <c r="K173" i="27"/>
  <c r="J173" i="27"/>
  <c r="I173" i="27"/>
  <c r="I169" i="27"/>
  <c r="I166" i="27"/>
  <c r="I163" i="27"/>
  <c r="I162" i="27"/>
  <c r="I152" i="27"/>
  <c r="I143" i="27"/>
  <c r="J138" i="27"/>
  <c r="J136" i="27"/>
  <c r="L134" i="27"/>
  <c r="K134" i="27"/>
  <c r="J134" i="27"/>
  <c r="I134" i="27"/>
  <c r="I133" i="27"/>
  <c r="I127" i="27"/>
  <c r="I121" i="27"/>
  <c r="L117" i="27"/>
  <c r="K117" i="27"/>
  <c r="J117" i="27"/>
  <c r="I117" i="27"/>
  <c r="K113" i="27"/>
  <c r="J113" i="27"/>
  <c r="J108" i="27"/>
  <c r="K108" i="27"/>
  <c r="L108" i="27"/>
  <c r="J103" i="27"/>
  <c r="J100" i="27"/>
  <c r="L92" i="27"/>
  <c r="K92" i="27"/>
  <c r="J92" i="27"/>
  <c r="I92" i="27"/>
  <c r="K88" i="27"/>
  <c r="J88" i="27"/>
  <c r="K79" i="27"/>
  <c r="J79" i="27"/>
  <c r="I79" i="27"/>
  <c r="J78" i="27"/>
  <c r="I74" i="27"/>
  <c r="O62" i="27"/>
  <c r="J56" i="27"/>
  <c r="I51" i="27"/>
  <c r="L49" i="27"/>
  <c r="K49" i="27"/>
  <c r="J49" i="27"/>
  <c r="L47" i="27"/>
  <c r="L303" i="27"/>
  <c r="L302" i="27"/>
  <c r="L46" i="27"/>
  <c r="I41" i="27"/>
  <c r="I32" i="27"/>
  <c r="I37" i="27"/>
  <c r="I289" i="27"/>
  <c r="I288" i="27"/>
  <c r="J40" i="27"/>
  <c r="I40" i="27"/>
  <c r="I36" i="27"/>
  <c r="I33" i="27"/>
  <c r="I23" i="27"/>
  <c r="L19" i="27"/>
  <c r="L289" i="27"/>
  <c r="L288" i="27"/>
  <c r="L287" i="27"/>
  <c r="L305" i="27"/>
  <c r="K19" i="27"/>
  <c r="J18" i="27"/>
  <c r="I170" i="27"/>
  <c r="J264" i="27"/>
  <c r="K289" i="27"/>
  <c r="K288" i="27"/>
  <c r="K287" i="27"/>
  <c r="K305" i="27"/>
  <c r="K183" i="27"/>
  <c r="J297" i="27"/>
  <c r="K264" i="27"/>
  <c r="I209" i="27"/>
  <c r="I210" i="27"/>
  <c r="I297" i="27"/>
  <c r="I287" i="27"/>
  <c r="I305" i="27"/>
  <c r="J289" i="27"/>
  <c r="J288" i="27"/>
  <c r="J287" i="27"/>
  <c r="J305" i="27"/>
  <c r="I183" i="27"/>
  <c r="I184" i="27"/>
  <c r="J183" i="27"/>
  <c r="J170" i="27"/>
  <c r="L183" i="27"/>
  <c r="I264" i="27"/>
  <c r="I280" i="27"/>
  <c r="I281" i="27"/>
  <c r="K170" i="27"/>
  <c r="K184" i="27"/>
  <c r="K280" i="27"/>
  <c r="K281" i="27"/>
  <c r="L170" i="27"/>
  <c r="G45" i="26"/>
  <c r="P21" i="26" s="1"/>
  <c r="J184" i="27"/>
  <c r="J280" i="27"/>
  <c r="J281" i="27"/>
  <c r="L184" i="27"/>
  <c r="L280" i="27"/>
  <c r="L281" i="27"/>
  <c r="H81" i="26"/>
  <c r="H219" i="26"/>
  <c r="H245" i="26" s="1"/>
  <c r="H244" i="26" s="1"/>
  <c r="H243" i="26" s="1"/>
  <c r="H257" i="26" s="1"/>
  <c r="L153" i="26"/>
  <c r="H24" i="26"/>
  <c r="G219" i="26"/>
  <c r="G245" i="26" s="1"/>
  <c r="G244" i="26" s="1"/>
  <c r="G243" i="26" s="1"/>
  <c r="G257" i="26" s="1"/>
  <c r="G212" i="26"/>
  <c r="G209" i="26"/>
  <c r="P183" i="26"/>
  <c r="H192" i="26"/>
  <c r="Q183" i="26" s="1"/>
  <c r="Q189" i="26" s="1"/>
  <c r="Q190" i="26" s="1"/>
  <c r="G190" i="26"/>
  <c r="P187" i="26" s="1"/>
  <c r="P189" i="26" s="1"/>
  <c r="P190" i="26" s="1"/>
  <c r="I151" i="26"/>
  <c r="H151" i="26"/>
  <c r="G151" i="26"/>
  <c r="I149" i="26"/>
  <c r="H149" i="26"/>
  <c r="G149" i="26"/>
  <c r="G136" i="26"/>
  <c r="G134" i="26"/>
  <c r="I132" i="26"/>
  <c r="H132" i="26"/>
  <c r="G132" i="26"/>
  <c r="H114" i="26"/>
  <c r="G114" i="26"/>
  <c r="G81" i="26"/>
  <c r="I54" i="26"/>
  <c r="H54" i="26"/>
  <c r="Q16" i="26" s="1"/>
  <c r="Q23" i="26" s="1"/>
  <c r="Q24" i="26" s="1"/>
  <c r="G54" i="26"/>
  <c r="G23" i="26"/>
  <c r="R147" i="26"/>
  <c r="R149" i="26" s="1"/>
  <c r="R150" i="26" s="1"/>
  <c r="P147" i="26"/>
  <c r="P149" i="26" s="1"/>
  <c r="P150" i="26" s="1"/>
  <c r="Q147" i="26"/>
  <c r="Q149" i="26"/>
  <c r="Q150" i="26" s="1"/>
  <c r="I52" i="26"/>
  <c r="R22" i="26"/>
  <c r="I51" i="26"/>
  <c r="R16" i="26" s="1"/>
  <c r="R23" i="26" s="1"/>
  <c r="R24" i="26" s="1"/>
  <c r="G227" i="26"/>
  <c r="P225" i="26"/>
  <c r="P226" i="26"/>
  <c r="P227" i="26" s="1"/>
  <c r="H90" i="26"/>
  <c r="G90" i="26"/>
  <c r="G166" i="26"/>
  <c r="P161" i="26" s="1"/>
  <c r="P163" i="26" s="1"/>
  <c r="G167" i="26"/>
  <c r="P162" i="26"/>
  <c r="H166" i="26"/>
  <c r="Q161" i="26"/>
  <c r="Q163" i="26"/>
  <c r="I118" i="26"/>
  <c r="H118" i="26"/>
  <c r="G118" i="26"/>
  <c r="G80" i="26"/>
  <c r="G60" i="26"/>
  <c r="I24" i="26"/>
  <c r="G109" i="26"/>
  <c r="H109" i="26"/>
  <c r="I109" i="26"/>
  <c r="I94" i="26"/>
  <c r="H94" i="26"/>
  <c r="G94" i="26"/>
  <c r="G102" i="26"/>
  <c r="I220" i="26"/>
  <c r="H220" i="26"/>
  <c r="H221" i="26" s="1"/>
  <c r="H237" i="26" s="1"/>
  <c r="H238" i="26" s="1"/>
  <c r="I159" i="26"/>
  <c r="H159" i="26"/>
  <c r="M153" i="26"/>
  <c r="G104" i="26"/>
  <c r="P16" i="26"/>
  <c r="P23" i="26" s="1"/>
  <c r="P24" i="26" s="1"/>
  <c r="K64" i="26"/>
  <c r="G159" i="26"/>
  <c r="G181" i="26"/>
  <c r="H181" i="26"/>
  <c r="I181" i="26"/>
  <c r="I221" i="26"/>
  <c r="I237" i="26" s="1"/>
  <c r="I238" i="26" s="1"/>
  <c r="I254" i="26"/>
  <c r="H254" i="26"/>
  <c r="G254" i="26"/>
  <c r="G220" i="26" l="1"/>
  <c r="G221" i="26" s="1"/>
  <c r="G237" i="26" s="1"/>
  <c r="G238" i="26" s="1"/>
</calcChain>
</file>

<file path=xl/comments1.xml><?xml version="1.0" encoding="utf-8"?>
<comments xmlns="http://schemas.openxmlformats.org/spreadsheetml/2006/main">
  <authors>
    <author>Rima Alisauskaite</author>
    <author>Inga Mikalauskienė</author>
    <author>Audra Cepiene</author>
    <author>Indrė Butenienė</author>
    <author>Saulina Paulauskiene</author>
    <author>Vitalija Usevičiūtė</author>
    <author>Rita Mikluševičiūtė</author>
    <author>Snieguolė Kačerauskaitė</author>
  </authors>
  <commentList>
    <comment ref="F18" authorId="0" shapeId="0">
      <text>
        <r>
          <rPr>
            <sz val="9"/>
            <color indexed="81"/>
            <rFont val="Tahoma"/>
            <family val="2"/>
            <charset val="186"/>
          </rPr>
          <t>P-3.1.1.4.</t>
        </r>
      </text>
    </comment>
    <comment ref="M18" authorId="1" shapeId="0">
      <text>
        <r>
          <rPr>
            <b/>
            <sz val="9"/>
            <color indexed="81"/>
            <rFont val="Tahoma"/>
            <family val="2"/>
            <charset val="186"/>
          </rPr>
          <t xml:space="preserve">I etapas. </t>
        </r>
        <r>
          <rPr>
            <sz val="9"/>
            <color indexed="81"/>
            <rFont val="Tahoma"/>
            <family val="2"/>
            <charset val="186"/>
          </rPr>
          <t xml:space="preserve">TP parengimo sutartis pasirašyta 2021-07-27. Paslaugos, įskaitant statybą leidžiančio dokumento gavimą, turi būti suteiktos per 12 mėn. Projektavmas vyksta pagal grafiką. Pritarta projektiniams pasiūlymams.
</t>
        </r>
      </text>
    </comment>
    <comment ref="F19" authorId="2"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M20" authorId="1" shapeId="0">
      <text>
        <r>
          <rPr>
            <sz val="9"/>
            <color indexed="81"/>
            <rFont val="Tahoma"/>
            <family val="2"/>
            <charset val="186"/>
          </rPr>
          <t xml:space="preserve">II etapas
</t>
        </r>
      </text>
    </comment>
    <comment ref="F21" authorId="3" shapeId="0">
      <text>
        <r>
          <rPr>
            <sz val="9"/>
            <color indexed="81"/>
            <rFont val="Tahoma"/>
            <family val="2"/>
            <charset val="186"/>
          </rPr>
          <t>Klaipėdos miesto ekonominės plėtros strategija ir įgyvendinimo veiksmų planas iki 2030 metų (P6)</t>
        </r>
        <r>
          <rPr>
            <b/>
            <sz val="9"/>
            <color indexed="81"/>
            <rFont val="Tahoma"/>
            <family val="2"/>
            <charset val="186"/>
          </rPr>
          <t xml:space="preserve">
P6 3.1.13.</t>
        </r>
        <r>
          <rPr>
            <sz val="9"/>
            <color indexed="81"/>
            <rFont val="Tahoma"/>
            <family val="2"/>
            <charset val="186"/>
          </rPr>
          <t xml:space="preserve"> Vystyti viešųjų erdvių gerinimo programas ir lokalius urbanistinės struktūros atgaivinimo projektus  </t>
        </r>
      </text>
    </comment>
    <comment ref="F23" authorId="2" shapeId="0">
      <text>
        <r>
          <rPr>
            <sz val="9"/>
            <color indexed="81"/>
            <rFont val="Tahoma"/>
            <family val="2"/>
            <charset val="186"/>
          </rPr>
          <t xml:space="preserve">P-3.2.2.3.
</t>
        </r>
      </text>
    </comment>
    <comment ref="F24" authorId="2" shapeId="0">
      <text>
        <r>
          <rPr>
            <b/>
            <sz val="9"/>
            <color indexed="81"/>
            <rFont val="Tahoma"/>
            <family val="2"/>
            <charset val="186"/>
          </rPr>
          <t>P1,</t>
        </r>
        <r>
          <rPr>
            <sz val="9"/>
            <color indexed="81"/>
            <rFont val="Tahoma"/>
            <family val="2"/>
            <charset val="186"/>
          </rPr>
          <t xml:space="preserve"> </t>
        </r>
        <r>
          <rPr>
            <b/>
            <sz val="9"/>
            <color indexed="81"/>
            <rFont val="Tahoma"/>
            <family val="2"/>
            <charset val="186"/>
          </rPr>
          <t>4.1.5.</t>
        </r>
        <r>
          <rPr>
            <sz val="9"/>
            <color indexed="81"/>
            <rFont val="Tahoma"/>
            <family val="2"/>
            <charset val="186"/>
          </rPr>
          <t xml:space="preserve"> Sutvarkyta turgaus aikštė</t>
        </r>
        <r>
          <rPr>
            <b/>
            <sz val="9"/>
            <color indexed="81"/>
            <rFont val="Tahoma"/>
            <family val="2"/>
            <charset val="186"/>
          </rPr>
          <t xml:space="preserve">
</t>
        </r>
      </text>
    </comment>
    <comment ref="M24" authorId="1" shapeId="0">
      <text>
        <r>
          <rPr>
            <sz val="9"/>
            <color indexed="81"/>
            <rFont val="Tahoma"/>
            <family val="2"/>
            <charset val="186"/>
          </rPr>
          <t xml:space="preserve">11 215 m²
I, II, IV etapai
</t>
        </r>
      </text>
    </comment>
    <comment ref="F25" authorId="2" shapeId="0">
      <text>
        <r>
          <rPr>
            <b/>
            <sz val="9"/>
            <color indexed="81"/>
            <rFont val="Tahoma"/>
            <family val="2"/>
            <charset val="186"/>
          </rPr>
          <t>KEPS  3.1.11.</t>
        </r>
        <r>
          <rPr>
            <sz val="9"/>
            <color indexed="81"/>
            <rFont val="Tahoma"/>
            <family val="2"/>
            <charset val="186"/>
          </rPr>
          <t xml:space="preserve"> Išvystyti senąją turgavietę</t>
        </r>
      </text>
    </comment>
    <comment ref="F28" authorId="0" shapeId="0">
      <text>
        <r>
          <rPr>
            <sz val="9"/>
            <color indexed="81"/>
            <rFont val="Tahoma"/>
            <family val="2"/>
            <charset val="186"/>
          </rPr>
          <t>P-3.2.2.5.</t>
        </r>
      </text>
    </comment>
    <comment ref="M28" authorId="2" shapeId="0">
      <text>
        <r>
          <rPr>
            <sz val="9"/>
            <color indexed="81"/>
            <rFont val="Tahoma"/>
            <family val="2"/>
            <charset val="186"/>
          </rPr>
          <t xml:space="preserve">Reikalinga iškelti buitinių nuotekų tinklus, kurie trukdo el. įvadų įrengimui </t>
        </r>
      </text>
    </comment>
    <comment ref="F31"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F32" authorId="4" shapeId="0">
      <text>
        <r>
          <rPr>
            <sz val="9"/>
            <color indexed="81"/>
            <rFont val="Tahoma"/>
            <family val="2"/>
            <charset val="186"/>
          </rPr>
          <t>P-3.2.2.; 3.2.2.5.</t>
        </r>
      </text>
    </comment>
    <comment ref="F34" authorId="2" shapeId="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F36"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M36" authorId="1" shapeId="0">
      <text>
        <r>
          <rPr>
            <sz val="9"/>
            <color indexed="81"/>
            <rFont val="Tahoma"/>
            <family val="2"/>
            <charset val="186"/>
          </rPr>
          <t xml:space="preserve">11 215 m²
I, II, IV etapai
</t>
        </r>
      </text>
    </comment>
    <comment ref="F37" authorId="4" shapeId="0">
      <text>
        <r>
          <rPr>
            <sz val="9"/>
            <color indexed="81"/>
            <rFont val="Tahoma"/>
            <family val="2"/>
            <charset val="186"/>
          </rPr>
          <t>P-3.2.2.; 3.2.2.5.</t>
        </r>
      </text>
    </comment>
    <comment ref="M40" authorId="1" shapeId="0">
      <text>
        <r>
          <rPr>
            <sz val="9"/>
            <color indexed="81"/>
            <rFont val="Tahoma"/>
            <family val="2"/>
            <charset val="186"/>
          </rPr>
          <t xml:space="preserve">11 215 m²
I, II, IV etapai
</t>
        </r>
      </text>
    </comment>
    <comment ref="F41" authorId="4" shapeId="0">
      <text>
        <r>
          <rPr>
            <sz val="9"/>
            <color indexed="81"/>
            <rFont val="Tahoma"/>
            <family val="2"/>
            <charset val="186"/>
          </rPr>
          <t>P-3.2.2.; 3.2.2.5.</t>
        </r>
      </text>
    </comment>
    <comment ref="F43" authorId="2" shapeId="0">
      <text>
        <r>
          <rPr>
            <b/>
            <sz val="9"/>
            <color indexed="81"/>
            <rFont val="Tahoma"/>
            <family val="2"/>
            <charset val="186"/>
          </rPr>
          <t>2.4.1.1.</t>
        </r>
        <r>
          <rPr>
            <sz val="9"/>
            <color indexed="81"/>
            <rFont val="Tahoma"/>
            <family val="2"/>
            <charset val="186"/>
          </rPr>
          <t xml:space="preserve">
Centrinės miesto dalies zonose prie vandens (jūros, marių, Danės upės) teikti pirmenybę daugiafunkcės paskirties teritorijų vystymui</t>
        </r>
      </text>
    </comment>
    <comment ref="F44" authorId="1" shapeId="0">
      <text>
        <r>
          <rPr>
            <sz val="9"/>
            <color indexed="81"/>
            <rFont val="Tahoma"/>
            <family val="2"/>
            <charset val="186"/>
          </rPr>
          <t xml:space="preserve">P-3.2.1.2.
</t>
        </r>
      </text>
    </comment>
    <comment ref="M45" authorId="1" shapeId="0">
      <text>
        <r>
          <rPr>
            <sz val="9"/>
            <color indexed="81"/>
            <rFont val="Tahoma"/>
            <family val="2"/>
            <charset val="186"/>
          </rPr>
          <t xml:space="preserve">2024 m. - 2025 m. viešosios infrastruktūros TP rengimas
</t>
        </r>
      </text>
    </comment>
    <comment ref="F47" authorId="1" shapeId="0">
      <text>
        <r>
          <rPr>
            <sz val="9"/>
            <color indexed="81"/>
            <rFont val="Tahoma"/>
            <family val="2"/>
            <charset val="186"/>
          </rPr>
          <t xml:space="preserve">P-3.2.1.2.
</t>
        </r>
      </text>
    </comment>
    <comment ref="N51" authorId="1" shapeId="0">
      <text>
        <r>
          <rPr>
            <sz val="9"/>
            <color indexed="81"/>
            <rFont val="Tahoma"/>
            <family val="2"/>
            <charset val="186"/>
          </rPr>
          <t xml:space="preserve">2022 m. bus įrengtas Dangės skvero fontanas
</t>
        </r>
      </text>
    </comment>
    <comment ref="N52" authorId="5" shapeId="0">
      <text>
        <r>
          <rPr>
            <sz val="9"/>
            <color indexed="81"/>
            <rFont val="Tahoma"/>
            <family val="2"/>
            <charset val="186"/>
          </rPr>
          <t>Tikslinama techninė klaida: Poilsio parkas - 3 vnt.
Ąžuolyno giraitė - 2 vnt., Ferdinando skveras 1. Papildomai 2022 m. 05 mėn. pradėtas eksplotuoti 12 vnt geruvių Danės skvere</t>
        </r>
      </text>
    </comment>
    <comment ref="M53" authorId="1" shapeId="0">
      <text>
        <r>
          <rPr>
            <sz val="9"/>
            <color indexed="81"/>
            <rFont val="Tahoma"/>
            <family val="2"/>
            <charset val="186"/>
          </rPr>
          <t xml:space="preserve">Debreceno aikštės fontano rekonstrukcija </t>
        </r>
      </text>
    </comment>
    <comment ref="M54" authorId="1" shapeId="0">
      <text>
        <r>
          <rPr>
            <sz val="9"/>
            <color indexed="81"/>
            <rFont val="Tahoma"/>
            <family val="2"/>
            <charset val="186"/>
          </rPr>
          <t xml:space="preserve">Debreceno aikštės fontano rekonstrukcija </t>
        </r>
      </text>
    </comment>
    <comment ref="N55" authorId="5" shapeId="0">
      <text>
        <r>
          <rPr>
            <sz val="9"/>
            <color indexed="81"/>
            <rFont val="Tahoma"/>
            <family val="2"/>
            <charset val="186"/>
          </rPr>
          <t>Teatro a., šalia burlaivio Meridianas, Lietuvininkų a.</t>
        </r>
      </text>
    </comment>
    <comment ref="M59" authorId="4" shapeId="0">
      <text>
        <r>
          <rPr>
            <sz val="9"/>
            <color indexed="81"/>
            <rFont val="Tahoma"/>
            <family val="2"/>
            <charset val="186"/>
          </rPr>
          <t>Informacinių turizmo ir paplūdimių stendų, ženklų, kryprodžių, kolonų remontas ir gamyba</t>
        </r>
      </text>
    </comment>
    <comment ref="O62" authorId="4" shapeId="0">
      <text>
        <r>
          <rPr>
            <sz val="9"/>
            <color indexed="81"/>
            <rFont val="Tahoma"/>
            <family val="2"/>
            <charset val="186"/>
          </rPr>
          <t>Šiukšliadėžės su skaldele - 15 vnt.
Metalinės šiukšliadėžės senamiesčio erdvėse - 40 vnt.</t>
        </r>
      </text>
    </comment>
    <comment ref="Q62" authorId="4" shapeId="0">
      <text>
        <r>
          <rPr>
            <sz val="9"/>
            <color indexed="81"/>
            <rFont val="Tahoma"/>
            <family val="2"/>
            <charset val="186"/>
          </rPr>
          <t>Šiukšliadėžės su skaldele - 20 vnt</t>
        </r>
      </text>
    </comment>
    <comment ref="M64" authorId="4" shapeId="0">
      <text>
        <r>
          <rPr>
            <sz val="9"/>
            <color indexed="81"/>
            <rFont val="Tahoma"/>
            <family val="2"/>
            <charset val="186"/>
          </rPr>
          <t>(su atlošu ir be)</t>
        </r>
      </text>
    </comment>
    <comment ref="M67" authorId="4" shapeId="0">
      <text>
        <r>
          <rPr>
            <sz val="9"/>
            <color indexed="81"/>
            <rFont val="Tahoma"/>
            <family val="2"/>
            <charset val="186"/>
          </rPr>
          <t>Iš viso mieste yra 1,5 tūkst. vnt. šiukšliadėžių</t>
        </r>
      </text>
    </comment>
    <comment ref="M68" authorId="4" shapeId="0">
      <text>
        <r>
          <rPr>
            <sz val="9"/>
            <color indexed="81"/>
            <rFont val="Tahoma"/>
            <family val="2"/>
            <charset val="186"/>
          </rPr>
          <t>Iš viso mieste yra 1,1 tūkst. vnt. suoliukų</t>
        </r>
      </text>
    </comment>
    <comment ref="F75" authorId="4" shapeId="0">
      <text>
        <r>
          <rPr>
            <sz val="9"/>
            <color indexed="81"/>
            <rFont val="Tahoma"/>
            <family val="2"/>
            <charset val="186"/>
          </rPr>
          <t>P-2.4.3.5.</t>
        </r>
      </text>
    </comment>
    <comment ref="N75" authorId="6" shapeId="0">
      <text>
        <r>
          <rPr>
            <sz val="9"/>
            <color indexed="81"/>
            <rFont val="Tahoma"/>
            <family val="2"/>
            <charset val="186"/>
          </rPr>
          <t xml:space="preserve">4 jau eksploatuojamos, 6 bus perimtos iš projektų skyriaus, pabaigus projektus. </t>
        </r>
      </text>
    </comment>
    <comment ref="F79" authorId="3" shapeId="0">
      <text>
        <r>
          <rPr>
            <b/>
            <sz val="9"/>
            <color indexed="81"/>
            <rFont val="Tahoma"/>
            <family val="2"/>
            <charset val="186"/>
          </rPr>
          <t>KEPS2030  4.5.1.</t>
        </r>
        <r>
          <rPr>
            <sz val="9"/>
            <color indexed="81"/>
            <rFont val="Tahoma"/>
            <family val="2"/>
            <charset val="186"/>
          </rPr>
          <t xml:space="preserve"> Išvalyti Danės upę, pastatyti ir išplėtoti mažus uostelius.</t>
        </r>
      </text>
    </comment>
    <comment ref="M79" authorId="7" shapeId="0">
      <text>
        <r>
          <rPr>
            <sz val="9"/>
            <color indexed="81"/>
            <rFont val="Tahoma"/>
            <family val="2"/>
            <charset val="186"/>
          </rPr>
          <t>Sutartis pasirašyta 2022-10-20, trukmė 5 mėn. + 2 mėn. galimybė pratęsti</t>
        </r>
      </text>
    </comment>
    <comment ref="F80" authorId="2" shapeId="0">
      <text>
        <r>
          <rPr>
            <sz val="9"/>
            <color indexed="81"/>
            <rFont val="Tahoma"/>
            <family val="2"/>
            <charset val="186"/>
          </rPr>
          <t>P-1.2.3.1</t>
        </r>
      </text>
    </comment>
    <comment ref="F83" authorId="1" shapeId="0">
      <text>
        <r>
          <rPr>
            <b/>
            <sz val="9"/>
            <color indexed="81"/>
            <rFont val="Tahoma"/>
            <family val="2"/>
            <charset val="186"/>
          </rPr>
          <t>P1, 3.2.1.</t>
        </r>
        <r>
          <rPr>
            <sz val="9"/>
            <color indexed="81"/>
            <rFont val="Tahoma"/>
            <family val="2"/>
            <charset val="186"/>
          </rPr>
          <t xml:space="preserve"> Patvirtinta dalyvaujamojo biudžeto koncepcija ir metodika
</t>
        </r>
      </text>
    </comment>
    <comment ref="F84" authorId="1" shapeId="0">
      <text>
        <r>
          <rPr>
            <sz val="9"/>
            <color indexed="81"/>
            <rFont val="Tahoma"/>
            <family val="2"/>
            <charset val="186"/>
          </rPr>
          <t>P-2.6.4.3.</t>
        </r>
      </text>
    </comment>
    <comment ref="N84" authorId="4" shapeId="0">
      <text>
        <r>
          <rPr>
            <sz val="9"/>
            <color indexed="81"/>
            <rFont val="Tahoma"/>
            <family val="2"/>
            <charset val="186"/>
          </rPr>
          <t>1. Vaikų žaidimo aikštelė Tauralaukyje 
2. Vaikų žaidimo aikštelė  Simonaitytėje
2021-09-13 direktoriaus įsakymas Nr. AD1-1060</t>
        </r>
      </text>
    </comment>
    <comment ref="O84" authorId="1" shapeId="0">
      <text>
        <r>
          <rPr>
            <sz val="9"/>
            <color indexed="81"/>
            <rFont val="Tahoma"/>
            <family val="2"/>
            <charset val="186"/>
          </rPr>
          <t xml:space="preserve">Baltų simbolių takas Tauralaukyje; 
Daugiafunkcė ekstremalaus bėgimo (OCR) treniruočių aikštelė Klaipėdoje  
</t>
        </r>
      </text>
    </comment>
    <comment ref="P84" authorId="1" shapeId="0">
      <text>
        <r>
          <rPr>
            <sz val="9"/>
            <color indexed="81"/>
            <rFont val="Tahoma"/>
            <family val="2"/>
            <charset val="186"/>
          </rPr>
          <t>Mitologinės ir poilsinės žaidimų erdvės "Baltų saulės parkas" pagal gyventojų iniciatyvą įrengimas Tauralaukyjė</t>
        </r>
      </text>
    </comment>
    <comment ref="O86" authorId="1" shapeId="0">
      <text>
        <r>
          <rPr>
            <sz val="9"/>
            <color indexed="81"/>
            <rFont val="Tahoma"/>
            <family val="2"/>
            <charset val="186"/>
          </rPr>
          <t>Vieša laisvalaikio erdvė dideliems ir mažiems</t>
        </r>
        <r>
          <rPr>
            <b/>
            <sz val="9"/>
            <color indexed="81"/>
            <rFont val="Tahoma"/>
            <family val="2"/>
            <charset val="186"/>
          </rPr>
          <t xml:space="preserve"> Smeltės mikrorajone</t>
        </r>
        <r>
          <rPr>
            <sz val="9"/>
            <color indexed="81"/>
            <rFont val="Tahoma"/>
            <family val="2"/>
            <charset val="186"/>
          </rPr>
          <t xml:space="preserve">
</t>
        </r>
      </text>
    </comment>
    <comment ref="O87" authorId="1" shapeId="0">
      <text>
        <r>
          <rPr>
            <sz val="9"/>
            <color indexed="81"/>
            <rFont val="Tahoma"/>
            <family val="2"/>
            <charset val="186"/>
          </rPr>
          <t>Mitologinės ir poilsinės žaidimų erdvės "Baltų saulės parkas" Tauralaukyje</t>
        </r>
      </text>
    </comment>
    <comment ref="F89" authorId="4" shapeId="0">
      <text>
        <r>
          <rPr>
            <sz val="9"/>
            <color indexed="81"/>
            <rFont val="Tahoma"/>
            <family val="2"/>
            <charset val="186"/>
          </rPr>
          <t>P-3.2.2.5.</t>
        </r>
      </text>
    </comment>
    <comment ref="O89" authorId="4" shapeId="0">
      <text>
        <r>
          <rPr>
            <sz val="9"/>
            <color indexed="81"/>
            <rFont val="Tahoma"/>
            <family val="2"/>
            <charset val="186"/>
          </rPr>
          <t xml:space="preserve">Giruliuose </t>
        </r>
      </text>
    </comment>
    <comment ref="P89" authorId="4" shapeId="0">
      <text>
        <r>
          <rPr>
            <sz val="9"/>
            <color indexed="81"/>
            <rFont val="Tahoma"/>
            <family val="2"/>
            <charset val="186"/>
          </rPr>
          <t>Paupiuose</t>
        </r>
      </text>
    </comment>
    <comment ref="F90" authorId="4" shapeId="0">
      <text>
        <r>
          <rPr>
            <sz val="9"/>
            <color indexed="81"/>
            <rFont val="Tahoma"/>
            <family val="2"/>
            <charset val="186"/>
          </rPr>
          <t>P-1.2.1.5.</t>
        </r>
      </text>
    </comment>
    <comment ref="F92" authorId="4" shapeId="0">
      <text>
        <r>
          <rPr>
            <sz val="9"/>
            <color indexed="81"/>
            <rFont val="Tahoma"/>
            <family val="2"/>
            <charset val="186"/>
          </rPr>
          <t>P-1.2.1.5.</t>
        </r>
      </text>
    </comment>
    <comment ref="J92" authorId="1" shapeId="0">
      <text>
        <r>
          <rPr>
            <sz val="9"/>
            <color indexed="81"/>
            <rFont val="Tahoma"/>
            <family val="2"/>
            <charset val="186"/>
          </rPr>
          <t xml:space="preserve">Didėjimas dėl:
a) elektrai numatyta 15,9 tūkst. Eur daugiau;
b) kuro įsigijimui numatyta 10,8 tūkst. Eur daugiau;
c) 7 proc. prie DU pagal palanvimo principų įsakymą 43,5 tūkst. Eur;
d) 2 nauji etatai 29,3 tūkst. Eur.
e) DU įstatymų pasikeitimo 107,8 tūkst.Eur
</t>
        </r>
      </text>
    </comment>
    <comment ref="F93" authorId="3" shapeId="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O99" authorId="4" shapeId="0">
      <text>
        <r>
          <rPr>
            <sz val="9"/>
            <color indexed="81"/>
            <rFont val="Tahoma"/>
            <family val="2"/>
            <charset val="186"/>
          </rPr>
          <t xml:space="preserve">1. Persiregimo kabinos, 5 vnt., 7562,5 Eur, 
2. Saulės baterija mobiliai gelbėjimo stočiai, 1 vnt., 3396,65 Eur; 
3. Mediniai suolai, 20 vnt., 2299 Eur; 
4. Suolai paplūdimių prieigose, 18 vnt., 5760 Eur.
</t>
        </r>
      </text>
    </comment>
    <comment ref="P99" authorId="4" shapeId="0">
      <text>
        <r>
          <rPr>
            <sz val="9"/>
            <color indexed="81"/>
            <rFont val="Tahoma"/>
            <family val="2"/>
            <charset val="186"/>
          </rPr>
          <t>1. Persirengimo kabinos, 10 vnt., 15125 EUR;
 2. Saulės baterijos, 3 vnt., 10189,95 EUR;
 3. Suolai paplūdimių prieigose, 40 vnt., 12800EUR.</t>
        </r>
      </text>
    </comment>
    <comment ref="Q99" authorId="4" shapeId="0">
      <text>
        <r>
          <rPr>
            <sz val="9"/>
            <color indexed="81"/>
            <rFont val="Tahoma"/>
            <family val="2"/>
            <charset val="186"/>
          </rPr>
          <t>1. Persirengimo kabinos, 10 vnt., 15125 EUR, 
2. Saulės baterijos, 4 vnt., 13586,60 EUR; 
3. Suolai paplūdimių prieigose, 40 vnt. 12800EUR; 
4. Mediniai suolai, 20 vnt., 2299 EUR.</t>
        </r>
      </text>
    </comment>
    <comment ref="N100" authorId="4" shapeId="0">
      <text>
        <r>
          <rPr>
            <sz val="9"/>
            <color indexed="81"/>
            <rFont val="Tahoma"/>
            <family val="2"/>
            <charset val="186"/>
          </rPr>
          <t>1.Smiltynės 15 C - balkono ir laiptinės remontas
2. Garažų 6 - šildymo sistemos keitimas</t>
        </r>
        <r>
          <rPr>
            <b/>
            <sz val="9"/>
            <color indexed="81"/>
            <rFont val="Tahoma"/>
            <family val="2"/>
            <charset val="186"/>
          </rPr>
          <t xml:space="preserve">
</t>
        </r>
      </text>
    </comment>
    <comment ref="O100" authorId="4" shapeId="0">
      <text>
        <r>
          <rPr>
            <sz val="9"/>
            <color indexed="81"/>
            <rFont val="Tahoma"/>
            <family val="2"/>
            <charset val="186"/>
          </rPr>
          <t>1. Elektros įvedimas Smiltynės g. 15B, Klaipėda, 8959,32 EUR; 
2. I-osios Melnragės apžvalgos aikštelės remontas, 8950 EUR; 
3-8. Stebėjimo bokštelių apatinės dalies remontas, 6 vnt., 12414,6 EUR</t>
        </r>
      </text>
    </comment>
    <comment ref="P100" authorId="4" shapeId="0">
      <text>
        <r>
          <rPr>
            <sz val="9"/>
            <color indexed="81"/>
            <rFont val="Tahoma"/>
            <family val="2"/>
            <charset val="186"/>
          </rPr>
          <t>Administracinio pastato, Garažų g. 6, remontas</t>
        </r>
      </text>
    </comment>
    <comment ref="Q100" authorId="4" shapeId="0">
      <text>
        <r>
          <rPr>
            <sz val="9"/>
            <color indexed="81"/>
            <rFont val="Tahoma"/>
            <family val="2"/>
            <charset val="186"/>
          </rPr>
          <t>Smiltynės g. 15B, Klaipėda, 63000 EUR.</t>
        </r>
      </text>
    </comment>
    <comment ref="O103" authorId="4" shapeId="0">
      <text>
        <r>
          <rPr>
            <sz val="9"/>
            <color indexed="81"/>
            <rFont val="Tahoma"/>
            <family val="2"/>
            <charset val="186"/>
          </rPr>
          <t>1. Keturrratis gelbėjimo darbams, 1 vnt., 15490 Eur.
2. Frontalinis krautuvas 1 vnt. 16940 Eur.</t>
        </r>
      </text>
    </comment>
    <comment ref="P103" authorId="4" shapeId="0">
      <text>
        <r>
          <rPr>
            <sz val="9"/>
            <color indexed="81"/>
            <rFont val="Tahoma"/>
            <family val="2"/>
            <charset val="186"/>
          </rPr>
          <t>Vandens motociklas gelbėjimo darbams, 1 vnt., 17000 EUR.</t>
        </r>
      </text>
    </comment>
    <comment ref="Q103" authorId="4" shapeId="0">
      <text>
        <r>
          <rPr>
            <sz val="9"/>
            <color indexed="81"/>
            <rFont val="Tahoma"/>
            <family val="2"/>
            <charset val="186"/>
          </rPr>
          <t>Frontalinis krautuvas 15,7 tūkst. Eur</t>
        </r>
      </text>
    </comment>
    <comment ref="F104" authorId="2" shapeId="0">
      <text>
        <r>
          <rPr>
            <b/>
            <sz val="9"/>
            <color indexed="81"/>
            <rFont val="Tahoma"/>
            <family val="2"/>
            <charset val="186"/>
          </rPr>
          <t xml:space="preserve">P1, </t>
        </r>
        <r>
          <rPr>
            <sz val="9"/>
            <color indexed="81"/>
            <rFont val="Tahoma"/>
            <family val="2"/>
            <charset val="186"/>
          </rPr>
          <t>2.3. Municipalinio (vidaus vandenų) uosto atkūrimas Klaipėdoje</t>
        </r>
      </text>
    </comment>
    <comment ref="F105" authorId="3" shapeId="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F107" authorId="2" shapeId="0">
      <text>
        <r>
          <rPr>
            <sz val="9"/>
            <color indexed="81"/>
            <rFont val="Tahoma"/>
            <family val="2"/>
            <charset val="186"/>
          </rPr>
          <t>P-1.2.3.1</t>
        </r>
      </text>
    </comment>
    <comment ref="M108" authorId="2" shapeId="0">
      <text>
        <r>
          <rPr>
            <sz val="9"/>
            <color indexed="81"/>
            <rFont val="Tahoma"/>
            <family val="2"/>
            <charset val="186"/>
          </rPr>
          <t>Viešieji tualetai: Stovyklų g. 4 –21,79 m2; Kopų g. 1A (I Melnragė) – 87,25 m2;</t>
        </r>
      </text>
    </comment>
    <comment ref="M113" authorId="1" shapeId="0">
      <text>
        <r>
          <rPr>
            <sz val="9"/>
            <color indexed="81"/>
            <rFont val="Tahoma"/>
            <family val="2"/>
            <charset val="186"/>
          </rPr>
          <t>Pėsčiųjų-dviračių tako ir tako priklausinių - atraminių betoninių sienučių prie Girulių centrinio paplūdimio remontas ir aplinkos tvarkymo darbai</t>
        </r>
      </text>
    </comment>
    <comment ref="F114" authorId="2" shapeId="0">
      <text>
        <r>
          <rPr>
            <sz val="9"/>
            <color indexed="81"/>
            <rFont val="Tahoma"/>
            <family val="2"/>
            <charset val="186"/>
          </rPr>
          <t xml:space="preserve">P-1.2.1.1., 1.2.1.2., 1.2.1.5.
</t>
        </r>
      </text>
    </comment>
    <comment ref="M114" authorId="1" shapeId="0">
      <text>
        <r>
          <rPr>
            <sz val="9"/>
            <color indexed="81"/>
            <rFont val="Tahoma"/>
            <family val="2"/>
            <charset val="186"/>
          </rPr>
          <t>Pėsčiųjų-dviračių tako ir tako priklausinių - atraminių betoninių sienučių prie Smiltynės gelbėjimo stoties remontas ir aplinkos tvarkymo darbai.</t>
        </r>
      </text>
    </comment>
    <comment ref="M127" authorId="1" shapeId="0">
      <text>
        <r>
          <rPr>
            <sz val="9"/>
            <color indexed="81"/>
            <rFont val="Tahoma"/>
            <family val="2"/>
            <charset val="186"/>
          </rPr>
          <t>2020 m. techninis projektas</t>
        </r>
        <r>
          <rPr>
            <sz val="9"/>
            <color indexed="81"/>
            <rFont val="Tahoma"/>
            <family val="2"/>
            <charset val="186"/>
          </rPr>
          <t xml:space="preserve">
</t>
        </r>
      </text>
    </comment>
    <comment ref="O129" authorId="4" shapeId="0">
      <text>
        <r>
          <rPr>
            <sz val="9"/>
            <color indexed="81"/>
            <rFont val="Tahoma"/>
            <family val="2"/>
            <charset val="186"/>
          </rPr>
          <t>Tualetas Danės krantinėje</t>
        </r>
      </text>
    </comment>
    <comment ref="O131" authorId="4" shapeId="0">
      <text>
        <r>
          <rPr>
            <sz val="9"/>
            <color indexed="81"/>
            <rFont val="Tahoma"/>
            <family val="2"/>
            <charset val="186"/>
          </rPr>
          <t>Smiltynės g. 14A gręžinio  ir vandentiekio bei elektros tinklų pravedimo tarp Smiltynės g. 14A ir Smiltynės g. 14B. projektavimas</t>
        </r>
      </text>
    </comment>
    <comment ref="P132" authorId="4" shapeId="0">
      <text>
        <r>
          <rPr>
            <sz val="9"/>
            <color indexed="81"/>
            <rFont val="Tahoma"/>
            <family val="2"/>
            <charset val="186"/>
          </rPr>
          <t>Smiltynės g. 14A ir Smiltynės g. 14B</t>
        </r>
      </text>
    </comment>
    <comment ref="F143" authorId="0" shapeId="0">
      <text>
        <r>
          <rPr>
            <sz val="9"/>
            <color indexed="81"/>
            <rFont val="Tahoma"/>
            <family val="2"/>
            <charset val="186"/>
          </rPr>
          <t>P-3.2.1.1.</t>
        </r>
      </text>
    </comment>
    <comment ref="J143" authorId="1" shapeId="0">
      <text>
        <r>
          <rPr>
            <sz val="9"/>
            <color indexed="81"/>
            <rFont val="Tahoma"/>
            <family val="2"/>
            <charset val="186"/>
          </rPr>
          <t>Stringa techninės specifikacijos rengimas dviračių stovų įrengimo ir pastatymo bei kanalizacijos liukų dangčių pirkimui, nes nėra dviračių stovų ir liukų sprendinių.</t>
        </r>
      </text>
    </comment>
    <comment ref="F145" authorId="2"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146" authorId="2" shapeId="0">
      <text>
        <r>
          <rPr>
            <b/>
            <sz val="9"/>
            <color indexed="81"/>
            <rFont val="Tahoma"/>
            <family val="2"/>
            <charset val="186"/>
          </rPr>
          <t>KEPS 2030 metų (P6)</t>
        </r>
        <r>
          <rPr>
            <sz val="9"/>
            <color indexed="81"/>
            <rFont val="Tahoma"/>
            <family val="2"/>
            <charset val="186"/>
          </rPr>
          <t xml:space="preserve">
P6 3.1.13. Vystyti viešųjų erdvių gerinimo programas ir lokalius urbanistinės struktūros atgaivinimo projektus  </t>
        </r>
      </text>
    </comment>
    <comment ref="F151" authorId="2" shapeId="0">
      <text>
        <r>
          <rPr>
            <b/>
            <sz val="9"/>
            <color indexed="81"/>
            <rFont val="Tahoma"/>
            <family val="2"/>
            <charset val="186"/>
          </rPr>
          <t>KSP, 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text>
    </comment>
    <comment ref="N151" authorId="1" shapeId="0">
      <text>
        <r>
          <rPr>
            <sz val="9"/>
            <color indexed="81"/>
            <rFont val="Tahoma"/>
            <family val="2"/>
            <charset val="186"/>
          </rPr>
          <t>Įgyvendinta 2021 m.</t>
        </r>
      </text>
    </comment>
    <comment ref="F152" authorId="2" shapeId="0">
      <text>
        <r>
          <rPr>
            <b/>
            <sz val="9"/>
            <color indexed="81"/>
            <rFont val="Tahoma"/>
            <family val="2"/>
            <charset val="186"/>
          </rPr>
          <t xml:space="preserve">KEPS2030 3.1.5. </t>
        </r>
        <r>
          <rPr>
            <sz val="9"/>
            <color indexed="81"/>
            <rFont val="Tahoma"/>
            <family val="2"/>
            <charset val="186"/>
          </rPr>
          <t xml:space="preserve">"Intensyvinti linijinį centrą Taikos pr. ašyje" 
</t>
        </r>
      </text>
    </comment>
    <comment ref="F154" authorId="2" shapeId="0">
      <text>
        <r>
          <rPr>
            <b/>
            <sz val="9"/>
            <color indexed="81"/>
            <rFont val="Tahoma"/>
            <family val="2"/>
            <charset val="186"/>
          </rPr>
          <t>KSP, P 2.4.2.2.</t>
        </r>
        <r>
          <rPr>
            <sz val="9"/>
            <color indexed="81"/>
            <rFont val="Tahoma"/>
            <family val="2"/>
            <charset val="186"/>
          </rPr>
          <t xml:space="preserve"> Atnaujinti gyvenamuosius kvartalus, kuriuos numatyta įgyvendinti pagal 2014–2020 metų integruotos teritorijos investicijų programą: teritorijos tarp Naikupės g., Taikos pr., Baltijos pr., Šilutės pl., Mokyklos g., Kapsų g., Žemaičių g., Joniškės g., Mokyklos g., Danės g. tęsinio, Artojo g., Liepų g., K. Donelaičio g., Vytauto g., Naujojo Sodo g., Šiaurinio rago, Naujojo Sodo g., Pilies teritorijos, Priešpilio g., Pilies g., Sausio 15-osios g., Taikos pr., Dubysos g., Minijos g. iki Naikupės g.
</t>
        </r>
      </text>
    </comment>
    <comment ref="I154" authorId="1" shapeId="0">
      <text>
        <r>
          <rPr>
            <sz val="9"/>
            <color indexed="81"/>
            <rFont val="Tahoma"/>
            <family val="2"/>
            <charset val="186"/>
          </rPr>
          <t xml:space="preserve">Perkeliama atsiskaitymui už atliktus drenažo darbus (papildomi darbai) pagal 2021-10-26 sut. Nr. J9-2730
 </t>
        </r>
      </text>
    </comment>
    <comment ref="N154" authorId="1" shapeId="0">
      <text>
        <r>
          <rPr>
            <sz val="9"/>
            <color indexed="81"/>
            <rFont val="Tahoma"/>
            <family val="2"/>
            <charset val="186"/>
          </rPr>
          <t>Įgyvendinta 2021 m.</t>
        </r>
      </text>
    </comment>
    <comment ref="F155" authorId="2"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F157" authorId="3" shapeId="0">
      <text>
        <r>
          <rPr>
            <b/>
            <sz val="9"/>
            <color indexed="81"/>
            <rFont val="Tahoma"/>
            <family val="2"/>
            <charset val="186"/>
          </rPr>
          <t>Klaipėdos miesto ekonominės plėtros strategija ir įgyvendinimo veiksmų planas iki 2030 metų (P6)
P6 3.1.13.</t>
        </r>
        <r>
          <rPr>
            <sz val="9"/>
            <color indexed="81"/>
            <rFont val="Tahoma"/>
            <family val="2"/>
            <charset val="186"/>
          </rPr>
          <t xml:space="preserve"> Vystyti viešųjų erdvių gerinimo programas ir lokalius urbanistinės struktūros atgaivinimo projektus  </t>
        </r>
      </text>
    </comment>
    <comment ref="F158" authorId="2" shapeId="0">
      <text>
        <r>
          <rPr>
            <b/>
            <sz val="9"/>
            <color indexed="81"/>
            <rFont val="Tahoma"/>
            <family val="2"/>
            <charset val="186"/>
          </rPr>
          <t>P, 3.2.1.7 KSP</t>
        </r>
        <r>
          <rPr>
            <sz val="9"/>
            <color indexed="81"/>
            <rFont val="Tahoma"/>
            <family val="2"/>
            <charset val="186"/>
          </rPr>
          <t xml:space="preserve"> priemonė: Sutvarkyti senamiesčio ir istorinės miesto dalies reprezentacinių viešųjų erdvių (Teatro, Turgaus, Atgimimo aikščių, Ferdinando ir kitų skverų) infrastruktūrą pritaikant jas turizmo reikmėms bei renginiams </t>
        </r>
      </text>
    </comment>
    <comment ref="F159"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F160" authorId="3" shapeId="0">
      <text>
        <r>
          <rPr>
            <b/>
            <sz val="9"/>
            <color indexed="81"/>
            <rFont val="Tahoma"/>
            <family val="2"/>
            <charset val="186"/>
          </rPr>
          <t>Klaipėdos miesto ekonominės plėtros strategija ir įgyvendinimo veiksmų planas iki 2030 metų (P6)
P6 3.1.13.</t>
        </r>
        <r>
          <rPr>
            <sz val="9"/>
            <color indexed="81"/>
            <rFont val="Tahoma"/>
            <family val="2"/>
            <charset val="186"/>
          </rPr>
          <t xml:space="preserve"> Vystyti viešųjų erdvių gerinimo programas ir lokalius urbanistinės struktūros atgaivinimo projektus  </t>
        </r>
      </text>
    </comment>
    <comment ref="F162" authorId="0" shapeId="0">
      <text>
        <r>
          <rPr>
            <sz val="9"/>
            <color indexed="81"/>
            <rFont val="Tahoma"/>
            <family val="2"/>
            <charset val="186"/>
          </rPr>
          <t>P-3.2.2.5.</t>
        </r>
      </text>
    </comment>
    <comment ref="F163" authorId="2" shapeId="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M165" authorId="2" shapeId="0">
      <text>
        <r>
          <rPr>
            <sz val="9"/>
            <color indexed="81"/>
            <rFont val="Tahoma"/>
            <family val="2"/>
            <charset val="186"/>
          </rPr>
          <t>Planuojama vieta – ant naujojo Klaipėdos baseino rytinės sienos (Taikos pr.).</t>
        </r>
      </text>
    </comment>
    <comment ref="F166" authorId="2" shapeId="0">
      <text>
        <r>
          <rPr>
            <sz val="9"/>
            <color indexed="81"/>
            <rFont val="Tahoma"/>
            <family val="2"/>
            <charset val="186"/>
          </rPr>
          <t xml:space="preserve">P-1.2.1.1., 1.2.1.2., 1.2.1.5.
</t>
        </r>
      </text>
    </comment>
    <comment ref="N166" authorId="5" shapeId="0">
      <text>
        <r>
          <rPr>
            <sz val="9"/>
            <color indexed="81"/>
            <rFont val="Tahoma"/>
            <family val="2"/>
            <charset val="186"/>
          </rPr>
          <t xml:space="preserve">1. Grežinio projektavimo ir įrengimo adresu Smiltynės g. 33, 
2. Elektros tinklų įrengimas; 
3. Konteinerionio tualeto pastatymo Smiltynės g. 30; 
4. Konteinerinio tualeto pastatymas Smiltynės g. 31;      </t>
        </r>
        <r>
          <rPr>
            <b/>
            <i/>
            <sz val="9"/>
            <color indexed="81"/>
            <rFont val="Tahoma"/>
            <family val="2"/>
            <charset val="186"/>
          </rPr>
          <t xml:space="preserve">                   </t>
        </r>
      </text>
    </comment>
    <comment ref="F169" authorId="2" shapeId="0">
      <text>
        <r>
          <rPr>
            <sz val="9"/>
            <color indexed="81"/>
            <rFont val="Tahoma"/>
            <family val="2"/>
            <charset val="186"/>
          </rPr>
          <t xml:space="preserve">P-1.2.1.1., 1.2.1.2., 1.2.1.5.
</t>
        </r>
      </text>
    </comment>
    <comment ref="F173" authorId="4" shapeId="0">
      <text>
        <r>
          <rPr>
            <sz val="9"/>
            <color indexed="81"/>
            <rFont val="Tahoma"/>
            <family val="2"/>
            <charset val="186"/>
          </rPr>
          <t>P-3.3.2.4.</t>
        </r>
      </text>
    </comment>
    <comment ref="F175" authorId="4" shapeId="0">
      <text>
        <r>
          <rPr>
            <sz val="9"/>
            <color indexed="81"/>
            <rFont val="Tahoma"/>
            <family val="2"/>
            <charset val="186"/>
          </rPr>
          <t>P-3.3.2.4.</t>
        </r>
      </text>
    </comment>
    <comment ref="F180" authorId="4" shapeId="0">
      <text>
        <r>
          <rPr>
            <sz val="9"/>
            <color indexed="81"/>
            <rFont val="Tahoma"/>
            <family val="2"/>
            <charset val="186"/>
          </rPr>
          <t>P-3.3.2.4.</t>
        </r>
      </text>
    </comment>
    <comment ref="N180" authorId="1" shapeId="0">
      <text>
        <r>
          <rPr>
            <sz val="9"/>
            <color indexed="81"/>
            <rFont val="Tahoma"/>
            <family val="2"/>
            <charset val="186"/>
          </rPr>
          <t>2022 m.
1. Takai nuo I. Simonaitytės g. 6 iki 22 (500 m)
2. Takas nuo Markučių g. 5 iki Vingio g. (220 m)
3. Takas nuo Paryžiaus Komunos g. 27 iki Šilutės pl. 2A (150 m)
4. Takas nuo Baltijos pr.45 palei Baltijos gimnazija (230 m)
5. Takas nuo Simonaitytės kalno iki Aukuro gimnazijos (250 m)
6. Laistų 1-oji, 2-oji, 3-oji g. (1200 m)
7. Smilgų g. (150 m)
8. Smilčių g. (250 m)
9. Arimų g. (750 m)
Taip pat projektų ekspertizės (3000 Eur)</t>
        </r>
      </text>
    </comment>
    <comment ref="O180" authorId="4" shapeId="0">
      <text>
        <r>
          <rPr>
            <sz val="9"/>
            <color indexed="81"/>
            <rFont val="Tahoma"/>
            <family val="2"/>
            <charset val="186"/>
          </rPr>
          <t xml:space="preserve">1. Takai nuo I. Simonaitytės g. 6 iki 22 (550 m.)
2. Takas nuo Markučių g. 5 iki Vingio g. (220 m.)
3. Arimų g. (750 m.)
4. Takas nuo Paryžiaus Komunos g. 27 iki Šilutės pl. 2A (150 m.)
5. Takas nuo Baltijos per. 45 palei Baltijos gimnaziją (230 m.)
6. Takas nuo Simonaitytės kalno iki Aukuro gimnazijos (250 m.)
7. Laistų 1-oji,2-oji,3-oji g. (1200 m.)
8. Smilgų g. (150 m.)
9. Smilčių g. (250 m.)
</t>
        </r>
      </text>
    </comment>
    <comment ref="O181" authorId="4" shapeId="0">
      <text>
        <r>
          <rPr>
            <sz val="9"/>
            <color indexed="81"/>
            <rFont val="Tahoma"/>
            <family val="2"/>
            <charset val="186"/>
          </rPr>
          <t xml:space="preserve">1. Kadetų mokykla (Naikupės g. 25) (1646 m.)
2. Takas tarp Baltijos pr. 55 ir Baltijos pr. 63 (166 m.)
3. Vyturio g. nuo Laukininkų g. 11 iki Vyturio g. 23 (238 m.)
4. Pravažiavimas nuo Dauknato g. 13A iki Pievų tako g. 8 (234 m.)
</t>
        </r>
      </text>
    </comment>
    <comment ref="P181" authorId="4" shapeId="0">
      <text>
        <r>
          <rPr>
            <sz val="9"/>
            <color indexed="81"/>
            <rFont val="Tahoma"/>
            <family val="2"/>
            <charset val="186"/>
          </rPr>
          <t xml:space="preserve">1. Nėgių g. (311 m.)
2. Žiobrių g. (177 m.)
3. Takai nuo I. Simonaitytės g. 6 iki 22 (550 m.)
4. Takas nuo Simonaitytės kalno iki Aukuro gimnazijos (250 m.)
</t>
        </r>
      </text>
    </comment>
    <comment ref="Q181" authorId="4" shapeId="0">
      <text>
        <r>
          <rPr>
            <sz val="9"/>
            <color indexed="81"/>
            <rFont val="Tahoma"/>
            <family val="2"/>
            <charset val="186"/>
          </rPr>
          <t xml:space="preserve">1. Takas nuo Markučių g. 5 iki Vingio g. (220 m.)
2. Arimų g.
3. Takas nuo Paryžiaus Komunos g. 27 iki Šilutės pl. 2A (150 m.)
4. Takas nuo Baltijos pr. 45 palei Baltijos gimnaziją (230 m.)
5. Laistų 1-oji, 2-oji, 3-oji g. (1200 m.)
</t>
        </r>
      </text>
    </comment>
    <comment ref="F182" authorId="4" shapeId="0">
      <text>
        <r>
          <rPr>
            <sz val="9"/>
            <color indexed="81"/>
            <rFont val="Tahoma"/>
            <family val="2"/>
            <charset val="186"/>
          </rPr>
          <t>P-3.3.2.4.</t>
        </r>
      </text>
    </comment>
    <comment ref="F191" authorId="4" shapeId="0">
      <text>
        <r>
          <rPr>
            <sz val="9"/>
            <color indexed="81"/>
            <rFont val="Tahoma"/>
            <family val="2"/>
            <charset val="186"/>
          </rPr>
          <t>P-3.2.2.6.</t>
        </r>
      </text>
    </comment>
    <comment ref="O205" authorId="1" shapeId="0">
      <text>
        <r>
          <rPr>
            <sz val="9"/>
            <color indexed="81"/>
            <rFont val="Tahoma"/>
            <family val="2"/>
            <charset val="186"/>
          </rPr>
          <t>Bus keičiami 2 vartai ir 3 varteliai</t>
        </r>
      </text>
    </comment>
    <comment ref="P205" authorId="1" shapeId="0">
      <text>
        <r>
          <rPr>
            <sz val="9"/>
            <color indexed="81"/>
            <rFont val="Tahoma"/>
            <family val="2"/>
            <charset val="186"/>
          </rPr>
          <t>Bus keičiami 2 vartai ir 3 varteliai</t>
        </r>
      </text>
    </comment>
    <comment ref="F206" authorId="4" shapeId="0">
      <text>
        <r>
          <rPr>
            <sz val="9"/>
            <color indexed="81"/>
            <rFont val="Tahoma"/>
            <family val="2"/>
            <charset val="186"/>
          </rPr>
          <t>P-3.2.2.6.</t>
        </r>
      </text>
    </comment>
    <comment ref="E215" authorId="4" shapeId="0">
      <text>
        <r>
          <rPr>
            <sz val="9"/>
            <color indexed="81"/>
            <rFont val="Tahoma"/>
            <family val="2"/>
            <charset val="186"/>
          </rPr>
          <t>Želdinių tavrykas bus vykdomas su viso miesto želdinių tvarkymu iš sanitarinio priemonės</t>
        </r>
      </text>
    </comment>
    <comment ref="F217"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F218" authorId="4" shapeId="0">
      <text>
        <r>
          <rPr>
            <sz val="9"/>
            <color indexed="81"/>
            <rFont val="Tahoma"/>
            <family val="2"/>
            <charset val="186"/>
          </rPr>
          <t>P-3.2.2.1.; 3.3.2.4.</t>
        </r>
      </text>
    </comment>
    <comment ref="F230" authorId="4" shapeId="0">
      <text>
        <r>
          <rPr>
            <sz val="9"/>
            <color indexed="81"/>
            <rFont val="Tahoma"/>
            <family val="2"/>
            <charset val="186"/>
          </rPr>
          <t>P-3.2.2.1.;</t>
        </r>
      </text>
    </comment>
    <comment ref="O230" authorId="4" shapeId="0">
      <text>
        <r>
          <rPr>
            <sz val="9"/>
            <color indexed="81"/>
            <rFont val="Tahoma"/>
            <family val="2"/>
            <charset val="186"/>
          </rPr>
          <t>Naujakiemio g. 15</t>
        </r>
      </text>
    </comment>
    <comment ref="P231" authorId="4" shapeId="0">
      <text>
        <r>
          <rPr>
            <sz val="9"/>
            <color indexed="81"/>
            <rFont val="Tahoma"/>
            <family val="2"/>
            <charset val="186"/>
          </rPr>
          <t>Naujakiemio g. 15</t>
        </r>
      </text>
    </comment>
    <comment ref="F232"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M232" authorId="4" shapeId="0">
      <text>
        <r>
          <rPr>
            <sz val="9"/>
            <color indexed="81"/>
            <rFont val="Tahoma"/>
            <family val="2"/>
            <charset val="186"/>
          </rPr>
          <t>Naujiems šaukimams gyventojų prisidėjimui prie kiemų gerinimo</t>
        </r>
      </text>
    </comment>
    <comment ref="P232" authorId="4" shapeId="0">
      <text>
        <r>
          <rPr>
            <sz val="9"/>
            <color indexed="81"/>
            <rFont val="Tahoma"/>
            <family val="2"/>
            <charset val="186"/>
          </rPr>
          <t>Preliminariai 2024 bus parengtas 1 naujas projektas ir pradėta dalis darbų</t>
        </r>
      </text>
    </comment>
    <comment ref="F237" authorId="4" shapeId="0">
      <text>
        <r>
          <rPr>
            <sz val="9"/>
            <color indexed="81"/>
            <rFont val="Tahoma"/>
            <family val="2"/>
            <charset val="186"/>
          </rPr>
          <t>P-2.4.2.; 3.2.2.5.</t>
        </r>
      </text>
    </comment>
    <comment ref="M241" authorId="1" shapeId="0">
      <text>
        <r>
          <rPr>
            <sz val="9"/>
            <color indexed="81"/>
            <rFont val="Tahoma"/>
            <family val="2"/>
            <charset val="186"/>
          </rPr>
          <t xml:space="preserve">Persikelia į atskirą priemonę
</t>
        </r>
      </text>
    </comment>
    <comment ref="M242" authorId="1" shapeId="0">
      <text>
        <r>
          <rPr>
            <sz val="9"/>
            <color indexed="81"/>
            <rFont val="Tahoma"/>
            <family val="2"/>
            <charset val="186"/>
          </rPr>
          <t xml:space="preserve">Persikelia į atskirą priemonę
</t>
        </r>
      </text>
    </comment>
    <comment ref="J243" authorId="1" shapeId="0">
      <text>
        <r>
          <rPr>
            <sz val="9"/>
            <color indexed="81"/>
            <rFont val="Tahoma"/>
            <family val="2"/>
            <charset val="186"/>
          </rPr>
          <t>Projekto galutinės paraiškos pateikimas atidėtas iki 2023-01-31. Derinamos tinkamų ir netinkamų finansuoti darbų apimtys, tikslinamas atliktų darbų apmokėjimas ES lėšomis, pasikeitus projekto intensyvumui bei dėl  ESO neatliktų darbų dalies buvo sustabdyti rangos darbai. Taip pat lieka neapmokėta (sulaikyta) rangos darbų dalis iki bus gautas statybos užbaigimo dokumentas.</t>
        </r>
      </text>
    </comment>
    <comment ref="M243" authorId="1" shapeId="0">
      <text>
        <r>
          <rPr>
            <sz val="9"/>
            <color indexed="81"/>
            <rFont val="Tahoma"/>
            <family val="2"/>
            <charset val="186"/>
          </rPr>
          <t>(146 000 m²)</t>
        </r>
        <r>
          <rPr>
            <sz val="9"/>
            <color indexed="81"/>
            <rFont val="Tahoma"/>
            <family val="2"/>
            <charset val="186"/>
          </rPr>
          <t xml:space="preserve">
</t>
        </r>
      </text>
    </comment>
    <comment ref="N243" authorId="1" shapeId="0">
      <text>
        <r>
          <rPr>
            <sz val="9"/>
            <color indexed="81"/>
            <rFont val="Tahoma"/>
            <family val="2"/>
            <charset val="186"/>
          </rPr>
          <t xml:space="preserve">Sudarius Taikos sutartį su asociacija „Klaipėdos žalieji“, atsirado papildomi sprendiniai ir poreikis atlikti projekto korekcijas. Taip pat remiantis III teritorijos pakeitimais 6 mėn. pratęstas rangos sutarties terminas su rangovu UAB „VVARFF“. Projekto „Kompleksinis tikslinės teritorijos daugiabučių kiemų tvarkymas“ rangos darbų pabaiga numatyta 2022-08-28. 
</t>
        </r>
      </text>
    </comment>
    <comment ref="F244" authorId="0" shapeId="0">
      <text>
        <r>
          <rPr>
            <sz val="9"/>
            <color indexed="81"/>
            <rFont val="Tahoma"/>
            <family val="2"/>
            <charset val="186"/>
          </rPr>
          <t>P-3.2.2.1.</t>
        </r>
      </text>
    </comment>
    <comment ref="M244" authorId="1" shapeId="0">
      <text>
        <r>
          <rPr>
            <sz val="9"/>
            <color indexed="81"/>
            <rFont val="Tahoma"/>
            <family val="2"/>
            <charset val="186"/>
          </rPr>
          <t>Rumpiškės g. 18-22</t>
        </r>
      </text>
    </comment>
    <comment ref="F245"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F249" authorId="4" shapeId="0">
      <text>
        <r>
          <rPr>
            <sz val="9"/>
            <color indexed="81"/>
            <rFont val="Tahoma"/>
            <family val="2"/>
            <charset val="186"/>
          </rPr>
          <t>P-2.4.3.5.</t>
        </r>
      </text>
    </comment>
    <comment ref="O249" authorId="4" shapeId="0">
      <text>
        <r>
          <rPr>
            <sz val="9"/>
            <color indexed="81"/>
            <rFont val="Tahoma"/>
            <family val="2"/>
            <charset val="186"/>
          </rPr>
          <t xml:space="preserve">01 Projekto „Saugus kaimynas – saugus aš“ įgyvendinimas kartu su Klaipėdos apskrities vyriausiuoju policijos komisariatu
02 Gaisrų prevencijos projekto „Gyvenkime saugiai“ įgyvendinimas kartu su Klaipėdos apskrities priešgaisrine gelbėjimo valdyba
03 Prevencinio projekto „Būk pilietiškas, būk saugus“ įgyvendinimas kartu su Klaipėdos apskrities vyriausiuoju policijos komisariatu 
04 Prevencinio projekto „Stebima Klaipėda saugesnė“ įgyvendinimas kartu su Klaipėdos apskrities vyriausiuoju policijos komisariatu 
05 Prevencinio projekto „Policijos rėmėjas – aktyvus pagalbininkas kuriant saugesnę Lietuvą!“ įgyvendinimas kartu su Klaipėdos apskrities vyriausiuoju policijos komisariatu 
06 Prevencinio projekto „Saugi kaiminystė – kelias į saugesnę visuomenę“ įgyvendinimas kartu su Klaipėdos apskrities vyriausiuoju policijos komisariatu 
07 Projekto „Vaikų saugumas – svarbiausia“ įgyvendinimas kartu su Klaipėdos apskrities vyriausiuoju policijos komisariatu
</t>
        </r>
      </text>
    </comment>
    <comment ref="P249" authorId="4" shapeId="0">
      <text>
        <r>
          <rPr>
            <sz val="9"/>
            <color indexed="81"/>
            <rFont val="Tahoma"/>
            <family val="2"/>
            <charset val="186"/>
          </rPr>
          <t xml:space="preserve">1 Projekto „Saugus kaimynas – saugus aš“ įgyvendinimas kartu su Klaipėdos apskrities vyriausiuoju policijos komisariatu
2 Gaisrų prevencijos projekto „Gyvenkime saugiai“ įgyvendinimas kartu su Klaipėdos apskrities priešgaisrine gelbėjimo valdyba
3 Prevencinio projekto „Būk pilietiškas, būk saugus“ įgyvendinimas kartu su Klaipėdos apskrities vyriausiuoju policijos komisariatu 
4 Prevencinio projekto „Stebima Klaipėda saugesnė“ įgyvendinimas kartu su Klaipėdos apskrities vyriausiuoju policijos komisariatu 
5 Prevencinio projekto „Policijos rėmėjas – aktyvus pagalbininkas kuriant saugesnę Lietuvą!“ įgyvendinimas kartu su Klaipėdos apskrities vyriausiuoju policijos komisariatu 
6 Prevencinio projekto „Saugi kaimynystė – kelias į saugesnę visuomenę“ įgyvendinimas kartu su Klaipėdos apskrities vyriausiuoju policijos komisariatu 
7 Gaisrų prevencijos projekto „Virtuvės pavojai“ įgyvendinimas kartu su Klaipėdos apskrities priešgaisrine gelbėjimo valdyba
8 Gaisrų prevencijos projekto „Būk saugus mokiny“ įgyvendinimas kartu su Klaipėdos apskrities priešgaisrine gelbėjimo valdyba
9 Projekto „Saugus eismas - saugus tu“ įgyvendinimas kartu su Klaipėdos apskrities vyriausiuoju policijos komisariatu
</t>
        </r>
      </text>
    </comment>
    <comment ref="Q249" authorId="4" shapeId="0">
      <text>
        <r>
          <rPr>
            <sz val="9"/>
            <color indexed="81"/>
            <rFont val="Tahoma"/>
            <family val="2"/>
            <charset val="186"/>
          </rPr>
          <t xml:space="preserve">1 Gaisrų prevencijos projekto „Gyvenkime saugiai“ įgyvendinimas kartu su Klaipėdos apskrities priešgaisrine gelbėjimo valdyba
2 Prevencinio projekto „Stebima Klaipėda saugesnė“ įgyvendinimas kartu su Klaipėdos apskrities vyriausiuoju policijos komisariatu 
3 Prevencinio projekto „Policijos rėmėjas – aktyvus pagalbininkas kuriant saugesnę Lietuvą!“ įgyvendinimas kartu su Klaipėdos apskrities vyriausiuoju policijos komisariatu 
4  Projekto „Saugus eismas - saugus tu“ įgyvendinimas kartu su Klaipėdos apskrities vyriausiuoju policijos komisariatu
</t>
        </r>
      </text>
    </comment>
    <comment ref="O268" authorId="4" shapeId="0">
      <text>
        <r>
          <rPr>
            <sz val="9"/>
            <color indexed="81"/>
            <rFont val="Tahoma"/>
            <family val="2"/>
            <charset val="186"/>
          </rPr>
          <t>1. PAVIRŠINIŲ NUOTEKŲ KOLEKTORIAUS ŠVYTURIOG. TĘSINYJE IR AB „KLAIPĖDOS JŪRŲKROVINIŲ KOMPANIJA“ TERITORIJOJE 576,0 tūkst. Eur.
2. Sprotininkų g. 19-19A, Švyturio g. 14-18 paviršinių nuotekų tinklų rekonstukcijos projektavimas 20,0 tūkst. Eur.</t>
        </r>
      </text>
    </comment>
    <comment ref="F269" authorId="1" shapeId="0">
      <text>
        <r>
          <rPr>
            <sz val="9"/>
            <color indexed="81"/>
            <rFont val="Tahoma"/>
            <family val="2"/>
            <charset val="186"/>
          </rPr>
          <t>P-3.3.3.4.</t>
        </r>
      </text>
    </comment>
    <comment ref="F271" authorId="1" shapeId="0">
      <text>
        <r>
          <rPr>
            <sz val="9"/>
            <color indexed="81"/>
            <rFont val="Tahoma"/>
            <family val="2"/>
            <charset val="186"/>
          </rPr>
          <t>P-3.2.2.7</t>
        </r>
      </text>
    </comment>
    <comment ref="F272" authorId="0" shapeId="0">
      <text>
        <r>
          <rPr>
            <sz val="9"/>
            <color indexed="81"/>
            <rFont val="Tahoma"/>
            <family val="2"/>
            <charset val="186"/>
          </rPr>
          <t>P-3.2.1.4.</t>
        </r>
      </text>
    </comment>
  </commentList>
</comments>
</file>

<file path=xl/comments2.xml><?xml version="1.0" encoding="utf-8"?>
<comments xmlns="http://schemas.openxmlformats.org/spreadsheetml/2006/main">
  <authors>
    <author>Rima Alisauskaite</author>
    <author>Inga Mikalauskienė</author>
    <author>Audra Cepiene</author>
    <author>Indrė Butenienė</author>
    <author>Saulina Paulauskiene</author>
  </authors>
  <commentList>
    <comment ref="E23" authorId="0" shapeId="0">
      <text>
        <r>
          <rPr>
            <sz val="9"/>
            <color indexed="81"/>
            <rFont val="Tahoma"/>
            <family val="2"/>
            <charset val="186"/>
          </rPr>
          <t>P-3.1.1.4.</t>
        </r>
      </text>
    </comment>
    <comment ref="J23" authorId="1" shapeId="0">
      <text>
        <r>
          <rPr>
            <b/>
            <sz val="9"/>
            <color indexed="81"/>
            <rFont val="Tahoma"/>
            <family val="2"/>
            <charset val="186"/>
          </rPr>
          <t xml:space="preserve">I etapas. </t>
        </r>
        <r>
          <rPr>
            <sz val="9"/>
            <color indexed="81"/>
            <rFont val="Tahoma"/>
            <family val="2"/>
            <charset val="186"/>
          </rPr>
          <t xml:space="preserve">TP parengimo sutartis pasirašyta 2021-07-27. Paslaugos, įskaitant statybą leidžiančio dokumento gavimą, turi būti suteiktos per 12 mėn. Projektavmas vyksta pagal grafiką. Pritarta projektiniams pasiūlymams.
</t>
        </r>
      </text>
    </comment>
    <comment ref="E24" authorId="2"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J25" authorId="1" shapeId="0">
      <text>
        <r>
          <rPr>
            <sz val="9"/>
            <color indexed="81"/>
            <rFont val="Tahoma"/>
            <family val="2"/>
            <charset val="186"/>
          </rPr>
          <t xml:space="preserve">II etapas
</t>
        </r>
      </text>
    </comment>
    <comment ref="E26" authorId="3" shapeId="0">
      <text>
        <r>
          <rPr>
            <sz val="9"/>
            <color indexed="81"/>
            <rFont val="Tahoma"/>
            <family val="2"/>
            <charset val="186"/>
          </rPr>
          <t>Klaipėdos miesto ekonominės plėtros strategija ir įgyvendinimo veiksmų planas iki 2030 metų (P6)</t>
        </r>
        <r>
          <rPr>
            <b/>
            <sz val="9"/>
            <color indexed="81"/>
            <rFont val="Tahoma"/>
            <family val="2"/>
            <charset val="186"/>
          </rPr>
          <t xml:space="preserve">
P6 3.1.13.</t>
        </r>
        <r>
          <rPr>
            <sz val="9"/>
            <color indexed="81"/>
            <rFont val="Tahoma"/>
            <family val="2"/>
            <charset val="186"/>
          </rPr>
          <t xml:space="preserve"> Vystyti viešųjų erdvių gerinimo programas ir lokalius urbanistinės struktūros atgaivinimo projektus  </t>
        </r>
      </text>
    </comment>
    <comment ref="E28" authorId="2" shapeId="0">
      <text>
        <r>
          <rPr>
            <sz val="9"/>
            <color indexed="81"/>
            <rFont val="Tahoma"/>
            <family val="2"/>
            <charset val="186"/>
          </rPr>
          <t xml:space="preserve">P-3.2.2.3.
</t>
        </r>
      </text>
    </comment>
    <comment ref="E29" authorId="2" shapeId="0">
      <text>
        <r>
          <rPr>
            <b/>
            <sz val="9"/>
            <color indexed="81"/>
            <rFont val="Tahoma"/>
            <family val="2"/>
            <charset val="186"/>
          </rPr>
          <t>P1,</t>
        </r>
        <r>
          <rPr>
            <sz val="9"/>
            <color indexed="81"/>
            <rFont val="Tahoma"/>
            <family val="2"/>
            <charset val="186"/>
          </rPr>
          <t xml:space="preserve"> </t>
        </r>
        <r>
          <rPr>
            <b/>
            <sz val="9"/>
            <color indexed="81"/>
            <rFont val="Tahoma"/>
            <family val="2"/>
            <charset val="186"/>
          </rPr>
          <t>4.1.5.</t>
        </r>
        <r>
          <rPr>
            <sz val="9"/>
            <color indexed="81"/>
            <rFont val="Tahoma"/>
            <family val="2"/>
            <charset val="186"/>
          </rPr>
          <t xml:space="preserve"> Sutvarkyta turgaus aikštė
</t>
        </r>
        <r>
          <rPr>
            <b/>
            <sz val="9"/>
            <color indexed="81"/>
            <rFont val="Tahoma"/>
            <family val="2"/>
            <charset val="186"/>
          </rPr>
          <t xml:space="preserve">
</t>
        </r>
      </text>
    </comment>
    <comment ref="E30" authorId="2" shapeId="0">
      <text>
        <r>
          <rPr>
            <b/>
            <sz val="9"/>
            <color indexed="81"/>
            <rFont val="Tahoma"/>
            <family val="2"/>
            <charset val="186"/>
          </rPr>
          <t>KEPS  3.1.11.</t>
        </r>
        <r>
          <rPr>
            <sz val="9"/>
            <color indexed="81"/>
            <rFont val="Tahoma"/>
            <family val="2"/>
            <charset val="186"/>
          </rPr>
          <t xml:space="preserve"> Išvystyti senąją turgavietę</t>
        </r>
      </text>
    </comment>
    <comment ref="E33" authorId="0" shapeId="0">
      <text>
        <r>
          <rPr>
            <sz val="9"/>
            <color indexed="81"/>
            <rFont val="Tahoma"/>
            <family val="2"/>
            <charset val="186"/>
          </rPr>
          <t>P-3.2.2.5.</t>
        </r>
      </text>
    </comment>
    <comment ref="E36"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E37" authorId="4" shapeId="0">
      <text>
        <r>
          <rPr>
            <sz val="9"/>
            <color indexed="81"/>
            <rFont val="Tahoma"/>
            <family val="2"/>
            <charset val="186"/>
          </rPr>
          <t>P-3.2.2.; 3.2.2.5.</t>
        </r>
      </text>
    </comment>
    <comment ref="E39" authorId="2" shapeId="0">
      <text>
        <r>
          <rPr>
            <b/>
            <sz val="9"/>
            <color indexed="81"/>
            <rFont val="Tahoma"/>
            <family val="2"/>
            <charset val="186"/>
          </rPr>
          <t xml:space="preserve">P6 3.1.13 </t>
        </r>
        <r>
          <rPr>
            <sz val="9"/>
            <color indexed="81"/>
            <rFont val="Tahoma"/>
            <family val="2"/>
            <charset val="186"/>
          </rPr>
          <t>priemonė, Vystyti viešųjų erdvių pietinėje ir šiaurinėje erdvėje atgaivinimo projektus</t>
        </r>
      </text>
    </comment>
    <comment ref="E41" authorId="2" shapeId="0">
      <text>
        <r>
          <rPr>
            <b/>
            <sz val="9"/>
            <color indexed="81"/>
            <rFont val="Tahoma"/>
            <family val="2"/>
            <charset val="186"/>
          </rPr>
          <t>P1. 3.5.</t>
        </r>
        <r>
          <rPr>
            <sz val="9"/>
            <color indexed="81"/>
            <rFont val="Tahoma"/>
            <family val="2"/>
            <charset val="186"/>
          </rPr>
          <t xml:space="preserve"> Viešųjų erdvių ir pastatų pritaikymas pagal universalaus dizaino principus, </t>
        </r>
        <r>
          <rPr>
            <b/>
            <sz val="9"/>
            <color indexed="81"/>
            <rFont val="Tahoma"/>
            <family val="2"/>
            <charset val="186"/>
          </rPr>
          <t xml:space="preserve">3.5.1. </t>
        </r>
        <r>
          <rPr>
            <sz val="9"/>
            <color indexed="81"/>
            <rFont val="Tahoma"/>
            <family val="2"/>
            <charset val="186"/>
          </rPr>
          <t>Pritaikyta viešųjų erdvių</t>
        </r>
      </text>
    </comment>
    <comment ref="J41" authorId="1" shapeId="0">
      <text>
        <r>
          <rPr>
            <sz val="9"/>
            <color indexed="81"/>
            <rFont val="Tahoma"/>
            <family val="2"/>
            <charset val="186"/>
          </rPr>
          <t xml:space="preserve">11 215 m²
I, II, IV etapai
</t>
        </r>
      </text>
    </comment>
    <comment ref="E42" authorId="4" shapeId="0">
      <text>
        <r>
          <rPr>
            <sz val="9"/>
            <color indexed="81"/>
            <rFont val="Tahoma"/>
            <family val="2"/>
            <charset val="186"/>
          </rPr>
          <t>P-3.2.2.; 3.2.2.5.</t>
        </r>
      </text>
    </comment>
    <comment ref="J45" authorId="1" shapeId="0">
      <text>
        <r>
          <rPr>
            <sz val="9"/>
            <color indexed="81"/>
            <rFont val="Tahoma"/>
            <family val="2"/>
            <charset val="186"/>
          </rPr>
          <t xml:space="preserve">11 215 m²
I, II, IV etapai
</t>
        </r>
      </text>
    </comment>
    <comment ref="E46" authorId="4" shapeId="0">
      <text>
        <r>
          <rPr>
            <sz val="9"/>
            <color indexed="81"/>
            <rFont val="Tahoma"/>
            <family val="2"/>
            <charset val="186"/>
          </rPr>
          <t>P-3.2.2.; 3.2.2.5.</t>
        </r>
      </text>
    </comment>
    <comment ref="E48" authorId="2" shapeId="0">
      <text>
        <r>
          <rPr>
            <b/>
            <sz val="9"/>
            <color indexed="81"/>
            <rFont val="Tahoma"/>
            <family val="2"/>
            <charset val="186"/>
          </rPr>
          <t>2.4.1.1.</t>
        </r>
        <r>
          <rPr>
            <sz val="9"/>
            <color indexed="81"/>
            <rFont val="Tahoma"/>
            <family val="2"/>
            <charset val="186"/>
          </rPr>
          <t xml:space="preserve">
Centrinės miesto dalies zonose prie vandens (jūros, marių, Danės upės) teikti pirmenybę daugiafunkcės paskirties teritorijų vystymui</t>
        </r>
      </text>
    </comment>
    <comment ref="E49" authorId="1" shapeId="0">
      <text>
        <r>
          <rPr>
            <sz val="9"/>
            <color indexed="81"/>
            <rFont val="Tahoma"/>
            <family val="2"/>
            <charset val="186"/>
          </rPr>
          <t xml:space="preserve">P-3.2.1.2.
</t>
        </r>
      </text>
    </comment>
    <comment ref="J50" authorId="1" shapeId="0">
      <text>
        <r>
          <rPr>
            <sz val="9"/>
            <color indexed="81"/>
            <rFont val="Tahoma"/>
            <family val="2"/>
            <charset val="186"/>
          </rPr>
          <t xml:space="preserve">2024 m. - 2025 m. viešosios infrastruktūros TP rengimas
</t>
        </r>
      </text>
    </comment>
    <comment ref="E52" authorId="1" shapeId="0">
      <text>
        <r>
          <rPr>
            <sz val="9"/>
            <color indexed="81"/>
            <rFont val="Tahoma"/>
            <family val="2"/>
            <charset val="186"/>
          </rPr>
          <t xml:space="preserve">P-3.2.1.2.
</t>
        </r>
      </text>
    </comment>
    <comment ref="J58" authorId="1" shapeId="0">
      <text>
        <r>
          <rPr>
            <sz val="9"/>
            <color indexed="81"/>
            <rFont val="Tahoma"/>
            <family val="2"/>
            <charset val="186"/>
          </rPr>
          <t xml:space="preserve">Debreceno aikštės fontano rekonstrukcija </t>
        </r>
      </text>
    </comment>
    <comment ref="J59" authorId="1" shapeId="0">
      <text>
        <r>
          <rPr>
            <sz val="9"/>
            <color indexed="81"/>
            <rFont val="Tahoma"/>
            <family val="2"/>
            <charset val="186"/>
          </rPr>
          <t xml:space="preserve">Debreceno aikštės fontano rekonstrukcija </t>
        </r>
      </text>
    </comment>
    <comment ref="J62" authorId="4" shapeId="0">
      <text>
        <r>
          <rPr>
            <sz val="9"/>
            <color indexed="81"/>
            <rFont val="Tahoma"/>
            <family val="2"/>
            <charset val="186"/>
          </rPr>
          <t>Informacinių turizmo ir paplūdimių stendų, ženklų, kryprodžių, kolonų remontas ir gamyba</t>
        </r>
      </text>
    </comment>
    <comment ref="K64" authorId="4" shapeId="0">
      <text>
        <r>
          <rPr>
            <sz val="9"/>
            <color indexed="81"/>
            <rFont val="Tahoma"/>
            <family val="2"/>
            <charset val="186"/>
          </rPr>
          <t>Šiukšliadėžės su skaldele - 15 vnt.
Metalinės šiukšliadėžės senamiesčio erdvėse - 40 vnt.</t>
        </r>
      </text>
    </comment>
    <comment ref="M64" authorId="4" shapeId="0">
      <text>
        <r>
          <rPr>
            <sz val="9"/>
            <color indexed="81"/>
            <rFont val="Tahoma"/>
            <family val="2"/>
            <charset val="186"/>
          </rPr>
          <t>Šiukšliadėžės su skaldele - 20 vnt</t>
        </r>
      </text>
    </comment>
    <comment ref="J66" authorId="4" shapeId="0">
      <text>
        <r>
          <rPr>
            <sz val="9"/>
            <color indexed="81"/>
            <rFont val="Tahoma"/>
            <family val="2"/>
            <charset val="186"/>
          </rPr>
          <t>(su atlošu ir be)</t>
        </r>
      </text>
    </comment>
    <comment ref="J69" authorId="4" shapeId="0">
      <text>
        <r>
          <rPr>
            <sz val="9"/>
            <color indexed="81"/>
            <rFont val="Tahoma"/>
            <family val="2"/>
            <charset val="186"/>
          </rPr>
          <t>Iš viso mieste yra 1,5 tūkst. vnt. šiukšliadėžių</t>
        </r>
      </text>
    </comment>
    <comment ref="J70" authorId="4" shapeId="0">
      <text>
        <r>
          <rPr>
            <sz val="9"/>
            <color indexed="81"/>
            <rFont val="Tahoma"/>
            <family val="2"/>
            <charset val="186"/>
          </rPr>
          <t>Iš viso mieste yra 1,1 tūkst. vnt. suoliukų</t>
        </r>
      </text>
    </comment>
    <comment ref="E77" authorId="4" shapeId="0">
      <text>
        <r>
          <rPr>
            <sz val="9"/>
            <color indexed="81"/>
            <rFont val="Tahoma"/>
            <family val="2"/>
            <charset val="186"/>
          </rPr>
          <t>P-2.4.3.5.</t>
        </r>
      </text>
    </comment>
    <comment ref="E81" authorId="3" shapeId="0">
      <text>
        <r>
          <rPr>
            <b/>
            <sz val="9"/>
            <color indexed="81"/>
            <rFont val="Tahoma"/>
            <family val="2"/>
            <charset val="186"/>
          </rPr>
          <t>KEPS2030  4.5.1.</t>
        </r>
        <r>
          <rPr>
            <sz val="9"/>
            <color indexed="81"/>
            <rFont val="Tahoma"/>
            <family val="2"/>
            <charset val="186"/>
          </rPr>
          <t xml:space="preserve"> Išvalyti Danės upę, pastatyti ir išplėtoti mažus uostelius.</t>
        </r>
      </text>
    </comment>
    <comment ref="E82" authorId="2" shapeId="0">
      <text>
        <r>
          <rPr>
            <sz val="9"/>
            <color indexed="81"/>
            <rFont val="Tahoma"/>
            <family val="2"/>
            <charset val="186"/>
          </rPr>
          <t>P-1.2.3.1</t>
        </r>
      </text>
    </comment>
    <comment ref="E85" authorId="1" shapeId="0">
      <text>
        <r>
          <rPr>
            <b/>
            <sz val="9"/>
            <color indexed="81"/>
            <rFont val="Tahoma"/>
            <family val="2"/>
            <charset val="186"/>
          </rPr>
          <t>P1, 3.2.1.</t>
        </r>
        <r>
          <rPr>
            <sz val="9"/>
            <color indexed="81"/>
            <rFont val="Tahoma"/>
            <family val="2"/>
            <charset val="186"/>
          </rPr>
          <t xml:space="preserve"> Patvirtinta dalyvaujamojo biudžeto koncepcija ir metodika
</t>
        </r>
      </text>
    </comment>
    <comment ref="E86" authorId="1" shapeId="0">
      <text>
        <r>
          <rPr>
            <sz val="9"/>
            <color indexed="81"/>
            <rFont val="Tahoma"/>
            <family val="2"/>
            <charset val="186"/>
          </rPr>
          <t>P-2.6.4.3.</t>
        </r>
      </text>
    </comment>
    <comment ref="K86" authorId="1" shapeId="0">
      <text>
        <r>
          <rPr>
            <sz val="9"/>
            <color indexed="81"/>
            <rFont val="Tahoma"/>
            <family val="2"/>
            <charset val="186"/>
          </rPr>
          <t xml:space="preserve">Baltų simbolių takas Tauralaukyje; 
Daugiafunkcė ekstremalaus bėgimo (OCR) treniruočių aikštelė Klaipėdoje  
</t>
        </r>
      </text>
    </comment>
    <comment ref="L86" authorId="1" shapeId="0">
      <text>
        <r>
          <rPr>
            <sz val="9"/>
            <color indexed="81"/>
            <rFont val="Tahoma"/>
            <family val="2"/>
            <charset val="186"/>
          </rPr>
          <t>Mitologinės ir poilsinės žaidimų erdvės "Baltų saulės parkas" pagal gyventojų iniciatyvą įrengimas Tauralaukyjė</t>
        </r>
      </text>
    </comment>
    <comment ref="K88" authorId="1" shapeId="0">
      <text>
        <r>
          <rPr>
            <sz val="9"/>
            <color indexed="81"/>
            <rFont val="Tahoma"/>
            <family val="2"/>
            <charset val="186"/>
          </rPr>
          <t>Vieša laisvalaikio erdvė dideliems ir mažiems</t>
        </r>
        <r>
          <rPr>
            <b/>
            <sz val="9"/>
            <color indexed="81"/>
            <rFont val="Tahoma"/>
            <family val="2"/>
            <charset val="186"/>
          </rPr>
          <t xml:space="preserve"> Smeltės mikrorajone</t>
        </r>
        <r>
          <rPr>
            <sz val="9"/>
            <color indexed="81"/>
            <rFont val="Tahoma"/>
            <family val="2"/>
            <charset val="186"/>
          </rPr>
          <t xml:space="preserve">
</t>
        </r>
      </text>
    </comment>
    <comment ref="K89" authorId="1" shapeId="0">
      <text>
        <r>
          <rPr>
            <sz val="9"/>
            <color indexed="81"/>
            <rFont val="Tahoma"/>
            <family val="2"/>
            <charset val="186"/>
          </rPr>
          <t>Mitologinės ir poilsinės žaidimų erdvės "Baltų saulės parkas" Tauralaukyje</t>
        </r>
      </text>
    </comment>
    <comment ref="E91" authorId="4" shapeId="0">
      <text>
        <r>
          <rPr>
            <sz val="9"/>
            <color indexed="81"/>
            <rFont val="Tahoma"/>
            <family val="2"/>
            <charset val="186"/>
          </rPr>
          <t>P-3.2.2.5.</t>
        </r>
      </text>
    </comment>
    <comment ref="K91" authorId="4" shapeId="0">
      <text>
        <r>
          <rPr>
            <sz val="9"/>
            <color indexed="81"/>
            <rFont val="Tahoma"/>
            <family val="2"/>
            <charset val="186"/>
          </rPr>
          <t xml:space="preserve">Giruliuose </t>
        </r>
      </text>
    </comment>
    <comment ref="L91" authorId="4" shapeId="0">
      <text>
        <r>
          <rPr>
            <sz val="9"/>
            <color indexed="81"/>
            <rFont val="Tahoma"/>
            <family val="2"/>
            <charset val="186"/>
          </rPr>
          <t>Paupiuose</t>
        </r>
      </text>
    </comment>
    <comment ref="E92" authorId="4" shapeId="0">
      <text>
        <r>
          <rPr>
            <sz val="9"/>
            <color indexed="81"/>
            <rFont val="Tahoma"/>
            <family val="2"/>
            <charset val="186"/>
          </rPr>
          <t>P-1.2.1.5.</t>
        </r>
      </text>
    </comment>
    <comment ref="E94" authorId="4" shapeId="0">
      <text>
        <r>
          <rPr>
            <sz val="9"/>
            <color indexed="81"/>
            <rFont val="Tahoma"/>
            <family val="2"/>
            <charset val="186"/>
          </rPr>
          <t>P-1.2.1.5.</t>
        </r>
      </text>
    </comment>
    <comment ref="E95" authorId="3" shapeId="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K101" authorId="4" shapeId="0">
      <text>
        <r>
          <rPr>
            <sz val="9"/>
            <color indexed="81"/>
            <rFont val="Tahoma"/>
            <family val="2"/>
            <charset val="186"/>
          </rPr>
          <t xml:space="preserve">1. Persiregimo kabinos, 5 vnt., 7562,5 Eur, 
2. Saulės baterija mobiliai gelbėjimo stočiai, 1 vnt., 3396,65 Eur; 
3. Mediniai suolai, 20 vnt., 2299 Eur; 
4. Suolai paplūdimių prieigose, 18 vnt., 5760 Eur.
</t>
        </r>
      </text>
    </comment>
    <comment ref="L101" authorId="4" shapeId="0">
      <text>
        <r>
          <rPr>
            <sz val="9"/>
            <color indexed="81"/>
            <rFont val="Tahoma"/>
            <family val="2"/>
            <charset val="186"/>
          </rPr>
          <t>1. Persirengimo kabinos, 10 vnt., 15125 EUR;
 2. Saulės baterijos, 3 vnt., 10189,95 EUR;
 3. Suolai paplūdimių prieigose, 40 vnt., 12800EUR.</t>
        </r>
      </text>
    </comment>
    <comment ref="M101" authorId="4" shapeId="0">
      <text>
        <r>
          <rPr>
            <sz val="9"/>
            <color indexed="81"/>
            <rFont val="Tahoma"/>
            <family val="2"/>
            <charset val="186"/>
          </rPr>
          <t>1. Persirengimo kabinos, 10 vnt., 15125 EUR, 
2. Saulės baterijos, 4 vnt., 13586,60 EUR; 
3. Suolai paplūdimių prieigose, 40 vnt. 12800EUR; 
4. Mediniai suolai, 20 vnt., 2299 EUR.</t>
        </r>
      </text>
    </comment>
    <comment ref="K102" authorId="4" shapeId="0">
      <text>
        <r>
          <rPr>
            <sz val="9"/>
            <color indexed="81"/>
            <rFont val="Tahoma"/>
            <family val="2"/>
            <charset val="186"/>
          </rPr>
          <t>1. Elektros įvedimas Smiltynės g. 15B, Klaipėda, 8959,32 EUR; 
2. I-osios Melnragės apžvalgos aikštelės remontas, 8950 EUR; 
3-8. Stebėjimo bokštelių apatinės dalies remontas, 6 vnt., 12414,6 EUR</t>
        </r>
      </text>
    </comment>
    <comment ref="L102" authorId="4" shapeId="0">
      <text>
        <r>
          <rPr>
            <sz val="9"/>
            <color indexed="81"/>
            <rFont val="Tahoma"/>
            <family val="2"/>
            <charset val="186"/>
          </rPr>
          <t>Administracinio pastato, Garažų g. 6, remontas</t>
        </r>
      </text>
    </comment>
    <comment ref="M102" authorId="4" shapeId="0">
      <text>
        <r>
          <rPr>
            <sz val="9"/>
            <color indexed="81"/>
            <rFont val="Tahoma"/>
            <family val="2"/>
            <charset val="186"/>
          </rPr>
          <t>Smiltynės g. 15B, Klaipėda, 63000 EUR.</t>
        </r>
      </text>
    </comment>
    <comment ref="K104" authorId="4" shapeId="0">
      <text>
        <r>
          <rPr>
            <sz val="9"/>
            <color indexed="81"/>
            <rFont val="Tahoma"/>
            <family val="2"/>
            <charset val="186"/>
          </rPr>
          <t>1. Keturrratis gelbėjimo darbams, 1 vnt., 15490 Eur.
2. Frontalinis krautuvas 1 vnt. 16940 Eur.</t>
        </r>
      </text>
    </comment>
    <comment ref="L104" authorId="4" shapeId="0">
      <text>
        <r>
          <rPr>
            <sz val="9"/>
            <color indexed="81"/>
            <rFont val="Tahoma"/>
            <family val="2"/>
            <charset val="186"/>
          </rPr>
          <t>Vandens motociklas gelbėjimo darbams, 1 vnt., 17000 EUR.</t>
        </r>
      </text>
    </comment>
    <comment ref="M104" authorId="4" shapeId="0">
      <text>
        <r>
          <rPr>
            <sz val="9"/>
            <color indexed="81"/>
            <rFont val="Tahoma"/>
            <family val="2"/>
            <charset val="186"/>
          </rPr>
          <t>Frontalinis krautuvas 15,7 tūkst. Eur</t>
        </r>
      </text>
    </comment>
    <comment ref="E105" authorId="2" shapeId="0">
      <text>
        <r>
          <rPr>
            <b/>
            <sz val="9"/>
            <color indexed="81"/>
            <rFont val="Tahoma"/>
            <family val="2"/>
            <charset val="186"/>
          </rPr>
          <t xml:space="preserve">P1, </t>
        </r>
        <r>
          <rPr>
            <sz val="9"/>
            <color indexed="81"/>
            <rFont val="Tahoma"/>
            <family val="2"/>
            <charset val="186"/>
          </rPr>
          <t>2.3. Municipalinio (vidaus vandenų) uosto atkūrimas Klaipėdoje</t>
        </r>
      </text>
    </comment>
    <comment ref="E106" authorId="3" shapeId="0">
      <text>
        <r>
          <rPr>
            <b/>
            <sz val="9"/>
            <color indexed="81"/>
            <rFont val="Tahoma"/>
            <family val="2"/>
            <charset val="186"/>
          </rPr>
          <t>KEPS 4.5.1.</t>
        </r>
        <r>
          <rPr>
            <sz val="9"/>
            <color indexed="81"/>
            <rFont val="Tahoma"/>
            <family val="2"/>
            <charset val="186"/>
          </rPr>
          <t xml:space="preserve"> Išvalyti Danės upę, pastatyti ir išplėtoti mažus uostelius.</t>
        </r>
      </text>
    </comment>
    <comment ref="E108" authorId="2" shapeId="0">
      <text>
        <r>
          <rPr>
            <sz val="9"/>
            <color indexed="81"/>
            <rFont val="Tahoma"/>
            <family val="2"/>
            <charset val="186"/>
          </rPr>
          <t>P-1.2.3.1</t>
        </r>
      </text>
    </comment>
    <comment ref="J109" authorId="2" shapeId="0">
      <text>
        <r>
          <rPr>
            <sz val="9"/>
            <color indexed="81"/>
            <rFont val="Tahoma"/>
            <family val="2"/>
            <charset val="186"/>
          </rPr>
          <t>Viešieji tualetai: Stovyklų g. 4 –21,79 m2; Kopų g. 1A (I Melnragė) – 87,25 m2;</t>
        </r>
      </text>
    </comment>
    <comment ref="J114" authorId="1" shapeId="0">
      <text>
        <r>
          <rPr>
            <sz val="9"/>
            <color indexed="81"/>
            <rFont val="Tahoma"/>
            <family val="2"/>
            <charset val="186"/>
          </rPr>
          <t>Pėsčiųjų-dviračių tako ir tako priklausinių - atraminių betoninių sienučių prie Girulių centrinio paplūdimio remontas ir aplinkos tvarkymo darbai</t>
        </r>
      </text>
    </comment>
    <comment ref="E115" authorId="2" shapeId="0">
      <text>
        <r>
          <rPr>
            <sz val="9"/>
            <color indexed="81"/>
            <rFont val="Tahoma"/>
            <family val="2"/>
            <charset val="186"/>
          </rPr>
          <t xml:space="preserve">P-1.2.1.1., 1.2.1.2., 1.2.1.5.
</t>
        </r>
      </text>
    </comment>
    <comment ref="J115" authorId="1" shapeId="0">
      <text>
        <r>
          <rPr>
            <sz val="9"/>
            <color indexed="81"/>
            <rFont val="Tahoma"/>
            <family val="2"/>
            <charset val="186"/>
          </rPr>
          <t>Pėsčiųjų-dviračių tako ir tako priklausinių - atraminių betoninių sienučių prie Smiltynės gelbėjimo stoties remontas ir aplinkos tvarkymo darbai.</t>
        </r>
      </text>
    </comment>
    <comment ref="J126" authorId="1" shapeId="0">
      <text>
        <r>
          <rPr>
            <sz val="9"/>
            <color indexed="81"/>
            <rFont val="Tahoma"/>
            <family val="2"/>
            <charset val="186"/>
          </rPr>
          <t>2020 m. techninis projektas</t>
        </r>
        <r>
          <rPr>
            <sz val="9"/>
            <color indexed="81"/>
            <rFont val="Tahoma"/>
            <family val="2"/>
            <charset val="186"/>
          </rPr>
          <t xml:space="preserve">
</t>
        </r>
      </text>
    </comment>
    <comment ref="K128" authorId="4" shapeId="0">
      <text>
        <r>
          <rPr>
            <sz val="9"/>
            <color indexed="81"/>
            <rFont val="Tahoma"/>
            <family val="2"/>
            <charset val="186"/>
          </rPr>
          <t>Tualetas Danės krantinėje</t>
        </r>
      </text>
    </comment>
    <comment ref="K130" authorId="4" shapeId="0">
      <text>
        <r>
          <rPr>
            <sz val="9"/>
            <color indexed="81"/>
            <rFont val="Tahoma"/>
            <family val="2"/>
            <charset val="186"/>
          </rPr>
          <t>Smiltynės g. 14A gręžinio  ir vandentiekio bei elektros tinklų pravedimo tarp Smiltynės g. 14A ir Smiltynės g. 14B. projektavimas</t>
        </r>
      </text>
    </comment>
    <comment ref="L131" authorId="4" shapeId="0">
      <text>
        <r>
          <rPr>
            <sz val="9"/>
            <color indexed="81"/>
            <rFont val="Tahoma"/>
            <family val="2"/>
            <charset val="186"/>
          </rPr>
          <t>Smiltynės g. 14A ir Smiltynės g. 14B</t>
        </r>
      </text>
    </comment>
    <comment ref="E141" authorId="0" shapeId="0">
      <text>
        <r>
          <rPr>
            <sz val="9"/>
            <color indexed="81"/>
            <rFont val="Tahoma"/>
            <family val="2"/>
            <charset val="186"/>
          </rPr>
          <t>P-3.2.1.1.</t>
        </r>
      </text>
    </comment>
    <comment ref="K141" authorId="1" shapeId="0">
      <text>
        <r>
          <rPr>
            <sz val="9"/>
            <color indexed="81"/>
            <rFont val="Tahoma"/>
            <family val="2"/>
            <charset val="186"/>
          </rPr>
          <t>Stringa techninės specifikacijos rengimas dviračių stovų įrengimo ir pastatymo bei kanalizacijos liukų dangčių pirkimui, nes nėra dviračių stovų ir liukų sprendinių.</t>
        </r>
        <r>
          <rPr>
            <sz val="9"/>
            <color indexed="81"/>
            <rFont val="Tahoma"/>
            <family val="2"/>
            <charset val="186"/>
          </rPr>
          <t xml:space="preserve">
</t>
        </r>
      </text>
    </comment>
    <comment ref="E143" authorId="2" shapeId="0">
      <text>
        <r>
          <rPr>
            <b/>
            <sz val="9"/>
            <color indexed="81"/>
            <rFont val="Tahoma"/>
            <family val="2"/>
            <charset val="186"/>
          </rPr>
          <t>Klaipėdos miesto savivaldybės 2019–2023 m. veiklos prioritetai (P1)
P1, 3.3.</t>
        </r>
        <r>
          <rPr>
            <sz val="9"/>
            <color indexed="81"/>
            <rFont val="Tahoma"/>
            <family val="2"/>
            <charset val="186"/>
          </rPr>
          <t xml:space="preserve"> Klaipėdos miesto integruotos teritorijų programos įgyvendinimas
</t>
        </r>
        <r>
          <rPr>
            <b/>
            <sz val="9"/>
            <color indexed="81"/>
            <rFont val="Tahoma"/>
            <family val="2"/>
            <charset val="186"/>
          </rPr>
          <t xml:space="preserve">P1, 3.5. </t>
        </r>
        <r>
          <rPr>
            <sz val="9"/>
            <color indexed="81"/>
            <rFont val="Tahoma"/>
            <family val="2"/>
            <charset val="186"/>
          </rPr>
          <t>Viešųjų erdvių ir pastatų pritaikymas pagal universalaus dizaino principus</t>
        </r>
      </text>
    </comment>
    <comment ref="E144" authorId="2" shapeId="0">
      <text>
        <r>
          <rPr>
            <b/>
            <sz val="9"/>
            <color indexed="81"/>
            <rFont val="Tahoma"/>
            <family val="2"/>
            <charset val="186"/>
          </rPr>
          <t>KEPS 2030 metų (P6)</t>
        </r>
        <r>
          <rPr>
            <sz val="9"/>
            <color indexed="81"/>
            <rFont val="Tahoma"/>
            <family val="2"/>
            <charset val="186"/>
          </rPr>
          <t xml:space="preserve">
P6 3.1.13. Vystyti viešųjų erdvių gerinimo programas ir lokalius urbanistinės struktūros atgaivinimo projektus  </t>
        </r>
      </text>
    </comment>
    <comment ref="E149" authorId="4" shapeId="0">
      <text>
        <r>
          <rPr>
            <sz val="9"/>
            <color indexed="81"/>
            <rFont val="Tahoma"/>
            <family val="2"/>
            <charset val="186"/>
          </rPr>
          <t>P-3.3.2.4.</t>
        </r>
      </text>
    </comment>
    <comment ref="E151" authorId="4" shapeId="0">
      <text>
        <r>
          <rPr>
            <sz val="9"/>
            <color indexed="81"/>
            <rFont val="Tahoma"/>
            <family val="2"/>
            <charset val="186"/>
          </rPr>
          <t>P-3.3.2.4.</t>
        </r>
      </text>
    </comment>
    <comment ref="K155" authorId="4" shapeId="0">
      <text>
        <r>
          <rPr>
            <sz val="9"/>
            <color indexed="81"/>
            <rFont val="Tahoma"/>
            <family val="2"/>
            <charset val="186"/>
          </rPr>
          <t xml:space="preserve">1. Takai nuo I. Simonaitytės g. 6 iki 22 (550 m.)
2. Takas nuo Markučių g. 5 iki Vingio g. (220 m.)
3. Arimų g. (750 m.)
4. Takas nuo Paryžiaus Komunos g. 27 iki Šilutės pl. 2A (150 m.)
5. Takas nuo Baltijos per. 45 palei Baltijos gimnaziją (230 m.)
6. Takas nuo Simonaitytės kalno iki Aukuro gimnazijos (250 m.)
7. Laistų 1-oji,2-oji,3-oji g. (1200 m.)
8. Smilgų g. (150 m.)
9. Smilčių g. (250 m.)
</t>
        </r>
      </text>
    </comment>
    <comment ref="E156" authorId="4" shapeId="0">
      <text>
        <r>
          <rPr>
            <sz val="9"/>
            <color indexed="81"/>
            <rFont val="Tahoma"/>
            <family val="2"/>
            <charset val="186"/>
          </rPr>
          <t>P-3.3.2.4.</t>
        </r>
      </text>
    </comment>
    <comment ref="K156" authorId="4" shapeId="0">
      <text>
        <r>
          <rPr>
            <sz val="9"/>
            <color indexed="81"/>
            <rFont val="Tahoma"/>
            <family val="2"/>
            <charset val="186"/>
          </rPr>
          <t xml:space="preserve">1. Kadetų mokykla (Naikupės g. 25) (1646 m.)
2. Takas tarp Baltijos pr. 55 ir Baltijos pr. 63 (166 m.)
3. Vyturio g. nuo Laukininkų g. 11 iki Vyturio g. 23 (238 m.)
4. Pravažiavimas nuo Dauknato g. 13A iki Pievų tako g. 8 (234 m.)
</t>
        </r>
      </text>
    </comment>
    <comment ref="L156" authorId="4" shapeId="0">
      <text>
        <r>
          <rPr>
            <sz val="9"/>
            <color indexed="81"/>
            <rFont val="Tahoma"/>
            <family val="2"/>
            <charset val="186"/>
          </rPr>
          <t xml:space="preserve">1. Nėgių g. (311 m.)
2. Žiobrių g. (177 m.)
3. Takai nuo I. Simonaitytės g. 6 iki 22 (550 m.)
4. Takas nuo Simonaitytės kalno iki Aukuro gimnazijos (250 m.)
</t>
        </r>
      </text>
    </comment>
    <comment ref="M156" authorId="4" shapeId="0">
      <text>
        <r>
          <rPr>
            <sz val="9"/>
            <color indexed="81"/>
            <rFont val="Tahoma"/>
            <family val="2"/>
            <charset val="186"/>
          </rPr>
          <t xml:space="preserve">1. Takas nuo Markučių g. 5 iki Vingio g. (220 m.)
2. Arimų g.
3. Takas nuo Paryžiaus Komunos g. 27 iki Šilutės pl. 2A (150 m.)
4. Takas nuo Baltijos pr. 45 palei Baltijos gimnaziją (230 m.)
5. Laistų 1-oji, 2-oji, 3-oji g. (1200 m.)
</t>
        </r>
      </text>
    </comment>
    <comment ref="E157" authorId="4" shapeId="0">
      <text>
        <r>
          <rPr>
            <sz val="9"/>
            <color indexed="81"/>
            <rFont val="Tahoma"/>
            <family val="2"/>
            <charset val="186"/>
          </rPr>
          <t>P-3.3.2.4.</t>
        </r>
      </text>
    </comment>
    <comment ref="E166" authorId="4" shapeId="0">
      <text>
        <r>
          <rPr>
            <sz val="9"/>
            <color indexed="81"/>
            <rFont val="Tahoma"/>
            <family val="2"/>
            <charset val="186"/>
          </rPr>
          <t>P-3.2.2.6.</t>
        </r>
      </text>
    </comment>
    <comment ref="K176" authorId="1" shapeId="0">
      <text>
        <r>
          <rPr>
            <sz val="9"/>
            <color indexed="81"/>
            <rFont val="Tahoma"/>
            <family val="2"/>
            <charset val="186"/>
          </rPr>
          <t>Bus keičiami 2 vartai ir 3 varteliai</t>
        </r>
      </text>
    </comment>
    <comment ref="L176" authorId="1" shapeId="0">
      <text>
        <r>
          <rPr>
            <sz val="9"/>
            <color indexed="81"/>
            <rFont val="Tahoma"/>
            <family val="2"/>
            <charset val="186"/>
          </rPr>
          <t>Bus keičiami 2 vartai ir 3 varteliai</t>
        </r>
      </text>
    </comment>
    <comment ref="E177" authorId="4" shapeId="0">
      <text>
        <r>
          <rPr>
            <sz val="9"/>
            <color indexed="81"/>
            <rFont val="Tahoma"/>
            <family val="2"/>
            <charset val="186"/>
          </rPr>
          <t>P-3.2.2.6.</t>
        </r>
      </text>
    </comment>
    <comment ref="E190"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E191" authorId="4" shapeId="0">
      <text>
        <r>
          <rPr>
            <sz val="9"/>
            <color indexed="81"/>
            <rFont val="Tahoma"/>
            <family val="2"/>
            <charset val="186"/>
          </rPr>
          <t>P-3.2.2.1.; 3.3.2.4.</t>
        </r>
      </text>
    </comment>
    <comment ref="E203" authorId="4" shapeId="0">
      <text>
        <r>
          <rPr>
            <sz val="9"/>
            <color indexed="81"/>
            <rFont val="Tahoma"/>
            <family val="2"/>
            <charset val="186"/>
          </rPr>
          <t>P-3.2.2.1.;</t>
        </r>
      </text>
    </comment>
    <comment ref="K203" authorId="4" shapeId="0">
      <text>
        <r>
          <rPr>
            <sz val="9"/>
            <color indexed="81"/>
            <rFont val="Tahoma"/>
            <family val="2"/>
            <charset val="186"/>
          </rPr>
          <t>Naujakiemio g. 15</t>
        </r>
      </text>
    </comment>
    <comment ref="L204" authorId="4" shapeId="0">
      <text>
        <r>
          <rPr>
            <sz val="9"/>
            <color indexed="81"/>
            <rFont val="Tahoma"/>
            <family val="2"/>
            <charset val="186"/>
          </rPr>
          <t>Naujakiemio g. 15</t>
        </r>
      </text>
    </comment>
    <comment ref="E205"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J205" authorId="4" shapeId="0">
      <text>
        <r>
          <rPr>
            <sz val="9"/>
            <color indexed="81"/>
            <rFont val="Tahoma"/>
            <family val="2"/>
            <charset val="186"/>
          </rPr>
          <t>Naujiems šaukimams gyventojų prisidėjimui prie kiemų gerinimo</t>
        </r>
      </text>
    </comment>
    <comment ref="L205" authorId="4" shapeId="0">
      <text>
        <r>
          <rPr>
            <sz val="9"/>
            <color indexed="81"/>
            <rFont val="Tahoma"/>
            <family val="2"/>
            <charset val="186"/>
          </rPr>
          <t>Preliminariai 2024 bus parengtas 1 naujas projektas ir pradėta dalis darbų</t>
        </r>
      </text>
    </comment>
    <comment ref="E210" authorId="4" shapeId="0">
      <text>
        <r>
          <rPr>
            <sz val="9"/>
            <color indexed="81"/>
            <rFont val="Tahoma"/>
            <family val="2"/>
            <charset val="186"/>
          </rPr>
          <t>P-2.4.2.; 3.2.2.5.</t>
        </r>
      </text>
    </comment>
    <comment ref="J214" authorId="1" shapeId="0">
      <text>
        <r>
          <rPr>
            <sz val="9"/>
            <color indexed="81"/>
            <rFont val="Tahoma"/>
            <family val="2"/>
            <charset val="186"/>
          </rPr>
          <t>(146 000 m²)</t>
        </r>
        <r>
          <rPr>
            <sz val="9"/>
            <color indexed="81"/>
            <rFont val="Tahoma"/>
            <family val="2"/>
            <charset val="186"/>
          </rPr>
          <t xml:space="preserve">
</t>
        </r>
      </text>
    </comment>
    <comment ref="K214" authorId="1" shapeId="0">
      <text>
        <r>
          <rPr>
            <sz val="9"/>
            <color indexed="81"/>
            <rFont val="Tahoma"/>
            <family val="2"/>
            <charset val="186"/>
          </rPr>
          <t>Projekto galutinės paraiškos pateikimas atidėtas iki 2023-01-31. Derinamos tinkamų ir netinkamų finansuoti darbų apimtys, tikslinamas atliktų darbų apmokėjimas ES lėšomis, pasikeitus projekto intensyvumui bei dėl  ESO neatliktų darbų dalies buvo sustabdyti rangos darbai. Taip pat lieka neapmokėta (sulaikyta) rangos darbų dalis iki bus gautas statybos užbaigimo dokumentas.</t>
        </r>
      </text>
    </comment>
    <comment ref="E215" authorId="0" shapeId="0">
      <text>
        <r>
          <rPr>
            <sz val="9"/>
            <color indexed="81"/>
            <rFont val="Tahoma"/>
            <family val="2"/>
            <charset val="186"/>
          </rPr>
          <t>P-3.2.2.1.</t>
        </r>
      </text>
    </comment>
    <comment ref="E216" authorId="2" shapeId="0">
      <text>
        <r>
          <rPr>
            <b/>
            <sz val="9"/>
            <color indexed="81"/>
            <rFont val="Tahoma"/>
            <family val="2"/>
            <charset val="186"/>
          </rPr>
          <t>P1, 3.4.</t>
        </r>
        <r>
          <rPr>
            <sz val="9"/>
            <color indexed="81"/>
            <rFont val="Tahoma"/>
            <family val="2"/>
            <charset val="186"/>
          </rPr>
          <t xml:space="preserve"> Daugiabučių namų kvartalinės renovacijos skatinimas;</t>
        </r>
      </text>
    </comment>
    <comment ref="E219" authorId="4" shapeId="0">
      <text>
        <r>
          <rPr>
            <sz val="9"/>
            <color indexed="81"/>
            <rFont val="Tahoma"/>
            <family val="2"/>
            <charset val="186"/>
          </rPr>
          <t>P-2.4.3.5.</t>
        </r>
      </text>
    </comment>
    <comment ref="K219" authorId="4" shapeId="0">
      <text>
        <r>
          <rPr>
            <sz val="9"/>
            <color indexed="81"/>
            <rFont val="Tahoma"/>
            <family val="2"/>
            <charset val="186"/>
          </rPr>
          <t xml:space="preserve">01 Projekto „Saugus kaimynas – saugus aš“ įgyvendinimas kartu su Klaipėdos apskrities vyriausiuoju policijos komisariatu
02 Gaisrų prevencijos projekto „Gyvenkime saugiai“ įgyvendinimas kartu su Klaipėdos apskrities priešgaisrine gelbėjimo valdyba
03 Prevencinio projekto „Būk pilietiškas, būk saugus“ įgyvendinimas kartu su Klaipėdos apskrities vyriausiuoju policijos komisariatu 
04 Prevencinio projekto „Stebima Klaipėda saugesnė“ įgyvendinimas kartu su Klaipėdos apskrities vyriausiuoju policijos komisariatu 
05 Prevencinio projekto „Policijos rėmėjas – aktyvus pagalbininkas kuriant saugesnę Lietuvą!“ įgyvendinimas kartu su Klaipėdos apskrities vyriausiuoju policijos komisariatu 
06 Prevencinio projekto „Saugi kaiminystė – kelias į saugesnę visuomenę“ įgyvendinimas kartu su Klaipėdos apskrities vyriausiuoju policijos komisariatu 
07 Projekto „Vaikų saugumas – svarbiausia“ įgyvendinimas kartu su Klaipėdos apskrities vyriausiuoju policijos komisariatu
</t>
        </r>
      </text>
    </comment>
    <comment ref="L219" authorId="4" shapeId="0">
      <text>
        <r>
          <rPr>
            <sz val="9"/>
            <color indexed="81"/>
            <rFont val="Tahoma"/>
            <family val="2"/>
            <charset val="186"/>
          </rPr>
          <t xml:space="preserve">1 Projekto „Saugus kaimynas – saugus aš“ įgyvendinimas kartu su Klaipėdos apskrities vyriausiuoju policijos komisariatu
2 Gaisrų prevencijos projekto „Gyvenkime saugiai“ įgyvendinimas kartu su Klaipėdos apskrities priešgaisrine gelbėjimo valdyba
3 Prevencinio projekto „Būk pilietiškas, būk saugus“ įgyvendinimas kartu su Klaipėdos apskrities vyriausiuoju policijos komisariatu 
4 Prevencinio projekto „Stebima Klaipėda saugesnė“ įgyvendinimas kartu su Klaipėdos apskrities vyriausiuoju policijos komisariatu 
5 Prevencinio projekto „Policijos rėmėjas – aktyvus pagalbininkas kuriant saugesnę Lietuvą!“ įgyvendinimas kartu su Klaipėdos apskrities vyriausiuoju policijos komisariatu 
6 Prevencinio projekto „Saugi kaimynystė – kelias į saugesnę visuomenę“ įgyvendinimas kartu su Klaipėdos apskrities vyriausiuoju policijos komisariatu 
7 Gaisrų prevencijos projekto „Virtuvės pavojai“ įgyvendinimas kartu su Klaipėdos apskrities priešgaisrine gelbėjimo valdyba
8 Gaisrų prevencijos projekto „Būk saugus mokiny“ įgyvendinimas kartu su Klaipėdos apskrities priešgaisrine gelbėjimo valdyba
9 Projekto „Saugus eismas - saugus tu“ įgyvendinimas kartu su Klaipėdos apskrities vyriausiuoju policijos komisariatu
</t>
        </r>
      </text>
    </comment>
    <comment ref="M219" authorId="4" shapeId="0">
      <text>
        <r>
          <rPr>
            <sz val="9"/>
            <color indexed="81"/>
            <rFont val="Tahoma"/>
            <family val="2"/>
            <charset val="186"/>
          </rPr>
          <t xml:space="preserve">1 Gaisrų prevencijos projekto „Gyvenkime saugiai“ įgyvendinimas kartu su Klaipėdos apskrities priešgaisrine gelbėjimo valdyba
2 Prevencinio projekto „Stebima Klaipėda saugesnė“ įgyvendinimas kartu su Klaipėdos apskrities vyriausiuoju policijos komisariatu 
3 Prevencinio projekto „Policijos rėmėjas – aktyvus pagalbininkas kuriant saugesnę Lietuvą!“ įgyvendinimas kartu su Klaipėdos apskrities vyriausiuoju policijos komisariatu 
4  Projekto „Saugus eismas - saugus tu“ įgyvendinimas kartu su Klaipėdos apskrities vyriausiuoju policijos komisariatu
</t>
        </r>
      </text>
    </comment>
    <comment ref="K226" authorId="4" shapeId="0">
      <text>
        <r>
          <rPr>
            <sz val="9"/>
            <color indexed="81"/>
            <rFont val="Tahoma"/>
            <family val="2"/>
            <charset val="186"/>
          </rPr>
          <t>1. PAVIRŠINIŲ NUOTEKŲ KOLEKTORIAUS ŠVYTURIOG. TĘSINYJE IR AB „KLAIPĖDOS JŪRŲKROVINIŲ KOMPANIJA“ TERITORIJOJE 576,0 tūkst. Eur.
2. Sprotininkų g. 19-19A, Švyturio g. 14-18 paviršinių nuotekų tinklų rekonstukcijos projektavimas 20,0 tūkst. Eur.</t>
        </r>
      </text>
    </comment>
    <comment ref="E227" authorId="1" shapeId="0">
      <text>
        <r>
          <rPr>
            <sz val="9"/>
            <color indexed="81"/>
            <rFont val="Tahoma"/>
            <family val="2"/>
            <charset val="186"/>
          </rPr>
          <t>P-3.3.3.4.</t>
        </r>
      </text>
    </comment>
    <comment ref="E229" authorId="1" shapeId="0">
      <text>
        <r>
          <rPr>
            <sz val="9"/>
            <color indexed="81"/>
            <rFont val="Tahoma"/>
            <family val="2"/>
            <charset val="186"/>
          </rPr>
          <t>P-3.2.2.7</t>
        </r>
      </text>
    </comment>
    <comment ref="E230" authorId="0" shapeId="0">
      <text>
        <r>
          <rPr>
            <sz val="9"/>
            <color indexed="81"/>
            <rFont val="Tahoma"/>
            <family val="2"/>
            <charset val="186"/>
          </rPr>
          <t>P-3.2.1.4.</t>
        </r>
      </text>
    </comment>
  </commentList>
</comments>
</file>

<file path=xl/sharedStrings.xml><?xml version="1.0" encoding="utf-8"?>
<sst xmlns="http://schemas.openxmlformats.org/spreadsheetml/2006/main" count="1271" uniqueCount="366">
  <si>
    <t>Uždavinio kodas</t>
  </si>
  <si>
    <t>Priemonės kodas</t>
  </si>
  <si>
    <t>Finansavimo šaltinis</t>
  </si>
  <si>
    <t>01</t>
  </si>
  <si>
    <t>Iš viso:</t>
  </si>
  <si>
    <t>02</t>
  </si>
  <si>
    <t>Iš viso uždaviniui:</t>
  </si>
  <si>
    <t>Iš viso tikslui:</t>
  </si>
  <si>
    <t>Finansavimo šaltiniai</t>
  </si>
  <si>
    <t>Produkto kriterijaus</t>
  </si>
  <si>
    <t>Pavadinimas</t>
  </si>
  <si>
    <t>Finansavimo šaltinių suvestinė</t>
  </si>
  <si>
    <t>SAVIVALDYBĖS  LĖŠOS, IŠ VISO:</t>
  </si>
  <si>
    <t>KITI ŠALTINIAI, IŠ VISO:</t>
  </si>
  <si>
    <t>IŠ VISO:</t>
  </si>
  <si>
    <t>Veiklos plano tikslo kodas</t>
  </si>
  <si>
    <r>
      <t xml:space="preserve">Savivaldybės biudžeto lėšos </t>
    </r>
    <r>
      <rPr>
        <b/>
        <sz val="10"/>
        <rFont val="Times New Roman"/>
        <family val="1"/>
        <charset val="186"/>
      </rPr>
      <t>SB</t>
    </r>
  </si>
  <si>
    <r>
      <t xml:space="preserve">Specialiosios programos lėšos (pajamos už atsitiktines paslaugas) </t>
    </r>
    <r>
      <rPr>
        <b/>
        <sz val="10"/>
        <rFont val="Times New Roman"/>
        <family val="1"/>
        <charset val="186"/>
      </rPr>
      <t>SB(SP)</t>
    </r>
  </si>
  <si>
    <r>
      <t xml:space="preserve">Kiti finansavimo šaltiniai </t>
    </r>
    <r>
      <rPr>
        <b/>
        <sz val="10"/>
        <rFont val="Times New Roman"/>
        <family val="1"/>
        <charset val="186"/>
      </rPr>
      <t>Kt</t>
    </r>
  </si>
  <si>
    <t>SB</t>
  </si>
  <si>
    <t>MIESTO INFRASTRUKTŪROS OBJEKTŲ PRIEŽIŪROS IR MODERNIZAVIMO PROGRAMOS (NR. 07)</t>
  </si>
  <si>
    <t>03</t>
  </si>
  <si>
    <t>06</t>
  </si>
  <si>
    <t>08</t>
  </si>
  <si>
    <t>Fontanų priežiūra, remontas ir atnaujinimas</t>
  </si>
  <si>
    <t>Miesto viešų teritorijų inventoriaus priežiūra, įrengimas ir įsigijimas</t>
  </si>
  <si>
    <t>Prižiūrima fontanų, vnt.</t>
  </si>
  <si>
    <t>Įsigyta šiukšliadėžių, vnt.</t>
  </si>
  <si>
    <t>04</t>
  </si>
  <si>
    <t>05</t>
  </si>
  <si>
    <t>07</t>
  </si>
  <si>
    <t>Miesto viešųjų tualetų remontas, priežiūra ir nuoma</t>
  </si>
  <si>
    <t>Nugriauta statinių, vnt.</t>
  </si>
  <si>
    <t>Prižiūrima viešųjų tualetų, vnt.</t>
  </si>
  <si>
    <t>SB(SP)</t>
  </si>
  <si>
    <t>Siekti, kad miesto viešosios erdvės būtų tvarkingos, jaukios ir saugios</t>
  </si>
  <si>
    <t>Užtikrinti laidojimo paslaugų teikimą, miesto kapinių priežiūrą ir poreikius atitinkantį laidojimo vietų skaičių</t>
  </si>
  <si>
    <t>Eksploatuoti, remontuoti ir plėtoti inžinerinio aprūpinimo sistemas</t>
  </si>
  <si>
    <t>07 Miesto infrastruktūros objektų priežiūros ir modernizavimo programa</t>
  </si>
  <si>
    <t>I</t>
  </si>
  <si>
    <t>Mirusių (žuvusių) žmonių palaikų pervežimas iš įvykio vietų, neatpažintų, vienišų ir mirusių, kuriuos artimieji atsisako laidoti, žmonių palaikų laikinas laikymas (saugojimas), palaidojimas savivaldybės lėšomis</t>
  </si>
  <si>
    <t>Miesto viešųjų erdvių ir gatvių apšvietimo užtikrinimas:</t>
  </si>
  <si>
    <t xml:space="preserve">Iš viso  programai: </t>
  </si>
  <si>
    <t xml:space="preserve">Statinių, keliančių pavojų gyvybei ir sveikatai, griovimas </t>
  </si>
  <si>
    <t>SB(L)</t>
  </si>
  <si>
    <r>
      <t xml:space="preserve">Programų lėšų likučių laikinai laisvos lėšos </t>
    </r>
    <r>
      <rPr>
        <b/>
        <sz val="10"/>
        <rFont val="Times New Roman"/>
        <family val="1"/>
        <charset val="186"/>
      </rPr>
      <t>SB(L)</t>
    </r>
  </si>
  <si>
    <t>Strateginis tikslas 02. Kurti mieste patrauklią, švarią ir saugią gyvenamąją aplinką</t>
  </si>
  <si>
    <t>Teikti miesto gyventojams kokybiškas komunalines ir viešųjų erdvių priežiūros paslaugas</t>
  </si>
  <si>
    <t>Pirties paslaugų teikimas Smiltynės paplūdimyje</t>
  </si>
  <si>
    <t>09</t>
  </si>
  <si>
    <r>
      <t xml:space="preserve">Vietinių rinkliavų lėšos </t>
    </r>
    <r>
      <rPr>
        <b/>
        <sz val="10"/>
        <rFont val="Times New Roman"/>
        <family val="1"/>
        <charset val="186"/>
      </rPr>
      <t>SB(VR)</t>
    </r>
  </si>
  <si>
    <t>Savivaldybei priskirtų teritorijų sanitarinis valymas, parkų, skverų, žaliųjų plotų želdinimas ir aplinkotvarka</t>
  </si>
  <si>
    <t>Nuomojama kilnojamųjų tualetų švenčių metu, vnt.</t>
  </si>
  <si>
    <t>Eksploatuojama šviestuvų, tūkst. vnt.</t>
  </si>
  <si>
    <t>Papriemonės kodas</t>
  </si>
  <si>
    <t>Viešosios tvarkos skyrius</t>
  </si>
  <si>
    <t>Laidojimo paslaugų teikimas ir kapinių priežiūros organizavimas:</t>
  </si>
  <si>
    <t>Įsigyta suoliukų, vnt.</t>
  </si>
  <si>
    <t xml:space="preserve">Palaidota mirusiųjų, skaičius </t>
  </si>
  <si>
    <t>BĮ „Klaipėdos paplūdimiai“ veiklos organizavimas</t>
  </si>
  <si>
    <t>SB(SPL)</t>
  </si>
  <si>
    <t xml:space="preserve">Savivaldybės biudžetas, iš jo: </t>
  </si>
  <si>
    <r>
      <t xml:space="preserve">Pajamų įmokų už patalpų nuomą likutis </t>
    </r>
    <r>
      <rPr>
        <b/>
        <sz val="10"/>
        <rFont val="Times New Roman"/>
        <family val="1"/>
        <charset val="186"/>
      </rPr>
      <t>SB(SPL)</t>
    </r>
  </si>
  <si>
    <r>
      <t xml:space="preserve">Valstybės biudžeto specialiosios tikslinės dotacijos lėšos </t>
    </r>
    <r>
      <rPr>
        <b/>
        <sz val="10"/>
        <rFont val="Times New Roman"/>
        <family val="1"/>
        <charset val="186"/>
      </rPr>
      <t>SB(VB)</t>
    </r>
  </si>
  <si>
    <t>Miesto aikščių, skverų ir kitų bendro naudojimo teritorijų atnaujinimas ir priežiūra:</t>
  </si>
  <si>
    <t>Parengtas techninis projektas, vnt.</t>
  </si>
  <si>
    <t>Gatvių ir viešųjų erdvių apšvietimo organizavimo funkcijos įgyvendinimas</t>
  </si>
  <si>
    <t>tūkst. Eur</t>
  </si>
  <si>
    <t xml:space="preserve">Įsigyta gėlinių, vnt. </t>
  </si>
  <si>
    <t xml:space="preserve">Prižiūrima kapinių  (įskaitant senąsias kapinaites), vnt. </t>
  </si>
  <si>
    <t xml:space="preserve"> TIKSLŲ, UŽDAVINIŲ, PRIEMONIŲ, PRIEMONIŲ IŠLAIDŲ IR PRODUKTO KRITERIJŲ DETALI SUVESTINĖ</t>
  </si>
  <si>
    <r>
      <t>Gėlynų atnaujinimas ir įrengimas</t>
    </r>
    <r>
      <rPr>
        <i/>
        <sz val="10"/>
        <rFont val="Times New Roman"/>
        <family val="1"/>
        <charset val="186"/>
      </rPr>
      <t xml:space="preserve"> </t>
    </r>
  </si>
  <si>
    <t>Mėlynosios vėliavos programos koordinavimo paslaugų įsigijimas</t>
  </si>
  <si>
    <t>Beglobių gyvūnų gerovės ir apsaugos priemonių įgyvendinimas (gyvūnų gaudymas, surinkimas, sterilizacija, karantinavimas, eutanazija ir kt.)</t>
  </si>
  <si>
    <t>Prižiūrima konteinerinių tualetų, vnt.</t>
  </si>
  <si>
    <t>Eksploatuojama kamerų, vnt.</t>
  </si>
  <si>
    <t xml:space="preserve">Išvežta mirusiųjų iš įvykio vietos,  skaičius </t>
  </si>
  <si>
    <t xml:space="preserve">Mirusiųjų palaikų laikinas laikymas (saugojimas), skaičius </t>
  </si>
  <si>
    <t xml:space="preserve">47,4 ha Medelyno gyvenamojo rajono infrastruktūros išvystymas. I etapas
</t>
  </si>
  <si>
    <t>Skvero Bokštų gatvėje sutvarkymas</t>
  </si>
  <si>
    <t>Užtikrinti švarą ir tvarką daugiabučių gyvenamųjų namų kvartaluose, skatinti gyventojus renovuoti, prižiūrėti ir saugoti savo turtą</t>
  </si>
  <si>
    <t>Prižiūrima stacionarių tualetų, vnt.</t>
  </si>
  <si>
    <t xml:space="preserve">Daugiabučių namų savininkų bendrijų (DNSB) pirmininkų mokymų organizavimas </t>
  </si>
  <si>
    <t xml:space="preserve">Paimta, sugauta gyvūnų, vnt. </t>
  </si>
  <si>
    <t>Atlikta beglobių kačių sterilizacijų, vnt.</t>
  </si>
  <si>
    <t>Remontuota suoliukų, vnt.</t>
  </si>
  <si>
    <t>Remontuota šiukšliadėžių, vnt.</t>
  </si>
  <si>
    <t>Įgyvendintas projektas, vnt.</t>
  </si>
  <si>
    <t>Organizuota mokymų, vnt.</t>
  </si>
  <si>
    <t>Įrengta apšvietimo infrastruktūros kiemuose, tūkst. m.</t>
  </si>
  <si>
    <t xml:space="preserve">Viešosios erdvės prie buvusio „Vaidilos“ kino teatro konversija </t>
  </si>
  <si>
    <t xml:space="preserve">Atgimimo aikštės sutvarkymas, didinant patrauklumą investicijoms, skatinant lankytojų srautus </t>
  </si>
  <si>
    <t>Kompleksinis tikslinės teritorijos daugiabučių namų kiemų tvarkymas</t>
  </si>
  <si>
    <t>Saugios kaimynystės bendruomenėje projektų įgyvendinimas:</t>
  </si>
  <si>
    <t>Sutvarkyta švietimo įstaigų želdinių, vnt.</t>
  </si>
  <si>
    <t>Viešųjų erdvių (šviesoforų, fontanų, tualetų ir kt.) apšvietimo tinklų ir įrangos eksploatacija</t>
  </si>
  <si>
    <t>10</t>
  </si>
  <si>
    <r>
      <t xml:space="preserve">Kelių priežiūros ir plėtros programos lėšos </t>
    </r>
    <r>
      <rPr>
        <b/>
        <sz val="10"/>
        <rFont val="Times New Roman"/>
        <family val="1"/>
        <charset val="186"/>
      </rPr>
      <t>SB(KPP)</t>
    </r>
  </si>
  <si>
    <t xml:space="preserve">Eksploatuojama informacinė miesto sistema: </t>
  </si>
  <si>
    <t>Įrengta gatvių pavadinimų lentelių ir gatvių krypties nuorodų, vnt.</t>
  </si>
  <si>
    <t>Įsigyta inventoriaus:</t>
  </si>
  <si>
    <t>Atlikta inventoriaus remonto darbų:</t>
  </si>
  <si>
    <t>Suteikta asistento paslauga neįgaliesiems, vnt.</t>
  </si>
  <si>
    <t xml:space="preserve">Prevencinio projekto „Būk pilietiškas, būk saugus“ įgyvendinimas kartu su Klaipėdos apskrities vyriausiuoju policijos komisariatu </t>
  </si>
  <si>
    <t xml:space="preserve">Danės upės krantinių rekonstrukcija ir prieigų (Danės skveras su fontanais) sutvarkymas  </t>
  </si>
  <si>
    <t>Rekonstruota, nutiesta lietaus nuotekų tinklų, m</t>
  </si>
  <si>
    <t>Klaipėdos miesto paviršinių nuotekų tinklų įrengimas, remontas ir rekonstrukcija</t>
  </si>
  <si>
    <t>Savivaldybei priskirtų valyti ir prižiūrėti teritorijų plotas, kv. km</t>
  </si>
  <si>
    <t>Tvarkoma gėlynų ploto, tūkst. m²</t>
  </si>
  <si>
    <t>Viešųjų tualetų paslaugų teikimas Melnragės paplūdimyje ir Klaipėdos poilsio parke</t>
  </si>
  <si>
    <t>Įrengta ir atnaujinta automobilių stovėjimo vietų, vnt.</t>
  </si>
  <si>
    <t xml:space="preserve">Laivų nuleidimo prieplaukos ir saugojimo aikštelės sklype šalia Liepų g. tilto įrengimas </t>
  </si>
  <si>
    <t>20</t>
  </si>
  <si>
    <t>Atlikta įrengimo darbų. Užbaigtumas, proc.</t>
  </si>
  <si>
    <t>Įrengta lietaus nuotekų sistema Joniškės kapinėse. Užbaigtumas, proc.</t>
  </si>
  <si>
    <t>Valdų, kuriose tvarkomi želdiniai, skaičius</t>
  </si>
  <si>
    <t>Parengta techninių projektų, vnt.</t>
  </si>
  <si>
    <t>Apšvietimo projektavimas ir įrengimas</t>
  </si>
  <si>
    <t>Daugiabučių namų kiemų infrastruktūros gerinimo priemonių plano įgyvendinimas</t>
  </si>
  <si>
    <t>SB(VB)</t>
  </si>
  <si>
    <t>SB(ES)</t>
  </si>
  <si>
    <t>Šlaitų stabilizavimo darbų Šiaurės prospekte atlikimas</t>
  </si>
  <si>
    <t xml:space="preserve">Prižiūrima tūrinių ir kitų gėlinių, vnt. </t>
  </si>
  <si>
    <t>P6</t>
  </si>
  <si>
    <t>Automobilių stovėjimo aikštelių projektavimas, įrengimas ir atnaujinimas</t>
  </si>
  <si>
    <t xml:space="preserve">Pėsčiųjų tako sutvarkymas palei Taikos pr. nuo Sausio 15-osios iki Kauno g., paverčiant viešąja erdve, pritaikyta gyventojams bei smulkiajam ir vidutiniam verslui  </t>
  </si>
  <si>
    <t>Įsigyta šviečiančių kalėdinių elementų apšvietimo atramoms, vnt.</t>
  </si>
  <si>
    <t>Pakabinta ir eksploatuojama papuošimo elementų, vnt.</t>
  </si>
  <si>
    <t>Pakabinta ir eksploatuojama šviesos elementų (LED girliandų) fasadams ir medžiams puošti, tūkst. m</t>
  </si>
  <si>
    <t>Retransliuojamo vaizdo stebėjimo kamerų viešosiose vietose eksploatacija</t>
  </si>
  <si>
    <t>Projekto „Saugus kaimynas – saugus aš“ įgyvendinimas kartu su Klaipėdos apskrities vyriausiuoju policijos komisariatu</t>
  </si>
  <si>
    <t>Gaisrų prevencijos projekto „Gyvenkime saugiai“ įgyvendinimas kartu su Klaipėdos apskrities priešgaisrine gelbėjimo valdyba</t>
  </si>
  <si>
    <t xml:space="preserve">Prevencinio projekto „Stebima Klaipėda saugesnė“ įgyvendinimas kartu su Klaipėdos apskrities vyriausiuoju policijos komisariatu </t>
  </si>
  <si>
    <t>Konteinerinių tualetų įrengimas Klaipėdos miesto paplūdimiuose</t>
  </si>
  <si>
    <t>Namų ūkių, kuriems skirtas dalinis finansavimas, skaičius</t>
  </si>
  <si>
    <t xml:space="preserve">Prevencinio projekto „Policijos rėmėjas – aktyvus pagalbininkas kuriant saugesnę Lietuvą!“ įgyvendinimas kartu su Klaipėdos apskrities vyriausiuoju policijos komisariatu </t>
  </si>
  <si>
    <t xml:space="preserve">Muzikinio teatro pastato Danės g. 19 aplinkos tvarkybos darbai už sklypo ribos </t>
  </si>
  <si>
    <t>P1</t>
  </si>
  <si>
    <t>Elektros įvadų įrengimas paplūdimiuose</t>
  </si>
  <si>
    <t>12</t>
  </si>
  <si>
    <t>11</t>
  </si>
  <si>
    <t>13</t>
  </si>
  <si>
    <t>14</t>
  </si>
  <si>
    <t>15</t>
  </si>
  <si>
    <t>16</t>
  </si>
  <si>
    <t xml:space="preserve">Atlikta viešosios erdvės (47 247 m²) sutvarkymo darbų. Užbaigtumas, proc. </t>
  </si>
  <si>
    <t xml:space="preserve">Atlikta pėsčiųjų tako (41 010 m²) sutvarkymo darbų. Užbaigtumas, proc. </t>
  </si>
  <si>
    <t>Inžinerinio aprūpinimo sistemų tobulinimas:</t>
  </si>
  <si>
    <t xml:space="preserve">Daugiabučių gyvenamųjų namų kvartalų atnaujinimo ir priežiūros vykdymas: </t>
  </si>
  <si>
    <t>18</t>
  </si>
  <si>
    <t xml:space="preserve"> Projektų skyrius  </t>
  </si>
  <si>
    <t>Projektų skyrius</t>
  </si>
  <si>
    <t>Miesto tvarkymo skyrius</t>
  </si>
  <si>
    <t>Statybos ir infrastruktūros plėtros skyrius</t>
  </si>
  <si>
    <t xml:space="preserve">Miesto tvarkymo skyrius </t>
  </si>
  <si>
    <t xml:space="preserve"> Miesto tvarkymo skyrius</t>
  </si>
  <si>
    <t>19</t>
  </si>
  <si>
    <t>21</t>
  </si>
  <si>
    <t>22</t>
  </si>
  <si>
    <t>P</t>
  </si>
  <si>
    <t>Įrengta apšvietimo atramų kiemuose, vnt.</t>
  </si>
  <si>
    <t>Miesto kapinių priežiūra ir  infrastruktūros atnaujinimas</t>
  </si>
  <si>
    <t>Pasirašyta sutartis dėl dalyvavimo Mėlynosios vėliavos programoje pagrindiniame Smiltynės ir Antrosios Melnragės paplūdimiuose, vnt.</t>
  </si>
  <si>
    <t>SB(P)</t>
  </si>
  <si>
    <t>Parengtas konteinerinio tualeto Kruizinių laivų terminale atnaujinimo projektas, vnt.</t>
  </si>
  <si>
    <t>Akmenos–Danės upės vidaus vandens kelio valdymas</t>
  </si>
  <si>
    <t>Klaipėdos miesto savivaldybės kultūros centro Žvejų rūmų teritorijos sutvarkymas</t>
  </si>
  <si>
    <t xml:space="preserve">Atnaujintas konteinerinis tualetas Kruizinių laivų terminale, vnt. </t>
  </si>
  <si>
    <t>Viešųjų tualetų ir jų infrastruktūros įrengimas Smiltynėje, vnt.</t>
  </si>
  <si>
    <t>Duomenų saugyklos įsigijimas, vnt.</t>
  </si>
  <si>
    <t>Kt</t>
  </si>
  <si>
    <t>SB(VBL)</t>
  </si>
  <si>
    <t>SB(ESL)</t>
  </si>
  <si>
    <r>
      <t xml:space="preserve">Europos Sąjungos finansinės paramos lėšų likučio metų pradžioje lėšos </t>
    </r>
    <r>
      <rPr>
        <b/>
        <sz val="10"/>
        <rFont val="Times New Roman"/>
        <family val="1"/>
        <charset val="186"/>
      </rPr>
      <t>SB(ESL)</t>
    </r>
  </si>
  <si>
    <r>
      <t xml:space="preserve">Valstybės biudžeto specialiosios tikslinės dotacijos lėšų likutis </t>
    </r>
    <r>
      <rPr>
        <b/>
        <sz val="10"/>
        <rFont val="Times New Roman"/>
        <family val="1"/>
        <charset val="186"/>
      </rPr>
      <t>SB(VBL)</t>
    </r>
  </si>
  <si>
    <r>
      <t xml:space="preserve">Europos Sąjungos finansinės paramos lėšos, kurios įtrauktos į savivaldybės biudžetą </t>
    </r>
    <r>
      <rPr>
        <b/>
        <sz val="10"/>
        <rFont val="Times New Roman"/>
        <family val="1"/>
        <charset val="186"/>
      </rPr>
      <t>SB(ES)</t>
    </r>
  </si>
  <si>
    <t xml:space="preserve">Dalyvaujamojo biudžeto iniciatyvų įgyvendinimas </t>
  </si>
  <si>
    <t>SB(SPI)</t>
  </si>
  <si>
    <t>Kompensacijų mokėjimas infrastruktūros plėtros iniciatoriams už patirtas infrastruktūros plėtros sutartyje nustatytas savivaldybės infrastruktūros plėtros išlaidas</t>
  </si>
  <si>
    <t>Išmokėta kompensacijų pagal sudarytas infrastruktūros plėtros sutartis, proc.</t>
  </si>
  <si>
    <r>
      <t xml:space="preserve">Pajamų įmokų infrastruktūros plėtrai lėšos </t>
    </r>
    <r>
      <rPr>
        <b/>
        <sz val="10"/>
        <rFont val="Times New Roman"/>
        <family val="1"/>
        <charset val="186"/>
      </rPr>
      <t>SB(SPI)</t>
    </r>
  </si>
  <si>
    <t>P1       I</t>
  </si>
  <si>
    <t>Miesto tvarkymo  skyrius</t>
  </si>
  <si>
    <t>23</t>
  </si>
  <si>
    <t>Nuolatinių darbuotojų etatų skaičius</t>
  </si>
  <si>
    <t>Sezoninių darbuotojų etatų skaičius</t>
  </si>
  <si>
    <t>Vingio mikrorajono aikštės atnaujinimas</t>
  </si>
  <si>
    <t>Parengtas projektas, vnt.</t>
  </si>
  <si>
    <t>SB(VR)</t>
  </si>
  <si>
    <t>Priemonės požymis*</t>
  </si>
  <si>
    <t>Vykdytojas (skyrius/asmuo)</t>
  </si>
  <si>
    <t>2024-ųjų metų lėšų projektas</t>
  </si>
  <si>
    <t>2023-ieji metai</t>
  </si>
  <si>
    <t>2024-ieji metai</t>
  </si>
  <si>
    <t>Klaipėdos miesto Skulptūrų parko (senųjų miesto kapinių) sutvarkymas</t>
  </si>
  <si>
    <t>P1     I</t>
  </si>
  <si>
    <t>Urbanistikos ir architektūros skyrius</t>
  </si>
  <si>
    <t>Įrengta fontanėlių gertuvių, vnt.</t>
  </si>
  <si>
    <t>Įsigyta šunų ekskrementų šiukšliadėžių, vnt.</t>
  </si>
  <si>
    <t>Naujų kapinių įrengimas</t>
  </si>
  <si>
    <t>Gaisrų prevencijos projekto „Išmok naudotis ugnies gesintuvu“ įgyvendinimas kartu su Klaipėdos apskrities priešgaisrine gelbėjimo valdyba</t>
  </si>
  <si>
    <t>Gaisrų prevencijos projekto „Saugumą kuriame kartu“ įgyvendinimas kartu su Klaipėdos apskrities priešgaisrine gelbėjimo valdyba</t>
  </si>
  <si>
    <t>Projekto „Vaikų saugumas – svarbiausia“ įgyvendinimas kartu su Klaipėdos apskrities vyriausiuoju policijos komisariatu</t>
  </si>
  <si>
    <t xml:space="preserve">Skvero ties prekybos centru „Maxima“  (Šilutės pl. 40A) ir pėsčiųjų ir dviračių tako nuo Šilutės pl. iki Taikos pr. atnaujinimas </t>
  </si>
  <si>
    <t>T</t>
  </si>
  <si>
    <t>Prižiūrima gertuvių, vnt.</t>
  </si>
  <si>
    <t>Atlikta vandens tyrimų, vnt.</t>
  </si>
  <si>
    <t>Atraminių apsauginių įėjimo į paplūdimį sienučių remontas</t>
  </si>
  <si>
    <t>24</t>
  </si>
  <si>
    <t xml:space="preserve">Statinių administravimo skyrius </t>
  </si>
  <si>
    <t>Parengtas Joniškės kapinių tvoros su kolumbariumu projektas, vnt.</t>
  </si>
  <si>
    <t>Želdinių tvarkymas</t>
  </si>
  <si>
    <t>N</t>
  </si>
  <si>
    <t xml:space="preserve">Prevencinio projekto „Saugi kaiminystė – kelias į saugesnę visuomenę“ įgyvendinimas kartu su Klaipėdos apskrities vyriausiuoju policijos komisariatu </t>
  </si>
  <si>
    <t>Prižiūrimos vaikų žaidimų aikštelės viešose erdvėse, vnt.</t>
  </si>
  <si>
    <t>ES</t>
  </si>
  <si>
    <t>Parengtas techninis darbo projektas, vnt.</t>
  </si>
  <si>
    <t>Įgyvendinta iniciatyvų, vnt.</t>
  </si>
  <si>
    <t>Atlikta vandens maudyklų tyrimų, skaičius</t>
  </si>
  <si>
    <t>Įsigyta ir įrengta inventoriaus, vnt.</t>
  </si>
  <si>
    <t xml:space="preserve">Atlikta rangos darbų (požeminio garažo statyba). Užbaigtumas, proc.  </t>
  </si>
  <si>
    <t xml:space="preserve">Atlikta rangos darbų (aikštės sutvarkymas). Užbaigtumas, proc. </t>
  </si>
  <si>
    <t xml:space="preserve">Atlikta rangos darbų. Užbaigtumas, proc. </t>
  </si>
  <si>
    <t xml:space="preserve">Atlikta rangos darbų. Užbaigtumas, proc.  </t>
  </si>
  <si>
    <t>Atlikta rangos darbų. Užbaigtumas, proc.</t>
  </si>
  <si>
    <t>Atlikta rangos darbų. Užbaigtumas proc.</t>
  </si>
  <si>
    <t>Suvartota elektros energijos, tūkst. MWh</t>
  </si>
  <si>
    <t>Pašalinta netinkamų naudoti įrenginių, vnt.</t>
  </si>
  <si>
    <t>Įrengta vaikų žaidimų aikštelių viešose erdvėse, vnt.</t>
  </si>
  <si>
    <t>Atnaujinta (pagerinta) sporto aikštelių daugiabučių namų kiemuose ar viešosiose miesto erdvėse, vnt.</t>
  </si>
  <si>
    <t>Kompleksiškai sutvarkyta sporto ir laisvalaikio zonų seniūnaitijose, vnt.</t>
  </si>
  <si>
    <t xml:space="preserve">Parengtas projektas,vnt. </t>
  </si>
  <si>
    <t>17</t>
  </si>
  <si>
    <t>25</t>
  </si>
  <si>
    <t>26</t>
  </si>
  <si>
    <t xml:space="preserve">P       </t>
  </si>
  <si>
    <t>Projektų  skyrius</t>
  </si>
  <si>
    <t xml:space="preserve">AB „Klaipėdos energija“ teritorijos Danės g. 8, Klaipėdoje, konversija                                                </t>
  </si>
  <si>
    <t>Iškelta nuotekų tinklų. Užbaigtumas, proc.</t>
  </si>
  <si>
    <t>Meninio akcento sukūrimas ir pagaminimas, vnt.</t>
  </si>
  <si>
    <t>SB(SPIL)</t>
  </si>
  <si>
    <r>
      <t xml:space="preserve">Pajamų įmokų infrastruktūros plėtrai lėšų likutis </t>
    </r>
    <r>
      <rPr>
        <b/>
        <sz val="10"/>
        <rFont val="Times New Roman"/>
        <family val="1"/>
        <charset val="186"/>
      </rPr>
      <t>SB(SPIL)</t>
    </r>
  </si>
  <si>
    <t>SB(KPP)</t>
  </si>
  <si>
    <t>Žemės sklypo padalijimas, proc.</t>
  </si>
  <si>
    <t xml:space="preserve">Įrengtas elektros įvadas Smiltynės g. 25C, Klaipėda, vnt. </t>
  </si>
  <si>
    <t>Išnuomota mobilių dušų konteinerių ir kilnojamųjų lauko tualetų „Europiados“ programos vykdymui, vnt.</t>
  </si>
  <si>
    <t>Eksploatuojama belaidžio (Wi-Fi) ryšio stotelių, įrengtų šalia kamerų, vnt.</t>
  </si>
  <si>
    <t>Eksploatuojama viešųjų erdvių daugiafunkcių belaidžio (Wi-Fi) ryšio stotelių, vnt.</t>
  </si>
  <si>
    <t>Meno kūrinio pano „Plaukikas“ įrengimas</t>
  </si>
  <si>
    <t xml:space="preserve">Labrenciškių g. ir Martyno Jankaus g. </t>
  </si>
  <si>
    <t xml:space="preserve">Dalinio finansavimo skyrimas namų ūkiams prisijungti prie centralizuotų geriamojo vandens tiekimo ir nuotekų tvarkymo infrastruktūros
</t>
  </si>
  <si>
    <t>Planas</t>
  </si>
  <si>
    <t>2022 m. asignavimų planas**</t>
  </si>
  <si>
    <t xml:space="preserve">Įrengtas konteinerinis tualetas galinėje autobusų stotelėje Mogiliovo g., vnt. </t>
  </si>
  <si>
    <t>Memorialų tvarkymas, perkėlimas, utilizavimas</t>
  </si>
  <si>
    <t>Tvarkoma miesto gatvių kietųjų dangų paviršinių nuotekų, ha</t>
  </si>
  <si>
    <t>Klaipėdos miesto gatvių kietųjų dangų paviršinių nuotekų priežiūra</t>
  </si>
  <si>
    <t xml:space="preserve">Įrengta „Odesos tako“ riboženklių Melnragėje, vnt. </t>
  </si>
  <si>
    <t>Nukelta skulptūrų, paminklų, vnt.</t>
  </si>
  <si>
    <t>2022-ieji metai**</t>
  </si>
  <si>
    <t>2025-ieji metai</t>
  </si>
  <si>
    <t xml:space="preserve">2022–2025 M. KLAIPĖDOS MIESTO SAVIVALDYBĖS  </t>
  </si>
  <si>
    <t>Lėšų poreikis biudžetiniams 2023-iesiems metams</t>
  </si>
  <si>
    <t>2025-ųjų metų lėšų projektas</t>
  </si>
  <si>
    <t>Asignavimai 2022-iesiems metams</t>
  </si>
  <si>
    <t>Gaisrų prevencijos projekto „Virtuvės pavojai“ įgyvendinimas kartu su Klaipėdos apskrities priešgaisrine gelbėjimo valdyba</t>
  </si>
  <si>
    <t>Gaisrų prevencijos projekto „Būk saugus mokiny“ įgyvendinimas kartu su Klaipėdos apskrities priešgaisrine gelbėjimo valdyba</t>
  </si>
  <si>
    <t>Projekto „Saugus eismas - saugus tu“ įgyvendinimas kartu su Klaipėdos apskrities vyriausiuoju policijos komisariatu</t>
  </si>
  <si>
    <t>Įsigyta kamerų, vnt.</t>
  </si>
  <si>
    <t>Įsigyta šiukšliadėžių kibirėlių, vnt.</t>
  </si>
  <si>
    <t xml:space="preserve">Įsigyta šviečiančių tūrinių kalėdinių papuošimų apšvietimo atramoms, vnt. </t>
  </si>
  <si>
    <t>Įrengta apžvalgos aikštelė Neįgaliųjų paplūdimyje, vnt</t>
  </si>
  <si>
    <t>27</t>
  </si>
  <si>
    <t>Smiltynės gelbėjimo stoties rekonstrukcija ir prieigų sutvarkymas</t>
  </si>
  <si>
    <t>Prižiūrėta parkų, skverų, vnt</t>
  </si>
  <si>
    <t>Įrengtas viešasis tualetas Ąžuolyno giraitėje, vnt.</t>
  </si>
  <si>
    <t>Kompleksinis sporto ir laisvalaikio zonų sutvarkymas seniūnaitijose</t>
  </si>
  <si>
    <t>Parengtas techninis projektas, vnt</t>
  </si>
  <si>
    <t>Parengta kiemų apšvietimo projektų, vnt</t>
  </si>
  <si>
    <t>Parengta projektų, vnt.</t>
  </si>
  <si>
    <t>Daugiabučių namų kiemų infrastruktūros gerinimas su gyventojų daliniu prisidėjimu</t>
  </si>
  <si>
    <t>Viešų erdvių ir gatvių, kuriose įrengiamas apšvietimas, skaičius</t>
  </si>
  <si>
    <t>Atliktas Lėbartų kapinių vartų remontas. Užbaigtumas, proc.</t>
  </si>
  <si>
    <r>
      <t xml:space="preserve">Prižiūrima informacinės sistemos objektų </t>
    </r>
    <r>
      <rPr>
        <sz val="10"/>
        <rFont val="Times New Roman"/>
        <family val="1"/>
        <charset val="186"/>
      </rPr>
      <t xml:space="preserve"> vnt.</t>
    </r>
  </si>
  <si>
    <r>
      <t>Suremontuota betoninė sienutė Joniškės g., m</t>
    </r>
    <r>
      <rPr>
        <vertAlign val="superscript"/>
        <sz val="10"/>
        <rFont val="Times New Roman"/>
        <family val="1"/>
        <charset val="186"/>
      </rPr>
      <t>2</t>
    </r>
  </si>
  <si>
    <t>Įsigyta kalėdinių papuošimų:</t>
  </si>
  <si>
    <t>Įsigyta šviesos elementų medžiams puošti, tūkst. vnt.</t>
  </si>
  <si>
    <t xml:space="preserve">Įsigyta transporto priemonių ir technikos, vnt. </t>
  </si>
  <si>
    <t>Pastatų ir infrastruktūros statinių, kuriuose atliktas remontas, skaičius</t>
  </si>
  <si>
    <t>Automobilių nuvežimas ir saugojimas</t>
  </si>
  <si>
    <t>Nuvežta nenaudojamų automobilių, skaičius</t>
  </si>
  <si>
    <t>Viešųjų erdvių ir gatvių apšvietimo įrengimas</t>
  </si>
  <si>
    <t xml:space="preserve">Vaikų žaidimo aikštelių įrengimas, atnaujinimas ir priežiūra </t>
  </si>
  <si>
    <t xml:space="preserve">Atlikta rangos darbų (Girulių paplūdimys). Užbaigtumas, proc. </t>
  </si>
  <si>
    <t xml:space="preserve">Atlikta rangos darbų (Smiltynės paplūdimys).  Užbaigtumas, proc. </t>
  </si>
  <si>
    <r>
      <t>Suremontuota takų Joniškės ir Lėbartų kapinėse, tūkst. m</t>
    </r>
    <r>
      <rPr>
        <vertAlign val="superscript"/>
        <sz val="10"/>
        <rFont val="Times New Roman"/>
        <family val="1"/>
        <charset val="186"/>
      </rPr>
      <t>2</t>
    </r>
  </si>
  <si>
    <t>Atlikta Joniškės tvoros sutvirtinimo darbų. Užbaigtumas proc.</t>
  </si>
  <si>
    <t xml:space="preserve">Atlikta rangos darbų (J. Janonio g. 26, 28, Malūnininkų g. 2, Švyturio g. 8, 10, Smilties Pylimo g. 3, Sportininkų g. 5, 9). Užbaigtumas, proc. </t>
  </si>
  <si>
    <t>Saugoma nenaudojamų automobilių, skaičius</t>
  </si>
  <si>
    <t>Nuvežta už KET pažeidimus ir saugoma automobilių, skaičius</t>
  </si>
  <si>
    <t>Pakeista Lėbartų kapinių vartų, vnt.</t>
  </si>
  <si>
    <t>Mirusiųjų palaikų laikinas laikymas (saugojimas), tūkst. val.</t>
  </si>
  <si>
    <t>Atlikta Joniškės kapinių tvoros sutvirtinimo darbų, m</t>
  </si>
  <si>
    <t>Išvalyta lietaus nuotekų šulinėlių, vnt.</t>
  </si>
  <si>
    <t xml:space="preserve">N     I </t>
  </si>
  <si>
    <r>
      <rPr>
        <sz val="10"/>
        <rFont val="Times New Roman"/>
        <family val="1"/>
        <charset val="186"/>
      </rPr>
      <t>Europos Sąjungos paramos lėšos</t>
    </r>
    <r>
      <rPr>
        <b/>
        <sz val="10"/>
        <rFont val="Times New Roman"/>
        <family val="1"/>
        <charset val="186"/>
      </rPr>
      <t xml:space="preserve"> ES</t>
    </r>
  </si>
  <si>
    <r>
      <t>Savivaldybės paskolų lėšos</t>
    </r>
    <r>
      <rPr>
        <b/>
        <sz val="10"/>
        <rFont val="Times New Roman"/>
        <family val="1"/>
        <charset val="186"/>
      </rPr>
      <t xml:space="preserve"> SB(P)</t>
    </r>
  </si>
  <si>
    <t>Įvykdytas architektūrinis konkursas, vnt.</t>
  </si>
  <si>
    <t>Įrengta apšvietimo infrastruktūros kiemuose, vnt.</t>
  </si>
  <si>
    <t>Įrengtas tualetas Danės krantinėje, vnt.</t>
  </si>
  <si>
    <t>Vyr. patarėjas
 D. Petrolevičius</t>
  </si>
  <si>
    <t>** Pagal Klaipėdos miesto savivaldybės tarybos sprendimus: 2022-02-17 Nr. T2-36; 2022-06-22 Nr. T2-150; 2022-10-20 Nr. T2-224.</t>
  </si>
  <si>
    <t>Įrengta konteinerinių tualetų Klaipėdos miesto paplūdimiuose, vnt.</t>
  </si>
  <si>
    <t>Vykdoma projektų, vnt.</t>
  </si>
  <si>
    <t>Prižiūrėta bendro naudojimo atliekų surinkimo konteinerių aikštelių, vnt.</t>
  </si>
  <si>
    <t xml:space="preserve">Įsigytas žemės sklypas, vnt. </t>
  </si>
  <si>
    <t xml:space="preserve">P
T
</t>
  </si>
  <si>
    <r>
      <t>Įrengta betoninių trinkelių danga Lėbartų kapinėse, m</t>
    </r>
    <r>
      <rPr>
        <vertAlign val="superscript"/>
        <sz val="10"/>
        <rFont val="Times New Roman"/>
        <family val="1"/>
        <charset val="186"/>
      </rPr>
      <t>2</t>
    </r>
  </si>
  <si>
    <t xml:space="preserve">Dangės teritorijos prieigų sutvarkymas Šiauriniame rage </t>
  </si>
  <si>
    <t>Pakeista gatvių  ir pastatų numerių pavadinimų lentelių, krypties nuorodų, stovų su tvirtinimu, vnt.</t>
  </si>
  <si>
    <t>Atlikta rangos darbų (Statybininkų pr. nuo 9 iki 27, Žardininkų g. nuo 2 iki 18). Užbaigtumas, proc.</t>
  </si>
  <si>
    <t>Atlikta rangos darbų (Kauno g. 29, 31, 33, 35, 39, 39A). Užbaigtumas, proc.</t>
  </si>
  <si>
    <t>Atlikta rangos darbų (Kauno g. 45, 47, Šilutės pl. 18, 20, 22, 24). Užbaigtumas, proc.</t>
  </si>
  <si>
    <t>Atlikta rangos darbų (Kauno g. 13, 15, 17, 19, 23, 23A, 25). Užbaigtumas, proc.</t>
  </si>
  <si>
    <t>Atlikta rangos darbų (Taikos pr. 59, Kauno g. 3, 7, 9). Užbaigtumas, proc.</t>
  </si>
  <si>
    <t>28</t>
  </si>
  <si>
    <t xml:space="preserve">Turgaus aikštės su prieigomis sutvarkymas, pritaikant verslo, bendruomenės poreikiams </t>
  </si>
  <si>
    <t>P1
I</t>
  </si>
  <si>
    <t>N
I</t>
  </si>
  <si>
    <t xml:space="preserve">2023–2025 M. KLAIPĖDOS MIESTO SAVIVALDYBĖS  </t>
  </si>
  <si>
    <t>Saugios kaimynystės bendruomenėje projektų įgyvendinimas</t>
  </si>
  <si>
    <t xml:space="preserve">Klaipėdos miesto savivaldybės miesto infrastruktūros objektų priežiūros ir modernizavimo programos (Nr. 07) aprašymo </t>
  </si>
  <si>
    <t>priedas</t>
  </si>
  <si>
    <t>SBL</t>
  </si>
  <si>
    <t>SB(L)'</t>
  </si>
  <si>
    <t>SB'</t>
  </si>
  <si>
    <t>SB(VR)'</t>
  </si>
  <si>
    <t>SB(P)'</t>
  </si>
  <si>
    <t>ES'</t>
  </si>
  <si>
    <t>SB(VB)'</t>
  </si>
  <si>
    <t>SB(SP)'</t>
  </si>
  <si>
    <t>SB(KPP)'</t>
  </si>
  <si>
    <t>Kt'</t>
  </si>
  <si>
    <t>SB(ES)'</t>
  </si>
  <si>
    <t>SB(SPI)'</t>
  </si>
  <si>
    <t>Parengtas viešojo tualeto remonto Lėbartų kapinių administraciniame pastate projektas, vnt.</t>
  </si>
  <si>
    <t xml:space="preserve">Atlikta viešojo tualeto remonto Lėbartų kapinių administraciniame pastate rangos darbų. Užbaigtumas, proc.  </t>
  </si>
  <si>
    <t>Projektų skyrius,</t>
  </si>
  <si>
    <t xml:space="preserve">vyr. patarėjas
K. Macijauskas </t>
  </si>
  <si>
    <t>l.e.p. vyr. patarėja
I. Kubilienė</t>
  </si>
  <si>
    <t>Statybos ir infrastruktūros plėtros skyrius,
l.e.p. vyr. patarėja
I. Kubilienė</t>
  </si>
  <si>
    <t>Projektų  skyrius,</t>
  </si>
  <si>
    <t>vyr. patarėjas
K. Macijauskas</t>
  </si>
  <si>
    <t>vyr. patarėjas
G. Dovidaitis</t>
  </si>
  <si>
    <t>vyr. patarėja
I. Kubilienė</t>
  </si>
  <si>
    <t>Antrosios  Melnragės gelbėjimo stotyje esančios kavinės nuoma, vnt.</t>
  </si>
  <si>
    <t>Aiškinamojo rašto 3 priedas</t>
  </si>
  <si>
    <t>Lėšų poreikis biudžetiniams           2023-iesiems metams</t>
  </si>
  <si>
    <t xml:space="preserve">Danės teritorijos prieigų sutvarkymas Šiauriniame rage </t>
  </si>
  <si>
    <t>Miesto viešųjų teritorijų inventoriaus priežiūra, įrengimas ir įsigijimas</t>
  </si>
  <si>
    <t>Eksploatuojama viešųjų erdvių daugiafunkcių belaidžio (wi-fi) ryšio stotelių, vnt.</t>
  </si>
  <si>
    <t>Įrengta apžvalgos aikštelė Neįgaliųjų paplūdimyje, vnt.</t>
  </si>
  <si>
    <t>Akmenos-Danės upės vidaus vandens kelio valdymas</t>
  </si>
  <si>
    <t>Prižiūrimos vaikų žaidimų aikštelės viešosiose erdvėse, vnt.</t>
  </si>
  <si>
    <t>Įrengta vaikų žaidimų aikštelių viešosiose erdvėse, vnt.</t>
  </si>
  <si>
    <t>* N – nauja priemonė, T – tęstinė priemonė, I – investicijų projektas.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</si>
</sst>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409]General"/>
  </numFmts>
  <fonts count="33" x14ac:knownFonts="1">
    <font>
      <sz val="10"/>
      <name val="Arial"/>
      <charset val="186"/>
    </font>
    <font>
      <sz val="8"/>
      <name val="Times New Roman"/>
      <family val="1"/>
      <charset val="186"/>
    </font>
    <font>
      <sz val="10"/>
      <name val="Times New Roman"/>
      <family val="1"/>
      <charset val="186"/>
    </font>
    <font>
      <sz val="12"/>
      <name val="Times New Roman"/>
      <family val="1"/>
      <charset val="186"/>
    </font>
    <font>
      <b/>
      <sz val="10"/>
      <name val="Times New Roman"/>
      <family val="1"/>
      <charset val="186"/>
    </font>
    <font>
      <b/>
      <sz val="12"/>
      <name val="Times New Roman"/>
      <family val="1"/>
      <charset val="186"/>
    </font>
    <font>
      <sz val="10"/>
      <name val="Arial"/>
      <family val="2"/>
      <charset val="186"/>
    </font>
    <font>
      <sz val="9"/>
      <color indexed="81"/>
      <name val="Tahoma"/>
      <family val="2"/>
      <charset val="186"/>
    </font>
    <font>
      <b/>
      <sz val="10"/>
      <name val="Times New Roman"/>
      <family val="1"/>
      <charset val="204"/>
    </font>
    <font>
      <sz val="10"/>
      <name val="Times New Roman"/>
      <family val="1"/>
      <charset val="204"/>
    </font>
    <font>
      <b/>
      <sz val="10"/>
      <name val="Times New Roman"/>
      <family val="1"/>
    </font>
    <font>
      <b/>
      <sz val="9"/>
      <color indexed="81"/>
      <name val="Tahoma"/>
      <family val="2"/>
      <charset val="186"/>
    </font>
    <font>
      <i/>
      <sz val="10"/>
      <name val="Times New Roman"/>
      <family val="1"/>
      <charset val="186"/>
    </font>
    <font>
      <u/>
      <sz val="10"/>
      <name val="Times New Roman"/>
      <family val="1"/>
      <charset val="186"/>
    </font>
    <font>
      <sz val="10"/>
      <name val="Cambria"/>
      <family val="1"/>
      <charset val="186"/>
    </font>
    <font>
      <sz val="11"/>
      <color rgb="FF000000"/>
      <name val="Calibri"/>
      <family val="2"/>
      <charset val="186"/>
    </font>
    <font>
      <sz val="11"/>
      <name val="Times"/>
      <family val="1"/>
    </font>
    <font>
      <b/>
      <sz val="10"/>
      <name val="Arial"/>
      <family val="2"/>
      <charset val="186"/>
    </font>
    <font>
      <sz val="12"/>
      <name val="Times New Roman"/>
      <family val="1"/>
    </font>
    <font>
      <b/>
      <sz val="9"/>
      <name val="Times New Roman"/>
      <family val="1"/>
      <charset val="186"/>
    </font>
    <font>
      <sz val="10"/>
      <name val="Times"/>
      <family val="1"/>
    </font>
    <font>
      <sz val="10"/>
      <color rgb="FFFF0000"/>
      <name val="Times New Roman"/>
      <family val="1"/>
      <charset val="186"/>
    </font>
    <font>
      <sz val="10"/>
      <name val="Times New Roman"/>
      <family val="1"/>
    </font>
    <font>
      <sz val="11"/>
      <name val="Times New Roman"/>
      <family val="1"/>
      <charset val="186"/>
    </font>
    <font>
      <strike/>
      <sz val="10"/>
      <name val="Times New Roman"/>
      <family val="1"/>
      <charset val="186"/>
    </font>
    <font>
      <sz val="10"/>
      <color theme="1"/>
      <name val="Times New Roman"/>
      <family val="1"/>
      <charset val="186"/>
    </font>
    <font>
      <sz val="10"/>
      <color theme="0" tint="-0.249977111117893"/>
      <name val="Times New Roman"/>
      <family val="1"/>
      <charset val="186"/>
    </font>
    <font>
      <vertAlign val="superscript"/>
      <sz val="10"/>
      <name val="Times New Roman"/>
      <family val="1"/>
      <charset val="186"/>
    </font>
    <font>
      <b/>
      <i/>
      <sz val="9"/>
      <color indexed="81"/>
      <name val="Tahoma"/>
      <family val="2"/>
      <charset val="186"/>
    </font>
    <font>
      <sz val="10"/>
      <color theme="0"/>
      <name val="Times New Roman"/>
      <family val="1"/>
    </font>
    <font>
      <sz val="10"/>
      <color theme="0"/>
      <name val="Times New Roman"/>
      <family val="1"/>
      <charset val="186"/>
    </font>
    <font>
      <b/>
      <sz val="10"/>
      <color theme="0"/>
      <name val="Times New Roman"/>
      <family val="1"/>
      <charset val="186"/>
    </font>
    <font>
      <sz val="10"/>
      <color theme="0"/>
      <name val="Cambria"/>
      <family val="1"/>
      <charset val="186"/>
    </font>
  </fonts>
  <fills count="14">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indexed="22"/>
        <bgColor indexed="64"/>
      </patternFill>
    </fill>
    <fill>
      <patternFill patternType="solid">
        <fgColor theme="0"/>
        <bgColor indexed="64"/>
      </patternFill>
    </fill>
    <fill>
      <patternFill patternType="solid">
        <fgColor rgb="FFFFCCFF"/>
        <bgColor indexed="64"/>
      </patternFill>
    </fill>
    <fill>
      <patternFill patternType="solid">
        <fgColor theme="0" tint="-0.14999847407452621"/>
        <bgColor indexed="64"/>
      </patternFill>
    </fill>
    <fill>
      <patternFill patternType="solid">
        <fgColor rgb="FFCCFFCC"/>
        <bgColor indexed="64"/>
      </patternFill>
    </fill>
    <fill>
      <patternFill patternType="solid">
        <fgColor theme="3" tint="0.79998168889431442"/>
        <bgColor indexed="64"/>
      </patternFill>
    </fill>
    <fill>
      <patternFill patternType="solid">
        <fgColor rgb="FFC5D9F1"/>
        <bgColor indexed="64"/>
      </patternFill>
    </fill>
    <fill>
      <patternFill patternType="solid">
        <fgColor rgb="FFFFFFFF"/>
        <bgColor indexed="64"/>
      </patternFill>
    </fill>
    <fill>
      <patternFill patternType="solid">
        <fgColor rgb="FFFFFF99"/>
        <bgColor indexed="64"/>
      </patternFill>
    </fill>
  </fills>
  <borders count="123">
    <border>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bottom/>
      <diagonal/>
    </border>
    <border>
      <left style="medium">
        <color indexed="64"/>
      </left>
      <right/>
      <top/>
      <bottom/>
      <diagonal/>
    </border>
    <border>
      <left/>
      <right/>
      <top style="medium">
        <color indexed="64"/>
      </top>
      <bottom/>
      <diagonal/>
    </border>
    <border>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style="thin">
        <color indexed="64"/>
      </top>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right style="medium">
        <color indexed="64"/>
      </right>
      <top/>
      <bottom style="hair">
        <color indexed="64"/>
      </bottom>
      <diagonal/>
    </border>
    <border>
      <left/>
      <right style="medium">
        <color indexed="64"/>
      </right>
      <top style="hair">
        <color indexed="64"/>
      </top>
      <bottom/>
      <diagonal/>
    </border>
    <border>
      <left/>
      <right/>
      <top style="thin">
        <color indexed="64"/>
      </top>
      <bottom style="medium">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top/>
      <bottom style="hair">
        <color indexed="64"/>
      </bottom>
      <diagonal/>
    </border>
    <border>
      <left/>
      <right/>
      <top style="hair">
        <color indexed="64"/>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right style="thin">
        <color indexed="64"/>
      </right>
      <top style="medium">
        <color indexed="64"/>
      </top>
      <bottom/>
      <diagonal/>
    </border>
    <border>
      <left/>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thin">
        <color indexed="64"/>
      </top>
      <bottom style="hair">
        <color indexed="64"/>
      </bottom>
      <diagonal/>
    </border>
    <border>
      <left/>
      <right style="thin">
        <color indexed="64"/>
      </right>
      <top style="medium">
        <color indexed="64"/>
      </top>
      <bottom style="medium">
        <color indexed="64"/>
      </bottom>
      <diagonal/>
    </border>
    <border>
      <left/>
      <right/>
      <top style="thin">
        <color indexed="64"/>
      </top>
      <bottom style="hair">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style="hair">
        <color indexed="64"/>
      </bottom>
      <diagonal/>
    </border>
    <border>
      <left style="medium">
        <color indexed="64"/>
      </left>
      <right style="thin">
        <color indexed="64"/>
      </right>
      <top style="medium">
        <color indexed="64"/>
      </top>
      <bottom style="hair">
        <color indexed="64"/>
      </bottom>
      <diagonal/>
    </border>
  </borders>
  <cellStyleXfs count="4">
    <xf numFmtId="0" fontId="0" fillId="0" borderId="0"/>
    <xf numFmtId="0" fontId="6" fillId="0" borderId="0"/>
    <xf numFmtId="0" fontId="2" fillId="2" borderId="1" applyBorder="0">
      <alignment horizontal="left" vertical="top" wrapText="1"/>
    </xf>
    <xf numFmtId="166" fontId="15" fillId="0" borderId="0" applyBorder="0" applyProtection="0"/>
  </cellStyleXfs>
  <cellXfs count="1644">
    <xf numFmtId="0" fontId="0" fillId="0" borderId="0" xfId="0"/>
    <xf numFmtId="0" fontId="2" fillId="0" borderId="0" xfId="0" applyFont="1" applyFill="1" applyBorder="1" applyAlignment="1">
      <alignment horizontal="center" vertical="top"/>
    </xf>
    <xf numFmtId="0" fontId="2" fillId="0" borderId="0" xfId="0" applyFont="1" applyBorder="1" applyAlignment="1">
      <alignment vertical="top"/>
    </xf>
    <xf numFmtId="0" fontId="2" fillId="0" borderId="0" xfId="0" applyFont="1" applyAlignment="1">
      <alignment vertical="top"/>
    </xf>
    <xf numFmtId="49" fontId="4" fillId="3" borderId="4" xfId="0" applyNumberFormat="1" applyFont="1" applyFill="1" applyBorder="1" applyAlignment="1">
      <alignment horizontal="center" vertical="top"/>
    </xf>
    <xf numFmtId="0" fontId="2" fillId="0" borderId="0" xfId="0" applyFont="1" applyFill="1" applyAlignment="1">
      <alignment vertical="top"/>
    </xf>
    <xf numFmtId="0" fontId="2" fillId="2" borderId="0" xfId="0" applyFont="1" applyFill="1" applyAlignment="1">
      <alignment vertical="top"/>
    </xf>
    <xf numFmtId="0" fontId="6" fillId="0" borderId="0" xfId="0" applyFont="1"/>
    <xf numFmtId="0" fontId="2" fillId="0" borderId="0" xfId="0" applyFont="1" applyAlignment="1">
      <alignment vertical="center"/>
    </xf>
    <xf numFmtId="165" fontId="2" fillId="0" borderId="0" xfId="0" applyNumberFormat="1" applyFont="1" applyAlignment="1">
      <alignment vertical="top"/>
    </xf>
    <xf numFmtId="0" fontId="2" fillId="0" borderId="0" xfId="0" applyFont="1" applyAlignment="1">
      <alignment horizontal="center" vertical="top"/>
    </xf>
    <xf numFmtId="49" fontId="4" fillId="4" borderId="46" xfId="0" applyNumberFormat="1" applyFont="1" applyFill="1" applyBorder="1" applyAlignment="1">
      <alignment horizontal="center" vertical="top"/>
    </xf>
    <xf numFmtId="0" fontId="4" fillId="8" borderId="51" xfId="0" applyFont="1" applyFill="1" applyBorder="1" applyAlignment="1">
      <alignment horizontal="center" vertical="top"/>
    </xf>
    <xf numFmtId="0" fontId="2" fillId="6" borderId="8" xfId="0" applyFont="1" applyFill="1" applyBorder="1" applyAlignment="1">
      <alignment horizontal="center" vertical="top"/>
    </xf>
    <xf numFmtId="49" fontId="4" fillId="10" borderId="30" xfId="0" applyNumberFormat="1" applyFont="1" applyFill="1" applyBorder="1" applyAlignment="1">
      <alignment horizontal="center" vertical="top"/>
    </xf>
    <xf numFmtId="49" fontId="4" fillId="10" borderId="26" xfId="0" applyNumberFormat="1" applyFont="1" applyFill="1" applyBorder="1" applyAlignment="1">
      <alignment horizontal="center" vertical="top"/>
    </xf>
    <xf numFmtId="49" fontId="4" fillId="10" borderId="46" xfId="0" applyNumberFormat="1" applyFont="1" applyFill="1" applyBorder="1" applyAlignment="1">
      <alignment horizontal="center" vertical="top"/>
    </xf>
    <xf numFmtId="49" fontId="4" fillId="10" borderId="49" xfId="0" applyNumberFormat="1" applyFont="1" applyFill="1" applyBorder="1" applyAlignment="1">
      <alignment horizontal="center" vertical="top"/>
    </xf>
    <xf numFmtId="49" fontId="4" fillId="10" borderId="7" xfId="0" applyNumberFormat="1" applyFont="1" applyFill="1" applyBorder="1" applyAlignment="1">
      <alignment horizontal="center" vertical="top" wrapText="1"/>
    </xf>
    <xf numFmtId="49" fontId="4" fillId="10" borderId="12" xfId="0" applyNumberFormat="1" applyFont="1" applyFill="1" applyBorder="1" applyAlignment="1">
      <alignment horizontal="center" vertical="top"/>
    </xf>
    <xf numFmtId="49" fontId="4" fillId="3" borderId="2" xfId="0" applyNumberFormat="1" applyFont="1" applyFill="1" applyBorder="1" applyAlignment="1">
      <alignment horizontal="center" vertical="top"/>
    </xf>
    <xf numFmtId="3" fontId="2" fillId="0" borderId="0" xfId="0" applyNumberFormat="1" applyFont="1" applyBorder="1" applyAlignment="1">
      <alignment vertical="top"/>
    </xf>
    <xf numFmtId="49" fontId="4" fillId="6" borderId="40" xfId="0" applyNumberFormat="1" applyFont="1" applyFill="1" applyBorder="1" applyAlignment="1">
      <alignment horizontal="center" vertical="center"/>
    </xf>
    <xf numFmtId="0" fontId="2" fillId="6" borderId="5" xfId="0" applyFont="1" applyFill="1" applyBorder="1" applyAlignment="1">
      <alignment horizontal="center" vertical="top"/>
    </xf>
    <xf numFmtId="49" fontId="4" fillId="3" borderId="59" xfId="0" applyNumberFormat="1" applyFont="1" applyFill="1" applyBorder="1" applyAlignment="1">
      <alignment horizontal="center" vertical="top"/>
    </xf>
    <xf numFmtId="49" fontId="4" fillId="11" borderId="57" xfId="0" applyNumberFormat="1" applyFont="1" applyFill="1" applyBorder="1" applyAlignment="1">
      <alignment horizontal="center" vertical="top"/>
    </xf>
    <xf numFmtId="49" fontId="4" fillId="11" borderId="30" xfId="0" applyNumberFormat="1" applyFont="1" applyFill="1" applyBorder="1" applyAlignment="1">
      <alignment horizontal="center" vertical="top"/>
    </xf>
    <xf numFmtId="165" fontId="4" fillId="8" borderId="17" xfId="0" applyNumberFormat="1" applyFont="1" applyFill="1" applyBorder="1" applyAlignment="1">
      <alignment horizontal="center" vertical="top" wrapText="1"/>
    </xf>
    <xf numFmtId="165" fontId="2" fillId="8" borderId="17" xfId="0" applyNumberFormat="1" applyFont="1" applyFill="1" applyBorder="1" applyAlignment="1">
      <alignment horizontal="center" vertical="top" wrapText="1"/>
    </xf>
    <xf numFmtId="165" fontId="2" fillId="6" borderId="0" xfId="0" applyNumberFormat="1" applyFont="1" applyFill="1" applyBorder="1" applyAlignment="1">
      <alignment horizontal="center" vertical="top"/>
    </xf>
    <xf numFmtId="165" fontId="2" fillId="6" borderId="18" xfId="0" applyNumberFormat="1" applyFont="1" applyFill="1" applyBorder="1" applyAlignment="1">
      <alignment horizontal="center" vertical="top"/>
    </xf>
    <xf numFmtId="49" fontId="4" fillId="9" borderId="37" xfId="0" applyNumberFormat="1" applyFont="1" applyFill="1" applyBorder="1" applyAlignment="1">
      <alignment horizontal="center" vertical="top"/>
    </xf>
    <xf numFmtId="49" fontId="4" fillId="6" borderId="23" xfId="0" applyNumberFormat="1" applyFont="1" applyFill="1" applyBorder="1" applyAlignment="1">
      <alignment horizontal="center" vertical="center"/>
    </xf>
    <xf numFmtId="165" fontId="2" fillId="6" borderId="32" xfId="0" applyNumberFormat="1" applyFont="1" applyFill="1" applyBorder="1" applyAlignment="1">
      <alignment horizontal="center" vertical="top"/>
    </xf>
    <xf numFmtId="165" fontId="2" fillId="0" borderId="18" xfId="0" applyNumberFormat="1" applyFont="1" applyBorder="1" applyAlignment="1">
      <alignment horizontal="center" vertical="top"/>
    </xf>
    <xf numFmtId="165" fontId="2" fillId="6" borderId="8" xfId="0" applyNumberFormat="1" applyFont="1" applyFill="1" applyBorder="1" applyAlignment="1">
      <alignment horizontal="center" vertical="top" wrapText="1"/>
    </xf>
    <xf numFmtId="0" fontId="2" fillId="6" borderId="13" xfId="0" applyFont="1" applyFill="1" applyBorder="1" applyAlignment="1">
      <alignment horizontal="center" vertical="top" wrapText="1"/>
    </xf>
    <xf numFmtId="49" fontId="4" fillId="3" borderId="20" xfId="0" applyNumberFormat="1" applyFont="1" applyFill="1" applyBorder="1" applyAlignment="1">
      <alignment horizontal="center" vertical="top" wrapText="1"/>
    </xf>
    <xf numFmtId="49" fontId="4" fillId="6" borderId="20" xfId="0" applyNumberFormat="1" applyFont="1" applyFill="1" applyBorder="1" applyAlignment="1">
      <alignment horizontal="center" vertical="top" wrapText="1"/>
    </xf>
    <xf numFmtId="49" fontId="4" fillId="9" borderId="40" xfId="0" applyNumberFormat="1" applyFont="1" applyFill="1" applyBorder="1" applyAlignment="1">
      <alignment horizontal="center" vertical="top"/>
    </xf>
    <xf numFmtId="49" fontId="4" fillId="3" borderId="13" xfId="0" applyNumberFormat="1" applyFont="1" applyFill="1" applyBorder="1" applyAlignment="1">
      <alignment horizontal="center" vertical="top" wrapText="1"/>
    </xf>
    <xf numFmtId="49" fontId="4" fillId="3" borderId="19" xfId="0" applyNumberFormat="1" applyFont="1" applyFill="1" applyBorder="1" applyAlignment="1">
      <alignment horizontal="center" vertical="top"/>
    </xf>
    <xf numFmtId="49" fontId="4" fillId="10" borderId="9" xfId="0" applyNumberFormat="1" applyFont="1" applyFill="1" applyBorder="1" applyAlignment="1">
      <alignment horizontal="center" vertical="top" wrapText="1"/>
    </xf>
    <xf numFmtId="165" fontId="2" fillId="8" borderId="18" xfId="0" applyNumberFormat="1" applyFont="1" applyFill="1" applyBorder="1" applyAlignment="1">
      <alignment horizontal="center" vertical="top"/>
    </xf>
    <xf numFmtId="0" fontId="4" fillId="2" borderId="25" xfId="0" applyFont="1" applyFill="1" applyBorder="1" applyAlignment="1">
      <alignment horizontal="center" vertical="top" wrapText="1"/>
    </xf>
    <xf numFmtId="0" fontId="2" fillId="6" borderId="62" xfId="0" applyFont="1" applyFill="1" applyBorder="1" applyAlignment="1">
      <alignment vertical="top" wrapText="1"/>
    </xf>
    <xf numFmtId="49" fontId="4" fillId="8" borderId="48" xfId="0" applyNumberFormat="1" applyFont="1" applyFill="1" applyBorder="1" applyAlignment="1">
      <alignment horizontal="center" vertical="top" wrapText="1"/>
    </xf>
    <xf numFmtId="49" fontId="4" fillId="8" borderId="40" xfId="0" applyNumberFormat="1" applyFont="1" applyFill="1" applyBorder="1" applyAlignment="1">
      <alignment horizontal="center" vertical="top"/>
    </xf>
    <xf numFmtId="49" fontId="4" fillId="8" borderId="0" xfId="0" applyNumberFormat="1" applyFont="1" applyFill="1" applyBorder="1" applyAlignment="1">
      <alignment horizontal="center" vertical="top"/>
    </xf>
    <xf numFmtId="49" fontId="4" fillId="8" borderId="20" xfId="0" applyNumberFormat="1" applyFont="1" applyFill="1" applyBorder="1" applyAlignment="1">
      <alignment horizontal="center" vertical="top" wrapText="1"/>
    </xf>
    <xf numFmtId="49" fontId="4" fillId="2" borderId="25" xfId="0" applyNumberFormat="1" applyFont="1" applyFill="1" applyBorder="1" applyAlignment="1">
      <alignment horizontal="center" vertical="top" wrapText="1"/>
    </xf>
    <xf numFmtId="0" fontId="4" fillId="2" borderId="25" xfId="0" applyFont="1" applyFill="1" applyBorder="1" applyAlignment="1">
      <alignment horizontal="left" vertical="top" wrapText="1"/>
    </xf>
    <xf numFmtId="49" fontId="4" fillId="6" borderId="40" xfId="0" applyNumberFormat="1" applyFont="1" applyFill="1" applyBorder="1" applyAlignment="1">
      <alignment horizontal="center" vertical="top" wrapText="1"/>
    </xf>
    <xf numFmtId="165" fontId="4" fillId="4" borderId="6" xfId="0" applyNumberFormat="1" applyFont="1" applyFill="1" applyBorder="1" applyAlignment="1">
      <alignment horizontal="center" vertical="top"/>
    </xf>
    <xf numFmtId="165" fontId="4" fillId="5" borderId="51" xfId="0" applyNumberFormat="1" applyFont="1" applyFill="1" applyBorder="1" applyAlignment="1">
      <alignment horizontal="center" vertical="top"/>
    </xf>
    <xf numFmtId="4" fontId="2" fillId="0" borderId="0" xfId="0" applyNumberFormat="1" applyFont="1" applyFill="1" applyAlignment="1">
      <alignment vertical="top"/>
    </xf>
    <xf numFmtId="0" fontId="2" fillId="6" borderId="5" xfId="0" applyFont="1" applyFill="1" applyBorder="1" applyAlignment="1">
      <alignment horizontal="center" vertical="top" wrapText="1"/>
    </xf>
    <xf numFmtId="165" fontId="4" fillId="4" borderId="17" xfId="0" applyNumberFormat="1" applyFont="1" applyFill="1" applyBorder="1" applyAlignment="1">
      <alignment horizontal="center" vertical="top" wrapText="1"/>
    </xf>
    <xf numFmtId="0" fontId="4" fillId="0" borderId="0" xfId="0" applyNumberFormat="1" applyFont="1" applyAlignment="1">
      <alignment horizontal="center" vertical="top"/>
    </xf>
    <xf numFmtId="0" fontId="6" fillId="0" borderId="0" xfId="0" applyFont="1" applyAlignment="1">
      <alignment horizontal="left" vertical="top" wrapText="1"/>
    </xf>
    <xf numFmtId="49" fontId="4" fillId="10" borderId="30" xfId="0" applyNumberFormat="1" applyFont="1" applyFill="1" applyBorder="1" applyAlignment="1">
      <alignment horizontal="center" vertical="top" wrapText="1"/>
    </xf>
    <xf numFmtId="49" fontId="4" fillId="8" borderId="0" xfId="0" applyNumberFormat="1" applyFont="1" applyFill="1" applyBorder="1" applyAlignment="1">
      <alignment horizontal="center" vertical="top" wrapText="1"/>
    </xf>
    <xf numFmtId="0" fontId="4" fillId="6" borderId="38" xfId="0" applyFont="1" applyFill="1" applyBorder="1" applyAlignment="1">
      <alignment horizontal="center" vertical="center" wrapText="1"/>
    </xf>
    <xf numFmtId="49" fontId="4" fillId="8" borderId="13" xfId="0" applyNumberFormat="1" applyFont="1" applyFill="1" applyBorder="1" applyAlignment="1">
      <alignment vertical="center" textRotation="90"/>
    </xf>
    <xf numFmtId="3" fontId="2" fillId="6" borderId="43" xfId="0" applyNumberFormat="1" applyFont="1" applyFill="1" applyBorder="1" applyAlignment="1">
      <alignment horizontal="center" vertical="top"/>
    </xf>
    <xf numFmtId="3" fontId="2" fillId="6" borderId="43" xfId="0" applyNumberFormat="1" applyFont="1" applyFill="1" applyBorder="1" applyAlignment="1">
      <alignment horizontal="center" vertical="top" wrapText="1"/>
    </xf>
    <xf numFmtId="3" fontId="2" fillId="6" borderId="42" xfId="0" applyNumberFormat="1" applyFont="1" applyFill="1" applyBorder="1" applyAlignment="1">
      <alignment horizontal="center" vertical="top"/>
    </xf>
    <xf numFmtId="49" fontId="4" fillId="10" borderId="10" xfId="0" applyNumberFormat="1" applyFont="1" applyFill="1" applyBorder="1" applyAlignment="1">
      <alignment horizontal="center" vertical="top"/>
    </xf>
    <xf numFmtId="49" fontId="4" fillId="3" borderId="48" xfId="0" applyNumberFormat="1" applyFont="1" applyFill="1" applyBorder="1" applyAlignment="1">
      <alignment horizontal="center" vertical="top"/>
    </xf>
    <xf numFmtId="3" fontId="2" fillId="6" borderId="45" xfId="0" applyNumberFormat="1" applyFont="1" applyFill="1" applyBorder="1" applyAlignment="1">
      <alignment horizontal="center" vertical="top"/>
    </xf>
    <xf numFmtId="3" fontId="2" fillId="6" borderId="42" xfId="0" applyNumberFormat="1" applyFont="1" applyFill="1" applyBorder="1" applyAlignment="1">
      <alignment horizontal="center" vertical="top" wrapText="1"/>
    </xf>
    <xf numFmtId="3" fontId="2" fillId="6" borderId="74" xfId="0" applyNumberFormat="1" applyFont="1" applyFill="1" applyBorder="1" applyAlignment="1">
      <alignment horizontal="center" vertical="top" wrapText="1"/>
    </xf>
    <xf numFmtId="3" fontId="2" fillId="6" borderId="45" xfId="0" applyNumberFormat="1" applyFont="1" applyFill="1" applyBorder="1" applyAlignment="1">
      <alignment horizontal="center" vertical="top" wrapText="1"/>
    </xf>
    <xf numFmtId="3" fontId="2" fillId="6" borderId="42" xfId="1" applyNumberFormat="1" applyFont="1" applyFill="1" applyBorder="1" applyAlignment="1">
      <alignment horizontal="center" vertical="top"/>
    </xf>
    <xf numFmtId="3" fontId="2" fillId="6" borderId="75" xfId="0" applyNumberFormat="1" applyFont="1" applyFill="1" applyBorder="1" applyAlignment="1">
      <alignment horizontal="center" vertical="top" wrapText="1"/>
    </xf>
    <xf numFmtId="1" fontId="2" fillId="6" borderId="78" xfId="0" applyNumberFormat="1" applyFont="1" applyFill="1" applyBorder="1" applyAlignment="1">
      <alignment horizontal="center" vertical="top" wrapText="1"/>
    </xf>
    <xf numFmtId="3" fontId="2" fillId="6" borderId="78" xfId="0" applyNumberFormat="1" applyFont="1" applyFill="1" applyBorder="1" applyAlignment="1">
      <alignment horizontal="center" vertical="top"/>
    </xf>
    <xf numFmtId="3" fontId="2" fillId="6" borderId="75" xfId="0" applyNumberFormat="1" applyFont="1" applyFill="1" applyBorder="1" applyAlignment="1">
      <alignment horizontal="center" vertical="top"/>
    </xf>
    <xf numFmtId="0" fontId="1" fillId="6" borderId="0" xfId="0" applyFont="1" applyFill="1" applyBorder="1" applyAlignment="1">
      <alignment vertical="center" textRotation="90" wrapText="1"/>
    </xf>
    <xf numFmtId="49" fontId="2" fillId="6" borderId="40" xfId="0" applyNumberFormat="1" applyFont="1" applyFill="1" applyBorder="1" applyAlignment="1">
      <alignment horizontal="center" vertical="center"/>
    </xf>
    <xf numFmtId="49" fontId="2" fillId="6" borderId="13" xfId="0" applyNumberFormat="1" applyFont="1" applyFill="1" applyBorder="1" applyAlignment="1">
      <alignment horizontal="center" vertical="top"/>
    </xf>
    <xf numFmtId="3" fontId="4" fillId="6" borderId="43" xfId="0" applyNumberFormat="1" applyFont="1" applyFill="1" applyBorder="1" applyAlignment="1">
      <alignment horizontal="center" vertical="top" wrapText="1"/>
    </xf>
    <xf numFmtId="0" fontId="2" fillId="6" borderId="75" xfId="0" applyNumberFormat="1" applyFont="1" applyFill="1" applyBorder="1" applyAlignment="1">
      <alignment horizontal="center" vertical="top" wrapText="1"/>
    </xf>
    <xf numFmtId="3" fontId="2" fillId="6" borderId="79" xfId="0" applyNumberFormat="1" applyFont="1" applyFill="1" applyBorder="1" applyAlignment="1">
      <alignment horizontal="center" vertical="top" wrapText="1"/>
    </xf>
    <xf numFmtId="49" fontId="2" fillId="6" borderId="75" xfId="0" applyNumberFormat="1" applyFont="1" applyFill="1" applyBorder="1" applyAlignment="1">
      <alignment horizontal="center" vertical="top" wrapText="1"/>
    </xf>
    <xf numFmtId="1" fontId="2" fillId="6" borderId="43" xfId="0" applyNumberFormat="1" applyFont="1" applyFill="1" applyBorder="1" applyAlignment="1">
      <alignment horizontal="center" vertical="top" wrapText="1"/>
    </xf>
    <xf numFmtId="1" fontId="2" fillId="6" borderId="43" xfId="1" applyNumberFormat="1" applyFont="1" applyFill="1" applyBorder="1" applyAlignment="1">
      <alignment horizontal="center" vertical="top" wrapText="1"/>
    </xf>
    <xf numFmtId="3" fontId="2" fillId="6" borderId="74" xfId="1" applyNumberFormat="1" applyFont="1" applyFill="1" applyBorder="1" applyAlignment="1">
      <alignment horizontal="center" vertical="top" wrapText="1"/>
    </xf>
    <xf numFmtId="165" fontId="2" fillId="6" borderId="43" xfId="0" applyNumberFormat="1" applyFont="1" applyFill="1" applyBorder="1" applyAlignment="1">
      <alignment horizontal="center" vertical="top" wrapText="1"/>
    </xf>
    <xf numFmtId="165" fontId="2" fillId="6" borderId="42" xfId="0" applyNumberFormat="1" applyFont="1" applyFill="1" applyBorder="1" applyAlignment="1">
      <alignment horizontal="center" vertical="top" wrapText="1"/>
    </xf>
    <xf numFmtId="3" fontId="2" fillId="0" borderId="0" xfId="0" applyNumberFormat="1" applyFont="1" applyFill="1" applyBorder="1" applyAlignment="1">
      <alignment horizontal="center" vertical="top" wrapText="1"/>
    </xf>
    <xf numFmtId="3" fontId="2" fillId="6" borderId="74" xfId="0" applyNumberFormat="1" applyFont="1" applyFill="1" applyBorder="1" applyAlignment="1">
      <alignment horizontal="center" vertical="top"/>
    </xf>
    <xf numFmtId="3" fontId="2" fillId="6" borderId="44" xfId="0" applyNumberFormat="1" applyFont="1" applyFill="1" applyBorder="1" applyAlignment="1">
      <alignment horizontal="center" vertical="top"/>
    </xf>
    <xf numFmtId="0" fontId="2" fillId="6" borderId="43" xfId="0" applyNumberFormat="1" applyFont="1" applyFill="1" applyBorder="1" applyAlignment="1">
      <alignment horizontal="center" vertical="top" wrapText="1"/>
    </xf>
    <xf numFmtId="165" fontId="2" fillId="6" borderId="81" xfId="0" applyNumberFormat="1" applyFont="1" applyFill="1" applyBorder="1" applyAlignment="1">
      <alignment horizontal="center" vertical="top"/>
    </xf>
    <xf numFmtId="0" fontId="2" fillId="0" borderId="0" xfId="0" applyNumberFormat="1" applyFont="1" applyFill="1" applyBorder="1" applyAlignment="1">
      <alignment horizontal="center" vertical="top" wrapText="1"/>
    </xf>
    <xf numFmtId="3" fontId="2" fillId="0" borderId="0" xfId="0" applyNumberFormat="1" applyFont="1" applyAlignment="1">
      <alignment horizontal="center" vertical="top"/>
    </xf>
    <xf numFmtId="0" fontId="2" fillId="0" borderId="0" xfId="0" applyFont="1" applyBorder="1" applyAlignment="1">
      <alignment horizontal="center" vertical="top"/>
    </xf>
    <xf numFmtId="0" fontId="2" fillId="0" borderId="0" xfId="0" applyFont="1" applyFill="1" applyAlignment="1">
      <alignment horizontal="center" vertical="top"/>
    </xf>
    <xf numFmtId="0" fontId="4" fillId="8" borderId="86" xfId="0" applyFont="1" applyFill="1" applyBorder="1" applyAlignment="1">
      <alignment horizontal="center" vertical="top"/>
    </xf>
    <xf numFmtId="3" fontId="2" fillId="6" borderId="88" xfId="0" applyNumberFormat="1" applyFont="1" applyFill="1" applyBorder="1" applyAlignment="1">
      <alignment horizontal="center" vertical="top" wrapText="1"/>
    </xf>
    <xf numFmtId="3" fontId="2" fillId="6" borderId="77" xfId="0" applyNumberFormat="1" applyFont="1" applyFill="1" applyBorder="1" applyAlignment="1">
      <alignment horizontal="center" vertical="top" wrapText="1"/>
    </xf>
    <xf numFmtId="49" fontId="4" fillId="6" borderId="40" xfId="0" applyNumberFormat="1" applyFont="1" applyFill="1" applyBorder="1" applyAlignment="1">
      <alignment horizontal="center" vertical="top"/>
    </xf>
    <xf numFmtId="49" fontId="4" fillId="6" borderId="38" xfId="0" applyNumberFormat="1" applyFont="1" applyFill="1" applyBorder="1" applyAlignment="1">
      <alignment horizontal="center" vertical="top"/>
    </xf>
    <xf numFmtId="0" fontId="17" fillId="6" borderId="25" xfId="0" applyFont="1" applyFill="1" applyBorder="1" applyAlignment="1">
      <alignment horizontal="center" vertical="top" wrapText="1"/>
    </xf>
    <xf numFmtId="49" fontId="4" fillId="6" borderId="41" xfId="0" applyNumberFormat="1" applyFont="1" applyFill="1" applyBorder="1" applyAlignment="1">
      <alignment horizontal="center" vertical="top" wrapText="1"/>
    </xf>
    <xf numFmtId="0" fontId="17" fillId="6" borderId="13" xfId="0" applyFont="1" applyFill="1" applyBorder="1" applyAlignment="1">
      <alignment horizontal="center" vertical="top" wrapText="1"/>
    </xf>
    <xf numFmtId="49" fontId="4" fillId="6" borderId="13" xfId="0" applyNumberFormat="1" applyFont="1" applyFill="1" applyBorder="1" applyAlignment="1">
      <alignment horizontal="center" vertical="center"/>
    </xf>
    <xf numFmtId="49" fontId="4" fillId="6" borderId="13" xfId="0" applyNumberFormat="1" applyFont="1" applyFill="1" applyBorder="1" applyAlignment="1">
      <alignment vertical="top"/>
    </xf>
    <xf numFmtId="165" fontId="2" fillId="6" borderId="29" xfId="0" applyNumberFormat="1" applyFont="1" applyFill="1" applyBorder="1" applyAlignment="1">
      <alignment horizontal="center" vertical="top"/>
    </xf>
    <xf numFmtId="0" fontId="2" fillId="6" borderId="73" xfId="0" applyFont="1" applyFill="1" applyBorder="1" applyAlignment="1">
      <alignment horizontal="center" vertical="top" wrapText="1"/>
    </xf>
    <xf numFmtId="0" fontId="2" fillId="6" borderId="45" xfId="0" applyFont="1" applyFill="1" applyBorder="1" applyAlignment="1">
      <alignment horizontal="center" vertical="top"/>
    </xf>
    <xf numFmtId="165" fontId="6" fillId="0" borderId="0" xfId="0" applyNumberFormat="1" applyFont="1" applyAlignment="1">
      <alignment horizontal="left" vertical="top" wrapText="1"/>
    </xf>
    <xf numFmtId="2" fontId="2" fillId="0" borderId="0" xfId="0" applyNumberFormat="1" applyFont="1" applyAlignment="1">
      <alignment horizontal="center" vertical="top"/>
    </xf>
    <xf numFmtId="0" fontId="2" fillId="6" borderId="42" xfId="0" applyNumberFormat="1" applyFont="1" applyFill="1" applyBorder="1" applyAlignment="1">
      <alignment horizontal="center" vertical="top" wrapText="1"/>
    </xf>
    <xf numFmtId="165" fontId="2" fillId="6" borderId="15" xfId="0" applyNumberFormat="1" applyFont="1" applyFill="1" applyBorder="1" applyAlignment="1">
      <alignment horizontal="center" vertical="top"/>
    </xf>
    <xf numFmtId="0" fontId="2" fillId="6" borderId="29" xfId="0" applyFont="1" applyFill="1" applyBorder="1" applyAlignment="1">
      <alignment horizontal="center" vertical="top"/>
    </xf>
    <xf numFmtId="165" fontId="2" fillId="6" borderId="41" xfId="0" applyNumberFormat="1" applyFont="1" applyFill="1" applyBorder="1" applyAlignment="1">
      <alignment horizontal="center" vertical="top"/>
    </xf>
    <xf numFmtId="0" fontId="4" fillId="8" borderId="87" xfId="0" applyFont="1" applyFill="1" applyBorder="1" applyAlignment="1">
      <alignment horizontal="center" vertical="top"/>
    </xf>
    <xf numFmtId="165" fontId="2" fillId="6" borderId="8" xfId="0" applyNumberFormat="1" applyFont="1" applyFill="1" applyBorder="1" applyAlignment="1">
      <alignment horizontal="center" vertical="top"/>
    </xf>
    <xf numFmtId="0" fontId="4" fillId="6" borderId="40" xfId="0" applyFont="1" applyFill="1" applyBorder="1" applyAlignment="1">
      <alignment horizontal="center" vertical="center" wrapText="1"/>
    </xf>
    <xf numFmtId="0" fontId="4" fillId="6" borderId="40" xfId="0" applyFont="1" applyFill="1" applyBorder="1" applyAlignment="1">
      <alignment horizontal="center" vertical="top" wrapText="1"/>
    </xf>
    <xf numFmtId="0" fontId="2" fillId="6" borderId="13" xfId="0" applyFont="1" applyFill="1" applyBorder="1" applyAlignment="1">
      <alignment vertical="center" textRotation="90"/>
    </xf>
    <xf numFmtId="0" fontId="2" fillId="6" borderId="29" xfId="0" applyFont="1" applyFill="1" applyBorder="1" applyAlignment="1">
      <alignment horizontal="center" vertical="center" textRotation="90" wrapText="1"/>
    </xf>
    <xf numFmtId="0" fontId="2" fillId="6" borderId="8" xfId="0" applyFont="1" applyFill="1" applyBorder="1" applyAlignment="1">
      <alignment horizontal="center" vertical="top" wrapText="1"/>
    </xf>
    <xf numFmtId="0" fontId="16" fillId="0" borderId="0" xfId="0" applyFont="1" applyAlignment="1">
      <alignment vertical="top" wrapText="1"/>
    </xf>
    <xf numFmtId="165" fontId="2" fillId="6" borderId="41" xfId="0" applyNumberFormat="1" applyFont="1" applyFill="1" applyBorder="1" applyAlignment="1">
      <alignment horizontal="center" vertical="top" wrapText="1"/>
    </xf>
    <xf numFmtId="0" fontId="2" fillId="6" borderId="18" xfId="0" applyFont="1" applyFill="1" applyBorder="1" applyAlignment="1">
      <alignment horizontal="center" vertical="top"/>
    </xf>
    <xf numFmtId="3" fontId="2" fillId="6" borderId="43" xfId="1" applyNumberFormat="1" applyFont="1" applyFill="1" applyBorder="1" applyAlignment="1">
      <alignment horizontal="center" vertical="top"/>
    </xf>
    <xf numFmtId="165" fontId="2" fillId="6" borderId="77" xfId="0" applyNumberFormat="1" applyFont="1" applyFill="1" applyBorder="1" applyAlignment="1">
      <alignment horizontal="center" vertical="top"/>
    </xf>
    <xf numFmtId="0" fontId="2" fillId="6" borderId="36" xfId="0" applyFont="1" applyFill="1" applyBorder="1" applyAlignment="1">
      <alignment horizontal="center" vertical="top" wrapText="1"/>
    </xf>
    <xf numFmtId="165" fontId="4" fillId="8" borderId="87" xfId="0" applyNumberFormat="1" applyFont="1" applyFill="1" applyBorder="1" applyAlignment="1">
      <alignment horizontal="center" vertical="top"/>
    </xf>
    <xf numFmtId="3" fontId="2" fillId="6" borderId="78" xfId="1" applyNumberFormat="1" applyFont="1" applyFill="1" applyBorder="1" applyAlignment="1">
      <alignment horizontal="center" vertical="top" wrapText="1"/>
    </xf>
    <xf numFmtId="0" fontId="2" fillId="6" borderId="43" xfId="0" applyFont="1" applyFill="1" applyBorder="1" applyAlignment="1">
      <alignment horizontal="center" vertical="center" wrapText="1"/>
    </xf>
    <xf numFmtId="49" fontId="4" fillId="8" borderId="19" xfId="0" applyNumberFormat="1" applyFont="1" applyFill="1" applyBorder="1" applyAlignment="1">
      <alignment horizontal="center" vertical="top" wrapText="1"/>
    </xf>
    <xf numFmtId="0" fontId="6" fillId="6" borderId="31" xfId="0" applyFont="1" applyFill="1" applyBorder="1" applyAlignment="1">
      <alignment horizontal="left" vertical="top" wrapText="1"/>
    </xf>
    <xf numFmtId="0" fontId="6" fillId="6" borderId="0" xfId="0" applyFont="1" applyFill="1" applyBorder="1" applyAlignment="1">
      <alignment horizontal="left" vertical="top" wrapText="1"/>
    </xf>
    <xf numFmtId="0" fontId="2" fillId="6" borderId="84" xfId="0" applyFont="1" applyFill="1" applyBorder="1" applyAlignment="1">
      <alignment vertical="top" wrapText="1"/>
    </xf>
    <xf numFmtId="49" fontId="2" fillId="6" borderId="85" xfId="0" applyNumberFormat="1" applyFont="1" applyFill="1" applyBorder="1" applyAlignment="1">
      <alignment horizontal="center" vertical="top" wrapText="1"/>
    </xf>
    <xf numFmtId="3" fontId="2" fillId="6" borderId="85" xfId="0" applyNumberFormat="1" applyFont="1" applyFill="1" applyBorder="1" applyAlignment="1">
      <alignment horizontal="center" vertical="top"/>
    </xf>
    <xf numFmtId="49" fontId="4" fillId="6" borderId="84" xfId="0" applyNumberFormat="1" applyFont="1" applyFill="1" applyBorder="1" applyAlignment="1">
      <alignment horizontal="center" vertical="top" wrapText="1"/>
    </xf>
    <xf numFmtId="0" fontId="4" fillId="6" borderId="84" xfId="0" applyFont="1" applyFill="1" applyBorder="1" applyAlignment="1">
      <alignment horizontal="center" vertical="top" wrapText="1"/>
    </xf>
    <xf numFmtId="164" fontId="2" fillId="6" borderId="75" xfId="0" applyNumberFormat="1" applyFont="1" applyFill="1" applyBorder="1" applyAlignment="1">
      <alignment horizontal="center" vertical="top"/>
    </xf>
    <xf numFmtId="49" fontId="4" fillId="6" borderId="44" xfId="0" applyNumberFormat="1" applyFont="1" applyFill="1" applyBorder="1" applyAlignment="1">
      <alignment horizontal="center" vertical="top"/>
    </xf>
    <xf numFmtId="49" fontId="2" fillId="6" borderId="76" xfId="0" applyNumberFormat="1" applyFont="1" applyFill="1" applyBorder="1" applyAlignment="1">
      <alignment horizontal="center" vertical="top" wrapText="1"/>
    </xf>
    <xf numFmtId="0" fontId="2" fillId="6" borderId="94" xfId="0" applyFont="1" applyFill="1" applyBorder="1" applyAlignment="1">
      <alignment vertical="top" wrapText="1"/>
    </xf>
    <xf numFmtId="49" fontId="2" fillId="6" borderId="3" xfId="0" applyNumberFormat="1" applyFont="1" applyFill="1" applyBorder="1" applyAlignment="1">
      <alignment horizontal="center" vertical="top" wrapText="1"/>
    </xf>
    <xf numFmtId="0" fontId="4" fillId="6" borderId="13" xfId="0" applyFont="1" applyFill="1" applyBorder="1" applyAlignment="1">
      <alignment horizontal="center" vertical="center" wrapText="1"/>
    </xf>
    <xf numFmtId="0" fontId="2" fillId="6" borderId="13" xfId="0" applyFont="1" applyFill="1" applyBorder="1" applyAlignment="1">
      <alignment vertical="center" textRotation="90" wrapText="1"/>
    </xf>
    <xf numFmtId="49" fontId="2" fillId="6" borderId="1" xfId="0" applyNumberFormat="1" applyFont="1" applyFill="1" applyBorder="1" applyAlignment="1">
      <alignment vertical="top" wrapText="1"/>
    </xf>
    <xf numFmtId="49" fontId="2" fillId="6" borderId="14" xfId="0" applyNumberFormat="1" applyFont="1" applyFill="1" applyBorder="1" applyAlignment="1">
      <alignment vertical="top" wrapText="1"/>
    </xf>
    <xf numFmtId="0" fontId="4" fillId="6" borderId="13" xfId="0" applyFont="1" applyFill="1" applyBorder="1" applyAlignment="1">
      <alignment horizontal="center" vertical="top"/>
    </xf>
    <xf numFmtId="3" fontId="4" fillId="6" borderId="16" xfId="0" applyNumberFormat="1" applyFont="1" applyFill="1" applyBorder="1" applyAlignment="1">
      <alignment horizontal="center" vertical="top"/>
    </xf>
    <xf numFmtId="0" fontId="4" fillId="6" borderId="23" xfId="0" applyFont="1" applyFill="1" applyBorder="1" applyAlignment="1">
      <alignment horizontal="center" vertical="top"/>
    </xf>
    <xf numFmtId="0" fontId="4" fillId="6" borderId="38" xfId="0" applyFont="1" applyFill="1" applyBorder="1" applyAlignment="1">
      <alignment horizontal="center" vertical="top"/>
    </xf>
    <xf numFmtId="0" fontId="4" fillId="6" borderId="16" xfId="0" applyFont="1" applyFill="1" applyBorder="1" applyAlignment="1">
      <alignment horizontal="center" vertical="center" wrapText="1"/>
    </xf>
    <xf numFmtId="0" fontId="4" fillId="6" borderId="23" xfId="0" applyFont="1" applyFill="1" applyBorder="1" applyAlignment="1">
      <alignment horizontal="center" vertical="center" wrapText="1"/>
    </xf>
    <xf numFmtId="0" fontId="2" fillId="0" borderId="18" xfId="0" applyFont="1" applyBorder="1" applyAlignment="1">
      <alignment vertical="top"/>
    </xf>
    <xf numFmtId="0" fontId="2" fillId="6" borderId="66" xfId="0" applyFont="1" applyFill="1" applyBorder="1" applyAlignment="1">
      <alignment horizontal="center" vertical="top"/>
    </xf>
    <xf numFmtId="0" fontId="2" fillId="6" borderId="71" xfId="0" applyFont="1" applyFill="1" applyBorder="1" applyAlignment="1">
      <alignment horizontal="center" vertical="top"/>
    </xf>
    <xf numFmtId="165" fontId="4" fillId="3" borderId="49" xfId="0" applyNumberFormat="1" applyFont="1" applyFill="1" applyBorder="1" applyAlignment="1">
      <alignment horizontal="center" vertical="top"/>
    </xf>
    <xf numFmtId="0" fontId="4" fillId="0" borderId="55" xfId="0" applyNumberFormat="1" applyFont="1" applyBorder="1" applyAlignment="1">
      <alignment horizontal="center" vertical="top"/>
    </xf>
    <xf numFmtId="0" fontId="2" fillId="0" borderId="55" xfId="0" applyFont="1" applyBorder="1" applyAlignment="1">
      <alignment horizontal="center" vertical="top"/>
    </xf>
    <xf numFmtId="0" fontId="2" fillId="0" borderId="55" xfId="0" applyFont="1" applyFill="1" applyBorder="1" applyAlignment="1">
      <alignment vertical="top"/>
    </xf>
    <xf numFmtId="0" fontId="2" fillId="0" borderId="0" xfId="0" applyFont="1" applyFill="1" applyBorder="1" applyAlignment="1">
      <alignment vertical="top"/>
    </xf>
    <xf numFmtId="165" fontId="2" fillId="6" borderId="17" xfId="0" applyNumberFormat="1" applyFont="1" applyFill="1" applyBorder="1" applyAlignment="1">
      <alignment horizontal="center" vertical="top"/>
    </xf>
    <xf numFmtId="3" fontId="2" fillId="6" borderId="78" xfId="0" applyNumberFormat="1" applyFont="1" applyFill="1" applyBorder="1" applyAlignment="1">
      <alignment horizontal="center" vertical="top" wrapText="1"/>
    </xf>
    <xf numFmtId="3" fontId="2" fillId="6" borderId="77" xfId="1" applyNumberFormat="1" applyFont="1" applyFill="1" applyBorder="1" applyAlignment="1">
      <alignment horizontal="center" vertical="top" wrapText="1"/>
    </xf>
    <xf numFmtId="3" fontId="4" fillId="6" borderId="16" xfId="0" applyNumberFormat="1" applyFont="1" applyFill="1" applyBorder="1" applyAlignment="1">
      <alignment horizontal="center" vertical="top" wrapText="1"/>
    </xf>
    <xf numFmtId="3" fontId="4" fillId="6" borderId="13" xfId="0" applyNumberFormat="1" applyFont="1" applyFill="1" applyBorder="1" applyAlignment="1">
      <alignment horizontal="center" vertical="top" wrapText="1"/>
    </xf>
    <xf numFmtId="165" fontId="4" fillId="8" borderId="86" xfId="0" applyNumberFormat="1" applyFont="1" applyFill="1" applyBorder="1" applyAlignment="1">
      <alignment horizontal="center" vertical="top"/>
    </xf>
    <xf numFmtId="49" fontId="4" fillId="0" borderId="0" xfId="0" applyNumberFormat="1" applyFont="1" applyFill="1" applyBorder="1" applyAlignment="1">
      <alignment horizontal="center" vertical="top" wrapText="1"/>
    </xf>
    <xf numFmtId="165" fontId="2" fillId="6" borderId="42" xfId="0" applyNumberFormat="1" applyFont="1" applyFill="1" applyBorder="1" applyAlignment="1">
      <alignment horizontal="center" vertical="top"/>
    </xf>
    <xf numFmtId="0" fontId="2" fillId="0" borderId="8" xfId="0" applyFont="1" applyBorder="1" applyAlignment="1">
      <alignment vertical="top"/>
    </xf>
    <xf numFmtId="0" fontId="2" fillId="0" borderId="45" xfId="0" applyFont="1" applyBorder="1" applyAlignment="1">
      <alignment vertical="top"/>
    </xf>
    <xf numFmtId="165" fontId="2" fillId="6" borderId="73" xfId="0" applyNumberFormat="1" applyFont="1" applyFill="1" applyBorder="1" applyAlignment="1">
      <alignment horizontal="center" vertical="top"/>
    </xf>
    <xf numFmtId="165" fontId="2" fillId="6" borderId="6" xfId="0" applyNumberFormat="1" applyFont="1" applyFill="1" applyBorder="1" applyAlignment="1">
      <alignment horizontal="center" vertical="top"/>
    </xf>
    <xf numFmtId="165" fontId="2" fillId="6" borderId="89" xfId="0" applyNumberFormat="1" applyFont="1" applyFill="1" applyBorder="1" applyAlignment="1">
      <alignment horizontal="center" vertical="top"/>
    </xf>
    <xf numFmtId="165" fontId="2" fillId="6" borderId="43" xfId="0" applyNumberFormat="1" applyFont="1" applyFill="1" applyBorder="1" applyAlignment="1">
      <alignment horizontal="center" vertical="top"/>
    </xf>
    <xf numFmtId="3" fontId="2" fillId="2" borderId="6" xfId="0" applyNumberFormat="1" applyFont="1" applyFill="1" applyBorder="1" applyAlignment="1">
      <alignment horizontal="right" vertical="top"/>
    </xf>
    <xf numFmtId="165" fontId="2" fillId="6" borderId="35" xfId="0" applyNumberFormat="1" applyFont="1" applyFill="1" applyBorder="1" applyAlignment="1">
      <alignment horizontal="center" vertical="top"/>
    </xf>
    <xf numFmtId="165" fontId="2" fillId="6" borderId="22" xfId="0" applyNumberFormat="1" applyFont="1" applyFill="1" applyBorder="1" applyAlignment="1">
      <alignment horizontal="center" vertical="top"/>
    </xf>
    <xf numFmtId="0" fontId="2" fillId="6" borderId="9" xfId="0" applyFont="1" applyFill="1" applyBorder="1" applyAlignment="1">
      <alignment horizontal="center" vertical="top"/>
    </xf>
    <xf numFmtId="165" fontId="2" fillId="6" borderId="9" xfId="0" applyNumberFormat="1" applyFont="1" applyFill="1" applyBorder="1" applyAlignment="1">
      <alignment horizontal="center" vertical="top" wrapText="1"/>
    </xf>
    <xf numFmtId="165" fontId="2" fillId="6" borderId="16" xfId="0" applyNumberFormat="1" applyFont="1" applyFill="1" applyBorder="1" applyAlignment="1">
      <alignment horizontal="center" vertical="top"/>
    </xf>
    <xf numFmtId="165" fontId="2" fillId="6" borderId="13" xfId="0" applyNumberFormat="1" applyFont="1" applyFill="1" applyBorder="1" applyAlignment="1">
      <alignment horizontal="center" vertical="top"/>
    </xf>
    <xf numFmtId="165" fontId="2" fillId="6" borderId="25" xfId="0" applyNumberFormat="1" applyFont="1" applyFill="1" applyBorder="1" applyAlignment="1">
      <alignment horizontal="center" vertical="top"/>
    </xf>
    <xf numFmtId="0" fontId="2" fillId="6" borderId="13" xfId="0" applyFont="1" applyFill="1" applyBorder="1" applyAlignment="1">
      <alignment horizontal="center" vertical="top"/>
    </xf>
    <xf numFmtId="165" fontId="2" fillId="6" borderId="13" xfId="0" applyNumberFormat="1" applyFont="1" applyFill="1" applyBorder="1" applyAlignment="1">
      <alignment horizontal="center" vertical="top" wrapText="1"/>
    </xf>
    <xf numFmtId="165" fontId="2" fillId="6" borderId="29" xfId="0" applyNumberFormat="1" applyFont="1" applyFill="1" applyBorder="1" applyAlignment="1">
      <alignment horizontal="center" vertical="top" wrapText="1"/>
    </xf>
    <xf numFmtId="0" fontId="2" fillId="0" borderId="15" xfId="0" applyFont="1" applyBorder="1" applyAlignment="1">
      <alignment vertical="top"/>
    </xf>
    <xf numFmtId="165" fontId="2" fillId="6" borderId="70" xfId="0" applyNumberFormat="1" applyFont="1" applyFill="1" applyBorder="1" applyAlignment="1">
      <alignment horizontal="center" vertical="top"/>
    </xf>
    <xf numFmtId="165" fontId="2" fillId="6" borderId="80" xfId="0" applyNumberFormat="1" applyFont="1" applyFill="1" applyBorder="1" applyAlignment="1">
      <alignment horizontal="center" vertical="top"/>
    </xf>
    <xf numFmtId="165" fontId="2" fillId="6" borderId="61" xfId="0" applyNumberFormat="1" applyFont="1" applyFill="1" applyBorder="1" applyAlignment="1">
      <alignment horizontal="center" vertical="top"/>
    </xf>
    <xf numFmtId="165" fontId="2" fillId="6" borderId="12" xfId="0" applyNumberFormat="1" applyFont="1" applyFill="1" applyBorder="1" applyAlignment="1">
      <alignment horizontal="center" vertical="top"/>
    </xf>
    <xf numFmtId="165" fontId="2" fillId="6" borderId="11" xfId="0" applyNumberFormat="1" applyFont="1" applyFill="1" applyBorder="1" applyAlignment="1">
      <alignment horizontal="center" vertical="top"/>
    </xf>
    <xf numFmtId="165" fontId="4" fillId="8" borderId="92" xfId="0" applyNumberFormat="1" applyFont="1" applyFill="1" applyBorder="1" applyAlignment="1">
      <alignment horizontal="center" vertical="top"/>
    </xf>
    <xf numFmtId="165" fontId="4" fillId="8" borderId="3" xfId="0" applyNumberFormat="1" applyFont="1" applyFill="1" applyBorder="1" applyAlignment="1">
      <alignment horizontal="center" vertical="top"/>
    </xf>
    <xf numFmtId="165" fontId="4" fillId="3" borderId="53" xfId="0" applyNumberFormat="1" applyFont="1" applyFill="1" applyBorder="1" applyAlignment="1">
      <alignment horizontal="center" vertical="top"/>
    </xf>
    <xf numFmtId="165" fontId="2" fillId="6" borderId="7" xfId="0" applyNumberFormat="1" applyFont="1" applyFill="1" applyBorder="1" applyAlignment="1">
      <alignment horizontal="center" vertical="top"/>
    </xf>
    <xf numFmtId="165" fontId="4" fillId="3" borderId="46" xfId="0" applyNumberFormat="1" applyFont="1" applyFill="1" applyBorder="1" applyAlignment="1">
      <alignment horizontal="center" vertical="top"/>
    </xf>
    <xf numFmtId="165" fontId="2" fillId="6" borderId="20" xfId="0" applyNumberFormat="1" applyFont="1" applyFill="1" applyBorder="1" applyAlignment="1">
      <alignment horizontal="center" vertical="top"/>
    </xf>
    <xf numFmtId="165" fontId="4" fillId="8" borderId="84" xfId="0" applyNumberFormat="1" applyFont="1" applyFill="1" applyBorder="1" applyAlignment="1">
      <alignment horizontal="center" vertical="top"/>
    </xf>
    <xf numFmtId="165" fontId="4" fillId="3" borderId="4" xfId="0" applyNumberFormat="1" applyFont="1" applyFill="1" applyBorder="1" applyAlignment="1">
      <alignment horizontal="center" vertical="top"/>
    </xf>
    <xf numFmtId="3" fontId="2" fillId="6" borderId="84" xfId="0" applyNumberFormat="1" applyFont="1" applyFill="1" applyBorder="1" applyAlignment="1">
      <alignment horizontal="center" vertical="top"/>
    </xf>
    <xf numFmtId="165" fontId="4" fillId="3" borderId="98" xfId="0" applyNumberFormat="1" applyFont="1" applyFill="1" applyBorder="1" applyAlignment="1">
      <alignment horizontal="center" vertical="top"/>
    </xf>
    <xf numFmtId="165" fontId="4" fillId="8" borderId="76" xfId="0" applyNumberFormat="1" applyFont="1" applyFill="1" applyBorder="1" applyAlignment="1">
      <alignment horizontal="center" vertical="top"/>
    </xf>
    <xf numFmtId="165" fontId="4" fillId="3" borderId="59" xfId="0" applyNumberFormat="1" applyFont="1" applyFill="1" applyBorder="1" applyAlignment="1">
      <alignment horizontal="center" vertical="top"/>
    </xf>
    <xf numFmtId="165" fontId="4" fillId="9" borderId="92" xfId="0" applyNumberFormat="1" applyFont="1" applyFill="1" applyBorder="1" applyAlignment="1">
      <alignment horizontal="center" vertical="top"/>
    </xf>
    <xf numFmtId="165" fontId="4" fillId="10" borderId="46" xfId="0" applyNumberFormat="1" applyFont="1" applyFill="1" applyBorder="1" applyAlignment="1">
      <alignment horizontal="center" vertical="top"/>
    </xf>
    <xf numFmtId="165" fontId="4" fillId="4" borderId="46" xfId="0" applyNumberFormat="1" applyFont="1" applyFill="1" applyBorder="1" applyAlignment="1">
      <alignment horizontal="center" vertical="top"/>
    </xf>
    <xf numFmtId="165" fontId="4" fillId="10" borderId="4" xfId="0" applyNumberFormat="1" applyFont="1" applyFill="1" applyBorder="1" applyAlignment="1">
      <alignment horizontal="center" vertical="top"/>
    </xf>
    <xf numFmtId="165" fontId="4" fillId="4" borderId="4" xfId="0" applyNumberFormat="1" applyFont="1" applyFill="1" applyBorder="1" applyAlignment="1">
      <alignment horizontal="center" vertical="top"/>
    </xf>
    <xf numFmtId="3" fontId="4" fillId="6" borderId="5" xfId="0" applyNumberFormat="1" applyFont="1" applyFill="1" applyBorder="1" applyAlignment="1">
      <alignment horizontal="center" vertical="top" wrapText="1"/>
    </xf>
    <xf numFmtId="3" fontId="4" fillId="6" borderId="8" xfId="0" applyNumberFormat="1" applyFont="1" applyFill="1" applyBorder="1" applyAlignment="1">
      <alignment horizontal="center" vertical="top" wrapText="1"/>
    </xf>
    <xf numFmtId="3" fontId="2" fillId="6" borderId="5" xfId="0" applyNumberFormat="1" applyFont="1" applyFill="1" applyBorder="1" applyAlignment="1">
      <alignment horizontal="center" vertical="top" wrapText="1"/>
    </xf>
    <xf numFmtId="3" fontId="2" fillId="6" borderId="8" xfId="0" applyNumberFormat="1" applyFont="1" applyFill="1" applyBorder="1" applyAlignment="1">
      <alignment horizontal="center" vertical="top" wrapText="1"/>
    </xf>
    <xf numFmtId="3" fontId="2" fillId="6" borderId="18" xfId="0" applyNumberFormat="1" applyFont="1" applyFill="1" applyBorder="1" applyAlignment="1">
      <alignment horizontal="center" vertical="top" wrapText="1"/>
    </xf>
    <xf numFmtId="0" fontId="2" fillId="6" borderId="18" xfId="0" applyFont="1" applyFill="1" applyBorder="1" applyAlignment="1">
      <alignment vertical="top" wrapText="1"/>
    </xf>
    <xf numFmtId="0" fontId="2" fillId="6" borderId="89" xfId="1" applyFont="1" applyFill="1" applyBorder="1" applyAlignment="1">
      <alignment vertical="top" wrapText="1"/>
    </xf>
    <xf numFmtId="0" fontId="2" fillId="6" borderId="99" xfId="0" applyFont="1" applyFill="1" applyBorder="1" applyAlignment="1">
      <alignment horizontal="left" vertical="top" wrapText="1"/>
    </xf>
    <xf numFmtId="0" fontId="13" fillId="6" borderId="5" xfId="0" applyFont="1" applyFill="1" applyBorder="1" applyAlignment="1">
      <alignment horizontal="left" vertical="top" wrapText="1"/>
    </xf>
    <xf numFmtId="0" fontId="2" fillId="6" borderId="89" xfId="0" applyFont="1" applyFill="1" applyBorder="1" applyAlignment="1">
      <alignment horizontal="left" vertical="top" wrapText="1"/>
    </xf>
    <xf numFmtId="0" fontId="13" fillId="6" borderId="72" xfId="0" applyFont="1" applyFill="1" applyBorder="1" applyAlignment="1">
      <alignment vertical="top" wrapText="1"/>
    </xf>
    <xf numFmtId="0" fontId="2" fillId="6" borderId="89" xfId="0" applyFont="1" applyFill="1" applyBorder="1" applyAlignment="1">
      <alignment vertical="top" wrapText="1"/>
    </xf>
    <xf numFmtId="3" fontId="2" fillId="6" borderId="77" xfId="1" applyNumberFormat="1" applyFont="1" applyFill="1" applyBorder="1" applyAlignment="1">
      <alignment horizontal="center" vertical="top"/>
    </xf>
    <xf numFmtId="3" fontId="2" fillId="6" borderId="45" xfId="1" applyNumberFormat="1" applyFont="1" applyFill="1" applyBorder="1" applyAlignment="1">
      <alignment horizontal="center" vertical="top"/>
    </xf>
    <xf numFmtId="0" fontId="2" fillId="6" borderId="73" xfId="0" applyFont="1" applyFill="1" applyBorder="1" applyAlignment="1">
      <alignment vertical="top" wrapText="1"/>
    </xf>
    <xf numFmtId="0" fontId="2" fillId="6" borderId="100" xfId="0" applyFont="1" applyFill="1" applyBorder="1" applyAlignment="1">
      <alignment vertical="top" wrapText="1"/>
    </xf>
    <xf numFmtId="0" fontId="2" fillId="6" borderId="99" xfId="1" applyFont="1" applyFill="1" applyBorder="1" applyAlignment="1">
      <alignment horizontal="left" vertical="top" wrapText="1"/>
    </xf>
    <xf numFmtId="0" fontId="2" fillId="6" borderId="99" xfId="0" applyFont="1" applyFill="1" applyBorder="1" applyAlignment="1">
      <alignment vertical="top" wrapText="1"/>
    </xf>
    <xf numFmtId="0" fontId="2" fillId="6" borderId="87" xfId="0" applyFont="1" applyFill="1" applyBorder="1" applyAlignment="1">
      <alignment horizontal="left" vertical="top" wrapText="1"/>
    </xf>
    <xf numFmtId="165" fontId="2" fillId="6" borderId="77" xfId="0" applyNumberFormat="1" applyFont="1" applyFill="1" applyBorder="1" applyAlignment="1">
      <alignment horizontal="center" vertical="top" wrapText="1"/>
    </xf>
    <xf numFmtId="0" fontId="2" fillId="6" borderId="77" xfId="0" applyFont="1" applyFill="1" applyBorder="1" applyAlignment="1">
      <alignment horizontal="center" vertical="top"/>
    </xf>
    <xf numFmtId="0" fontId="2" fillId="6" borderId="79" xfId="0" applyFont="1" applyFill="1" applyBorder="1" applyAlignment="1">
      <alignment horizontal="center" vertical="top"/>
    </xf>
    <xf numFmtId="0" fontId="2" fillId="6" borderId="78" xfId="0" applyFont="1" applyFill="1" applyBorder="1" applyAlignment="1">
      <alignment horizontal="center" vertical="top"/>
    </xf>
    <xf numFmtId="0" fontId="2" fillId="6" borderId="75" xfId="0" applyFont="1" applyFill="1" applyBorder="1" applyAlignment="1">
      <alignment horizontal="center" vertical="top"/>
    </xf>
    <xf numFmtId="0" fontId="2" fillId="6" borderId="74" xfId="0" applyFont="1" applyFill="1" applyBorder="1" applyAlignment="1">
      <alignment horizontal="center" vertical="top"/>
    </xf>
    <xf numFmtId="0" fontId="2" fillId="6" borderId="42" xfId="0" applyFont="1" applyFill="1" applyBorder="1" applyAlignment="1">
      <alignment horizontal="center" vertical="top"/>
    </xf>
    <xf numFmtId="1" fontId="2" fillId="6" borderId="42" xfId="0" applyNumberFormat="1" applyFont="1" applyFill="1" applyBorder="1" applyAlignment="1">
      <alignment horizontal="center" vertical="top" wrapText="1"/>
    </xf>
    <xf numFmtId="0" fontId="2" fillId="0" borderId="74" xfId="0" applyFont="1" applyBorder="1" applyAlignment="1">
      <alignment horizontal="center" vertical="top"/>
    </xf>
    <xf numFmtId="165" fontId="2" fillId="6" borderId="50" xfId="0" applyNumberFormat="1" applyFont="1" applyFill="1" applyBorder="1" applyAlignment="1">
      <alignment horizontal="center" vertical="top"/>
    </xf>
    <xf numFmtId="0" fontId="2" fillId="6" borderId="45" xfId="0" applyNumberFormat="1" applyFont="1" applyFill="1" applyBorder="1" applyAlignment="1">
      <alignment horizontal="center" vertical="top" wrapText="1"/>
    </xf>
    <xf numFmtId="49" fontId="4" fillId="10" borderId="22"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wrapText="1"/>
    </xf>
    <xf numFmtId="3" fontId="2" fillId="6" borderId="9" xfId="0" applyNumberFormat="1" applyFont="1" applyFill="1" applyBorder="1" applyAlignment="1">
      <alignment horizontal="center" vertical="top" wrapText="1"/>
    </xf>
    <xf numFmtId="3" fontId="2" fillId="6" borderId="68" xfId="0" applyNumberFormat="1" applyFont="1" applyFill="1" applyBorder="1" applyAlignment="1">
      <alignment horizontal="center" vertical="top" wrapText="1"/>
    </xf>
    <xf numFmtId="3" fontId="2" fillId="6" borderId="22" xfId="0" applyNumberFormat="1" applyFont="1" applyFill="1" applyBorder="1" applyAlignment="1">
      <alignment horizontal="center" vertical="top" wrapText="1"/>
    </xf>
    <xf numFmtId="3" fontId="2" fillId="6" borderId="63" xfId="0" applyNumberFormat="1" applyFont="1" applyFill="1" applyBorder="1" applyAlignment="1">
      <alignment horizontal="center" vertical="top" wrapText="1"/>
    </xf>
    <xf numFmtId="3" fontId="2" fillId="6" borderId="67"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wrapText="1"/>
    </xf>
    <xf numFmtId="3" fontId="2" fillId="6" borderId="13" xfId="0" applyNumberFormat="1" applyFont="1" applyFill="1" applyBorder="1" applyAlignment="1">
      <alignment horizontal="center" vertical="top" wrapText="1"/>
    </xf>
    <xf numFmtId="3" fontId="2" fillId="6" borderId="69" xfId="0" applyNumberFormat="1" applyFont="1" applyFill="1" applyBorder="1" applyAlignment="1">
      <alignment horizontal="center" vertical="top" wrapText="1"/>
    </xf>
    <xf numFmtId="3" fontId="2" fillId="6" borderId="25" xfId="0" applyNumberFormat="1" applyFont="1" applyFill="1" applyBorder="1" applyAlignment="1">
      <alignment horizontal="center" vertical="top" wrapText="1"/>
    </xf>
    <xf numFmtId="3" fontId="2" fillId="6" borderId="101" xfId="0" applyNumberFormat="1" applyFont="1" applyFill="1" applyBorder="1" applyAlignment="1">
      <alignment horizontal="center" vertical="top" wrapText="1"/>
    </xf>
    <xf numFmtId="3" fontId="2" fillId="6" borderId="70" xfId="0" applyNumberFormat="1" applyFont="1" applyFill="1" applyBorder="1" applyAlignment="1">
      <alignment horizontal="center" vertical="top" wrapText="1"/>
    </xf>
    <xf numFmtId="3" fontId="2" fillId="6" borderId="35" xfId="0" applyNumberFormat="1" applyFont="1" applyFill="1" applyBorder="1" applyAlignment="1">
      <alignment horizontal="center" vertical="top"/>
    </xf>
    <xf numFmtId="3" fontId="2" fillId="6" borderId="22" xfId="0" applyNumberFormat="1" applyFont="1" applyFill="1" applyBorder="1" applyAlignment="1">
      <alignment horizontal="center" vertical="top"/>
    </xf>
    <xf numFmtId="3" fontId="2" fillId="6" borderId="9" xfId="0" applyNumberFormat="1" applyFont="1" applyFill="1" applyBorder="1" applyAlignment="1">
      <alignment horizontal="center" vertical="top"/>
    </xf>
    <xf numFmtId="3" fontId="2" fillId="6" borderId="9" xfId="1" applyNumberFormat="1" applyFont="1" applyFill="1" applyBorder="1" applyAlignment="1">
      <alignment horizontal="center" vertical="top"/>
    </xf>
    <xf numFmtId="0" fontId="2" fillId="6" borderId="22" xfId="0" applyFont="1" applyFill="1" applyBorder="1" applyAlignment="1">
      <alignment horizontal="center" vertical="top"/>
    </xf>
    <xf numFmtId="3" fontId="2" fillId="6" borderId="16" xfId="0" applyNumberFormat="1" applyFont="1" applyFill="1" applyBorder="1" applyAlignment="1">
      <alignment horizontal="center" vertical="top"/>
    </xf>
    <xf numFmtId="3" fontId="2" fillId="6" borderId="25" xfId="0" applyNumberFormat="1" applyFont="1" applyFill="1" applyBorder="1" applyAlignment="1">
      <alignment horizontal="center" vertical="top"/>
    </xf>
    <xf numFmtId="3" fontId="2" fillId="6" borderId="13" xfId="0" applyNumberFormat="1" applyFont="1" applyFill="1" applyBorder="1" applyAlignment="1">
      <alignment horizontal="center" vertical="top"/>
    </xf>
    <xf numFmtId="0" fontId="2" fillId="6" borderId="25" xfId="0" applyFont="1" applyFill="1" applyBorder="1" applyAlignment="1">
      <alignment horizontal="center" vertical="top"/>
    </xf>
    <xf numFmtId="0" fontId="2" fillId="6" borderId="67" xfId="0" applyNumberFormat="1" applyFont="1" applyFill="1" applyBorder="1" applyAlignment="1">
      <alignment horizontal="center" vertical="top" wrapText="1"/>
    </xf>
    <xf numFmtId="1" fontId="2" fillId="6" borderId="9" xfId="0" applyNumberFormat="1" applyFont="1" applyFill="1" applyBorder="1" applyAlignment="1">
      <alignment horizontal="center" vertical="top" wrapText="1"/>
    </xf>
    <xf numFmtId="0" fontId="2" fillId="6" borderId="70" xfId="0" applyNumberFormat="1" applyFont="1" applyFill="1" applyBorder="1" applyAlignment="1">
      <alignment horizontal="center" vertical="top" wrapText="1"/>
    </xf>
    <xf numFmtId="165" fontId="2" fillId="6" borderId="61" xfId="0" applyNumberFormat="1" applyFont="1" applyFill="1" applyBorder="1" applyAlignment="1">
      <alignment horizontal="center" vertical="top" wrapText="1"/>
    </xf>
    <xf numFmtId="3" fontId="2" fillId="6" borderId="61" xfId="0" applyNumberFormat="1" applyFont="1" applyFill="1" applyBorder="1" applyAlignment="1">
      <alignment horizontal="center" vertical="top" wrapText="1"/>
    </xf>
    <xf numFmtId="3" fontId="2" fillId="6" borderId="9" xfId="1" applyNumberFormat="1" applyFont="1" applyFill="1" applyBorder="1" applyAlignment="1">
      <alignment horizontal="center" vertical="top" wrapText="1"/>
    </xf>
    <xf numFmtId="3" fontId="2" fillId="6" borderId="92" xfId="0" applyNumberFormat="1" applyFont="1" applyFill="1" applyBorder="1" applyAlignment="1">
      <alignment horizontal="center" vertical="top"/>
    </xf>
    <xf numFmtId="3" fontId="2" fillId="6" borderId="62" xfId="1" applyNumberFormat="1" applyFont="1" applyFill="1" applyBorder="1" applyAlignment="1">
      <alignment horizontal="center" vertical="top" wrapText="1"/>
    </xf>
    <xf numFmtId="3" fontId="2" fillId="6" borderId="62" xfId="0" applyNumberFormat="1" applyFont="1" applyFill="1" applyBorder="1" applyAlignment="1">
      <alignment horizontal="center" vertical="top" wrapText="1"/>
    </xf>
    <xf numFmtId="3" fontId="2" fillId="6" borderId="101" xfId="1" applyNumberFormat="1" applyFont="1" applyFill="1" applyBorder="1" applyAlignment="1">
      <alignment horizontal="center" vertical="top"/>
    </xf>
    <xf numFmtId="3" fontId="2" fillId="6" borderId="65" xfId="0" applyNumberFormat="1" applyFont="1" applyFill="1" applyBorder="1" applyAlignment="1">
      <alignment horizontal="center" vertical="top" wrapText="1"/>
    </xf>
    <xf numFmtId="1" fontId="2" fillId="6" borderId="61" xfId="0" applyNumberFormat="1" applyFont="1" applyFill="1" applyBorder="1" applyAlignment="1">
      <alignment horizontal="center" vertical="top" wrapText="1"/>
    </xf>
    <xf numFmtId="1" fontId="2" fillId="6" borderId="62" xfId="0" applyNumberFormat="1" applyFont="1" applyFill="1" applyBorder="1" applyAlignment="1">
      <alignment horizontal="center" vertical="top" wrapText="1"/>
    </xf>
    <xf numFmtId="165" fontId="2" fillId="6" borderId="65" xfId="0" applyNumberFormat="1" applyFont="1" applyFill="1" applyBorder="1" applyAlignment="1">
      <alignment horizontal="center" vertical="top" wrapText="1"/>
    </xf>
    <xf numFmtId="0" fontId="2" fillId="6" borderId="63" xfId="0" applyFont="1" applyFill="1" applyBorder="1" applyAlignment="1">
      <alignment horizontal="center" vertical="top"/>
    </xf>
    <xf numFmtId="0" fontId="2" fillId="6" borderId="65" xfId="0" applyFont="1" applyFill="1" applyBorder="1" applyAlignment="1">
      <alignment horizontal="center" vertical="top"/>
    </xf>
    <xf numFmtId="164" fontId="2" fillId="6" borderId="96" xfId="0" applyNumberFormat="1" applyFont="1" applyFill="1" applyBorder="1" applyAlignment="1">
      <alignment horizontal="center" vertical="center" wrapText="1"/>
    </xf>
    <xf numFmtId="165" fontId="2" fillId="6" borderId="103" xfId="0" applyNumberFormat="1" applyFont="1" applyFill="1" applyBorder="1" applyAlignment="1">
      <alignment horizontal="center" vertical="top" wrapText="1"/>
    </xf>
    <xf numFmtId="165" fontId="2" fillId="6" borderId="96" xfId="0" applyNumberFormat="1" applyFont="1" applyFill="1" applyBorder="1" applyAlignment="1">
      <alignment horizontal="center" vertical="top" wrapText="1"/>
    </xf>
    <xf numFmtId="1" fontId="2" fillId="6" borderId="90" xfId="0" applyNumberFormat="1" applyFont="1" applyFill="1" applyBorder="1" applyAlignment="1">
      <alignment horizontal="center" vertical="top" wrapText="1"/>
    </xf>
    <xf numFmtId="0" fontId="2" fillId="6" borderId="96" xfId="0" applyFont="1" applyFill="1" applyBorder="1" applyAlignment="1">
      <alignment horizontal="center" vertical="top"/>
    </xf>
    <xf numFmtId="0" fontId="2" fillId="6" borderId="103" xfId="0" applyFont="1" applyFill="1" applyBorder="1" applyAlignment="1">
      <alignment horizontal="center" vertical="top"/>
    </xf>
    <xf numFmtId="3" fontId="2" fillId="6" borderId="94" xfId="0" applyNumberFormat="1" applyFont="1" applyFill="1" applyBorder="1" applyAlignment="1">
      <alignment horizontal="center" vertical="top"/>
    </xf>
    <xf numFmtId="0" fontId="2" fillId="6" borderId="61" xfId="0" applyFont="1" applyFill="1" applyBorder="1" applyAlignment="1">
      <alignment horizontal="center" vertical="top"/>
    </xf>
    <xf numFmtId="0" fontId="2" fillId="6" borderId="35" xfId="0" applyFont="1" applyFill="1" applyBorder="1" applyAlignment="1">
      <alignment horizontal="center" vertical="top"/>
    </xf>
    <xf numFmtId="0" fontId="2" fillId="6" borderId="68" xfId="0" applyFont="1" applyFill="1" applyBorder="1" applyAlignment="1">
      <alignment horizontal="center" vertical="top"/>
    </xf>
    <xf numFmtId="0" fontId="2" fillId="6" borderId="67" xfId="0" applyFont="1" applyFill="1" applyBorder="1" applyAlignment="1">
      <alignment horizontal="center" vertical="top"/>
    </xf>
    <xf numFmtId="0" fontId="2" fillId="6" borderId="62" xfId="0" applyFont="1" applyFill="1" applyBorder="1" applyAlignment="1">
      <alignment horizontal="center" vertical="top"/>
    </xf>
    <xf numFmtId="0" fontId="2" fillId="6" borderId="102" xfId="0" applyFont="1" applyFill="1" applyBorder="1" applyAlignment="1">
      <alignment horizontal="center" vertical="top"/>
    </xf>
    <xf numFmtId="0" fontId="2" fillId="6" borderId="16" xfId="0" applyFont="1" applyFill="1" applyBorder="1" applyAlignment="1">
      <alignment horizontal="center" vertical="top"/>
    </xf>
    <xf numFmtId="0" fontId="2" fillId="6" borderId="70" xfId="0" applyFont="1" applyFill="1" applyBorder="1" applyAlignment="1">
      <alignment horizontal="center" vertical="top"/>
    </xf>
    <xf numFmtId="1" fontId="2" fillId="6" borderId="35" xfId="0" applyNumberFormat="1" applyFont="1" applyFill="1" applyBorder="1" applyAlignment="1">
      <alignment horizontal="center" vertical="top" wrapText="1"/>
    </xf>
    <xf numFmtId="0" fontId="2" fillId="0" borderId="68" xfId="0" applyFont="1" applyBorder="1" applyAlignment="1">
      <alignment horizontal="center" vertical="top"/>
    </xf>
    <xf numFmtId="3" fontId="2" fillId="6" borderId="61" xfId="0" applyNumberFormat="1" applyFont="1" applyFill="1" applyBorder="1" applyAlignment="1">
      <alignment horizontal="center" vertical="top"/>
    </xf>
    <xf numFmtId="3" fontId="2" fillId="6" borderId="67" xfId="0" applyNumberFormat="1" applyFont="1" applyFill="1" applyBorder="1" applyAlignment="1">
      <alignment horizontal="center" vertical="top"/>
    </xf>
    <xf numFmtId="3" fontId="2" fillId="6" borderId="65" xfId="0" applyNumberFormat="1" applyFont="1" applyFill="1" applyBorder="1" applyAlignment="1">
      <alignment horizontal="center" vertical="top"/>
    </xf>
    <xf numFmtId="164" fontId="2" fillId="6" borderId="67" xfId="0" applyNumberFormat="1" applyFont="1" applyFill="1" applyBorder="1" applyAlignment="1">
      <alignment horizontal="center" vertical="top"/>
    </xf>
    <xf numFmtId="1" fontId="2" fillId="6" borderId="16" xfId="0" applyNumberFormat="1" applyFont="1" applyFill="1" applyBorder="1" applyAlignment="1">
      <alignment horizontal="center" vertical="top" wrapText="1"/>
    </xf>
    <xf numFmtId="0" fontId="2" fillId="0" borderId="69" xfId="0" applyFont="1" applyBorder="1" applyAlignment="1">
      <alignment horizontal="center" vertical="top"/>
    </xf>
    <xf numFmtId="3" fontId="2" fillId="6" borderId="62"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102" xfId="0" applyNumberFormat="1" applyFont="1" applyFill="1" applyBorder="1" applyAlignment="1">
      <alignment horizontal="center" vertical="top"/>
    </xf>
    <xf numFmtId="164" fontId="2" fillId="6" borderId="70" xfId="0" applyNumberFormat="1" applyFont="1" applyFill="1" applyBorder="1" applyAlignment="1">
      <alignment horizontal="center" vertical="top"/>
    </xf>
    <xf numFmtId="3" fontId="2" fillId="6" borderId="2" xfId="0" applyNumberFormat="1" applyFont="1" applyFill="1" applyBorder="1" applyAlignment="1">
      <alignment horizontal="center" vertical="top"/>
    </xf>
    <xf numFmtId="3" fontId="2" fillId="6" borderId="7" xfId="0" applyNumberFormat="1" applyFont="1" applyFill="1" applyBorder="1" applyAlignment="1">
      <alignment horizontal="center" vertical="top"/>
    </xf>
    <xf numFmtId="0" fontId="2" fillId="6" borderId="22" xfId="0" applyNumberFormat="1" applyFont="1" applyFill="1" applyBorder="1" applyAlignment="1">
      <alignment horizontal="center" vertical="top" wrapText="1"/>
    </xf>
    <xf numFmtId="0" fontId="2" fillId="6" borderId="9" xfId="0" applyNumberFormat="1" applyFont="1" applyFill="1" applyBorder="1" applyAlignment="1">
      <alignment horizontal="center" vertical="top" wrapText="1"/>
    </xf>
    <xf numFmtId="3" fontId="2" fillId="6" borderId="20" xfId="0" applyNumberFormat="1" applyFont="1" applyFill="1" applyBorder="1" applyAlignment="1">
      <alignment horizontal="center" vertical="top"/>
    </xf>
    <xf numFmtId="0" fontId="2" fillId="6" borderId="25" xfId="0" applyNumberFormat="1" applyFont="1" applyFill="1" applyBorder="1" applyAlignment="1">
      <alignment horizontal="center" vertical="top" wrapText="1"/>
    </xf>
    <xf numFmtId="0" fontId="2" fillId="6" borderId="13" xfId="0" applyNumberFormat="1" applyFont="1" applyFill="1" applyBorder="1" applyAlignment="1">
      <alignment horizontal="center" vertical="top" wrapText="1"/>
    </xf>
    <xf numFmtId="0" fontId="2" fillId="0" borderId="92" xfId="0" applyFont="1" applyBorder="1" applyAlignment="1">
      <alignment horizontal="center" vertical="center" textRotation="90"/>
    </xf>
    <xf numFmtId="0" fontId="2" fillId="0" borderId="3" xfId="0" applyFont="1" applyBorder="1" applyAlignment="1">
      <alignment horizontal="center" vertical="center" textRotation="90"/>
    </xf>
    <xf numFmtId="0" fontId="19" fillId="0" borderId="49" xfId="0" applyFont="1" applyBorder="1" applyAlignment="1">
      <alignment horizontal="center" vertical="center" textRotation="90" wrapText="1"/>
    </xf>
    <xf numFmtId="0" fontId="19" fillId="0" borderId="46" xfId="0" applyFont="1" applyBorder="1" applyAlignment="1">
      <alignment horizontal="center" vertical="center" textRotation="90" wrapText="1"/>
    </xf>
    <xf numFmtId="0" fontId="19" fillId="0" borderId="4" xfId="0" applyFont="1" applyBorder="1" applyAlignment="1">
      <alignment horizontal="center" vertical="center" textRotation="90" wrapText="1"/>
    </xf>
    <xf numFmtId="0" fontId="19" fillId="0" borderId="53" xfId="0" applyFont="1" applyBorder="1" applyAlignment="1">
      <alignment horizontal="center" vertical="center" textRotation="90" wrapText="1"/>
    </xf>
    <xf numFmtId="165" fontId="2" fillId="0" borderId="45" xfId="0" applyNumberFormat="1" applyFont="1" applyBorder="1" applyAlignment="1">
      <alignment horizontal="center" vertical="top"/>
    </xf>
    <xf numFmtId="165" fontId="2" fillId="8" borderId="45" xfId="0" applyNumberFormat="1" applyFont="1" applyFill="1" applyBorder="1" applyAlignment="1">
      <alignment horizontal="center" vertical="top"/>
    </xf>
    <xf numFmtId="165" fontId="2" fillId="8" borderId="34" xfId="0" applyNumberFormat="1" applyFont="1" applyFill="1" applyBorder="1" applyAlignment="1">
      <alignment horizontal="center" vertical="top" wrapText="1"/>
    </xf>
    <xf numFmtId="165" fontId="2" fillId="8" borderId="2" xfId="0" applyNumberFormat="1" applyFont="1" applyFill="1" applyBorder="1" applyAlignment="1">
      <alignment horizontal="center" vertical="top" wrapText="1"/>
    </xf>
    <xf numFmtId="3" fontId="2" fillId="6" borderId="90" xfId="0" applyNumberFormat="1" applyFont="1" applyFill="1" applyBorder="1" applyAlignment="1">
      <alignment horizontal="center" vertical="top" wrapText="1"/>
    </xf>
    <xf numFmtId="3" fontId="2" fillId="6" borderId="64" xfId="0" applyNumberFormat="1" applyFont="1" applyFill="1" applyBorder="1" applyAlignment="1">
      <alignment horizontal="center" vertical="top" wrapText="1"/>
    </xf>
    <xf numFmtId="3" fontId="2" fillId="6" borderId="89" xfId="0" applyNumberFormat="1" applyFont="1" applyFill="1" applyBorder="1" applyAlignment="1">
      <alignment horizontal="center" vertical="top" wrapText="1"/>
    </xf>
    <xf numFmtId="3" fontId="2" fillId="6" borderId="88" xfId="0" applyNumberFormat="1" applyFont="1" applyFill="1" applyBorder="1" applyAlignment="1">
      <alignment horizontal="center" vertical="top"/>
    </xf>
    <xf numFmtId="165" fontId="2" fillId="6" borderId="93" xfId="0" applyNumberFormat="1" applyFont="1" applyFill="1" applyBorder="1" applyAlignment="1">
      <alignment horizontal="center" vertical="top"/>
    </xf>
    <xf numFmtId="3" fontId="4" fillId="6" borderId="38" xfId="0" applyNumberFormat="1" applyFont="1" applyFill="1" applyBorder="1" applyAlignment="1">
      <alignment horizontal="center" vertical="top"/>
    </xf>
    <xf numFmtId="3" fontId="4" fillId="6" borderId="40" xfId="0" applyNumberFormat="1" applyFont="1" applyFill="1" applyBorder="1" applyAlignment="1">
      <alignment horizontal="center" vertical="top"/>
    </xf>
    <xf numFmtId="0" fontId="4" fillId="6" borderId="0" xfId="0" applyFont="1" applyFill="1" applyBorder="1" applyAlignment="1">
      <alignment horizontal="center" vertical="center" wrapText="1"/>
    </xf>
    <xf numFmtId="3" fontId="2" fillId="6" borderId="97" xfId="0" applyNumberFormat="1" applyFont="1" applyFill="1" applyBorder="1" applyAlignment="1">
      <alignment horizontal="center" vertical="top" wrapText="1"/>
    </xf>
    <xf numFmtId="165" fontId="2" fillId="6" borderId="1" xfId="0" applyNumberFormat="1" applyFont="1" applyFill="1" applyBorder="1" applyAlignment="1">
      <alignment horizontal="center" vertical="top"/>
    </xf>
    <xf numFmtId="3" fontId="2" fillId="6" borderId="99" xfId="0" applyNumberFormat="1" applyFont="1" applyFill="1" applyBorder="1" applyAlignment="1">
      <alignment horizontal="center" vertical="top" wrapText="1"/>
    </xf>
    <xf numFmtId="49" fontId="2" fillId="6" borderId="64" xfId="0" applyNumberFormat="1" applyFont="1" applyFill="1" applyBorder="1" applyAlignment="1">
      <alignment horizontal="center" vertical="top" wrapText="1"/>
    </xf>
    <xf numFmtId="0" fontId="2" fillId="6" borderId="43" xfId="0" applyFont="1" applyFill="1" applyBorder="1" applyAlignment="1">
      <alignment horizontal="center" vertical="top"/>
    </xf>
    <xf numFmtId="0" fontId="2" fillId="6" borderId="100" xfId="0" applyFont="1" applyFill="1" applyBorder="1" applyAlignment="1">
      <alignment horizontal="center" vertical="top"/>
    </xf>
    <xf numFmtId="0" fontId="2" fillId="6" borderId="14" xfId="0" applyFont="1" applyFill="1" applyBorder="1" applyAlignment="1">
      <alignment horizontal="center" vertical="top"/>
    </xf>
    <xf numFmtId="0" fontId="2" fillId="6" borderId="24" xfId="0" applyFont="1" applyFill="1" applyBorder="1" applyAlignment="1">
      <alignment horizontal="center" vertical="top"/>
    </xf>
    <xf numFmtId="3" fontId="2" fillId="6" borderId="72" xfId="0" applyNumberFormat="1" applyFont="1" applyFill="1" applyBorder="1" applyAlignment="1">
      <alignment horizontal="center" vertical="top" wrapText="1"/>
    </xf>
    <xf numFmtId="49" fontId="4" fillId="6" borderId="25" xfId="0" applyNumberFormat="1" applyFont="1" applyFill="1" applyBorder="1" applyAlignment="1">
      <alignment horizontal="center" vertical="center"/>
    </xf>
    <xf numFmtId="3" fontId="2" fillId="6" borderId="87" xfId="0" applyNumberFormat="1" applyFont="1" applyFill="1" applyBorder="1" applyAlignment="1">
      <alignment horizontal="center" vertical="top"/>
    </xf>
    <xf numFmtId="3" fontId="2" fillId="6" borderId="29" xfId="0" applyNumberFormat="1" applyFont="1" applyFill="1" applyBorder="1" applyAlignment="1">
      <alignment horizontal="center" vertical="top" wrapText="1"/>
    </xf>
    <xf numFmtId="0" fontId="2" fillId="6" borderId="89" xfId="0" applyFont="1" applyFill="1" applyBorder="1" applyAlignment="1">
      <alignment horizontal="center" vertical="top"/>
    </xf>
    <xf numFmtId="0" fontId="2" fillId="0" borderId="102" xfId="0" applyFont="1" applyBorder="1" applyAlignment="1">
      <alignment horizontal="center" vertical="top"/>
    </xf>
    <xf numFmtId="165" fontId="2" fillId="6" borderId="100" xfId="0" applyNumberFormat="1" applyFont="1" applyFill="1" applyBorder="1" applyAlignment="1">
      <alignment horizontal="center" vertical="top"/>
    </xf>
    <xf numFmtId="165" fontId="2" fillId="6" borderId="102" xfId="0" applyNumberFormat="1" applyFont="1" applyFill="1" applyBorder="1" applyAlignment="1">
      <alignment horizontal="center" vertical="top"/>
    </xf>
    <xf numFmtId="0" fontId="2" fillId="6" borderId="74" xfId="0" applyNumberFormat="1" applyFont="1" applyFill="1" applyBorder="1" applyAlignment="1">
      <alignment horizontal="center" vertical="top" wrapText="1"/>
    </xf>
    <xf numFmtId="0" fontId="2" fillId="6" borderId="78" xfId="0" applyNumberFormat="1" applyFont="1" applyFill="1" applyBorder="1" applyAlignment="1">
      <alignment horizontal="center" vertical="top" wrapText="1"/>
    </xf>
    <xf numFmtId="165" fontId="2" fillId="6" borderId="102" xfId="0" applyNumberFormat="1" applyFont="1" applyFill="1" applyBorder="1" applyAlignment="1">
      <alignment horizontal="center" vertical="top" wrapText="1"/>
    </xf>
    <xf numFmtId="165" fontId="2" fillId="6" borderId="71" xfId="0" applyNumberFormat="1" applyFont="1" applyFill="1" applyBorder="1" applyAlignment="1">
      <alignment horizontal="center" vertical="top"/>
    </xf>
    <xf numFmtId="3" fontId="2" fillId="6" borderId="71" xfId="0" applyNumberFormat="1" applyFont="1" applyFill="1" applyBorder="1" applyAlignment="1">
      <alignment horizontal="center" vertical="top" wrapText="1"/>
    </xf>
    <xf numFmtId="3" fontId="2" fillId="6" borderId="99" xfId="1" applyNumberFormat="1" applyFont="1" applyFill="1" applyBorder="1" applyAlignment="1">
      <alignment horizontal="center" vertical="top"/>
    </xf>
    <xf numFmtId="1" fontId="2" fillId="6" borderId="89" xfId="0" applyNumberFormat="1" applyFont="1" applyFill="1" applyBorder="1" applyAlignment="1">
      <alignment horizontal="center" vertical="top" wrapText="1"/>
    </xf>
    <xf numFmtId="0" fontId="2" fillId="6" borderId="77" xfId="0" applyNumberFormat="1" applyFont="1" applyFill="1" applyBorder="1" applyAlignment="1">
      <alignment horizontal="center" vertical="top" wrapText="1"/>
    </xf>
    <xf numFmtId="165" fontId="2" fillId="6" borderId="67" xfId="0" applyNumberFormat="1" applyFont="1" applyFill="1" applyBorder="1" applyAlignment="1">
      <alignment horizontal="center" vertical="top" wrapText="1"/>
    </xf>
    <xf numFmtId="165" fontId="2" fillId="6" borderId="97" xfId="0" applyNumberFormat="1" applyFont="1" applyFill="1" applyBorder="1" applyAlignment="1">
      <alignment horizontal="center" vertical="top" wrapText="1"/>
    </xf>
    <xf numFmtId="165" fontId="2" fillId="6" borderId="75" xfId="0" applyNumberFormat="1" applyFont="1" applyFill="1" applyBorder="1" applyAlignment="1">
      <alignment horizontal="center" vertical="top" wrapText="1"/>
    </xf>
    <xf numFmtId="165" fontId="2" fillId="6" borderId="72" xfId="0" applyNumberFormat="1" applyFont="1" applyFill="1" applyBorder="1" applyAlignment="1">
      <alignment horizontal="center" vertical="top" wrapText="1"/>
    </xf>
    <xf numFmtId="165" fontId="2" fillId="6" borderId="89" xfId="0" applyNumberFormat="1" applyFont="1" applyFill="1" applyBorder="1" applyAlignment="1">
      <alignment horizontal="center" vertical="top" wrapText="1"/>
    </xf>
    <xf numFmtId="165" fontId="2" fillId="6" borderId="100" xfId="0" applyNumberFormat="1" applyFont="1" applyFill="1" applyBorder="1" applyAlignment="1">
      <alignment horizontal="center" vertical="top" wrapText="1"/>
    </xf>
    <xf numFmtId="165" fontId="2" fillId="6" borderId="62" xfId="0" applyNumberFormat="1" applyFont="1" applyFill="1" applyBorder="1" applyAlignment="1">
      <alignment horizontal="center" vertical="top"/>
    </xf>
    <xf numFmtId="165" fontId="2" fillId="6" borderId="64" xfId="0" applyNumberFormat="1" applyFont="1" applyFill="1" applyBorder="1" applyAlignment="1">
      <alignment horizontal="center" vertical="top"/>
    </xf>
    <xf numFmtId="3" fontId="2" fillId="6" borderId="89" xfId="0" applyNumberFormat="1" applyFont="1" applyFill="1" applyBorder="1" applyAlignment="1">
      <alignment horizontal="center" vertical="top"/>
    </xf>
    <xf numFmtId="3" fontId="2" fillId="6" borderId="14" xfId="0" applyNumberFormat="1" applyFont="1" applyFill="1" applyBorder="1" applyAlignment="1">
      <alignment horizontal="center" vertical="top" wrapText="1"/>
    </xf>
    <xf numFmtId="49" fontId="2" fillId="6" borderId="43" xfId="0" applyNumberFormat="1" applyFont="1" applyFill="1" applyBorder="1" applyAlignment="1">
      <alignment vertical="top" wrapText="1"/>
    </xf>
    <xf numFmtId="49" fontId="2" fillId="6" borderId="45" xfId="0" applyNumberFormat="1" applyFont="1" applyFill="1" applyBorder="1" applyAlignment="1">
      <alignment vertical="top" wrapText="1"/>
    </xf>
    <xf numFmtId="0" fontId="2" fillId="6" borderId="90" xfId="0" applyFont="1" applyFill="1" applyBorder="1" applyAlignment="1">
      <alignment horizontal="center" vertical="top"/>
    </xf>
    <xf numFmtId="0" fontId="2" fillId="0" borderId="89" xfId="0" applyFont="1" applyBorder="1" applyAlignment="1">
      <alignment horizontal="center" vertical="top"/>
    </xf>
    <xf numFmtId="0" fontId="2" fillId="6" borderId="89" xfId="0" applyFont="1" applyFill="1" applyBorder="1" applyAlignment="1">
      <alignment horizontal="center" vertical="top" wrapText="1"/>
    </xf>
    <xf numFmtId="0" fontId="2" fillId="6" borderId="100" xfId="0" applyFont="1" applyFill="1" applyBorder="1" applyAlignment="1">
      <alignment horizontal="center" vertical="top" wrapText="1"/>
    </xf>
    <xf numFmtId="165" fontId="2" fillId="6" borderId="99" xfId="0" applyNumberFormat="1" applyFont="1" applyFill="1" applyBorder="1" applyAlignment="1">
      <alignment horizontal="center" vertical="top"/>
    </xf>
    <xf numFmtId="165" fontId="2" fillId="6" borderId="67" xfId="0" applyNumberFormat="1" applyFont="1" applyFill="1" applyBorder="1" applyAlignment="1">
      <alignment horizontal="center" vertical="top"/>
    </xf>
    <xf numFmtId="165" fontId="2" fillId="6" borderId="88" xfId="0" applyNumberFormat="1" applyFont="1" applyFill="1" applyBorder="1" applyAlignment="1">
      <alignment horizontal="center" vertical="top"/>
    </xf>
    <xf numFmtId="165" fontId="2" fillId="6" borderId="106" xfId="0" applyNumberFormat="1" applyFont="1" applyFill="1" applyBorder="1" applyAlignment="1">
      <alignment horizontal="center" vertical="top"/>
    </xf>
    <xf numFmtId="0" fontId="2" fillId="6" borderId="8" xfId="0" applyFont="1" applyFill="1" applyBorder="1" applyAlignment="1">
      <alignment vertical="top"/>
    </xf>
    <xf numFmtId="0" fontId="2" fillId="6" borderId="30" xfId="0" applyFont="1" applyFill="1" applyBorder="1" applyAlignment="1">
      <alignment vertical="top"/>
    </xf>
    <xf numFmtId="0" fontId="2" fillId="6" borderId="13" xfId="0" applyFont="1" applyFill="1" applyBorder="1" applyAlignment="1">
      <alignment vertical="top"/>
    </xf>
    <xf numFmtId="0" fontId="2" fillId="6" borderId="43" xfId="0" applyFont="1" applyFill="1" applyBorder="1" applyAlignment="1">
      <alignment vertical="top"/>
    </xf>
    <xf numFmtId="0" fontId="2" fillId="6" borderId="18" xfId="0" applyFont="1" applyFill="1" applyBorder="1" applyAlignment="1">
      <alignment vertical="top"/>
    </xf>
    <xf numFmtId="0" fontId="2" fillId="6" borderId="0" xfId="0" applyFont="1" applyFill="1" applyBorder="1" applyAlignment="1">
      <alignment vertical="top"/>
    </xf>
    <xf numFmtId="0" fontId="2" fillId="6" borderId="25" xfId="0" applyFont="1" applyFill="1" applyBorder="1" applyAlignment="1">
      <alignment vertical="top"/>
    </xf>
    <xf numFmtId="0" fontId="2" fillId="6" borderId="45" xfId="0" applyFont="1" applyFill="1" applyBorder="1" applyAlignment="1">
      <alignment vertical="top"/>
    </xf>
    <xf numFmtId="0" fontId="2" fillId="6" borderId="72" xfId="0" applyFont="1" applyFill="1" applyBorder="1" applyAlignment="1">
      <alignment horizontal="center" vertical="top" wrapText="1"/>
    </xf>
    <xf numFmtId="165" fontId="2" fillId="6" borderId="65" xfId="0" applyNumberFormat="1" applyFont="1" applyFill="1" applyBorder="1" applyAlignment="1">
      <alignment horizontal="center" vertical="top"/>
    </xf>
    <xf numFmtId="165" fontId="2" fillId="6" borderId="66" xfId="0" applyNumberFormat="1" applyFont="1" applyFill="1" applyBorder="1" applyAlignment="1">
      <alignment horizontal="center" vertical="top"/>
    </xf>
    <xf numFmtId="49" fontId="2" fillId="6" borderId="42" xfId="0" applyNumberFormat="1" applyFont="1" applyFill="1" applyBorder="1" applyAlignment="1">
      <alignment vertical="top" wrapText="1"/>
    </xf>
    <xf numFmtId="0" fontId="2" fillId="6" borderId="24" xfId="0" applyFont="1" applyFill="1" applyBorder="1" applyAlignment="1">
      <alignment vertical="top" wrapText="1"/>
    </xf>
    <xf numFmtId="165" fontId="2" fillId="6" borderId="99" xfId="0" applyNumberFormat="1" applyFont="1" applyFill="1" applyBorder="1" applyAlignment="1">
      <alignment horizontal="center" vertical="top" wrapText="1"/>
    </xf>
    <xf numFmtId="165" fontId="2" fillId="6" borderId="70" xfId="0" applyNumberFormat="1" applyFont="1" applyFill="1" applyBorder="1" applyAlignment="1">
      <alignment horizontal="center" vertical="top" wrapText="1"/>
    </xf>
    <xf numFmtId="165" fontId="2" fillId="6" borderId="71" xfId="0" applyNumberFormat="1" applyFont="1" applyFill="1" applyBorder="1" applyAlignment="1">
      <alignment horizontal="center" vertical="top" wrapText="1"/>
    </xf>
    <xf numFmtId="0" fontId="2" fillId="6" borderId="99" xfId="0" applyFont="1" applyFill="1" applyBorder="1" applyAlignment="1">
      <alignment horizontal="center" vertical="top" wrapText="1"/>
    </xf>
    <xf numFmtId="0" fontId="4" fillId="0" borderId="0" xfId="0" applyFont="1" applyBorder="1" applyAlignment="1">
      <alignment horizontal="center" vertical="top"/>
    </xf>
    <xf numFmtId="0" fontId="4" fillId="6" borderId="0" xfId="0" applyFont="1" applyFill="1" applyBorder="1" applyAlignment="1">
      <alignment horizontal="center" vertical="top" wrapText="1"/>
    </xf>
    <xf numFmtId="165" fontId="2" fillId="6" borderId="72" xfId="0" applyNumberFormat="1" applyFont="1" applyFill="1" applyBorder="1" applyAlignment="1">
      <alignment horizontal="center" vertical="top"/>
    </xf>
    <xf numFmtId="165" fontId="2" fillId="6" borderId="24" xfId="0" applyNumberFormat="1" applyFont="1" applyFill="1" applyBorder="1" applyAlignment="1">
      <alignment horizontal="center" vertical="top"/>
    </xf>
    <xf numFmtId="3" fontId="2" fillId="6" borderId="24" xfId="0" applyNumberFormat="1" applyFont="1" applyFill="1" applyBorder="1" applyAlignment="1">
      <alignment horizontal="center" vertical="top" wrapText="1"/>
    </xf>
    <xf numFmtId="165" fontId="2" fillId="6" borderId="14" xfId="0" applyNumberFormat="1" applyFont="1" applyFill="1" applyBorder="1" applyAlignment="1">
      <alignment horizontal="center" vertical="top"/>
    </xf>
    <xf numFmtId="0" fontId="2" fillId="0" borderId="25" xfId="0" applyFont="1" applyBorder="1" applyAlignment="1">
      <alignment vertical="top"/>
    </xf>
    <xf numFmtId="3" fontId="2" fillId="6" borderId="97" xfId="0" applyNumberFormat="1" applyFont="1" applyFill="1" applyBorder="1" applyAlignment="1">
      <alignment horizontal="center" vertical="top"/>
    </xf>
    <xf numFmtId="3" fontId="2" fillId="6" borderId="24" xfId="0" applyNumberFormat="1" applyFont="1" applyFill="1" applyBorder="1" applyAlignment="1">
      <alignment horizontal="center" vertical="top"/>
    </xf>
    <xf numFmtId="165" fontId="2" fillId="6" borderId="73" xfId="0" applyNumberFormat="1" applyFont="1" applyFill="1" applyBorder="1" applyAlignment="1">
      <alignment horizontal="center" vertical="top" wrapText="1"/>
    </xf>
    <xf numFmtId="165" fontId="2" fillId="6" borderId="101" xfId="0" applyNumberFormat="1" applyFont="1" applyFill="1" applyBorder="1" applyAlignment="1">
      <alignment horizontal="center" vertical="top" wrapText="1"/>
    </xf>
    <xf numFmtId="0" fontId="2" fillId="6" borderId="99" xfId="0" applyFont="1" applyFill="1" applyBorder="1" applyAlignment="1">
      <alignment horizontal="center" vertical="top"/>
    </xf>
    <xf numFmtId="165" fontId="2" fillId="6" borderId="69" xfId="0" applyNumberFormat="1" applyFont="1" applyFill="1" applyBorder="1" applyAlignment="1">
      <alignment horizontal="center" vertical="top"/>
    </xf>
    <xf numFmtId="165" fontId="2" fillId="6" borderId="60" xfId="0" applyNumberFormat="1" applyFont="1" applyFill="1" applyBorder="1" applyAlignment="1">
      <alignment horizontal="center" vertical="top"/>
    </xf>
    <xf numFmtId="165" fontId="2" fillId="6" borderId="68" xfId="0" applyNumberFormat="1" applyFont="1" applyFill="1" applyBorder="1" applyAlignment="1">
      <alignment horizontal="center" vertical="top"/>
    </xf>
    <xf numFmtId="0" fontId="2" fillId="0" borderId="18" xfId="0" applyFont="1" applyFill="1" applyBorder="1" applyAlignment="1">
      <alignment horizontal="center" vertical="top" wrapText="1"/>
    </xf>
    <xf numFmtId="165" fontId="2" fillId="6" borderId="9" xfId="0" applyNumberFormat="1" applyFont="1" applyFill="1" applyBorder="1" applyAlignment="1">
      <alignment horizontal="center" vertical="center"/>
    </xf>
    <xf numFmtId="0" fontId="2" fillId="0" borderId="8" xfId="0" applyFont="1" applyFill="1" applyBorder="1" applyAlignment="1">
      <alignment horizontal="center" vertical="top" wrapText="1"/>
    </xf>
    <xf numFmtId="0" fontId="2" fillId="0" borderId="100" xfId="0" applyFont="1" applyFill="1" applyBorder="1" applyAlignment="1">
      <alignment horizontal="center" vertical="top" wrapText="1"/>
    </xf>
    <xf numFmtId="165" fontId="2" fillId="6" borderId="47" xfId="0" applyNumberFormat="1" applyFont="1" applyFill="1" applyBorder="1" applyAlignment="1">
      <alignment horizontal="center" vertical="top"/>
    </xf>
    <xf numFmtId="165" fontId="2" fillId="6" borderId="38" xfId="0" applyNumberFormat="1" applyFont="1" applyFill="1" applyBorder="1" applyAlignment="1">
      <alignment horizontal="center" vertical="top"/>
    </xf>
    <xf numFmtId="0" fontId="2" fillId="0" borderId="89" xfId="0" applyFont="1" applyFill="1" applyBorder="1" applyAlignment="1">
      <alignment horizontal="center" vertical="top" wrapText="1"/>
    </xf>
    <xf numFmtId="0" fontId="2" fillId="6" borderId="73" xfId="0" applyFont="1" applyFill="1" applyBorder="1" applyAlignment="1">
      <alignment horizontal="center" vertical="top"/>
    </xf>
    <xf numFmtId="0" fontId="2" fillId="6" borderId="72" xfId="0" applyFont="1" applyFill="1" applyBorder="1" applyAlignment="1">
      <alignment horizontal="center" vertical="top"/>
    </xf>
    <xf numFmtId="164" fontId="2" fillId="6" borderId="89" xfId="0" applyNumberFormat="1" applyFont="1" applyFill="1" applyBorder="1" applyAlignment="1">
      <alignment horizontal="center" vertical="top"/>
    </xf>
    <xf numFmtId="164" fontId="2" fillId="6" borderId="62" xfId="0" applyNumberFormat="1" applyFont="1" applyFill="1" applyBorder="1" applyAlignment="1">
      <alignment horizontal="center" vertical="top"/>
    </xf>
    <xf numFmtId="0" fontId="2" fillId="6" borderId="17" xfId="0" applyFont="1" applyFill="1" applyBorder="1" applyAlignment="1">
      <alignment horizontal="center" vertical="top" wrapText="1"/>
    </xf>
    <xf numFmtId="165" fontId="2" fillId="0" borderId="9" xfId="0" applyNumberFormat="1" applyFont="1" applyFill="1" applyBorder="1" applyAlignment="1">
      <alignment horizontal="center" vertical="top"/>
    </xf>
    <xf numFmtId="3" fontId="22" fillId="6" borderId="5" xfId="0" applyNumberFormat="1" applyFont="1" applyFill="1" applyBorder="1" applyAlignment="1">
      <alignment horizontal="center" vertical="top"/>
    </xf>
    <xf numFmtId="165" fontId="22" fillId="6" borderId="9" xfId="0" applyNumberFormat="1" applyFont="1" applyFill="1" applyBorder="1" applyAlignment="1">
      <alignment horizontal="center" vertical="top"/>
    </xf>
    <xf numFmtId="0" fontId="22" fillId="6" borderId="5" xfId="0" applyFont="1" applyFill="1" applyBorder="1" applyAlignment="1">
      <alignment horizontal="center" vertical="top" wrapText="1"/>
    </xf>
    <xf numFmtId="165" fontId="22" fillId="6" borderId="35" xfId="0" applyNumberFormat="1" applyFont="1" applyFill="1" applyBorder="1" applyAlignment="1">
      <alignment horizontal="center" vertical="top"/>
    </xf>
    <xf numFmtId="3" fontId="22" fillId="6" borderId="100" xfId="0" applyNumberFormat="1" applyFont="1" applyFill="1" applyBorder="1" applyAlignment="1">
      <alignment horizontal="center" vertical="top"/>
    </xf>
    <xf numFmtId="164" fontId="22" fillId="12" borderId="65" xfId="0" applyNumberFormat="1" applyFont="1" applyFill="1" applyBorder="1" applyAlignment="1">
      <alignment horizontal="center" vertical="top"/>
    </xf>
    <xf numFmtId="0" fontId="23" fillId="0" borderId="0" xfId="0" applyFont="1" applyBorder="1" applyAlignment="1">
      <alignment vertical="top"/>
    </xf>
    <xf numFmtId="0" fontId="2" fillId="6" borderId="25" xfId="0" applyFont="1" applyFill="1" applyBorder="1" applyAlignment="1">
      <alignment horizontal="center" vertical="center" textRotation="90" wrapText="1"/>
    </xf>
    <xf numFmtId="0" fontId="2" fillId="6" borderId="67" xfId="0" applyNumberFormat="1" applyFont="1" applyFill="1" applyBorder="1" applyAlignment="1">
      <alignment horizontal="center" vertical="top"/>
    </xf>
    <xf numFmtId="0" fontId="2" fillId="6" borderId="9" xfId="0" applyNumberFormat="1" applyFont="1" applyFill="1" applyBorder="1" applyAlignment="1">
      <alignment horizontal="center" vertical="top"/>
    </xf>
    <xf numFmtId="0" fontId="2" fillId="6" borderId="25" xfId="0" applyFont="1" applyFill="1" applyBorder="1" applyAlignment="1">
      <alignment vertical="center" textRotation="90" wrapText="1"/>
    </xf>
    <xf numFmtId="0" fontId="6" fillId="6" borderId="13" xfId="0" applyFont="1" applyFill="1" applyBorder="1" applyAlignment="1">
      <alignment horizontal="left" vertical="top" wrapText="1"/>
    </xf>
    <xf numFmtId="0" fontId="14" fillId="6" borderId="99" xfId="0" applyFont="1" applyFill="1" applyBorder="1" applyAlignment="1">
      <alignment horizontal="center" vertical="top"/>
    </xf>
    <xf numFmtId="165" fontId="2" fillId="6" borderId="68" xfId="0" applyNumberFormat="1" applyFont="1" applyFill="1" applyBorder="1" applyAlignment="1">
      <alignment horizontal="center" vertical="top" wrapText="1"/>
    </xf>
    <xf numFmtId="165" fontId="2" fillId="6" borderId="60" xfId="0" applyNumberFormat="1" applyFont="1" applyFill="1" applyBorder="1" applyAlignment="1">
      <alignment horizontal="center" vertical="top" wrapText="1"/>
    </xf>
    <xf numFmtId="0" fontId="4" fillId="6" borderId="16" xfId="0" applyFont="1" applyFill="1" applyBorder="1" applyAlignment="1">
      <alignment horizontal="center" vertical="top"/>
    </xf>
    <xf numFmtId="3" fontId="4" fillId="6" borderId="13" xfId="0" applyNumberFormat="1" applyFont="1" applyFill="1" applyBorder="1" applyAlignment="1">
      <alignment horizontal="center" vertical="top"/>
    </xf>
    <xf numFmtId="0" fontId="4" fillId="6" borderId="0" xfId="0" applyNumberFormat="1" applyFont="1" applyFill="1" applyAlignment="1">
      <alignment horizontal="center" vertical="top"/>
    </xf>
    <xf numFmtId="0" fontId="4" fillId="6" borderId="13" xfId="0" applyFont="1" applyFill="1" applyBorder="1" applyAlignment="1">
      <alignment horizontal="center" vertical="center"/>
    </xf>
    <xf numFmtId="0" fontId="2" fillId="0" borderId="0" xfId="0" applyFont="1" applyBorder="1" applyAlignment="1">
      <alignment vertical="top" wrapText="1"/>
    </xf>
    <xf numFmtId="165" fontId="2" fillId="6" borderId="107" xfId="0" applyNumberFormat="1" applyFont="1" applyFill="1" applyBorder="1" applyAlignment="1">
      <alignment horizontal="center" vertical="top"/>
    </xf>
    <xf numFmtId="0" fontId="4" fillId="6" borderId="94" xfId="0" applyFont="1" applyFill="1" applyBorder="1" applyAlignment="1">
      <alignment horizontal="center" vertical="top" wrapText="1"/>
    </xf>
    <xf numFmtId="0" fontId="2" fillId="6" borderId="35" xfId="0" applyNumberFormat="1" applyFont="1" applyFill="1" applyBorder="1" applyAlignment="1">
      <alignment horizontal="center" vertical="top" wrapText="1"/>
    </xf>
    <xf numFmtId="165" fontId="2" fillId="6" borderId="45" xfId="0" applyNumberFormat="1" applyFont="1" applyFill="1" applyBorder="1" applyAlignment="1">
      <alignment horizontal="center" vertical="top"/>
    </xf>
    <xf numFmtId="0" fontId="2" fillId="6" borderId="18" xfId="0" applyFont="1" applyFill="1" applyBorder="1" applyAlignment="1">
      <alignment horizontal="center" vertical="top" wrapText="1"/>
    </xf>
    <xf numFmtId="165" fontId="2" fillId="6" borderId="5" xfId="0" applyNumberFormat="1" applyFont="1" applyFill="1" applyBorder="1" applyAlignment="1">
      <alignment horizontal="center" vertical="top"/>
    </xf>
    <xf numFmtId="165" fontId="2" fillId="6" borderId="9" xfId="0" applyNumberFormat="1" applyFont="1" applyFill="1" applyBorder="1" applyAlignment="1">
      <alignment horizontal="center" vertical="top"/>
    </xf>
    <xf numFmtId="165" fontId="2" fillId="6" borderId="63" xfId="0" applyNumberFormat="1" applyFont="1" applyFill="1" applyBorder="1" applyAlignment="1">
      <alignment horizontal="center" vertical="top"/>
    </xf>
    <xf numFmtId="165" fontId="2" fillId="6" borderId="101" xfId="0" applyNumberFormat="1" applyFont="1" applyFill="1" applyBorder="1" applyAlignment="1">
      <alignment horizontal="center" vertical="top"/>
    </xf>
    <xf numFmtId="164" fontId="2" fillId="6" borderId="13" xfId="0" applyNumberFormat="1" applyFont="1" applyFill="1" applyBorder="1" applyAlignment="1">
      <alignment horizontal="center" vertical="top"/>
    </xf>
    <xf numFmtId="165" fontId="2" fillId="6" borderId="35" xfId="0" applyNumberFormat="1" applyFont="1" applyFill="1" applyBorder="1" applyAlignment="1">
      <alignment horizontal="center" vertical="top" wrapText="1"/>
    </xf>
    <xf numFmtId="165" fontId="2" fillId="6" borderId="16" xfId="0" applyNumberFormat="1" applyFont="1" applyFill="1" applyBorder="1" applyAlignment="1">
      <alignment horizontal="center" vertical="top" wrapText="1"/>
    </xf>
    <xf numFmtId="165" fontId="2" fillId="6" borderId="18" xfId="0" applyNumberFormat="1" applyFont="1" applyFill="1" applyBorder="1" applyAlignment="1">
      <alignment vertical="top" wrapText="1"/>
    </xf>
    <xf numFmtId="0" fontId="2" fillId="6" borderId="72" xfId="0" applyNumberFormat="1" applyFont="1" applyFill="1" applyBorder="1" applyAlignment="1">
      <alignment horizontal="center" vertical="top" wrapText="1"/>
    </xf>
    <xf numFmtId="3" fontId="2" fillId="6" borderId="93" xfId="0" applyNumberFormat="1" applyFont="1" applyFill="1" applyBorder="1" applyAlignment="1">
      <alignment horizontal="center" vertical="top"/>
    </xf>
    <xf numFmtId="0" fontId="2" fillId="6" borderId="16" xfId="0" applyNumberFormat="1" applyFont="1" applyFill="1" applyBorder="1" applyAlignment="1">
      <alignment horizontal="center" vertical="top" wrapText="1"/>
    </xf>
    <xf numFmtId="0" fontId="2" fillId="6" borderId="0" xfId="0" applyFont="1" applyFill="1" applyAlignment="1">
      <alignment vertical="top"/>
    </xf>
    <xf numFmtId="165" fontId="2" fillId="6" borderId="18" xfId="0" applyNumberFormat="1" applyFont="1" applyFill="1" applyBorder="1" applyAlignment="1">
      <alignment horizontal="left" vertical="top"/>
    </xf>
    <xf numFmtId="3" fontId="2" fillId="6" borderId="18" xfId="1" applyNumberFormat="1" applyFont="1" applyFill="1" applyBorder="1" applyAlignment="1">
      <alignment horizontal="center" vertical="top" wrapText="1"/>
    </xf>
    <xf numFmtId="3" fontId="2" fillId="6" borderId="8" xfId="1" applyNumberFormat="1" applyFont="1" applyFill="1" applyBorder="1" applyAlignment="1">
      <alignment horizontal="center" vertical="top" wrapText="1"/>
    </xf>
    <xf numFmtId="3" fontId="2" fillId="6" borderId="13" xfId="1" applyNumberFormat="1" applyFont="1" applyFill="1" applyBorder="1" applyAlignment="1">
      <alignment horizontal="center" vertical="top" wrapText="1"/>
    </xf>
    <xf numFmtId="3" fontId="2" fillId="6" borderId="14" xfId="1" applyNumberFormat="1" applyFont="1" applyFill="1" applyBorder="1" applyAlignment="1">
      <alignment horizontal="center" vertical="top" wrapText="1"/>
    </xf>
    <xf numFmtId="3" fontId="2" fillId="6" borderId="100" xfId="0" applyNumberFormat="1" applyFont="1" applyFill="1" applyBorder="1" applyAlignment="1">
      <alignment horizontal="center" vertical="top" wrapText="1"/>
    </xf>
    <xf numFmtId="165" fontId="2" fillId="6" borderId="72" xfId="0" applyNumberFormat="1" applyFont="1" applyFill="1" applyBorder="1" applyAlignment="1">
      <alignment horizontal="left" vertical="top"/>
    </xf>
    <xf numFmtId="3" fontId="2" fillId="6" borderId="72" xfId="1" applyNumberFormat="1" applyFont="1" applyFill="1" applyBorder="1" applyAlignment="1">
      <alignment horizontal="center" vertical="top" wrapText="1"/>
    </xf>
    <xf numFmtId="3" fontId="2" fillId="6" borderId="67" xfId="1" applyNumberFormat="1" applyFont="1" applyFill="1" applyBorder="1" applyAlignment="1">
      <alignment horizontal="center" vertical="top" wrapText="1"/>
    </xf>
    <xf numFmtId="3" fontId="2" fillId="6" borderId="71" xfId="1" applyNumberFormat="1" applyFont="1" applyFill="1" applyBorder="1" applyAlignment="1">
      <alignment horizontal="center" vertical="top" wrapText="1"/>
    </xf>
    <xf numFmtId="0" fontId="2" fillId="6" borderId="69" xfId="0" applyFont="1" applyFill="1" applyBorder="1" applyAlignment="1">
      <alignment horizontal="center" vertical="center" textRotation="90"/>
    </xf>
    <xf numFmtId="164" fontId="2" fillId="6" borderId="61" xfId="0" applyNumberFormat="1" applyFont="1" applyFill="1" applyBorder="1" applyAlignment="1">
      <alignment horizontal="center" vertical="top"/>
    </xf>
    <xf numFmtId="3" fontId="4" fillId="6" borderId="25" xfId="0" applyNumberFormat="1" applyFont="1" applyFill="1" applyBorder="1" applyAlignment="1">
      <alignment horizontal="center" vertical="top" wrapText="1"/>
    </xf>
    <xf numFmtId="165" fontId="2" fillId="6" borderId="30" xfId="0" applyNumberFormat="1" applyFont="1" applyFill="1" applyBorder="1" applyAlignment="1">
      <alignment horizontal="center" vertical="top"/>
    </xf>
    <xf numFmtId="0" fontId="20" fillId="6" borderId="13" xfId="0" applyFont="1" applyFill="1" applyBorder="1" applyAlignment="1">
      <alignment vertical="top" wrapText="1"/>
    </xf>
    <xf numFmtId="0" fontId="20" fillId="6" borderId="25" xfId="0" applyFont="1" applyFill="1" applyBorder="1" applyAlignment="1">
      <alignment vertical="top" wrapText="1"/>
    </xf>
    <xf numFmtId="49" fontId="2" fillId="6" borderId="97" xfId="0" applyNumberFormat="1" applyFont="1" applyFill="1" applyBorder="1" applyAlignment="1">
      <alignment horizontal="center" vertical="top" wrapText="1"/>
    </xf>
    <xf numFmtId="3" fontId="2" fillId="6" borderId="10" xfId="0" applyNumberFormat="1" applyFont="1" applyFill="1" applyBorder="1" applyAlignment="1">
      <alignment horizontal="center" vertical="top"/>
    </xf>
    <xf numFmtId="3" fontId="2" fillId="6" borderId="19" xfId="0" applyNumberFormat="1" applyFont="1" applyFill="1" applyBorder="1" applyAlignment="1">
      <alignment horizontal="center" vertical="top"/>
    </xf>
    <xf numFmtId="3" fontId="2" fillId="6" borderId="71" xfId="0" applyNumberFormat="1" applyFont="1" applyFill="1" applyBorder="1" applyAlignment="1">
      <alignment horizontal="center" vertical="top"/>
    </xf>
    <xf numFmtId="49" fontId="4" fillId="6" borderId="24" xfId="0" applyNumberFormat="1" applyFont="1" applyFill="1" applyBorder="1" applyAlignment="1">
      <alignment horizontal="center" vertical="top"/>
    </xf>
    <xf numFmtId="49" fontId="2" fillId="6" borderId="14" xfId="0" applyNumberFormat="1" applyFont="1" applyFill="1" applyBorder="1" applyAlignment="1">
      <alignment vertical="center" wrapText="1"/>
    </xf>
    <xf numFmtId="165" fontId="22" fillId="6" borderId="63" xfId="0" applyNumberFormat="1" applyFont="1" applyFill="1" applyBorder="1" applyAlignment="1">
      <alignment horizontal="center" vertical="top"/>
    </xf>
    <xf numFmtId="165" fontId="2" fillId="8" borderId="56" xfId="0" applyNumberFormat="1" applyFont="1" applyFill="1" applyBorder="1" applyAlignment="1">
      <alignment horizontal="center" vertical="top" wrapText="1"/>
    </xf>
    <xf numFmtId="165" fontId="2" fillId="8" borderId="93" xfId="0" applyNumberFormat="1" applyFont="1" applyFill="1" applyBorder="1" applyAlignment="1">
      <alignment horizontal="center" vertical="top" wrapText="1"/>
    </xf>
    <xf numFmtId="165" fontId="2" fillId="8" borderId="28" xfId="0" applyNumberFormat="1" applyFont="1" applyFill="1" applyBorder="1" applyAlignment="1">
      <alignment horizontal="center" vertical="top" wrapText="1"/>
    </xf>
    <xf numFmtId="0" fontId="2" fillId="0" borderId="101" xfId="0" applyFont="1" applyBorder="1" applyAlignment="1">
      <alignment vertical="top"/>
    </xf>
    <xf numFmtId="0" fontId="2" fillId="6" borderId="0" xfId="0" applyFont="1" applyFill="1" applyAlignment="1">
      <alignment horizontal="center" vertical="top"/>
    </xf>
    <xf numFmtId="165" fontId="2" fillId="6" borderId="72" xfId="0" applyNumberFormat="1" applyFont="1" applyFill="1" applyBorder="1" applyAlignment="1">
      <alignment vertical="top" wrapText="1"/>
    </xf>
    <xf numFmtId="0" fontId="2" fillId="0" borderId="30" xfId="0" applyFont="1" applyBorder="1" applyAlignment="1">
      <alignment vertical="top"/>
    </xf>
    <xf numFmtId="0" fontId="2" fillId="0" borderId="60" xfId="0" applyFont="1" applyBorder="1" applyAlignment="1">
      <alignment horizontal="center" vertical="top"/>
    </xf>
    <xf numFmtId="3" fontId="2" fillId="0" borderId="30" xfId="0" applyNumberFormat="1" applyFont="1" applyBorder="1" applyAlignment="1">
      <alignment vertical="top"/>
    </xf>
    <xf numFmtId="0" fontId="2" fillId="0" borderId="43" xfId="0" applyFont="1" applyBorder="1" applyAlignment="1">
      <alignment vertical="top"/>
    </xf>
    <xf numFmtId="165" fontId="2" fillId="6" borderId="5" xfId="0" applyNumberFormat="1" applyFont="1" applyFill="1" applyBorder="1" applyAlignment="1">
      <alignment horizontal="center" vertical="top" wrapText="1"/>
    </xf>
    <xf numFmtId="0" fontId="2" fillId="0" borderId="111" xfId="0" applyFont="1" applyBorder="1" applyAlignment="1">
      <alignment horizontal="center" vertical="top"/>
    </xf>
    <xf numFmtId="0" fontId="2" fillId="0" borderId="73" xfId="0" applyFont="1" applyBorder="1" applyAlignment="1">
      <alignment horizontal="center" vertical="top"/>
    </xf>
    <xf numFmtId="0" fontId="2" fillId="6" borderId="110" xfId="0" applyFont="1" applyFill="1" applyBorder="1" applyAlignment="1">
      <alignment horizontal="left" vertical="top" wrapText="1"/>
    </xf>
    <xf numFmtId="0" fontId="2" fillId="6" borderId="110" xfId="0" applyFont="1" applyFill="1" applyBorder="1" applyAlignment="1">
      <alignment vertical="top" wrapText="1"/>
    </xf>
    <xf numFmtId="165" fontId="2" fillId="6" borderId="109" xfId="0" applyNumberFormat="1" applyFont="1" applyFill="1" applyBorder="1" applyAlignment="1">
      <alignment horizontal="center" vertical="top"/>
    </xf>
    <xf numFmtId="0" fontId="2" fillId="6" borderId="22" xfId="0" applyFont="1" applyFill="1" applyBorder="1" applyAlignment="1">
      <alignment vertical="top"/>
    </xf>
    <xf numFmtId="3" fontId="2" fillId="6" borderId="45" xfId="1" applyNumberFormat="1" applyFont="1" applyFill="1" applyBorder="1" applyAlignment="1">
      <alignment horizontal="center" vertical="top" wrapText="1"/>
    </xf>
    <xf numFmtId="165" fontId="2" fillId="6" borderId="74" xfId="0" applyNumberFormat="1" applyFont="1" applyFill="1" applyBorder="1" applyAlignment="1">
      <alignment horizontal="center" vertical="top" wrapText="1"/>
    </xf>
    <xf numFmtId="165" fontId="2" fillId="6" borderId="45" xfId="0" applyNumberFormat="1" applyFont="1" applyFill="1" applyBorder="1" applyAlignment="1">
      <alignment vertical="top" wrapText="1"/>
    </xf>
    <xf numFmtId="0" fontId="2" fillId="6" borderId="9" xfId="0" applyFont="1" applyFill="1" applyBorder="1" applyAlignment="1">
      <alignment vertical="top"/>
    </xf>
    <xf numFmtId="0" fontId="4" fillId="6" borderId="25" xfId="0" applyFont="1" applyFill="1" applyBorder="1" applyAlignment="1">
      <alignment horizontal="center" vertical="center" wrapText="1"/>
    </xf>
    <xf numFmtId="0" fontId="2" fillId="0" borderId="73" xfId="0" applyFont="1" applyBorder="1" applyAlignment="1">
      <alignment vertical="top"/>
    </xf>
    <xf numFmtId="49" fontId="2" fillId="6" borderId="24" xfId="0" applyNumberFormat="1" applyFont="1" applyFill="1" applyBorder="1" applyAlignment="1">
      <alignment vertical="top" wrapText="1"/>
    </xf>
    <xf numFmtId="164" fontId="2" fillId="0" borderId="8" xfId="0" applyNumberFormat="1" applyFont="1" applyBorder="1" applyAlignment="1">
      <alignment horizontal="center" vertical="top"/>
    </xf>
    <xf numFmtId="0" fontId="2" fillId="6" borderId="13" xfId="0" applyFont="1" applyFill="1" applyBorder="1" applyAlignment="1">
      <alignment horizontal="center" vertical="center" textRotation="90"/>
    </xf>
    <xf numFmtId="0" fontId="2" fillId="6" borderId="110" xfId="1" applyFont="1" applyFill="1" applyBorder="1" applyAlignment="1">
      <alignment vertical="top" wrapText="1"/>
    </xf>
    <xf numFmtId="0" fontId="4" fillId="6" borderId="29" xfId="0" applyFont="1" applyFill="1" applyBorder="1" applyAlignment="1">
      <alignment horizontal="center" vertical="top" wrapText="1"/>
    </xf>
    <xf numFmtId="0" fontId="4" fillId="6" borderId="15" xfId="0" applyFont="1" applyFill="1" applyBorder="1" applyAlignment="1">
      <alignment horizontal="center" vertical="top" wrapText="1"/>
    </xf>
    <xf numFmtId="49" fontId="4" fillId="8" borderId="25" xfId="0" applyNumberFormat="1" applyFont="1" applyFill="1" applyBorder="1" applyAlignment="1">
      <alignment horizontal="center" vertical="top"/>
    </xf>
    <xf numFmtId="165" fontId="2" fillId="6" borderId="0" xfId="0" applyNumberFormat="1" applyFont="1" applyFill="1" applyAlignment="1">
      <alignment horizontal="center" vertical="top"/>
    </xf>
    <xf numFmtId="0" fontId="6" fillId="13" borderId="0" xfId="0" applyFont="1" applyFill="1" applyBorder="1"/>
    <xf numFmtId="0" fontId="6" fillId="13" borderId="43" xfId="0" applyFont="1" applyFill="1" applyBorder="1"/>
    <xf numFmtId="0" fontId="2" fillId="9" borderId="27" xfId="0" applyFont="1" applyFill="1" applyBorder="1" applyAlignment="1">
      <alignment vertical="top"/>
    </xf>
    <xf numFmtId="0" fontId="6" fillId="7" borderId="55" xfId="0" applyFont="1" applyFill="1" applyBorder="1"/>
    <xf numFmtId="0" fontId="6" fillId="7" borderId="50" xfId="0" applyFont="1" applyFill="1" applyBorder="1"/>
    <xf numFmtId="0" fontId="2" fillId="10" borderId="32" xfId="0" applyFont="1" applyFill="1" applyBorder="1" applyAlignment="1">
      <alignment vertical="top"/>
    </xf>
    <xf numFmtId="0" fontId="2" fillId="9" borderId="76" xfId="0" applyFont="1" applyFill="1" applyBorder="1" applyAlignment="1">
      <alignment vertical="top"/>
    </xf>
    <xf numFmtId="0" fontId="2" fillId="10" borderId="34" xfId="0" applyFont="1" applyFill="1" applyBorder="1" applyAlignment="1">
      <alignment vertical="top"/>
    </xf>
    <xf numFmtId="0" fontId="6" fillId="13" borderId="33" xfId="0" applyFont="1" applyFill="1" applyBorder="1"/>
    <xf numFmtId="0" fontId="2" fillId="10" borderId="33" xfId="0" applyFont="1" applyFill="1" applyBorder="1" applyAlignment="1">
      <alignment vertical="top"/>
    </xf>
    <xf numFmtId="0" fontId="2" fillId="0" borderId="83" xfId="0" applyFont="1" applyBorder="1" applyAlignment="1">
      <alignment horizontal="center" vertical="center" textRotation="90"/>
    </xf>
    <xf numFmtId="165" fontId="2" fillId="6" borderId="0" xfId="0" applyNumberFormat="1" applyFont="1" applyFill="1" applyAlignment="1">
      <alignment horizontal="center" vertical="top" wrapText="1"/>
    </xf>
    <xf numFmtId="0" fontId="2" fillId="6" borderId="29" xfId="0" applyFont="1" applyFill="1" applyBorder="1" applyAlignment="1">
      <alignment vertical="top"/>
    </xf>
    <xf numFmtId="0" fontId="2" fillId="6" borderId="15" xfId="0" applyFont="1" applyFill="1" applyBorder="1" applyAlignment="1">
      <alignment vertical="top"/>
    </xf>
    <xf numFmtId="165" fontId="2" fillId="6" borderId="111" xfId="0" applyNumberFormat="1" applyFont="1" applyFill="1" applyBorder="1" applyAlignment="1">
      <alignment horizontal="center" vertical="top"/>
    </xf>
    <xf numFmtId="165" fontId="2" fillId="6" borderId="108" xfId="0" applyNumberFormat="1" applyFont="1" applyFill="1" applyBorder="1" applyAlignment="1">
      <alignment horizontal="center" vertical="top"/>
    </xf>
    <xf numFmtId="165" fontId="2" fillId="6" borderId="25" xfId="0" applyNumberFormat="1" applyFont="1" applyFill="1" applyBorder="1" applyAlignment="1">
      <alignment horizontal="center" vertical="top" wrapText="1"/>
    </xf>
    <xf numFmtId="165" fontId="2" fillId="6" borderId="1" xfId="0" applyNumberFormat="1" applyFont="1" applyFill="1" applyBorder="1" applyAlignment="1">
      <alignment horizontal="center" vertical="top" wrapText="1"/>
    </xf>
    <xf numFmtId="165" fontId="2" fillId="6" borderId="28" xfId="0" applyNumberFormat="1" applyFont="1" applyFill="1" applyBorder="1" applyAlignment="1">
      <alignment horizontal="center" vertical="top"/>
    </xf>
    <xf numFmtId="165" fontId="2" fillId="6" borderId="66" xfId="0" applyNumberFormat="1" applyFont="1" applyFill="1" applyBorder="1" applyAlignment="1">
      <alignment horizontal="center" vertical="top" wrapText="1"/>
    </xf>
    <xf numFmtId="165" fontId="4" fillId="6" borderId="9" xfId="0" applyNumberFormat="1" applyFont="1" applyFill="1" applyBorder="1" applyAlignment="1">
      <alignment horizontal="center" vertical="top"/>
    </xf>
    <xf numFmtId="165" fontId="4" fillId="6" borderId="71" xfId="0" applyNumberFormat="1" applyFont="1" applyFill="1" applyBorder="1" applyAlignment="1">
      <alignment horizontal="center" vertical="top"/>
    </xf>
    <xf numFmtId="165" fontId="4" fillId="6" borderId="67" xfId="0" applyNumberFormat="1" applyFont="1" applyFill="1" applyBorder="1" applyAlignment="1">
      <alignment horizontal="center" vertical="top"/>
    </xf>
    <xf numFmtId="165" fontId="4" fillId="6" borderId="70" xfId="0" applyNumberFormat="1" applyFont="1" applyFill="1" applyBorder="1" applyAlignment="1">
      <alignment horizontal="center" vertical="top"/>
    </xf>
    <xf numFmtId="165" fontId="4" fillId="6" borderId="43" xfId="0" applyNumberFormat="1" applyFont="1" applyFill="1" applyBorder="1" applyAlignment="1">
      <alignment horizontal="center" vertical="top"/>
    </xf>
    <xf numFmtId="165" fontId="4" fillId="6" borderId="62" xfId="0" applyNumberFormat="1" applyFont="1" applyFill="1" applyBorder="1" applyAlignment="1">
      <alignment horizontal="center" vertical="top"/>
    </xf>
    <xf numFmtId="165" fontId="4" fillId="6" borderId="64" xfId="0" applyNumberFormat="1" applyFont="1" applyFill="1" applyBorder="1" applyAlignment="1">
      <alignment horizontal="center" vertical="top"/>
    </xf>
    <xf numFmtId="164" fontId="22" fillId="6" borderId="65" xfId="0" applyNumberFormat="1" applyFont="1" applyFill="1" applyBorder="1" applyAlignment="1">
      <alignment horizontal="center" vertical="top" wrapText="1"/>
    </xf>
    <xf numFmtId="164" fontId="22" fillId="6" borderId="25" xfId="0" applyNumberFormat="1" applyFont="1" applyFill="1" applyBorder="1" applyAlignment="1">
      <alignment horizontal="center" vertical="top" wrapText="1"/>
    </xf>
    <xf numFmtId="164" fontId="22" fillId="6" borderId="15" xfId="0" applyNumberFormat="1" applyFont="1" applyFill="1" applyBorder="1" applyAlignment="1">
      <alignment horizontal="center" vertical="top" wrapText="1"/>
    </xf>
    <xf numFmtId="165" fontId="2" fillId="6" borderId="14" xfId="0" applyNumberFormat="1" applyFont="1" applyFill="1" applyBorder="1" applyAlignment="1">
      <alignment horizontal="center" vertical="top" wrapText="1"/>
    </xf>
    <xf numFmtId="165" fontId="2" fillId="6" borderId="22" xfId="0" applyNumberFormat="1" applyFont="1" applyFill="1" applyBorder="1" applyAlignment="1">
      <alignment horizontal="center" vertical="center"/>
    </xf>
    <xf numFmtId="165" fontId="2" fillId="6" borderId="25" xfId="0" applyNumberFormat="1" applyFont="1" applyFill="1" applyBorder="1" applyAlignment="1">
      <alignment horizontal="center" vertical="center"/>
    </xf>
    <xf numFmtId="165" fontId="2" fillId="6" borderId="24" xfId="0" applyNumberFormat="1" applyFont="1" applyFill="1" applyBorder="1" applyAlignment="1">
      <alignment horizontal="center" vertical="center"/>
    </xf>
    <xf numFmtId="164" fontId="22" fillId="6" borderId="13" xfId="0" applyNumberFormat="1" applyFont="1" applyFill="1" applyBorder="1" applyAlignment="1">
      <alignment horizontal="center" vertical="top" wrapText="1"/>
    </xf>
    <xf numFmtId="164" fontId="22" fillId="6" borderId="29" xfId="0" applyNumberFormat="1" applyFont="1" applyFill="1" applyBorder="1" applyAlignment="1">
      <alignment horizontal="center" vertical="top" wrapText="1"/>
    </xf>
    <xf numFmtId="165" fontId="4" fillId="9" borderId="86" xfId="0" applyNumberFormat="1" applyFont="1" applyFill="1" applyBorder="1" applyAlignment="1">
      <alignment horizontal="center" vertical="top"/>
    </xf>
    <xf numFmtId="0" fontId="2" fillId="9" borderId="55" xfId="0" applyFont="1" applyFill="1" applyBorder="1" applyAlignment="1">
      <alignment vertical="top"/>
    </xf>
    <xf numFmtId="0" fontId="2" fillId="9" borderId="0" xfId="0" applyFont="1" applyFill="1" applyBorder="1" applyAlignment="1">
      <alignment vertical="top"/>
    </xf>
    <xf numFmtId="0" fontId="2" fillId="9" borderId="32" xfId="0" applyFont="1" applyFill="1" applyBorder="1" applyAlignment="1">
      <alignment vertical="top"/>
    </xf>
    <xf numFmtId="0" fontId="2" fillId="9" borderId="52" xfId="0" applyFont="1" applyFill="1" applyBorder="1" applyAlignment="1">
      <alignment vertical="top"/>
    </xf>
    <xf numFmtId="0" fontId="2" fillId="9" borderId="53" xfId="0" applyFont="1" applyFill="1" applyBorder="1" applyAlignment="1">
      <alignment vertical="top"/>
    </xf>
    <xf numFmtId="0" fontId="2" fillId="9" borderId="85" xfId="0" applyFont="1" applyFill="1" applyBorder="1" applyAlignment="1">
      <alignment vertical="top"/>
    </xf>
    <xf numFmtId="0" fontId="2" fillId="10" borderId="0" xfId="0" applyFont="1" applyFill="1" applyBorder="1" applyAlignment="1">
      <alignment vertical="top"/>
    </xf>
    <xf numFmtId="0" fontId="2" fillId="13" borderId="52" xfId="0" applyFont="1" applyFill="1" applyBorder="1" applyAlignment="1">
      <alignment vertical="top"/>
    </xf>
    <xf numFmtId="0" fontId="2" fillId="13" borderId="53" xfId="0" applyFont="1" applyFill="1" applyBorder="1" applyAlignment="1">
      <alignment vertical="top"/>
    </xf>
    <xf numFmtId="3" fontId="2" fillId="6" borderId="29" xfId="0" applyNumberFormat="1" applyFont="1" applyFill="1" applyBorder="1" applyAlignment="1">
      <alignment horizontal="center" vertical="top"/>
    </xf>
    <xf numFmtId="3" fontId="2" fillId="6" borderId="15" xfId="0" applyNumberFormat="1" applyFont="1" applyFill="1" applyBorder="1" applyAlignment="1">
      <alignment horizontal="center" vertical="top"/>
    </xf>
    <xf numFmtId="0" fontId="2" fillId="6" borderId="75" xfId="0" applyNumberFormat="1" applyFont="1" applyFill="1" applyBorder="1" applyAlignment="1">
      <alignment horizontal="center" vertical="top"/>
    </xf>
    <xf numFmtId="0" fontId="2" fillId="6" borderId="43" xfId="0" applyNumberFormat="1" applyFont="1" applyFill="1" applyBorder="1" applyAlignment="1">
      <alignment horizontal="center" vertical="top"/>
    </xf>
    <xf numFmtId="0" fontId="2" fillId="6" borderId="70" xfId="0" applyNumberFormat="1" applyFont="1" applyFill="1" applyBorder="1" applyAlignment="1">
      <alignment horizontal="center" vertical="top"/>
    </xf>
    <xf numFmtId="0" fontId="2" fillId="6" borderId="13" xfId="0" applyNumberFormat="1" applyFont="1" applyFill="1" applyBorder="1" applyAlignment="1">
      <alignment horizontal="center" vertical="top"/>
    </xf>
    <xf numFmtId="0" fontId="2" fillId="6" borderId="41" xfId="0" applyFont="1" applyFill="1" applyBorder="1" applyAlignment="1">
      <alignment horizontal="center" vertical="top"/>
    </xf>
    <xf numFmtId="0" fontId="2" fillId="6" borderId="91" xfId="0" applyFont="1" applyFill="1" applyBorder="1" applyAlignment="1">
      <alignment horizontal="center" vertical="top"/>
    </xf>
    <xf numFmtId="0" fontId="2" fillId="6" borderId="97" xfId="0" applyFont="1" applyFill="1" applyBorder="1" applyAlignment="1">
      <alignment horizontal="center" vertical="top"/>
    </xf>
    <xf numFmtId="0" fontId="2" fillId="0" borderId="29" xfId="0" applyFont="1" applyBorder="1" applyAlignment="1">
      <alignment vertical="top"/>
    </xf>
    <xf numFmtId="3" fontId="2" fillId="6" borderId="41" xfId="1" applyNumberFormat="1" applyFont="1" applyFill="1" applyBorder="1" applyAlignment="1">
      <alignment horizontal="center" vertical="top"/>
    </xf>
    <xf numFmtId="3" fontId="2" fillId="6" borderId="15" xfId="0" applyNumberFormat="1" applyFont="1" applyFill="1" applyBorder="1" applyAlignment="1">
      <alignment horizontal="center" vertical="top" wrapText="1"/>
    </xf>
    <xf numFmtId="3" fontId="2" fillId="6" borderId="96" xfId="1" applyNumberFormat="1" applyFont="1" applyFill="1" applyBorder="1" applyAlignment="1">
      <alignment horizontal="center" vertical="top" wrapText="1"/>
    </xf>
    <xf numFmtId="1" fontId="2" fillId="6" borderId="29" xfId="1" applyNumberFormat="1" applyFont="1" applyFill="1" applyBorder="1" applyAlignment="1">
      <alignment horizontal="center" vertical="top" wrapText="1"/>
    </xf>
    <xf numFmtId="3" fontId="2" fillId="6" borderId="90" xfId="1" applyNumberFormat="1" applyFont="1" applyFill="1" applyBorder="1" applyAlignment="1">
      <alignment horizontal="center" vertical="top" wrapText="1"/>
    </xf>
    <xf numFmtId="3" fontId="2" fillId="6" borderId="91" xfId="1" applyNumberFormat="1" applyFont="1" applyFill="1" applyBorder="1" applyAlignment="1">
      <alignment horizontal="center" vertical="top" wrapText="1"/>
    </xf>
    <xf numFmtId="165" fontId="2" fillId="6" borderId="91" xfId="0" applyNumberFormat="1" applyFont="1" applyFill="1" applyBorder="1" applyAlignment="1">
      <alignment horizontal="center" vertical="top" wrapText="1"/>
    </xf>
    <xf numFmtId="0" fontId="2" fillId="6" borderId="97" xfId="0" applyNumberFormat="1" applyFont="1" applyFill="1" applyBorder="1" applyAlignment="1">
      <alignment horizontal="center" vertical="top" wrapText="1"/>
    </xf>
    <xf numFmtId="3" fontId="2" fillId="6" borderId="97" xfId="1" applyNumberFormat="1" applyFont="1" applyFill="1" applyBorder="1" applyAlignment="1">
      <alignment horizontal="center" vertical="top" wrapText="1"/>
    </xf>
    <xf numFmtId="3" fontId="2" fillId="6" borderId="15" xfId="1" applyNumberFormat="1" applyFont="1" applyFill="1" applyBorder="1" applyAlignment="1">
      <alignment horizontal="center" vertical="top" wrapText="1"/>
    </xf>
    <xf numFmtId="3" fontId="2" fillId="6" borderId="96" xfId="0" applyNumberFormat="1" applyFont="1" applyFill="1" applyBorder="1" applyAlignment="1">
      <alignment horizontal="center" vertical="top" wrapText="1"/>
    </xf>
    <xf numFmtId="0" fontId="2" fillId="0" borderId="15" xfId="0" applyFont="1" applyBorder="1" applyAlignment="1">
      <alignment horizontal="center" vertical="top"/>
    </xf>
    <xf numFmtId="3" fontId="2" fillId="6" borderId="41" xfId="0" applyNumberFormat="1" applyFont="1" applyFill="1" applyBorder="1" applyAlignment="1">
      <alignment horizontal="center" vertical="top" wrapText="1"/>
    </xf>
    <xf numFmtId="3" fontId="2" fillId="6" borderId="15" xfId="1" applyNumberFormat="1" applyFont="1" applyFill="1" applyBorder="1" applyAlignment="1">
      <alignment horizontal="center" vertical="top"/>
    </xf>
    <xf numFmtId="3" fontId="2" fillId="6" borderId="73" xfId="0" applyNumberFormat="1" applyFont="1" applyFill="1" applyBorder="1" applyAlignment="1">
      <alignment horizontal="center" vertical="top" wrapText="1"/>
    </xf>
    <xf numFmtId="3" fontId="2" fillId="6" borderId="91" xfId="0" applyNumberFormat="1" applyFont="1" applyFill="1" applyBorder="1" applyAlignment="1">
      <alignment horizontal="center" vertical="top" wrapText="1"/>
    </xf>
    <xf numFmtId="49" fontId="2" fillId="6" borderId="72" xfId="0" applyNumberFormat="1" applyFont="1" applyFill="1" applyBorder="1" applyAlignment="1">
      <alignment horizontal="center" vertical="top" wrapText="1"/>
    </xf>
    <xf numFmtId="0" fontId="2" fillId="6" borderId="89" xfId="0" applyNumberFormat="1" applyFont="1" applyFill="1" applyBorder="1" applyAlignment="1">
      <alignment horizontal="center" vertical="top" wrapText="1"/>
    </xf>
    <xf numFmtId="0" fontId="2" fillId="6" borderId="90" xfId="0" applyNumberFormat="1" applyFont="1" applyFill="1" applyBorder="1" applyAlignment="1">
      <alignment horizontal="center" vertical="top" wrapText="1"/>
    </xf>
    <xf numFmtId="0" fontId="2" fillId="6" borderId="73" xfId="0" applyNumberFormat="1" applyFont="1" applyFill="1" applyBorder="1" applyAlignment="1">
      <alignment horizontal="center" vertical="top" wrapText="1"/>
    </xf>
    <xf numFmtId="0" fontId="2" fillId="6" borderId="91" xfId="0" applyNumberFormat="1" applyFont="1" applyFill="1" applyBorder="1" applyAlignment="1">
      <alignment horizontal="center" vertical="top" wrapText="1"/>
    </xf>
    <xf numFmtId="1" fontId="2" fillId="6" borderId="8" xfId="0" applyNumberFormat="1" applyFont="1" applyFill="1" applyBorder="1" applyAlignment="1">
      <alignment horizontal="center" vertical="top" wrapText="1"/>
    </xf>
    <xf numFmtId="1" fontId="2" fillId="6" borderId="29" xfId="0" applyNumberFormat="1" applyFont="1" applyFill="1" applyBorder="1" applyAlignment="1">
      <alignment horizontal="center" vertical="top" wrapText="1"/>
    </xf>
    <xf numFmtId="3" fontId="2" fillId="0" borderId="99" xfId="0" applyNumberFormat="1" applyFont="1" applyFill="1" applyBorder="1" applyAlignment="1">
      <alignment horizontal="center" vertical="top" wrapText="1"/>
    </xf>
    <xf numFmtId="3" fontId="2" fillId="6" borderId="103" xfId="0" applyNumberFormat="1" applyFont="1" applyFill="1" applyBorder="1" applyAlignment="1">
      <alignment horizontal="center" vertical="top" wrapText="1"/>
    </xf>
    <xf numFmtId="0" fontId="2" fillId="0" borderId="29" xfId="0" applyFont="1" applyBorder="1" applyAlignment="1">
      <alignment horizontal="center" vertical="top"/>
    </xf>
    <xf numFmtId="3" fontId="2" fillId="6" borderId="29" xfId="1" applyNumberFormat="1" applyFont="1" applyFill="1" applyBorder="1" applyAlignment="1">
      <alignment horizontal="center" vertical="top"/>
    </xf>
    <xf numFmtId="0" fontId="2" fillId="6" borderId="15" xfId="0" applyFont="1" applyFill="1" applyBorder="1" applyAlignment="1">
      <alignment horizontal="center" vertical="top"/>
    </xf>
    <xf numFmtId="165" fontId="2" fillId="6" borderId="15" xfId="0" applyNumberFormat="1" applyFont="1" applyFill="1" applyBorder="1" applyAlignment="1">
      <alignment vertical="top" wrapText="1"/>
    </xf>
    <xf numFmtId="165" fontId="2" fillId="6" borderId="96" xfId="0" applyNumberFormat="1" applyFont="1" applyFill="1" applyBorder="1" applyAlignment="1">
      <alignment horizontal="center" vertical="top"/>
    </xf>
    <xf numFmtId="3" fontId="4" fillId="6" borderId="45" xfId="0" applyNumberFormat="1" applyFont="1" applyFill="1" applyBorder="1" applyAlignment="1">
      <alignment horizontal="center" vertical="top" wrapText="1"/>
    </xf>
    <xf numFmtId="3" fontId="4" fillId="6" borderId="29" xfId="0" applyNumberFormat="1" applyFont="1" applyFill="1" applyBorder="1" applyAlignment="1">
      <alignment horizontal="center" vertical="top" wrapText="1"/>
    </xf>
    <xf numFmtId="3" fontId="4" fillId="6" borderId="15" xfId="0" applyNumberFormat="1" applyFont="1" applyFill="1" applyBorder="1" applyAlignment="1">
      <alignment horizontal="center" vertical="top" wrapText="1"/>
    </xf>
    <xf numFmtId="0" fontId="2" fillId="9" borderId="43" xfId="0" applyFont="1" applyFill="1" applyBorder="1" applyAlignment="1">
      <alignment vertical="top"/>
    </xf>
    <xf numFmtId="3" fontId="4" fillId="6" borderId="1" xfId="0" applyNumberFormat="1" applyFont="1" applyFill="1" applyBorder="1" applyAlignment="1">
      <alignment horizontal="center" vertical="top" wrapText="1"/>
    </xf>
    <xf numFmtId="0" fontId="6" fillId="7" borderId="39" xfId="0" applyFont="1" applyFill="1" applyBorder="1"/>
    <xf numFmtId="165" fontId="2" fillId="8" borderId="2" xfId="0" applyNumberFormat="1" applyFont="1" applyFill="1" applyBorder="1" applyAlignment="1">
      <alignment horizontal="center" vertical="top"/>
    </xf>
    <xf numFmtId="165" fontId="2" fillId="6" borderId="108" xfId="0" applyNumberFormat="1" applyFont="1" applyFill="1" applyBorder="1" applyAlignment="1">
      <alignment vertical="top" wrapText="1"/>
    </xf>
    <xf numFmtId="0" fontId="2" fillId="0" borderId="90" xfId="0" applyFont="1" applyBorder="1" applyAlignment="1">
      <alignment horizontal="center" vertical="top"/>
    </xf>
    <xf numFmtId="3" fontId="2" fillId="6" borderId="18" xfId="1" applyNumberFormat="1" applyFont="1" applyFill="1" applyBorder="1" applyAlignment="1">
      <alignment horizontal="center" vertical="top"/>
    </xf>
    <xf numFmtId="3" fontId="2" fillId="6" borderId="5" xfId="1" applyNumberFormat="1" applyFont="1" applyFill="1" applyBorder="1" applyAlignment="1">
      <alignment horizontal="center" vertical="top"/>
    </xf>
    <xf numFmtId="3" fontId="2" fillId="6" borderId="66" xfId="1" applyNumberFormat="1" applyFont="1" applyFill="1" applyBorder="1" applyAlignment="1">
      <alignment horizontal="center" vertical="top"/>
    </xf>
    <xf numFmtId="3" fontId="2" fillId="6" borderId="100" xfId="0" applyNumberFormat="1" applyFont="1" applyFill="1" applyBorder="1" applyAlignment="1">
      <alignment horizontal="center" vertical="top"/>
    </xf>
    <xf numFmtId="0" fontId="2" fillId="6" borderId="114" xfId="0" applyFont="1" applyFill="1" applyBorder="1" applyAlignment="1">
      <alignment vertical="top" wrapText="1"/>
    </xf>
    <xf numFmtId="0" fontId="2" fillId="0" borderId="5" xfId="0" applyFont="1" applyBorder="1" applyAlignment="1">
      <alignment vertical="top"/>
    </xf>
    <xf numFmtId="0" fontId="2" fillId="0" borderId="89" xfId="0" applyFont="1" applyBorder="1" applyAlignment="1">
      <alignment vertical="top"/>
    </xf>
    <xf numFmtId="165" fontId="2" fillId="9" borderId="4" xfId="0" applyNumberFormat="1" applyFont="1" applyFill="1" applyBorder="1" applyAlignment="1">
      <alignment horizontal="center" vertical="top"/>
    </xf>
    <xf numFmtId="0" fontId="2" fillId="6" borderId="47" xfId="0" applyFont="1" applyFill="1" applyBorder="1" applyAlignment="1">
      <alignment vertical="top"/>
    </xf>
    <xf numFmtId="165" fontId="2" fillId="6" borderId="54" xfId="0" applyNumberFormat="1" applyFont="1" applyFill="1" applyBorder="1" applyAlignment="1">
      <alignment vertical="top" wrapText="1"/>
    </xf>
    <xf numFmtId="0" fontId="2" fillId="6" borderId="115" xfId="0" applyFont="1" applyFill="1" applyBorder="1" applyAlignment="1">
      <alignment horizontal="left" vertical="top" wrapText="1"/>
    </xf>
    <xf numFmtId="0" fontId="2" fillId="6" borderId="114" xfId="0" applyFont="1" applyFill="1" applyBorder="1" applyAlignment="1">
      <alignment horizontal="left" vertical="top" wrapText="1"/>
    </xf>
    <xf numFmtId="0" fontId="13" fillId="6" borderId="47" xfId="0" applyFont="1" applyFill="1" applyBorder="1" applyAlignment="1">
      <alignment horizontal="left" vertical="top" wrapText="1"/>
    </xf>
    <xf numFmtId="0" fontId="13" fillId="6" borderId="108" xfId="0" applyFont="1" applyFill="1" applyBorder="1" applyAlignment="1">
      <alignment vertical="top" wrapText="1"/>
    </xf>
    <xf numFmtId="0" fontId="2" fillId="6" borderId="115" xfId="0" applyFont="1" applyFill="1" applyBorder="1" applyAlignment="1">
      <alignment vertical="top" wrapText="1"/>
    </xf>
    <xf numFmtId="0" fontId="2" fillId="6" borderId="115" xfId="1" applyFont="1" applyFill="1" applyBorder="1" applyAlignment="1">
      <alignment horizontal="left" vertical="top" wrapText="1"/>
    </xf>
    <xf numFmtId="165" fontId="2" fillId="6" borderId="54" xfId="0" applyNumberFormat="1" applyFont="1" applyFill="1" applyBorder="1" applyAlignment="1">
      <alignment horizontal="left" vertical="top"/>
    </xf>
    <xf numFmtId="0" fontId="2" fillId="6" borderId="54" xfId="0" applyFont="1" applyFill="1" applyBorder="1" applyAlignment="1">
      <alignment vertical="top" wrapText="1"/>
    </xf>
    <xf numFmtId="0" fontId="2" fillId="6" borderId="86" xfId="0" applyFont="1" applyFill="1" applyBorder="1" applyAlignment="1">
      <alignment horizontal="left" vertical="top" wrapText="1"/>
    </xf>
    <xf numFmtId="0" fontId="2" fillId="6" borderId="111" xfId="0" applyFont="1" applyFill="1" applyBorder="1" applyAlignment="1">
      <alignment vertical="top" wrapText="1"/>
    </xf>
    <xf numFmtId="3" fontId="4" fillId="6" borderId="41" xfId="0" applyNumberFormat="1" applyFont="1" applyFill="1" applyBorder="1" applyAlignment="1">
      <alignment horizontal="center" vertical="top" wrapText="1"/>
    </xf>
    <xf numFmtId="0" fontId="2" fillId="6" borderId="90" xfId="0" applyFont="1" applyFill="1" applyBorder="1" applyAlignment="1">
      <alignment horizontal="center" vertical="top" wrapText="1"/>
    </xf>
    <xf numFmtId="3" fontId="4" fillId="6" borderId="18" xfId="0" applyNumberFormat="1" applyFont="1" applyFill="1" applyBorder="1" applyAlignment="1">
      <alignment horizontal="center" vertical="top" wrapText="1"/>
    </xf>
    <xf numFmtId="3" fontId="2" fillId="6" borderId="8" xfId="0" applyNumberFormat="1" applyFont="1" applyFill="1" applyBorder="1" applyAlignment="1">
      <alignment horizontal="center" vertical="top"/>
    </xf>
    <xf numFmtId="3" fontId="2" fillId="6" borderId="8" xfId="1" applyNumberFormat="1" applyFont="1" applyFill="1" applyBorder="1" applyAlignment="1">
      <alignment horizontal="center" vertical="top"/>
    </xf>
    <xf numFmtId="3" fontId="2" fillId="6" borderId="99" xfId="1" applyNumberFormat="1" applyFont="1" applyFill="1" applyBorder="1" applyAlignment="1">
      <alignment horizontal="center" vertical="top" wrapText="1"/>
    </xf>
    <xf numFmtId="1" fontId="2" fillId="6" borderId="8" xfId="1" applyNumberFormat="1" applyFont="1" applyFill="1" applyBorder="1" applyAlignment="1">
      <alignment horizontal="center" vertical="top" wrapText="1"/>
    </xf>
    <xf numFmtId="3" fontId="2" fillId="6" borderId="89" xfId="1" applyNumberFormat="1" applyFont="1" applyFill="1" applyBorder="1" applyAlignment="1">
      <alignment horizontal="center" vertical="top" wrapText="1"/>
    </xf>
    <xf numFmtId="3" fontId="2" fillId="6" borderId="73" xfId="1" applyNumberFormat="1" applyFont="1" applyFill="1" applyBorder="1" applyAlignment="1">
      <alignment horizontal="center" vertical="top" wrapText="1"/>
    </xf>
    <xf numFmtId="0" fontId="2" fillId="6" borderId="8" xfId="0" applyNumberFormat="1" applyFont="1" applyFill="1" applyBorder="1" applyAlignment="1">
      <alignment horizontal="center" vertical="top" wrapText="1"/>
    </xf>
    <xf numFmtId="0" fontId="2" fillId="6" borderId="99" xfId="0" applyNumberFormat="1" applyFont="1" applyFill="1" applyBorder="1" applyAlignment="1">
      <alignment horizontal="center" vertical="top" wrapText="1"/>
    </xf>
    <xf numFmtId="0" fontId="2" fillId="6" borderId="18" xfId="0" applyNumberFormat="1" applyFont="1" applyFill="1" applyBorder="1" applyAlignment="1">
      <alignment horizontal="center" vertical="top" wrapText="1"/>
    </xf>
    <xf numFmtId="0" fontId="2" fillId="0" borderId="64" xfId="0" applyFont="1" applyBorder="1" applyAlignment="1">
      <alignment vertical="top"/>
    </xf>
    <xf numFmtId="0" fontId="2" fillId="0" borderId="70" xfId="0" applyFont="1" applyBorder="1" applyAlignment="1">
      <alignment horizontal="center" vertical="center"/>
    </xf>
    <xf numFmtId="0" fontId="2" fillId="6" borderId="64" xfId="0" applyNumberFormat="1" applyFont="1" applyFill="1" applyBorder="1" applyAlignment="1">
      <alignment horizontal="center" vertical="top" wrapText="1"/>
    </xf>
    <xf numFmtId="165" fontId="4" fillId="8" borderId="94" xfId="0" applyNumberFormat="1" applyFont="1" applyFill="1" applyBorder="1" applyAlignment="1">
      <alignment horizontal="center" vertical="top"/>
    </xf>
    <xf numFmtId="165" fontId="4" fillId="3" borderId="116" xfId="0" applyNumberFormat="1" applyFont="1" applyFill="1" applyBorder="1" applyAlignment="1">
      <alignment horizontal="center" vertical="top"/>
    </xf>
    <xf numFmtId="3" fontId="2" fillId="6" borderId="63" xfId="0" applyNumberFormat="1" applyFont="1" applyFill="1" applyBorder="1" applyAlignment="1">
      <alignment horizontal="center" vertical="top"/>
    </xf>
    <xf numFmtId="3" fontId="2" fillId="6" borderId="101" xfId="0" applyNumberFormat="1" applyFont="1" applyFill="1" applyBorder="1" applyAlignment="1">
      <alignment horizontal="center" vertical="top"/>
    </xf>
    <xf numFmtId="0" fontId="4" fillId="6" borderId="25" xfId="0" applyFont="1" applyFill="1" applyBorder="1" applyAlignment="1">
      <alignment vertical="top" wrapText="1"/>
    </xf>
    <xf numFmtId="0" fontId="2" fillId="0" borderId="25" xfId="0" applyFont="1" applyBorder="1" applyAlignment="1">
      <alignment horizontal="center" vertical="center" textRotation="90" wrapText="1"/>
    </xf>
    <xf numFmtId="0" fontId="2" fillId="6" borderId="24" xfId="0" applyFont="1" applyFill="1" applyBorder="1" applyAlignment="1">
      <alignment vertical="center" wrapText="1"/>
    </xf>
    <xf numFmtId="0" fontId="2" fillId="0" borderId="18" xfId="0" applyFont="1" applyBorder="1" applyAlignment="1">
      <alignment horizontal="center" vertical="center"/>
    </xf>
    <xf numFmtId="3" fontId="2" fillId="6" borderId="9" xfId="0" applyNumberFormat="1" applyFont="1" applyFill="1" applyBorder="1" applyAlignment="1">
      <alignment horizontal="right" vertical="center"/>
    </xf>
    <xf numFmtId="0" fontId="2" fillId="9" borderId="52" xfId="0" applyFont="1" applyFill="1" applyBorder="1" applyAlignment="1">
      <alignment horizontal="center" vertical="top"/>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0" borderId="93" xfId="0" applyFont="1" applyBorder="1" applyAlignment="1">
      <alignment horizontal="center" vertical="center"/>
    </xf>
    <xf numFmtId="0" fontId="2" fillId="0" borderId="30" xfId="0" applyFont="1" applyBorder="1" applyAlignment="1">
      <alignment vertical="center" wrapText="1"/>
    </xf>
    <xf numFmtId="0" fontId="2" fillId="0" borderId="17" xfId="0" applyFont="1" applyBorder="1" applyAlignment="1">
      <alignment horizontal="center" vertical="center"/>
    </xf>
    <xf numFmtId="3" fontId="2" fillId="6" borderId="82" xfId="0" applyNumberFormat="1" applyFont="1" applyFill="1" applyBorder="1" applyAlignment="1">
      <alignment horizontal="center" vertical="top"/>
    </xf>
    <xf numFmtId="0" fontId="2" fillId="6" borderId="16" xfId="0" applyFont="1" applyFill="1" applyBorder="1" applyAlignment="1">
      <alignment horizontal="center" vertical="center"/>
    </xf>
    <xf numFmtId="0" fontId="2" fillId="6" borderId="13" xfId="0" applyFont="1" applyFill="1" applyBorder="1" applyAlignment="1">
      <alignment horizontal="center" vertical="center"/>
    </xf>
    <xf numFmtId="165" fontId="4" fillId="8" borderId="83" xfId="0" applyNumberFormat="1" applyFont="1" applyFill="1" applyBorder="1" applyAlignment="1">
      <alignment horizontal="center" vertical="top"/>
    </xf>
    <xf numFmtId="165" fontId="4" fillId="10" borderId="49" xfId="0" applyNumberFormat="1" applyFont="1" applyFill="1" applyBorder="1" applyAlignment="1">
      <alignment horizontal="center" vertical="top"/>
    </xf>
    <xf numFmtId="165" fontId="4" fillId="10" borderId="98" xfId="0" applyNumberFormat="1" applyFont="1" applyFill="1" applyBorder="1" applyAlignment="1">
      <alignment horizontal="center" vertical="top"/>
    </xf>
    <xf numFmtId="165" fontId="4" fillId="4" borderId="116" xfId="0" applyNumberFormat="1" applyFont="1" applyFill="1" applyBorder="1" applyAlignment="1">
      <alignment horizontal="center" vertical="top"/>
    </xf>
    <xf numFmtId="165" fontId="4" fillId="4" borderId="49" xfId="0" applyNumberFormat="1" applyFont="1" applyFill="1" applyBorder="1" applyAlignment="1">
      <alignment horizontal="center" vertical="top"/>
    </xf>
    <xf numFmtId="164" fontId="2" fillId="6" borderId="72" xfId="0" applyNumberFormat="1" applyFont="1" applyFill="1" applyBorder="1" applyAlignment="1">
      <alignment horizontal="center" vertical="top"/>
    </xf>
    <xf numFmtId="0" fontId="2" fillId="6" borderId="72" xfId="0" applyNumberFormat="1" applyFont="1" applyFill="1" applyBorder="1" applyAlignment="1">
      <alignment horizontal="center" vertical="top"/>
    </xf>
    <xf numFmtId="1" fontId="2" fillId="6" borderId="5" xfId="0" applyNumberFormat="1" applyFont="1" applyFill="1" applyBorder="1" applyAlignment="1">
      <alignment horizontal="center" vertical="top" wrapText="1"/>
    </xf>
    <xf numFmtId="0" fontId="2" fillId="6" borderId="5" xfId="0" applyNumberFormat="1" applyFont="1" applyFill="1" applyBorder="1" applyAlignment="1">
      <alignment horizontal="center" vertical="top" wrapText="1"/>
    </xf>
    <xf numFmtId="0" fontId="2" fillId="10" borderId="52" xfId="0" applyFont="1" applyFill="1" applyBorder="1" applyAlignment="1">
      <alignment vertical="top"/>
    </xf>
    <xf numFmtId="165" fontId="2" fillId="9" borderId="116" xfId="0" applyNumberFormat="1" applyFont="1" applyFill="1" applyBorder="1" applyAlignment="1">
      <alignment horizontal="center" vertical="top"/>
    </xf>
    <xf numFmtId="165" fontId="2" fillId="9" borderId="59" xfId="0" applyNumberFormat="1" applyFont="1" applyFill="1" applyBorder="1" applyAlignment="1">
      <alignment horizontal="center" vertical="top"/>
    </xf>
    <xf numFmtId="165" fontId="4" fillId="9" borderId="48" xfId="0" applyNumberFormat="1" applyFont="1" applyFill="1" applyBorder="1" applyAlignment="1">
      <alignment horizontal="center" vertical="top"/>
    </xf>
    <xf numFmtId="165" fontId="4" fillId="9" borderId="3" xfId="0" applyNumberFormat="1" applyFont="1" applyFill="1" applyBorder="1" applyAlignment="1">
      <alignment horizontal="center" vertical="top"/>
    </xf>
    <xf numFmtId="165" fontId="4" fillId="8" borderId="56" xfId="0" applyNumberFormat="1" applyFont="1" applyFill="1" applyBorder="1" applyAlignment="1">
      <alignment horizontal="center" vertical="top" wrapText="1"/>
    </xf>
    <xf numFmtId="165" fontId="4" fillId="8" borderId="93" xfId="0" applyNumberFormat="1" applyFont="1" applyFill="1" applyBorder="1" applyAlignment="1">
      <alignment horizontal="center" vertical="top" wrapText="1"/>
    </xf>
    <xf numFmtId="165" fontId="4" fillId="4" borderId="58" xfId="0" applyNumberFormat="1" applyFont="1" applyFill="1" applyBorder="1" applyAlignment="1">
      <alignment horizontal="center" vertical="top"/>
    </xf>
    <xf numFmtId="165" fontId="4" fillId="4" borderId="109" xfId="0" applyNumberFormat="1" applyFont="1" applyFill="1" applyBorder="1" applyAlignment="1">
      <alignment horizontal="center" vertical="top"/>
    </xf>
    <xf numFmtId="165" fontId="2" fillId="6" borderId="54" xfId="0" applyNumberFormat="1" applyFont="1" applyFill="1" applyBorder="1" applyAlignment="1">
      <alignment horizontal="center" vertical="top"/>
    </xf>
    <xf numFmtId="165" fontId="2" fillId="0" borderId="54" xfId="0" applyNumberFormat="1" applyFont="1" applyBorder="1" applyAlignment="1">
      <alignment horizontal="center" vertical="top"/>
    </xf>
    <xf numFmtId="165" fontId="2" fillId="0" borderId="93" xfId="0" applyNumberFormat="1" applyFont="1" applyBorder="1" applyAlignment="1">
      <alignment horizontal="center" vertical="top"/>
    </xf>
    <xf numFmtId="165" fontId="2" fillId="0" borderId="12" xfId="0" applyNumberFormat="1" applyFont="1" applyBorder="1" applyAlignment="1">
      <alignment horizontal="center" vertical="top"/>
    </xf>
    <xf numFmtId="165" fontId="2" fillId="8" borderId="54" xfId="0" applyNumberFormat="1" applyFont="1" applyFill="1" applyBorder="1" applyAlignment="1">
      <alignment horizontal="center" vertical="top"/>
    </xf>
    <xf numFmtId="165" fontId="4" fillId="4" borderId="56" xfId="0" applyNumberFormat="1" applyFont="1" applyFill="1" applyBorder="1" applyAlignment="1">
      <alignment horizontal="center" vertical="top" wrapText="1"/>
    </xf>
    <xf numFmtId="165" fontId="4" fillId="4" borderId="93" xfId="0" applyNumberFormat="1" applyFont="1" applyFill="1" applyBorder="1" applyAlignment="1">
      <alignment horizontal="center" vertical="top" wrapText="1"/>
    </xf>
    <xf numFmtId="165" fontId="4" fillId="5" borderId="26" xfId="0" applyNumberFormat="1" applyFont="1" applyFill="1" applyBorder="1" applyAlignment="1">
      <alignment horizontal="center" vertical="top"/>
    </xf>
    <xf numFmtId="165" fontId="4" fillId="5" borderId="3" xfId="0" applyNumberFormat="1" applyFont="1" applyFill="1" applyBorder="1" applyAlignment="1">
      <alignment horizontal="center" vertical="top"/>
    </xf>
    <xf numFmtId="165" fontId="4" fillId="5" borderId="83" xfId="0" applyNumberFormat="1" applyFont="1" applyFill="1" applyBorder="1" applyAlignment="1">
      <alignment horizontal="center" vertical="top"/>
    </xf>
    <xf numFmtId="165" fontId="2" fillId="0" borderId="39" xfId="0" applyNumberFormat="1" applyFont="1" applyBorder="1" applyAlignment="1">
      <alignment horizontal="center" vertical="top"/>
    </xf>
    <xf numFmtId="165" fontId="4" fillId="4" borderId="28" xfId="0" applyNumberFormat="1" applyFont="1" applyFill="1" applyBorder="1" applyAlignment="1">
      <alignment horizontal="center" vertical="top" wrapText="1"/>
    </xf>
    <xf numFmtId="165" fontId="2" fillId="0" borderId="2" xfId="0" applyNumberFormat="1" applyFont="1" applyBorder="1" applyAlignment="1">
      <alignment horizontal="center" vertical="top"/>
    </xf>
    <xf numFmtId="165" fontId="2" fillId="0" borderId="28" xfId="0" applyNumberFormat="1" applyFont="1" applyBorder="1" applyAlignment="1">
      <alignment horizontal="center" vertical="top"/>
    </xf>
    <xf numFmtId="165" fontId="4" fillId="8" borderId="28" xfId="0" applyNumberFormat="1" applyFont="1" applyFill="1" applyBorder="1" applyAlignment="1">
      <alignment horizontal="center" vertical="top" wrapText="1"/>
    </xf>
    <xf numFmtId="165" fontId="4" fillId="4" borderId="118" xfId="0" applyNumberFormat="1" applyFont="1" applyFill="1" applyBorder="1" applyAlignment="1">
      <alignment horizontal="center" vertical="top"/>
    </xf>
    <xf numFmtId="4" fontId="2" fillId="0" borderId="0" xfId="0" applyNumberFormat="1" applyFont="1" applyBorder="1" applyAlignment="1">
      <alignment vertical="top"/>
    </xf>
    <xf numFmtId="3" fontId="2" fillId="6" borderId="66" xfId="0" applyNumberFormat="1" applyFont="1" applyFill="1" applyBorder="1" applyAlignment="1">
      <alignment horizontal="center" vertical="top"/>
    </xf>
    <xf numFmtId="49" fontId="4" fillId="3" borderId="84" xfId="0" applyNumberFormat="1" applyFont="1" applyFill="1" applyBorder="1" applyAlignment="1">
      <alignment horizontal="center" vertical="top"/>
    </xf>
    <xf numFmtId="1" fontId="2" fillId="6" borderId="97" xfId="0" applyNumberFormat="1" applyFont="1" applyFill="1" applyBorder="1" applyAlignment="1">
      <alignment horizontal="center" vertical="top" wrapText="1"/>
    </xf>
    <xf numFmtId="1" fontId="2" fillId="6" borderId="91" xfId="0" applyNumberFormat="1" applyFont="1" applyFill="1" applyBorder="1" applyAlignment="1">
      <alignment horizontal="center" vertical="top" wrapText="1"/>
    </xf>
    <xf numFmtId="1" fontId="2" fillId="6" borderId="70" xfId="0" applyNumberFormat="1" applyFont="1" applyFill="1" applyBorder="1" applyAlignment="1">
      <alignment horizontal="center" vertical="top" wrapText="1"/>
    </xf>
    <xf numFmtId="1" fontId="2" fillId="6" borderId="75"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0" fontId="2" fillId="6" borderId="54" xfId="0" applyFont="1" applyFill="1" applyBorder="1" applyAlignment="1">
      <alignment horizontal="left" vertical="top" wrapText="1"/>
    </xf>
    <xf numFmtId="0" fontId="2" fillId="6" borderId="30" xfId="1" applyFont="1" applyFill="1" applyBorder="1" applyAlignment="1">
      <alignment vertical="top" wrapText="1"/>
    </xf>
    <xf numFmtId="0" fontId="2" fillId="6" borderId="13"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6" fillId="6" borderId="13" xfId="0" applyFont="1" applyFill="1" applyBorder="1" applyAlignment="1">
      <alignment vertical="top" wrapText="1"/>
    </xf>
    <xf numFmtId="0" fontId="2" fillId="6" borderId="13" xfId="0" applyFont="1" applyFill="1" applyBorder="1" applyAlignment="1">
      <alignment horizontal="center" vertical="center" textRotation="90" wrapText="1"/>
    </xf>
    <xf numFmtId="49" fontId="4" fillId="3" borderId="40" xfId="0" applyNumberFormat="1" applyFont="1" applyFill="1" applyBorder="1" applyAlignment="1">
      <alignment horizontal="center" vertical="top"/>
    </xf>
    <xf numFmtId="49" fontId="4" fillId="3" borderId="13" xfId="0" applyNumberFormat="1" applyFont="1" applyFill="1" applyBorder="1" applyAlignment="1">
      <alignment horizontal="center" vertical="top"/>
    </xf>
    <xf numFmtId="0" fontId="2" fillId="6" borderId="40" xfId="0" applyFont="1" applyFill="1" applyBorder="1" applyAlignment="1">
      <alignment horizontal="left" vertical="top" wrapText="1"/>
    </xf>
    <xf numFmtId="0" fontId="2" fillId="6" borderId="47" xfId="0" applyFont="1" applyFill="1" applyBorder="1" applyAlignment="1">
      <alignment vertical="top" wrapText="1"/>
    </xf>
    <xf numFmtId="0" fontId="4" fillId="6" borderId="20" xfId="0" applyFont="1" applyFill="1" applyBorder="1" applyAlignment="1">
      <alignment horizontal="center" vertical="top" wrapText="1"/>
    </xf>
    <xf numFmtId="0" fontId="4" fillId="6" borderId="25" xfId="0" applyFont="1" applyFill="1" applyBorder="1" applyAlignment="1">
      <alignment horizontal="center" vertical="top" wrapText="1"/>
    </xf>
    <xf numFmtId="49" fontId="4" fillId="8" borderId="13" xfId="0" applyNumberFormat="1" applyFont="1" applyFill="1" applyBorder="1" applyAlignment="1">
      <alignment horizontal="center" vertical="top" wrapText="1"/>
    </xf>
    <xf numFmtId="0" fontId="2" fillId="6" borderId="108" xfId="0" applyFont="1" applyFill="1" applyBorder="1" applyAlignment="1">
      <alignment vertical="top" wrapText="1"/>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3" fontId="2" fillId="0" borderId="0" xfId="0" applyNumberFormat="1" applyFont="1" applyFill="1" applyBorder="1" applyAlignment="1">
      <alignment horizontal="left" vertical="top" wrapText="1"/>
    </xf>
    <xf numFmtId="0" fontId="2" fillId="0" borderId="22" xfId="0" applyFont="1" applyBorder="1" applyAlignment="1">
      <alignment vertical="top"/>
    </xf>
    <xf numFmtId="0" fontId="2" fillId="0" borderId="54" xfId="0" applyFont="1" applyBorder="1" applyAlignment="1">
      <alignment vertical="top"/>
    </xf>
    <xf numFmtId="0" fontId="2" fillId="6" borderId="36" xfId="0" applyFont="1" applyFill="1" applyBorder="1" applyAlignment="1">
      <alignment horizontal="left" vertical="top" wrapText="1"/>
    </xf>
    <xf numFmtId="0" fontId="2" fillId="0" borderId="43" xfId="0" applyFont="1" applyBorder="1" applyAlignment="1">
      <alignment horizontal="center" vertical="top"/>
    </xf>
    <xf numFmtId="0" fontId="2" fillId="0" borderId="45" xfId="0" applyFont="1" applyBorder="1" applyAlignment="1">
      <alignment horizontal="center" vertical="top"/>
    </xf>
    <xf numFmtId="0" fontId="2" fillId="0" borderId="25" xfId="0" applyFont="1" applyBorder="1" applyAlignment="1">
      <alignment horizontal="center" vertical="top"/>
    </xf>
    <xf numFmtId="0" fontId="3" fillId="0" borderId="0" xfId="0" applyFont="1" applyAlignment="1">
      <alignment vertical="center"/>
    </xf>
    <xf numFmtId="0" fontId="2" fillId="6" borderId="106" xfId="0" applyFont="1" applyFill="1" applyBorder="1" applyAlignment="1">
      <alignment horizontal="center" vertical="top"/>
    </xf>
    <xf numFmtId="0" fontId="2" fillId="6" borderId="23" xfId="0" applyFont="1" applyFill="1" applyBorder="1" applyAlignment="1">
      <alignment vertical="top"/>
    </xf>
    <xf numFmtId="49" fontId="4" fillId="3" borderId="40" xfId="0" applyNumberFormat="1" applyFont="1" applyFill="1" applyBorder="1" applyAlignment="1">
      <alignment horizontal="center" vertical="top"/>
    </xf>
    <xf numFmtId="0" fontId="4" fillId="6" borderId="13" xfId="0" applyFont="1" applyFill="1" applyBorder="1" applyAlignment="1">
      <alignment horizontal="center" vertical="top" wrapText="1"/>
    </xf>
    <xf numFmtId="3" fontId="2" fillId="6" borderId="51" xfId="0" applyNumberFormat="1" applyFont="1" applyFill="1" applyBorder="1" applyAlignment="1">
      <alignment horizontal="center" vertical="top"/>
    </xf>
    <xf numFmtId="0" fontId="2" fillId="2" borderId="55" xfId="0" applyFont="1" applyFill="1" applyBorder="1" applyAlignment="1">
      <alignment horizontal="center" vertical="top" wrapText="1"/>
    </xf>
    <xf numFmtId="49" fontId="2" fillId="6" borderId="40" xfId="0" applyNumberFormat="1" applyFont="1" applyFill="1" applyBorder="1" applyAlignment="1">
      <alignment horizontal="center" vertical="top" wrapText="1"/>
    </xf>
    <xf numFmtId="49" fontId="2" fillId="6" borderId="83" xfId="0" applyNumberFormat="1" applyFont="1" applyFill="1" applyBorder="1" applyAlignment="1">
      <alignment horizontal="center" vertical="top" wrapText="1"/>
    </xf>
    <xf numFmtId="0" fontId="2" fillId="0" borderId="6" xfId="0" applyFont="1" applyBorder="1" applyAlignment="1">
      <alignment horizontal="center" vertical="top" wrapText="1"/>
    </xf>
    <xf numFmtId="0" fontId="2" fillId="6" borderId="55" xfId="0" applyFont="1" applyFill="1" applyBorder="1" applyAlignment="1">
      <alignment vertical="top" wrapText="1"/>
    </xf>
    <xf numFmtId="0" fontId="2" fillId="6" borderId="82" xfId="0" applyFont="1" applyFill="1" applyBorder="1" applyAlignment="1">
      <alignment vertical="top" wrapText="1"/>
    </xf>
    <xf numFmtId="0" fontId="2" fillId="6" borderId="32" xfId="1" applyFont="1" applyFill="1" applyBorder="1" applyAlignment="1">
      <alignment vertical="top" wrapText="1"/>
    </xf>
    <xf numFmtId="0" fontId="2" fillId="6" borderId="105" xfId="1" applyFont="1" applyFill="1" applyBorder="1" applyAlignment="1">
      <alignment vertical="top" wrapText="1"/>
    </xf>
    <xf numFmtId="0" fontId="2" fillId="6" borderId="0" xfId="0" applyFont="1" applyFill="1" applyBorder="1" applyAlignment="1">
      <alignment horizontal="left" vertical="top" wrapText="1"/>
    </xf>
    <xf numFmtId="0" fontId="2" fillId="6" borderId="105" xfId="0" applyFont="1" applyFill="1" applyBorder="1" applyAlignment="1">
      <alignment horizontal="left" vertical="top" wrapText="1"/>
    </xf>
    <xf numFmtId="0" fontId="2" fillId="6" borderId="21" xfId="0" applyFont="1" applyFill="1" applyBorder="1" applyAlignment="1">
      <alignment horizontal="left" vertical="top" wrapText="1"/>
    </xf>
    <xf numFmtId="0" fontId="2" fillId="6" borderId="113" xfId="0" applyFont="1" applyFill="1" applyBorder="1" applyAlignment="1">
      <alignment vertical="top" wrapText="1"/>
    </xf>
    <xf numFmtId="0" fontId="4" fillId="6" borderId="16" xfId="0" applyFont="1" applyFill="1" applyBorder="1" applyAlignment="1">
      <alignment horizontal="center" vertical="top" wrapText="1"/>
    </xf>
    <xf numFmtId="0" fontId="2" fillId="6" borderId="13"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3" borderId="13" xfId="0" applyNumberFormat="1" applyFont="1" applyFill="1" applyBorder="1" applyAlignment="1">
      <alignment horizontal="center" vertical="top"/>
    </xf>
    <xf numFmtId="0" fontId="2" fillId="6" borderId="40" xfId="0" applyFont="1" applyFill="1" applyBorder="1" applyAlignment="1">
      <alignment horizontal="center" vertical="top" wrapText="1"/>
    </xf>
    <xf numFmtId="49" fontId="4" fillId="8" borderId="13" xfId="0" applyNumberFormat="1" applyFont="1" applyFill="1" applyBorder="1" applyAlignment="1">
      <alignment horizontal="center" vertical="top"/>
    </xf>
    <xf numFmtId="0" fontId="2" fillId="6" borderId="108" xfId="0" applyFont="1" applyFill="1" applyBorder="1" applyAlignment="1">
      <alignment horizontal="left" vertical="top" wrapText="1"/>
    </xf>
    <xf numFmtId="49" fontId="4" fillId="3" borderId="40" xfId="0" applyNumberFormat="1" applyFont="1" applyFill="1" applyBorder="1" applyAlignment="1">
      <alignment horizontal="center" vertical="top"/>
    </xf>
    <xf numFmtId="165" fontId="2" fillId="6" borderId="110" xfId="0" applyNumberFormat="1" applyFont="1" applyFill="1" applyBorder="1" applyAlignment="1">
      <alignment horizontal="center" vertical="top"/>
    </xf>
    <xf numFmtId="0" fontId="2" fillId="0" borderId="99" xfId="0" applyFont="1" applyBorder="1" applyAlignment="1">
      <alignment horizontal="center" vertical="top"/>
    </xf>
    <xf numFmtId="0" fontId="2" fillId="6" borderId="64" xfId="0" applyFont="1" applyFill="1" applyBorder="1" applyAlignment="1">
      <alignment horizontal="center" vertical="top"/>
    </xf>
    <xf numFmtId="1" fontId="2" fillId="6" borderId="91" xfId="0" applyNumberFormat="1" applyFont="1" applyFill="1" applyBorder="1" applyAlignment="1">
      <alignment horizontal="center" vertical="top" wrapText="1"/>
    </xf>
    <xf numFmtId="1" fontId="2" fillId="6" borderId="69"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2" fillId="6" borderId="13" xfId="0" applyFont="1" applyFill="1" applyBorder="1" applyAlignment="1">
      <alignment horizontal="center" vertical="center" textRotation="90" wrapText="1"/>
    </xf>
    <xf numFmtId="49" fontId="4" fillId="3" borderId="40" xfId="0" applyNumberFormat="1" applyFont="1" applyFill="1" applyBorder="1" applyAlignment="1">
      <alignment horizontal="center" vertical="top"/>
    </xf>
    <xf numFmtId="0" fontId="2" fillId="6" borderId="40" xfId="0" applyFont="1" applyFill="1" applyBorder="1" applyAlignment="1">
      <alignment horizontal="left" vertical="top" wrapText="1"/>
    </xf>
    <xf numFmtId="0" fontId="2" fillId="6" borderId="30" xfId="0" applyFont="1" applyFill="1" applyBorder="1" applyAlignment="1">
      <alignment vertical="top" wrapText="1"/>
    </xf>
    <xf numFmtId="0" fontId="2" fillId="6" borderId="13" xfId="0" applyFont="1" applyFill="1" applyBorder="1" applyAlignment="1">
      <alignment vertical="top" wrapText="1"/>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49" fontId="4" fillId="8" borderId="13" xfId="0" applyNumberFormat="1" applyFont="1" applyFill="1" applyBorder="1" applyAlignment="1">
      <alignment horizontal="center" vertical="top" wrapText="1"/>
    </xf>
    <xf numFmtId="3" fontId="21" fillId="6" borderId="73" xfId="0" applyNumberFormat="1" applyFont="1" applyFill="1" applyBorder="1" applyAlignment="1">
      <alignment horizontal="center" vertical="top" wrapText="1"/>
    </xf>
    <xf numFmtId="3" fontId="2" fillId="6" borderId="96" xfId="1" applyNumberFormat="1" applyFont="1" applyFill="1" applyBorder="1" applyAlignment="1">
      <alignment horizontal="center" vertical="top"/>
    </xf>
    <xf numFmtId="165" fontId="4" fillId="6" borderId="90" xfId="0" applyNumberFormat="1" applyFont="1" applyFill="1" applyBorder="1" applyAlignment="1">
      <alignment horizontal="center" vertical="top"/>
    </xf>
    <xf numFmtId="165" fontId="2" fillId="0" borderId="0" xfId="0" applyNumberFormat="1" applyFont="1" applyFill="1" applyAlignment="1">
      <alignment horizontal="center" vertical="top"/>
    </xf>
    <xf numFmtId="49" fontId="2" fillId="6" borderId="66" xfId="0" applyNumberFormat="1" applyFont="1" applyFill="1" applyBorder="1" applyAlignment="1">
      <alignment horizontal="center" vertical="top" wrapText="1"/>
    </xf>
    <xf numFmtId="0" fontId="2" fillId="6" borderId="89" xfId="0" applyFont="1" applyFill="1" applyBorder="1" applyAlignment="1">
      <alignment vertical="top"/>
    </xf>
    <xf numFmtId="165" fontId="2" fillId="6" borderId="74" xfId="0" applyNumberFormat="1" applyFont="1" applyFill="1" applyBorder="1" applyAlignment="1">
      <alignment horizontal="center" vertical="top"/>
    </xf>
    <xf numFmtId="164" fontId="2" fillId="6" borderId="78" xfId="0" applyNumberFormat="1" applyFont="1" applyFill="1" applyBorder="1" applyAlignment="1">
      <alignment horizontal="center" vertical="top"/>
    </xf>
    <xf numFmtId="0" fontId="2" fillId="0" borderId="62" xfId="0" applyFont="1" applyBorder="1" applyAlignment="1">
      <alignment vertical="top"/>
    </xf>
    <xf numFmtId="1" fontId="2" fillId="6" borderId="61" xfId="0" applyNumberFormat="1" applyFont="1" applyFill="1" applyBorder="1" applyAlignment="1">
      <alignment horizontal="center" vertical="top"/>
    </xf>
    <xf numFmtId="0" fontId="2" fillId="6" borderId="68" xfId="0" applyNumberFormat="1" applyFont="1" applyFill="1" applyBorder="1" applyAlignment="1">
      <alignment horizontal="center" vertical="top"/>
    </xf>
    <xf numFmtId="0" fontId="2" fillId="6" borderId="69" xfId="0" applyNumberFormat="1" applyFont="1" applyFill="1" applyBorder="1" applyAlignment="1">
      <alignment horizontal="center" vertical="top"/>
    </xf>
    <xf numFmtId="0" fontId="2" fillId="0" borderId="62" xfId="0" applyFont="1" applyBorder="1" applyAlignment="1">
      <alignment horizontal="center" vertical="top"/>
    </xf>
    <xf numFmtId="3" fontId="2" fillId="6" borderId="107" xfId="0" applyNumberFormat="1" applyFont="1" applyFill="1" applyBorder="1" applyAlignment="1">
      <alignment horizontal="center" vertical="top" wrapText="1"/>
    </xf>
    <xf numFmtId="165" fontId="2" fillId="0" borderId="0" xfId="0" applyNumberFormat="1" applyFont="1" applyBorder="1" applyAlignment="1">
      <alignment vertical="top"/>
    </xf>
    <xf numFmtId="164" fontId="2" fillId="0" borderId="0" xfId="0" applyNumberFormat="1" applyFont="1" applyBorder="1" applyAlignment="1">
      <alignment vertical="top"/>
    </xf>
    <xf numFmtId="3" fontId="2" fillId="6" borderId="68" xfId="1" applyNumberFormat="1" applyFont="1" applyFill="1" applyBorder="1" applyAlignment="1">
      <alignment horizontal="center" vertical="top"/>
    </xf>
    <xf numFmtId="164" fontId="2" fillId="0" borderId="72" xfId="0" applyNumberFormat="1" applyFont="1" applyBorder="1" applyAlignment="1">
      <alignment horizontal="center" vertical="top"/>
    </xf>
    <xf numFmtId="0" fontId="2" fillId="6" borderId="30"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0" fontId="4" fillId="6" borderId="13" xfId="0" applyFont="1" applyFill="1" applyBorder="1" applyAlignment="1">
      <alignment horizontal="center" vertical="top" wrapText="1"/>
    </xf>
    <xf numFmtId="165" fontId="26" fillId="0" borderId="0" xfId="0" applyNumberFormat="1" applyFont="1" applyAlignment="1">
      <alignment vertical="top"/>
    </xf>
    <xf numFmtId="2" fontId="2" fillId="0" borderId="0" xfId="0" applyNumberFormat="1" applyFont="1" applyBorder="1" applyAlignment="1">
      <alignment vertical="top"/>
    </xf>
    <xf numFmtId="0" fontId="2" fillId="0" borderId="99" xfId="0" applyFont="1" applyFill="1" applyBorder="1" applyAlignment="1">
      <alignment horizontal="center" vertical="top" wrapText="1"/>
    </xf>
    <xf numFmtId="165" fontId="2" fillId="6" borderId="115" xfId="0" applyNumberFormat="1" applyFont="1" applyFill="1" applyBorder="1" applyAlignment="1">
      <alignment horizontal="center" vertical="top"/>
    </xf>
    <xf numFmtId="165" fontId="4" fillId="6" borderId="13" xfId="0" applyNumberFormat="1" applyFont="1" applyFill="1" applyBorder="1" applyAlignment="1">
      <alignment horizontal="center" vertical="top"/>
    </xf>
    <xf numFmtId="3" fontId="2" fillId="6" borderId="13" xfId="0" applyNumberFormat="1" applyFont="1" applyFill="1" applyBorder="1" applyAlignment="1">
      <alignment horizontal="right" vertical="center"/>
    </xf>
    <xf numFmtId="165" fontId="4" fillId="6" borderId="14" xfId="0" applyNumberFormat="1" applyFont="1" applyFill="1" applyBorder="1" applyAlignment="1">
      <alignment horizontal="center" vertical="top"/>
    </xf>
    <xf numFmtId="3" fontId="2" fillId="6" borderId="14" xfId="0" applyNumberFormat="1" applyFont="1" applyFill="1" applyBorder="1" applyAlignment="1">
      <alignment horizontal="right" vertical="center"/>
    </xf>
    <xf numFmtId="0" fontId="2" fillId="6" borderId="30" xfId="0" applyFont="1" applyFill="1" applyBorder="1" applyAlignment="1">
      <alignment vertical="top" wrapText="1"/>
    </xf>
    <xf numFmtId="0" fontId="4" fillId="6" borderId="16" xfId="0" applyFont="1" applyFill="1" applyBorder="1" applyAlignment="1">
      <alignment horizontal="center" vertical="top" wrapText="1"/>
    </xf>
    <xf numFmtId="0" fontId="2" fillId="6" borderId="72" xfId="0" applyFont="1" applyFill="1" applyBorder="1" applyAlignment="1">
      <alignment vertical="top" wrapText="1"/>
    </xf>
    <xf numFmtId="0" fontId="2" fillId="0" borderId="30" xfId="0" applyFont="1" applyFill="1" applyBorder="1" applyAlignment="1">
      <alignment vertical="top" wrapText="1"/>
    </xf>
    <xf numFmtId="1" fontId="2" fillId="0" borderId="8" xfId="0" applyNumberFormat="1" applyFont="1" applyFill="1" applyBorder="1" applyAlignment="1">
      <alignment horizontal="center" vertical="top" wrapText="1"/>
    </xf>
    <xf numFmtId="165" fontId="24" fillId="6" borderId="8" xfId="0" applyNumberFormat="1" applyFont="1" applyFill="1" applyBorder="1" applyAlignment="1">
      <alignment horizontal="left" vertical="top"/>
    </xf>
    <xf numFmtId="0" fontId="24" fillId="6" borderId="30" xfId="0" applyFont="1" applyFill="1" applyBorder="1" applyAlignment="1">
      <alignment vertical="top" wrapText="1"/>
    </xf>
    <xf numFmtId="0" fontId="2" fillId="0" borderId="72" xfId="0" applyFont="1" applyFill="1" applyBorder="1" applyAlignment="1">
      <alignment horizontal="center" vertical="top" wrapText="1"/>
    </xf>
    <xf numFmtId="0" fontId="2" fillId="6" borderId="72" xfId="0" applyFont="1" applyFill="1" applyBorder="1" applyAlignment="1">
      <alignment vertical="top" wrapText="1"/>
    </xf>
    <xf numFmtId="0" fontId="2" fillId="6" borderId="5" xfId="0" applyFont="1" applyFill="1" applyBorder="1" applyAlignment="1">
      <alignment vertical="top" wrapText="1"/>
    </xf>
    <xf numFmtId="0" fontId="2" fillId="6" borderId="108" xfId="0" applyFont="1" applyFill="1" applyBorder="1" applyAlignment="1">
      <alignment vertical="center" wrapText="1"/>
    </xf>
    <xf numFmtId="0" fontId="2" fillId="6" borderId="102" xfId="0" applyFont="1" applyFill="1" applyBorder="1" applyAlignment="1">
      <alignment vertical="top" wrapText="1"/>
    </xf>
    <xf numFmtId="0" fontId="4" fillId="6" borderId="69" xfId="0" applyFont="1" applyFill="1" applyBorder="1" applyAlignment="1">
      <alignment horizontal="center" vertical="top" wrapText="1"/>
    </xf>
    <xf numFmtId="0" fontId="2" fillId="6" borderId="69" xfId="0" applyFont="1" applyFill="1" applyBorder="1" applyAlignment="1">
      <alignment horizontal="center" vertical="center" textRotation="90" wrapText="1"/>
    </xf>
    <xf numFmtId="0" fontId="2" fillId="6" borderId="69" xfId="0" applyFont="1" applyFill="1" applyBorder="1" applyAlignment="1">
      <alignment vertical="top" wrapText="1"/>
    </xf>
    <xf numFmtId="49" fontId="2" fillId="6" borderId="13" xfId="0" applyNumberFormat="1" applyFont="1" applyFill="1" applyBorder="1" applyAlignment="1">
      <alignment vertical="center" textRotation="90"/>
    </xf>
    <xf numFmtId="0" fontId="14" fillId="6" borderId="105" xfId="0" applyFont="1" applyFill="1" applyBorder="1" applyAlignment="1">
      <alignment vertical="top" wrapText="1"/>
    </xf>
    <xf numFmtId="0" fontId="2" fillId="6" borderId="16" xfId="0" applyFont="1" applyFill="1" applyBorder="1" applyAlignment="1">
      <alignment vertical="center"/>
    </xf>
    <xf numFmtId="0" fontId="2" fillId="6" borderId="13" xfId="0" applyFont="1" applyFill="1" applyBorder="1" applyAlignment="1">
      <alignment vertical="center"/>
    </xf>
    <xf numFmtId="3" fontId="2" fillId="6" borderId="67" xfId="0" applyNumberFormat="1" applyFont="1" applyFill="1" applyBorder="1" applyAlignment="1">
      <alignment horizontal="right" vertical="top"/>
    </xf>
    <xf numFmtId="3" fontId="2" fillId="6" borderId="88" xfId="0" applyNumberFormat="1" applyFont="1" applyFill="1" applyBorder="1" applyAlignment="1">
      <alignment horizontal="right" vertical="top"/>
    </xf>
    <xf numFmtId="0" fontId="2" fillId="6" borderId="99" xfId="0" applyNumberFormat="1" applyFont="1" applyFill="1" applyBorder="1" applyAlignment="1">
      <alignment horizontal="center" vertical="top"/>
    </xf>
    <xf numFmtId="0" fontId="2" fillId="6" borderId="65" xfId="0" applyNumberFormat="1" applyFont="1" applyFill="1" applyBorder="1" applyAlignment="1">
      <alignment horizontal="center" vertical="top"/>
    </xf>
    <xf numFmtId="0" fontId="2" fillId="6" borderId="102" xfId="0" applyNumberFormat="1" applyFont="1" applyFill="1" applyBorder="1" applyAlignment="1">
      <alignment horizontal="center" vertical="top"/>
    </xf>
    <xf numFmtId="0" fontId="2" fillId="6" borderId="88" xfId="0" applyNumberFormat="1" applyFont="1" applyFill="1" applyBorder="1" applyAlignment="1">
      <alignment horizontal="center" vertical="top"/>
    </xf>
    <xf numFmtId="0" fontId="2" fillId="0" borderId="0" xfId="0" applyFont="1" applyAlignment="1">
      <alignment horizontal="right" vertical="top"/>
    </xf>
    <xf numFmtId="0" fontId="6" fillId="6" borderId="13" xfId="0" applyFont="1" applyFill="1" applyBorder="1" applyAlignment="1">
      <alignment vertical="top" wrapText="1"/>
    </xf>
    <xf numFmtId="0" fontId="2" fillId="6" borderId="13" xfId="0" applyFont="1" applyFill="1" applyBorder="1" applyAlignment="1">
      <alignment horizontal="center" vertical="center" textRotation="90" wrapText="1"/>
    </xf>
    <xf numFmtId="0" fontId="2" fillId="6" borderId="115" xfId="0" applyFont="1" applyFill="1" applyBorder="1" applyAlignment="1">
      <alignment vertical="top"/>
    </xf>
    <xf numFmtId="0" fontId="2" fillId="6" borderId="117" xfId="0" applyFont="1" applyFill="1" applyBorder="1" applyAlignment="1">
      <alignment vertical="top"/>
    </xf>
    <xf numFmtId="0" fontId="2" fillId="6" borderId="88" xfId="0" applyFont="1" applyFill="1" applyBorder="1" applyAlignment="1">
      <alignment vertical="top"/>
    </xf>
    <xf numFmtId="165" fontId="2" fillId="6" borderId="40" xfId="0" applyNumberFormat="1" applyFont="1" applyFill="1" applyBorder="1" applyAlignment="1">
      <alignment horizontal="center" vertical="top"/>
    </xf>
    <xf numFmtId="0" fontId="2" fillId="6" borderId="35" xfId="0" applyFont="1" applyFill="1" applyBorder="1" applyAlignment="1">
      <alignment vertical="top"/>
    </xf>
    <xf numFmtId="49" fontId="4" fillId="10" borderId="9" xfId="0" applyNumberFormat="1" applyFont="1" applyFill="1" applyBorder="1" applyAlignment="1">
      <alignment horizontal="center" vertical="top"/>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49" fontId="4" fillId="3" borderId="40"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4" fillId="6" borderId="25" xfId="0" applyFont="1" applyFill="1" applyBorder="1" applyAlignment="1">
      <alignment horizontal="center" vertical="top" wrapText="1"/>
    </xf>
    <xf numFmtId="0" fontId="2" fillId="0" borderId="25" xfId="0" applyFont="1" applyBorder="1" applyAlignment="1">
      <alignment horizontal="center" vertical="top"/>
    </xf>
    <xf numFmtId="0" fontId="2" fillId="0" borderId="22" xfId="0" applyFont="1" applyBorder="1" applyAlignment="1">
      <alignment horizontal="center" vertical="top"/>
    </xf>
    <xf numFmtId="164" fontId="2" fillId="6" borderId="97" xfId="0" applyNumberFormat="1" applyFont="1" applyFill="1" applyBorder="1" applyAlignment="1">
      <alignment horizontal="center" vertical="top"/>
    </xf>
    <xf numFmtId="0" fontId="2" fillId="6" borderId="110" xfId="0" applyFont="1" applyFill="1" applyBorder="1" applyAlignment="1">
      <alignment vertical="center" wrapText="1"/>
    </xf>
    <xf numFmtId="0" fontId="2" fillId="6" borderId="30" xfId="0" applyFont="1" applyFill="1" applyBorder="1" applyAlignment="1">
      <alignment vertical="center" wrapText="1"/>
    </xf>
    <xf numFmtId="0" fontId="2" fillId="6" borderId="114" xfId="0" applyFont="1" applyFill="1" applyBorder="1" applyAlignment="1">
      <alignment horizontal="center" vertical="top"/>
    </xf>
    <xf numFmtId="3" fontId="2" fillId="6" borderId="43" xfId="0" applyNumberFormat="1" applyFont="1" applyFill="1" applyBorder="1" applyAlignment="1">
      <alignment horizontal="right" vertical="top"/>
    </xf>
    <xf numFmtId="49" fontId="4" fillId="6" borderId="25" xfId="0" applyNumberFormat="1" applyFont="1" applyFill="1" applyBorder="1" applyAlignment="1">
      <alignment vertical="top"/>
    </xf>
    <xf numFmtId="0" fontId="2" fillId="0" borderId="24" xfId="0" applyFont="1" applyBorder="1" applyAlignment="1">
      <alignment horizontal="center" vertical="top"/>
    </xf>
    <xf numFmtId="164" fontId="22" fillId="6" borderId="67" xfId="0" applyNumberFormat="1" applyFont="1" applyFill="1" applyBorder="1" applyAlignment="1">
      <alignment horizontal="center" vertical="top" wrapText="1"/>
    </xf>
    <xf numFmtId="165" fontId="2" fillId="0" borderId="0" xfId="0" applyNumberFormat="1" applyFont="1" applyAlignment="1">
      <alignment horizontal="center" vertical="top"/>
    </xf>
    <xf numFmtId="0" fontId="2" fillId="0" borderId="0" xfId="0" applyFont="1" applyFill="1" applyAlignment="1">
      <alignment horizontal="right" vertical="top"/>
    </xf>
    <xf numFmtId="49" fontId="2" fillId="6" borderId="93" xfId="0" applyNumberFormat="1" applyFont="1" applyFill="1" applyBorder="1" applyAlignment="1">
      <alignment horizontal="center" vertical="top" wrapText="1"/>
    </xf>
    <xf numFmtId="0" fontId="2" fillId="0" borderId="64" xfId="0" applyFont="1" applyBorder="1" applyAlignment="1">
      <alignment horizontal="center" vertical="top"/>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2" fillId="6" borderId="13" xfId="0" applyFont="1" applyFill="1" applyBorder="1" applyAlignment="1">
      <alignment horizontal="center" vertical="center" textRotation="90" wrapText="1"/>
    </xf>
    <xf numFmtId="49" fontId="4" fillId="3" borderId="40" xfId="0" applyNumberFormat="1" applyFont="1" applyFill="1" applyBorder="1" applyAlignment="1">
      <alignment horizontal="center" vertical="top"/>
    </xf>
    <xf numFmtId="0" fontId="2" fillId="6" borderId="40" xfId="0" applyFont="1" applyFill="1" applyBorder="1" applyAlignment="1">
      <alignment horizontal="left" vertical="top" wrapText="1"/>
    </xf>
    <xf numFmtId="0" fontId="2" fillId="6" borderId="16" xfId="0" applyFont="1" applyFill="1" applyBorder="1" applyAlignment="1">
      <alignment vertical="top" wrapText="1"/>
    </xf>
    <xf numFmtId="0" fontId="2" fillId="6" borderId="13" xfId="0" applyFont="1" applyFill="1" applyBorder="1" applyAlignment="1">
      <alignment vertical="top" wrapText="1"/>
    </xf>
    <xf numFmtId="0" fontId="2" fillId="6" borderId="40" xfId="0" applyFont="1" applyFill="1" applyBorder="1" applyAlignment="1">
      <alignment vertical="top" wrapText="1"/>
    </xf>
    <xf numFmtId="164" fontId="2" fillId="0" borderId="63" xfId="0" applyNumberFormat="1" applyFont="1" applyBorder="1" applyAlignment="1">
      <alignment horizontal="center" vertical="center"/>
    </xf>
    <xf numFmtId="49" fontId="4" fillId="6" borderId="21" xfId="0" applyNumberFormat="1" applyFont="1" applyFill="1" applyBorder="1" applyAlignment="1">
      <alignment horizontal="center" vertical="top" wrapText="1"/>
    </xf>
    <xf numFmtId="0" fontId="4" fillId="6" borderId="119" xfId="0" applyFont="1" applyFill="1" applyBorder="1" applyAlignment="1">
      <alignment vertical="top" wrapText="1"/>
    </xf>
    <xf numFmtId="165" fontId="2" fillId="6" borderId="120" xfId="0" applyNumberFormat="1" applyFont="1" applyFill="1" applyBorder="1" applyAlignment="1">
      <alignment horizontal="center" vertical="top"/>
    </xf>
    <xf numFmtId="0" fontId="4" fillId="6" borderId="70" xfId="0" applyFont="1" applyFill="1" applyBorder="1" applyAlignment="1">
      <alignment horizontal="center" vertical="top" wrapText="1"/>
    </xf>
    <xf numFmtId="0" fontId="4" fillId="0" borderId="62" xfId="0" applyFont="1" applyFill="1" applyBorder="1" applyAlignment="1">
      <alignment horizontal="center" vertical="top" wrapText="1"/>
    </xf>
    <xf numFmtId="0" fontId="4" fillId="6" borderId="62" xfId="0" applyFont="1" applyFill="1" applyBorder="1" applyAlignment="1">
      <alignment horizontal="center" vertical="top" wrapText="1"/>
    </xf>
    <xf numFmtId="0" fontId="2" fillId="0" borderId="14" xfId="0" applyFont="1" applyFill="1" applyBorder="1" applyAlignment="1">
      <alignment horizontal="center" vertical="top" wrapText="1"/>
    </xf>
    <xf numFmtId="164" fontId="2" fillId="6" borderId="73" xfId="0" applyNumberFormat="1" applyFont="1" applyFill="1" applyBorder="1" applyAlignment="1">
      <alignment horizontal="center" vertical="top" wrapText="1"/>
    </xf>
    <xf numFmtId="3" fontId="2" fillId="6" borderId="64" xfId="0" applyNumberFormat="1" applyFont="1" applyFill="1" applyBorder="1" applyAlignment="1">
      <alignment horizontal="center" vertical="top"/>
    </xf>
    <xf numFmtId="164" fontId="2" fillId="6" borderId="89" xfId="0" applyNumberFormat="1" applyFont="1" applyFill="1" applyBorder="1" applyAlignment="1">
      <alignment horizontal="center" vertical="top" wrapText="1"/>
    </xf>
    <xf numFmtId="0" fontId="2" fillId="0" borderId="73" xfId="0" applyFont="1" applyFill="1" applyBorder="1" applyAlignment="1">
      <alignment horizontal="center" vertical="top" wrapText="1"/>
    </xf>
    <xf numFmtId="164" fontId="2" fillId="6" borderId="60" xfId="0" applyNumberFormat="1" applyFont="1" applyFill="1" applyBorder="1" applyAlignment="1">
      <alignment horizontal="center" vertical="top"/>
    </xf>
    <xf numFmtId="165" fontId="2" fillId="0" borderId="67" xfId="0" applyNumberFormat="1" applyFont="1" applyFill="1" applyBorder="1" applyAlignment="1">
      <alignment horizontal="center" vertical="top"/>
    </xf>
    <xf numFmtId="165" fontId="2" fillId="0" borderId="72" xfId="0" applyNumberFormat="1" applyFont="1" applyFill="1" applyBorder="1" applyAlignment="1">
      <alignment horizontal="center" vertical="top"/>
    </xf>
    <xf numFmtId="165" fontId="2" fillId="0" borderId="89" xfId="0" applyNumberFormat="1" applyFont="1" applyFill="1" applyBorder="1" applyAlignment="1">
      <alignment horizontal="center" vertical="top"/>
    </xf>
    <xf numFmtId="164" fontId="22" fillId="6" borderId="63" xfId="0" applyNumberFormat="1" applyFont="1" applyFill="1" applyBorder="1" applyAlignment="1">
      <alignment horizontal="center" vertical="top" wrapText="1"/>
    </xf>
    <xf numFmtId="164" fontId="22" fillId="6" borderId="101" xfId="0" applyNumberFormat="1" applyFont="1" applyFill="1" applyBorder="1" applyAlignment="1">
      <alignment horizontal="center" vertical="top" wrapText="1"/>
    </xf>
    <xf numFmtId="164" fontId="22" fillId="6" borderId="88" xfId="0" applyNumberFormat="1" applyFont="1" applyFill="1" applyBorder="1" applyAlignment="1">
      <alignment horizontal="center" vertical="top" wrapText="1"/>
    </xf>
    <xf numFmtId="164" fontId="22" fillId="6" borderId="22" xfId="0" applyNumberFormat="1" applyFont="1" applyFill="1" applyBorder="1" applyAlignment="1">
      <alignment horizontal="center" vertical="top" wrapText="1"/>
    </xf>
    <xf numFmtId="1" fontId="2" fillId="6" borderId="75" xfId="0" applyNumberFormat="1" applyFont="1" applyFill="1" applyBorder="1" applyAlignment="1">
      <alignment horizontal="center" vertical="top" wrapText="1"/>
    </xf>
    <xf numFmtId="1" fontId="2" fillId="6" borderId="29" xfId="0" applyNumberFormat="1" applyFont="1" applyFill="1" applyBorder="1" applyAlignment="1">
      <alignment horizontal="center" vertical="top" wrapText="1"/>
    </xf>
    <xf numFmtId="1" fontId="24" fillId="6" borderId="8" xfId="0" applyNumberFormat="1" applyFont="1" applyFill="1" applyBorder="1" applyAlignment="1">
      <alignment horizontal="center" vertical="top" wrapText="1"/>
    </xf>
    <xf numFmtId="1" fontId="2" fillId="6" borderId="69" xfId="0" applyNumberFormat="1" applyFont="1" applyFill="1" applyBorder="1" applyAlignment="1">
      <alignment horizontal="center" vertical="top" wrapText="1"/>
    </xf>
    <xf numFmtId="0" fontId="4" fillId="6" borderId="25" xfId="0" applyFont="1" applyFill="1" applyBorder="1" applyAlignment="1">
      <alignment horizontal="center" vertical="top" wrapText="1"/>
    </xf>
    <xf numFmtId="1" fontId="2" fillId="6" borderId="91"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0" fontId="6" fillId="6" borderId="40" xfId="0" applyFont="1" applyFill="1" applyBorder="1" applyAlignment="1"/>
    <xf numFmtId="0" fontId="2" fillId="6" borderId="57" xfId="0" applyFont="1" applyFill="1" applyBorder="1" applyAlignment="1">
      <alignment horizontal="left" vertical="top" wrapText="1"/>
    </xf>
    <xf numFmtId="0" fontId="2" fillId="6" borderId="8"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2" fillId="6" borderId="13" xfId="0" applyFont="1" applyFill="1" applyBorder="1" applyAlignment="1">
      <alignment horizontal="center" vertical="center" textRotation="90" wrapText="1"/>
    </xf>
    <xf numFmtId="49" fontId="4" fillId="3" borderId="40" xfId="0" applyNumberFormat="1" applyFont="1" applyFill="1" applyBorder="1" applyAlignment="1">
      <alignment horizontal="center" vertical="top"/>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0" fontId="2" fillId="6" borderId="40" xfId="0" applyFont="1" applyFill="1" applyBorder="1" applyAlignment="1">
      <alignment horizontal="left" vertical="top" wrapText="1"/>
    </xf>
    <xf numFmtId="3" fontId="2" fillId="6" borderId="100" xfId="1" applyNumberFormat="1" applyFont="1" applyFill="1" applyBorder="1" applyAlignment="1">
      <alignment horizontal="center" vertical="top"/>
    </xf>
    <xf numFmtId="165" fontId="4" fillId="6" borderId="107" xfId="0" applyNumberFormat="1" applyFont="1" applyFill="1" applyBorder="1" applyAlignment="1">
      <alignment horizontal="center" vertical="top"/>
    </xf>
    <xf numFmtId="0" fontId="2" fillId="0" borderId="30" xfId="0" applyFont="1" applyBorder="1"/>
    <xf numFmtId="3" fontId="2" fillId="6" borderId="93" xfId="0" applyNumberFormat="1" applyFont="1" applyFill="1" applyBorder="1" applyAlignment="1">
      <alignment horizontal="center" vertical="top" wrapText="1"/>
    </xf>
    <xf numFmtId="165" fontId="21" fillId="6" borderId="65" xfId="0" applyNumberFormat="1" applyFont="1" applyFill="1" applyBorder="1" applyAlignment="1">
      <alignment horizontal="center" vertical="top"/>
    </xf>
    <xf numFmtId="165" fontId="21" fillId="6" borderId="102" xfId="0" applyNumberFormat="1" applyFont="1" applyFill="1" applyBorder="1" applyAlignment="1">
      <alignment horizontal="center" vertical="top"/>
    </xf>
    <xf numFmtId="49" fontId="4" fillId="6" borderId="2" xfId="0" applyNumberFormat="1" applyFont="1" applyFill="1" applyBorder="1" applyAlignment="1">
      <alignment horizontal="center" vertical="top"/>
    </xf>
    <xf numFmtId="0" fontId="2" fillId="6" borderId="2" xfId="0" applyFont="1" applyFill="1" applyBorder="1" applyAlignment="1">
      <alignment horizontal="left" vertical="top" wrapText="1"/>
    </xf>
    <xf numFmtId="3" fontId="2" fillId="6" borderId="102" xfId="0" applyNumberFormat="1" applyFont="1" applyFill="1" applyBorder="1" applyAlignment="1">
      <alignment horizontal="right" vertical="top"/>
    </xf>
    <xf numFmtId="3" fontId="2" fillId="6" borderId="66" xfId="0" applyNumberFormat="1" applyFont="1" applyFill="1" applyBorder="1" applyAlignment="1">
      <alignment horizontal="right" vertical="top"/>
    </xf>
    <xf numFmtId="0" fontId="2" fillId="6" borderId="100" xfId="0" applyNumberFormat="1" applyFont="1" applyFill="1" applyBorder="1" applyAlignment="1">
      <alignment horizontal="center" vertical="top"/>
    </xf>
    <xf numFmtId="3" fontId="2" fillId="6" borderId="3" xfId="0" applyNumberFormat="1" applyFont="1" applyFill="1" applyBorder="1" applyAlignment="1">
      <alignment horizontal="center" vertical="top"/>
    </xf>
    <xf numFmtId="0" fontId="6" fillId="6" borderId="25" xfId="0" applyFont="1" applyFill="1" applyBorder="1" applyAlignment="1"/>
    <xf numFmtId="3" fontId="2" fillId="6" borderId="36" xfId="0" applyNumberFormat="1" applyFont="1" applyFill="1" applyBorder="1" applyAlignment="1">
      <alignment horizontal="center" vertical="top"/>
    </xf>
    <xf numFmtId="0" fontId="6" fillId="0" borderId="40" xfId="0" applyFont="1" applyBorder="1" applyAlignment="1">
      <alignment horizontal="left" vertical="top" wrapText="1"/>
    </xf>
    <xf numFmtId="3" fontId="2" fillId="6" borderId="1" xfId="0" applyNumberFormat="1" applyFont="1" applyFill="1" applyBorder="1" applyAlignment="1">
      <alignment horizontal="center" vertical="top" wrapText="1"/>
    </xf>
    <xf numFmtId="0" fontId="2" fillId="6" borderId="18" xfId="0" applyFont="1" applyFill="1" applyBorder="1" applyAlignment="1">
      <alignment vertical="center" wrapText="1"/>
    </xf>
    <xf numFmtId="0" fontId="2" fillId="6" borderId="18" xfId="0" applyFont="1" applyFill="1" applyBorder="1" applyAlignment="1">
      <alignment horizontal="center" vertical="center" wrapText="1"/>
    </xf>
    <xf numFmtId="0" fontId="2" fillId="6" borderId="22" xfId="0" applyFont="1" applyFill="1" applyBorder="1" applyAlignment="1">
      <alignment horizontal="center" vertical="top" wrapText="1"/>
    </xf>
    <xf numFmtId="0" fontId="2" fillId="6" borderId="102" xfId="0" applyFont="1" applyFill="1" applyBorder="1" applyAlignment="1">
      <alignment horizontal="center" vertical="top" wrapText="1"/>
    </xf>
    <xf numFmtId="0" fontId="2" fillId="6" borderId="66" xfId="0" applyFont="1" applyFill="1" applyBorder="1" applyAlignment="1">
      <alignment horizontal="center" vertical="top" wrapText="1"/>
    </xf>
    <xf numFmtId="0" fontId="4" fillId="6" borderId="25" xfId="0" applyFont="1" applyFill="1" applyBorder="1" applyAlignment="1">
      <alignment horizontal="center" vertical="top" wrapText="1"/>
    </xf>
    <xf numFmtId="0" fontId="4" fillId="6" borderId="13" xfId="0" applyFont="1" applyFill="1" applyBorder="1" applyAlignment="1">
      <alignment horizontal="center" vertical="top" wrapText="1"/>
    </xf>
    <xf numFmtId="164" fontId="2" fillId="6" borderId="99" xfId="0" applyNumberFormat="1" applyFont="1" applyFill="1" applyBorder="1" applyAlignment="1">
      <alignment horizontal="center" vertical="center" wrapText="1"/>
    </xf>
    <xf numFmtId="164" fontId="2" fillId="6" borderId="117" xfId="0" applyNumberFormat="1" applyFont="1" applyFill="1" applyBorder="1" applyAlignment="1">
      <alignment horizontal="center" vertical="center" wrapText="1"/>
    </xf>
    <xf numFmtId="164" fontId="2" fillId="6" borderId="88" xfId="0" applyNumberFormat="1" applyFont="1" applyFill="1" applyBorder="1" applyAlignment="1">
      <alignment horizontal="center" vertical="center" wrapText="1"/>
    </xf>
    <xf numFmtId="0" fontId="21" fillId="0" borderId="30" xfId="0" applyFont="1" applyBorder="1" applyAlignment="1">
      <alignment vertical="top" wrapText="1"/>
    </xf>
    <xf numFmtId="0" fontId="21" fillId="0" borderId="0" xfId="0" applyFont="1" applyBorder="1" applyAlignment="1">
      <alignment vertical="top" wrapText="1"/>
    </xf>
    <xf numFmtId="0" fontId="2" fillId="6" borderId="71" xfId="0" applyFont="1" applyFill="1" applyBorder="1" applyAlignment="1">
      <alignment vertical="top" wrapText="1"/>
    </xf>
    <xf numFmtId="0" fontId="2" fillId="6" borderId="5" xfId="0" applyFont="1" applyFill="1" applyBorder="1" applyAlignment="1">
      <alignment vertical="top"/>
    </xf>
    <xf numFmtId="3" fontId="2" fillId="6" borderId="96" xfId="0" applyNumberFormat="1" applyFont="1" applyFill="1" applyBorder="1" applyAlignment="1">
      <alignment horizontal="center" vertical="top"/>
    </xf>
    <xf numFmtId="0" fontId="2" fillId="6" borderId="0" xfId="0" applyFont="1" applyFill="1" applyBorder="1" applyAlignment="1">
      <alignment vertical="top" wrapText="1"/>
    </xf>
    <xf numFmtId="0" fontId="2" fillId="6" borderId="108" xfId="1" applyFont="1" applyFill="1" applyBorder="1" applyAlignment="1">
      <alignment vertical="top" wrapText="1"/>
    </xf>
    <xf numFmtId="0" fontId="2" fillId="6" borderId="72" xfId="0" applyFont="1" applyFill="1" applyBorder="1" applyAlignment="1">
      <alignment vertical="top"/>
    </xf>
    <xf numFmtId="49" fontId="2" fillId="6" borderId="42" xfId="0" applyNumberFormat="1" applyFont="1" applyFill="1" applyBorder="1" applyAlignment="1">
      <alignment vertical="top"/>
    </xf>
    <xf numFmtId="1" fontId="2" fillId="6" borderId="70" xfId="0" applyNumberFormat="1" applyFont="1" applyFill="1" applyBorder="1" applyAlignment="1">
      <alignment horizontal="center" vertical="top"/>
    </xf>
    <xf numFmtId="1" fontId="2" fillId="6" borderId="75" xfId="0" applyNumberFormat="1" applyFont="1" applyFill="1" applyBorder="1" applyAlignment="1">
      <alignment horizontal="center" vertical="top"/>
    </xf>
    <xf numFmtId="1" fontId="2" fillId="6" borderId="13" xfId="0" applyNumberFormat="1" applyFont="1" applyFill="1" applyBorder="1" applyAlignment="1">
      <alignment horizontal="center" vertical="top"/>
    </xf>
    <xf numFmtId="1" fontId="2" fillId="6" borderId="43" xfId="0" applyNumberFormat="1" applyFont="1" applyFill="1" applyBorder="1" applyAlignment="1">
      <alignment horizontal="center" vertical="top"/>
    </xf>
    <xf numFmtId="1" fontId="2" fillId="6" borderId="29" xfId="0" applyNumberFormat="1" applyFont="1" applyFill="1" applyBorder="1" applyAlignment="1">
      <alignment horizontal="center" vertical="top"/>
    </xf>
    <xf numFmtId="1" fontId="2" fillId="6" borderId="97" xfId="0" applyNumberFormat="1" applyFont="1" applyFill="1" applyBorder="1" applyAlignment="1">
      <alignment horizontal="center" vertical="top"/>
    </xf>
    <xf numFmtId="1" fontId="2" fillId="6" borderId="62" xfId="0" applyNumberFormat="1" applyFont="1" applyFill="1" applyBorder="1" applyAlignment="1">
      <alignment horizontal="center" vertical="top"/>
    </xf>
    <xf numFmtId="1" fontId="2" fillId="6" borderId="78" xfId="0" applyNumberFormat="1" applyFont="1" applyFill="1" applyBorder="1" applyAlignment="1">
      <alignment horizontal="center" vertical="top"/>
    </xf>
    <xf numFmtId="1" fontId="2" fillId="6" borderId="72" xfId="0" applyNumberFormat="1" applyFont="1" applyFill="1" applyBorder="1" applyAlignment="1">
      <alignment horizontal="center" vertical="top"/>
    </xf>
    <xf numFmtId="1" fontId="2" fillId="6" borderId="73" xfId="0" applyNumberFormat="1" applyFont="1" applyFill="1" applyBorder="1" applyAlignment="1">
      <alignment horizontal="center" vertical="top"/>
    </xf>
    <xf numFmtId="1" fontId="2" fillId="6" borderId="69" xfId="0" applyNumberFormat="1" applyFont="1" applyFill="1" applyBorder="1" applyAlignment="1">
      <alignment horizontal="center" vertical="top"/>
    </xf>
    <xf numFmtId="1" fontId="2" fillId="6" borderId="74" xfId="0" applyNumberFormat="1" applyFont="1" applyFill="1" applyBorder="1" applyAlignment="1">
      <alignment horizontal="center" vertical="top"/>
    </xf>
    <xf numFmtId="1" fontId="2" fillId="6" borderId="8" xfId="0" applyNumberFormat="1" applyFont="1" applyFill="1" applyBorder="1" applyAlignment="1">
      <alignment horizontal="center" vertical="top"/>
    </xf>
    <xf numFmtId="0" fontId="2" fillId="6" borderId="39" xfId="0" applyFont="1" applyFill="1" applyBorder="1" applyAlignment="1">
      <alignment vertical="top"/>
    </xf>
    <xf numFmtId="49" fontId="4" fillId="3" borderId="13"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0" fontId="2" fillId="9" borderId="50" xfId="0" applyFont="1" applyFill="1" applyBorder="1" applyAlignment="1">
      <alignment vertical="top"/>
    </xf>
    <xf numFmtId="0" fontId="2" fillId="6" borderId="71" xfId="0" applyFont="1" applyFill="1" applyBorder="1" applyAlignment="1">
      <alignment vertical="top"/>
    </xf>
    <xf numFmtId="0" fontId="2" fillId="6" borderId="24" xfId="0" applyFont="1" applyFill="1" applyBorder="1" applyAlignment="1">
      <alignment vertical="top"/>
    </xf>
    <xf numFmtId="0" fontId="2" fillId="10" borderId="53" xfId="0" applyFont="1" applyFill="1" applyBorder="1" applyAlignment="1">
      <alignment vertical="top"/>
    </xf>
    <xf numFmtId="49" fontId="2" fillId="6" borderId="95" xfId="0" applyNumberFormat="1" applyFont="1" applyFill="1" applyBorder="1" applyAlignment="1">
      <alignment horizontal="center" vertical="top" wrapText="1"/>
    </xf>
    <xf numFmtId="0" fontId="4" fillId="6" borderId="25" xfId="0" applyFont="1" applyFill="1" applyBorder="1" applyAlignment="1">
      <alignment horizontal="center" vertical="top" wrapText="1"/>
    </xf>
    <xf numFmtId="164" fontId="2" fillId="6" borderId="71" xfId="0" applyNumberFormat="1" applyFont="1" applyFill="1" applyBorder="1" applyAlignment="1">
      <alignment horizontal="center" vertical="top"/>
    </xf>
    <xf numFmtId="0" fontId="4" fillId="6" borderId="38" xfId="0" applyFont="1" applyFill="1" applyBorder="1" applyAlignment="1">
      <alignment horizontal="center" vertical="top" wrapText="1"/>
    </xf>
    <xf numFmtId="3" fontId="2" fillId="6" borderId="1" xfId="1" applyNumberFormat="1" applyFont="1" applyFill="1" applyBorder="1" applyAlignment="1">
      <alignment horizontal="center" vertical="top"/>
    </xf>
    <xf numFmtId="0" fontId="2" fillId="6" borderId="114" xfId="0" applyFont="1" applyFill="1" applyBorder="1" applyAlignment="1">
      <alignment vertical="top"/>
    </xf>
    <xf numFmtId="165" fontId="2" fillId="6" borderId="102" xfId="1" applyNumberFormat="1" applyFont="1" applyFill="1" applyBorder="1" applyAlignment="1">
      <alignment horizontal="center" vertical="top"/>
    </xf>
    <xf numFmtId="165" fontId="2" fillId="6" borderId="66" xfId="1" applyNumberFormat="1" applyFont="1" applyFill="1" applyBorder="1" applyAlignment="1">
      <alignment horizontal="center" vertical="top"/>
    </xf>
    <xf numFmtId="0" fontId="2" fillId="6" borderId="100" xfId="0" applyFont="1" applyFill="1" applyBorder="1" applyAlignment="1">
      <alignment vertical="top"/>
    </xf>
    <xf numFmtId="1" fontId="2" fillId="6" borderId="91"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1" fontId="2" fillId="6" borderId="70" xfId="0" applyNumberFormat="1" applyFont="1" applyFill="1" applyBorder="1" applyAlignment="1">
      <alignment horizontal="center" vertical="top" wrapText="1"/>
    </xf>
    <xf numFmtId="164" fontId="2" fillId="6" borderId="0" xfId="0" applyNumberFormat="1" applyFont="1" applyFill="1" applyBorder="1" applyAlignment="1">
      <alignment horizontal="center" vertical="top"/>
    </xf>
    <xf numFmtId="164" fontId="2" fillId="6" borderId="38" xfId="0" applyNumberFormat="1" applyFont="1" applyFill="1" applyBorder="1" applyAlignment="1">
      <alignment horizontal="center" vertical="top"/>
    </xf>
    <xf numFmtId="4" fontId="2" fillId="6" borderId="63" xfId="0" applyNumberFormat="1" applyFont="1" applyFill="1" applyBorder="1" applyAlignment="1">
      <alignment horizontal="center" vertical="top"/>
    </xf>
    <xf numFmtId="4" fontId="2" fillId="6" borderId="32" xfId="0" applyNumberFormat="1" applyFont="1" applyFill="1" applyBorder="1" applyAlignment="1">
      <alignment horizontal="center" vertical="top"/>
    </xf>
    <xf numFmtId="4" fontId="2" fillId="6" borderId="1" xfId="0" applyNumberFormat="1" applyFont="1" applyFill="1" applyBorder="1" applyAlignment="1">
      <alignment horizontal="center" vertical="top"/>
    </xf>
    <xf numFmtId="0" fontId="2" fillId="6" borderId="108" xfId="0" applyFont="1" applyFill="1" applyBorder="1" applyAlignment="1">
      <alignment horizontal="center" vertical="top"/>
    </xf>
    <xf numFmtId="165" fontId="2" fillId="6" borderId="113" xfId="0" applyNumberFormat="1"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0" fontId="2" fillId="6" borderId="107" xfId="0" applyFont="1" applyFill="1" applyBorder="1" applyAlignment="1">
      <alignment horizontal="center" vertical="top"/>
    </xf>
    <xf numFmtId="0" fontId="2" fillId="6" borderId="30" xfId="0" applyFont="1" applyFill="1" applyBorder="1" applyAlignment="1">
      <alignment horizontal="center" vertical="center"/>
    </xf>
    <xf numFmtId="0" fontId="2" fillId="6" borderId="38" xfId="0" applyFont="1" applyFill="1" applyBorder="1" applyAlignment="1">
      <alignment horizontal="center" vertical="center"/>
    </xf>
    <xf numFmtId="0" fontId="2" fillId="6" borderId="14" xfId="0" applyFont="1" applyFill="1" applyBorder="1" applyAlignment="1">
      <alignment horizontal="center" vertical="center"/>
    </xf>
    <xf numFmtId="3" fontId="2" fillId="6" borderId="69" xfId="0" applyNumberFormat="1" applyFont="1" applyFill="1" applyBorder="1" applyAlignment="1">
      <alignment horizontal="center" vertical="top"/>
    </xf>
    <xf numFmtId="0" fontId="4" fillId="6" borderId="13" xfId="0" applyFont="1" applyFill="1" applyBorder="1" applyAlignment="1">
      <alignment horizontal="center" vertical="top" wrapText="1"/>
    </xf>
    <xf numFmtId="0" fontId="2" fillId="6" borderId="72" xfId="0" applyFont="1" applyFill="1" applyBorder="1" applyAlignment="1">
      <alignment vertical="top" wrapText="1"/>
    </xf>
    <xf numFmtId="3" fontId="2" fillId="6" borderId="60" xfId="0" applyNumberFormat="1" applyFont="1" applyFill="1" applyBorder="1" applyAlignment="1">
      <alignment horizontal="center" vertical="top" wrapText="1"/>
    </xf>
    <xf numFmtId="0" fontId="2" fillId="6" borderId="91" xfId="0" applyFont="1" applyFill="1" applyBorder="1" applyAlignment="1">
      <alignment horizontal="center" vertical="top" wrapText="1"/>
    </xf>
    <xf numFmtId="0" fontId="2" fillId="6" borderId="67" xfId="0" applyFont="1" applyFill="1" applyBorder="1" applyAlignment="1">
      <alignment horizontal="center" vertical="top" wrapText="1"/>
    </xf>
    <xf numFmtId="0" fontId="2" fillId="6" borderId="68" xfId="0" applyFont="1" applyFill="1" applyBorder="1" applyAlignment="1">
      <alignment vertical="top" wrapText="1"/>
    </xf>
    <xf numFmtId="0" fontId="2" fillId="6" borderId="14" xfId="0" applyFont="1" applyFill="1" applyBorder="1" applyAlignment="1">
      <alignment vertical="top" wrapText="1"/>
    </xf>
    <xf numFmtId="0" fontId="2" fillId="6" borderId="72"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3" borderId="40" xfId="0" applyNumberFormat="1" applyFont="1" applyFill="1" applyBorder="1" applyAlignment="1">
      <alignment horizontal="center" vertical="top"/>
    </xf>
    <xf numFmtId="0" fontId="4" fillId="6" borderId="13" xfId="0" applyFont="1" applyFill="1" applyBorder="1" applyAlignment="1">
      <alignment horizontal="center" vertical="top" wrapText="1"/>
    </xf>
    <xf numFmtId="0" fontId="2" fillId="6" borderId="62" xfId="0" applyNumberFormat="1" applyFont="1" applyFill="1" applyBorder="1" applyAlignment="1">
      <alignment horizontal="center" vertical="top"/>
    </xf>
    <xf numFmtId="0" fontId="2" fillId="6" borderId="66" xfId="0" applyNumberFormat="1" applyFont="1" applyFill="1" applyBorder="1" applyAlignment="1">
      <alignment horizontal="center" vertical="top"/>
    </xf>
    <xf numFmtId="0" fontId="2" fillId="6" borderId="71" xfId="0" applyNumberFormat="1" applyFont="1" applyFill="1" applyBorder="1" applyAlignment="1">
      <alignment horizontal="center" vertical="top"/>
    </xf>
    <xf numFmtId="164" fontId="2" fillId="6" borderId="102" xfId="0" applyNumberFormat="1" applyFont="1" applyFill="1" applyBorder="1" applyAlignment="1">
      <alignment horizontal="center" vertical="top"/>
    </xf>
    <xf numFmtId="0" fontId="2" fillId="6" borderId="78" xfId="0" applyFont="1" applyFill="1" applyBorder="1" applyAlignment="1">
      <alignment vertical="top" wrapText="1"/>
    </xf>
    <xf numFmtId="164" fontId="2" fillId="6" borderId="115" xfId="0" applyNumberFormat="1" applyFont="1" applyFill="1" applyBorder="1" applyAlignment="1">
      <alignment horizontal="center" vertical="top"/>
    </xf>
    <xf numFmtId="164" fontId="25" fillId="6" borderId="115" xfId="0" applyNumberFormat="1" applyFont="1" applyFill="1" applyBorder="1" applyAlignment="1">
      <alignment horizontal="center" vertical="top"/>
    </xf>
    <xf numFmtId="164" fontId="25" fillId="6" borderId="101" xfId="1" applyNumberFormat="1" applyFont="1" applyFill="1" applyBorder="1" applyAlignment="1">
      <alignment horizontal="center" vertical="top"/>
    </xf>
    <xf numFmtId="0" fontId="2" fillId="6" borderId="96" xfId="0" applyFont="1" applyFill="1" applyBorder="1" applyAlignment="1">
      <alignment horizontal="center" vertical="top" wrapText="1"/>
    </xf>
    <xf numFmtId="0" fontId="2" fillId="6" borderId="101" xfId="0" applyFont="1" applyFill="1" applyBorder="1" applyAlignment="1">
      <alignment horizontal="center" vertical="top" wrapText="1"/>
    </xf>
    <xf numFmtId="0" fontId="2" fillId="6" borderId="15" xfId="0" applyFont="1" applyFill="1" applyBorder="1" applyAlignment="1">
      <alignment horizontal="center" vertical="top" wrapText="1"/>
    </xf>
    <xf numFmtId="0" fontId="2" fillId="6" borderId="25" xfId="0" applyFont="1" applyFill="1" applyBorder="1" applyAlignment="1">
      <alignment horizontal="center" vertical="top" wrapText="1"/>
    </xf>
    <xf numFmtId="165" fontId="2" fillId="6" borderId="63" xfId="0" applyNumberFormat="1" applyFont="1" applyFill="1" applyBorder="1" applyAlignment="1">
      <alignment horizontal="center" vertical="center"/>
    </xf>
    <xf numFmtId="165" fontId="2" fillId="6" borderId="16" xfId="0" applyNumberFormat="1" applyFont="1" applyFill="1" applyBorder="1" applyAlignment="1">
      <alignment horizontal="center" vertical="center"/>
    </xf>
    <xf numFmtId="165" fontId="2" fillId="6" borderId="77" xfId="0" applyNumberFormat="1" applyFont="1" applyFill="1" applyBorder="1" applyAlignment="1">
      <alignment horizontal="center" vertical="center"/>
    </xf>
    <xf numFmtId="3" fontId="2" fillId="6" borderId="119" xfId="0" applyNumberFormat="1" applyFont="1" applyFill="1" applyBorder="1" applyAlignment="1">
      <alignment horizontal="center" vertical="top"/>
    </xf>
    <xf numFmtId="3" fontId="2" fillId="6" borderId="67" xfId="0" applyNumberFormat="1" applyFont="1" applyFill="1" applyBorder="1" applyAlignment="1">
      <alignment horizontal="center" vertical="top"/>
    </xf>
    <xf numFmtId="0" fontId="2" fillId="6" borderId="101" xfId="0" applyNumberFormat="1" applyFont="1" applyFill="1" applyBorder="1" applyAlignment="1">
      <alignment horizontal="center" vertical="top"/>
    </xf>
    <xf numFmtId="3" fontId="2" fillId="6" borderId="67" xfId="0" applyNumberFormat="1" applyFont="1" applyFill="1" applyBorder="1" applyAlignment="1">
      <alignment horizontal="center" vertical="top"/>
    </xf>
    <xf numFmtId="3" fontId="2" fillId="6" borderId="68" xfId="0" applyNumberFormat="1" applyFont="1" applyFill="1" applyBorder="1" applyAlignment="1">
      <alignment horizontal="center" vertical="top"/>
    </xf>
    <xf numFmtId="49" fontId="4" fillId="6" borderId="16" xfId="0" applyNumberFormat="1" applyFont="1" applyFill="1" applyBorder="1" applyAlignment="1">
      <alignment horizontal="center" vertical="top" wrapText="1"/>
    </xf>
    <xf numFmtId="0" fontId="6" fillId="9" borderId="52" xfId="0" applyFont="1" applyFill="1" applyBorder="1" applyAlignment="1">
      <alignment horizontal="left" vertical="top" wrapText="1"/>
    </xf>
    <xf numFmtId="0" fontId="4" fillId="9" borderId="52" xfId="0" applyFont="1" applyFill="1" applyBorder="1" applyAlignment="1">
      <alignment horizontal="center" vertical="top" wrapText="1"/>
    </xf>
    <xf numFmtId="0" fontId="2" fillId="6" borderId="13" xfId="0" applyFont="1" applyFill="1" applyBorder="1" applyAlignment="1">
      <alignment horizontal="left" vertical="top" wrapText="1"/>
    </xf>
    <xf numFmtId="49" fontId="4" fillId="8" borderId="13" xfId="0" applyNumberFormat="1" applyFont="1" applyFill="1" applyBorder="1" applyAlignment="1">
      <alignment horizontal="center" vertical="top" wrapText="1"/>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49" fontId="2" fillId="6" borderId="42" xfId="0" applyNumberFormat="1" applyFont="1" applyFill="1" applyBorder="1" applyAlignment="1">
      <alignment horizontal="center" vertical="top" wrapText="1"/>
    </xf>
    <xf numFmtId="49" fontId="2" fillId="6" borderId="43" xfId="0" applyNumberFormat="1" applyFont="1" applyFill="1" applyBorder="1" applyAlignment="1">
      <alignment horizontal="center" vertical="top" wrapText="1"/>
    </xf>
    <xf numFmtId="0" fontId="2" fillId="6" borderId="47" xfId="0" applyFont="1" applyFill="1" applyBorder="1" applyAlignment="1">
      <alignment horizontal="left" vertical="top" wrapText="1"/>
    </xf>
    <xf numFmtId="0" fontId="2" fillId="6" borderId="54" xfId="0" applyFont="1" applyFill="1" applyBorder="1" applyAlignment="1">
      <alignment horizontal="left" vertical="top" wrapText="1"/>
    </xf>
    <xf numFmtId="3" fontId="2" fillId="6" borderId="72" xfId="0" applyNumberFormat="1" applyFont="1" applyFill="1" applyBorder="1" applyAlignment="1">
      <alignment horizontal="center" vertical="top"/>
    </xf>
    <xf numFmtId="3" fontId="2" fillId="6" borderId="73" xfId="0" applyNumberFormat="1" applyFont="1" applyFill="1" applyBorder="1" applyAlignment="1">
      <alignment horizontal="center" vertical="top"/>
    </xf>
    <xf numFmtId="0" fontId="2" fillId="3" borderId="49" xfId="0" applyFont="1" applyFill="1" applyBorder="1" applyAlignment="1">
      <alignment horizontal="center" vertical="top" wrapText="1"/>
    </xf>
    <xf numFmtId="0" fontId="2" fillId="6" borderId="14" xfId="0" applyFont="1" applyFill="1" applyBorder="1" applyAlignment="1">
      <alignment horizontal="center" vertical="top" wrapText="1"/>
    </xf>
    <xf numFmtId="0" fontId="2" fillId="6" borderId="24" xfId="0" applyFont="1" applyFill="1" applyBorder="1" applyAlignment="1">
      <alignment horizontal="center" vertical="top" wrapText="1"/>
    </xf>
    <xf numFmtId="49" fontId="2" fillId="6" borderId="0" xfId="0" applyNumberFormat="1" applyFont="1" applyFill="1" applyBorder="1" applyAlignment="1">
      <alignment horizontal="center" vertical="top" wrapText="1"/>
    </xf>
    <xf numFmtId="49" fontId="4" fillId="10" borderId="9" xfId="0" applyNumberFormat="1" applyFont="1" applyFill="1" applyBorder="1" applyAlignment="1">
      <alignment horizontal="center" vertical="top"/>
    </xf>
    <xf numFmtId="49" fontId="4" fillId="3" borderId="13"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4" fillId="6" borderId="16" xfId="0" applyNumberFormat="1" applyFont="1" applyFill="1" applyBorder="1" applyAlignment="1">
      <alignment horizontal="center" vertical="top"/>
    </xf>
    <xf numFmtId="49" fontId="4" fillId="6" borderId="25" xfId="0" applyNumberFormat="1" applyFont="1" applyFill="1" applyBorder="1" applyAlignment="1">
      <alignment horizontal="center" vertical="top"/>
    </xf>
    <xf numFmtId="0" fontId="2" fillId="6" borderId="25" xfId="0" applyFont="1" applyFill="1" applyBorder="1" applyAlignment="1">
      <alignment horizontal="left" vertical="top" wrapText="1"/>
    </xf>
    <xf numFmtId="49" fontId="2" fillId="6" borderId="1" xfId="0" applyNumberFormat="1" applyFont="1" applyFill="1" applyBorder="1" applyAlignment="1">
      <alignment horizontal="center" vertical="top" wrapText="1"/>
    </xf>
    <xf numFmtId="49" fontId="2" fillId="6" borderId="14" xfId="0" applyNumberFormat="1" applyFont="1" applyFill="1" applyBorder="1" applyAlignment="1">
      <alignment horizontal="center" vertical="top" wrapText="1"/>
    </xf>
    <xf numFmtId="0" fontId="2" fillId="6" borderId="42" xfId="0" applyFont="1" applyFill="1" applyBorder="1" applyAlignment="1">
      <alignment horizontal="center" vertical="top" wrapText="1"/>
    </xf>
    <xf numFmtId="0" fontId="2" fillId="6" borderId="43" xfId="0" applyFont="1" applyFill="1" applyBorder="1" applyAlignment="1">
      <alignment horizontal="center" vertical="top" wrapText="1"/>
    </xf>
    <xf numFmtId="0" fontId="2" fillId="6" borderId="54" xfId="0" applyFont="1" applyFill="1" applyBorder="1" applyAlignment="1">
      <alignment vertical="top"/>
    </xf>
    <xf numFmtId="0" fontId="2" fillId="6" borderId="72" xfId="0" applyFont="1" applyFill="1" applyBorder="1" applyAlignment="1">
      <alignment horizontal="left" vertical="top" wrapText="1"/>
    </xf>
    <xf numFmtId="0" fontId="2" fillId="6" borderId="8" xfId="0" applyFont="1" applyFill="1" applyBorder="1" applyAlignment="1">
      <alignment horizontal="left" vertical="top" wrapText="1"/>
    </xf>
    <xf numFmtId="0" fontId="14" fillId="6" borderId="81" xfId="0" applyFont="1" applyFill="1" applyBorder="1" applyAlignment="1">
      <alignment vertical="top" wrapText="1"/>
    </xf>
    <xf numFmtId="3" fontId="2" fillId="0" borderId="0" xfId="0" applyNumberFormat="1" applyFont="1" applyFill="1" applyBorder="1" applyAlignment="1">
      <alignment horizontal="left" vertical="top" wrapText="1"/>
    </xf>
    <xf numFmtId="0" fontId="6" fillId="6" borderId="13" xfId="0" applyFont="1" applyFill="1" applyBorder="1" applyAlignment="1">
      <alignment horizontal="left" vertical="top" wrapText="1"/>
    </xf>
    <xf numFmtId="0" fontId="2" fillId="10" borderId="49" xfId="0" applyFont="1" applyFill="1" applyBorder="1" applyAlignment="1">
      <alignment horizontal="center" vertical="top" wrapText="1"/>
    </xf>
    <xf numFmtId="0" fontId="2" fillId="4" borderId="49" xfId="0" applyFont="1" applyFill="1" applyBorder="1" applyAlignment="1">
      <alignment horizontal="center" vertical="top"/>
    </xf>
    <xf numFmtId="0" fontId="2" fillId="6" borderId="16" xfId="0" applyFont="1" applyFill="1" applyBorder="1" applyAlignment="1">
      <alignment vertical="top" wrapText="1"/>
    </xf>
    <xf numFmtId="0" fontId="2" fillId="6" borderId="25" xfId="0" applyFont="1" applyFill="1" applyBorder="1" applyAlignment="1">
      <alignment vertical="top" wrapText="1"/>
    </xf>
    <xf numFmtId="49" fontId="2" fillId="6" borderId="45" xfId="0" applyNumberFormat="1" applyFont="1" applyFill="1" applyBorder="1" applyAlignment="1">
      <alignment horizontal="center" vertical="top" wrapText="1"/>
    </xf>
    <xf numFmtId="0" fontId="2" fillId="6" borderId="13" xfId="0" applyFont="1" applyFill="1" applyBorder="1" applyAlignment="1">
      <alignment vertical="top" wrapText="1"/>
    </xf>
    <xf numFmtId="0" fontId="2" fillId="3" borderId="86" xfId="0" applyFont="1" applyFill="1" applyBorder="1" applyAlignment="1">
      <alignment horizontal="center" vertical="top" wrapText="1"/>
    </xf>
    <xf numFmtId="0" fontId="2" fillId="6" borderId="30" xfId="0" applyFont="1" applyFill="1" applyBorder="1" applyAlignment="1">
      <alignment horizontal="left" vertical="top" wrapText="1"/>
    </xf>
    <xf numFmtId="49" fontId="4" fillId="3" borderId="40" xfId="0" applyNumberFormat="1" applyFont="1" applyFill="1" applyBorder="1" applyAlignment="1">
      <alignment horizontal="center" vertical="top"/>
    </xf>
    <xf numFmtId="49" fontId="4" fillId="6" borderId="13" xfId="0" applyNumberFormat="1" applyFont="1" applyFill="1" applyBorder="1" applyAlignment="1">
      <alignment horizontal="center" vertical="top"/>
    </xf>
    <xf numFmtId="0" fontId="2" fillId="6" borderId="40" xfId="0" applyFont="1" applyFill="1" applyBorder="1" applyAlignment="1">
      <alignment horizontal="left" vertical="top" wrapText="1"/>
    </xf>
    <xf numFmtId="0" fontId="2" fillId="6" borderId="73" xfId="0" applyFont="1" applyFill="1" applyBorder="1" applyAlignment="1">
      <alignment horizontal="left" vertical="top" wrapText="1"/>
    </xf>
    <xf numFmtId="0" fontId="6" fillId="6" borderId="13" xfId="0" applyFont="1" applyFill="1" applyBorder="1" applyAlignment="1">
      <alignment vertical="top" wrapText="1"/>
    </xf>
    <xf numFmtId="0" fontId="2" fillId="6" borderId="47" xfId="0" applyFont="1" applyFill="1" applyBorder="1" applyAlignment="1">
      <alignment vertical="top" wrapText="1"/>
    </xf>
    <xf numFmtId="0" fontId="2" fillId="6" borderId="30" xfId="0" applyFont="1" applyFill="1" applyBorder="1" applyAlignment="1">
      <alignment vertical="top" wrapText="1"/>
    </xf>
    <xf numFmtId="0" fontId="2" fillId="6" borderId="108" xfId="0" applyFont="1" applyFill="1" applyBorder="1" applyAlignment="1">
      <alignment horizontal="left" vertical="top" wrapText="1"/>
    </xf>
    <xf numFmtId="0" fontId="2" fillId="6" borderId="111" xfId="0" applyFont="1" applyFill="1" applyBorder="1" applyAlignment="1">
      <alignment horizontal="left" vertical="top" wrapText="1"/>
    </xf>
    <xf numFmtId="49" fontId="4" fillId="6" borderId="13" xfId="0" applyNumberFormat="1" applyFont="1" applyFill="1" applyBorder="1" applyAlignment="1">
      <alignment horizontal="center" vertical="top" wrapText="1"/>
    </xf>
    <xf numFmtId="0" fontId="2" fillId="6" borderId="30" xfId="1" applyFont="1" applyFill="1" applyBorder="1" applyAlignment="1">
      <alignment horizontal="left" vertical="top" wrapText="1"/>
    </xf>
    <xf numFmtId="0" fontId="2" fillId="6" borderId="13" xfId="0" applyFont="1" applyFill="1" applyBorder="1" applyAlignment="1">
      <alignment horizontal="center" vertical="center" textRotation="90" wrapText="1"/>
    </xf>
    <xf numFmtId="3" fontId="2" fillId="6" borderId="70" xfId="0" applyNumberFormat="1" applyFont="1" applyFill="1" applyBorder="1" applyAlignment="1">
      <alignment horizontal="center" vertical="top"/>
    </xf>
    <xf numFmtId="3" fontId="2" fillId="6" borderId="69" xfId="0" applyNumberFormat="1" applyFont="1" applyFill="1" applyBorder="1" applyAlignment="1">
      <alignment horizontal="center" vertical="top"/>
    </xf>
    <xf numFmtId="1" fontId="2" fillId="6" borderId="75"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3" fontId="2" fillId="6" borderId="14" xfId="0" applyNumberFormat="1" applyFont="1" applyFill="1" applyBorder="1" applyAlignment="1">
      <alignment horizontal="center" vertical="top"/>
    </xf>
    <xf numFmtId="3" fontId="2" fillId="6" borderId="60" xfId="0" applyNumberFormat="1" applyFont="1" applyFill="1" applyBorder="1" applyAlignment="1">
      <alignment horizontal="center" vertical="top"/>
    </xf>
    <xf numFmtId="0" fontId="2" fillId="6" borderId="67" xfId="0" applyFont="1" applyFill="1" applyBorder="1" applyAlignment="1">
      <alignment vertical="top"/>
    </xf>
    <xf numFmtId="0" fontId="2" fillId="6" borderId="22" xfId="0" applyFont="1" applyFill="1" applyBorder="1" applyAlignment="1">
      <alignment vertical="top"/>
    </xf>
    <xf numFmtId="0" fontId="2" fillId="6" borderId="57" xfId="0" applyFont="1" applyFill="1" applyBorder="1" applyAlignment="1">
      <alignment horizontal="left" vertical="top" wrapText="1"/>
    </xf>
    <xf numFmtId="0" fontId="4" fillId="6" borderId="20" xfId="0" applyFont="1" applyFill="1" applyBorder="1" applyAlignment="1">
      <alignment horizontal="center" vertical="top" wrapText="1"/>
    </xf>
    <xf numFmtId="0" fontId="4" fillId="6" borderId="25" xfId="0" applyFont="1" applyFill="1" applyBorder="1" applyAlignment="1">
      <alignment horizontal="center" vertical="top" wrapText="1"/>
    </xf>
    <xf numFmtId="1" fontId="2" fillId="6" borderId="97" xfId="0" applyNumberFormat="1" applyFont="1" applyFill="1" applyBorder="1" applyAlignment="1">
      <alignment horizontal="center" vertical="top" wrapText="1"/>
    </xf>
    <xf numFmtId="1" fontId="2" fillId="6" borderId="91" xfId="0" applyNumberFormat="1" applyFont="1" applyFill="1" applyBorder="1" applyAlignment="1">
      <alignment horizontal="center" vertical="top" wrapText="1"/>
    </xf>
    <xf numFmtId="1" fontId="2" fillId="6" borderId="70" xfId="0" applyNumberFormat="1" applyFont="1" applyFill="1" applyBorder="1" applyAlignment="1">
      <alignment horizontal="center" vertical="top" wrapText="1"/>
    </xf>
    <xf numFmtId="1" fontId="2" fillId="6" borderId="69" xfId="0" applyNumberFormat="1" applyFont="1" applyFill="1" applyBorder="1" applyAlignment="1">
      <alignment horizontal="center" vertical="top" wrapText="1"/>
    </xf>
    <xf numFmtId="1" fontId="2" fillId="6" borderId="72" xfId="0" applyNumberFormat="1" applyFont="1" applyFill="1" applyBorder="1" applyAlignment="1">
      <alignment horizontal="center" vertical="top" wrapText="1"/>
    </xf>
    <xf numFmtId="1" fontId="2" fillId="6" borderId="73" xfId="0" applyNumberFormat="1" applyFont="1" applyFill="1" applyBorder="1" applyAlignment="1">
      <alignment horizontal="center" vertical="top" wrapText="1"/>
    </xf>
    <xf numFmtId="0" fontId="2" fillId="6" borderId="8" xfId="1" applyFont="1" applyFill="1" applyBorder="1" applyAlignment="1">
      <alignment horizontal="left" vertical="top" wrapText="1"/>
    </xf>
    <xf numFmtId="0" fontId="2" fillId="6" borderId="47" xfId="1" applyFont="1" applyFill="1" applyBorder="1" applyAlignment="1">
      <alignment vertical="top" wrapText="1"/>
    </xf>
    <xf numFmtId="0" fontId="2" fillId="6" borderId="30" xfId="1" applyFont="1" applyFill="1" applyBorder="1" applyAlignment="1">
      <alignment vertical="top" wrapText="1"/>
    </xf>
    <xf numFmtId="0" fontId="2" fillId="6" borderId="54" xfId="1" applyFont="1" applyFill="1" applyBorder="1" applyAlignment="1">
      <alignment vertical="top" wrapText="1"/>
    </xf>
    <xf numFmtId="0" fontId="6" fillId="6" borderId="54" xfId="0" applyFont="1" applyFill="1" applyBorder="1" applyAlignment="1">
      <alignment vertical="top" wrapText="1"/>
    </xf>
    <xf numFmtId="0" fontId="2" fillId="6" borderId="5" xfId="0" applyFont="1" applyFill="1" applyBorder="1" applyAlignment="1">
      <alignment horizontal="left" vertical="top" wrapText="1"/>
    </xf>
    <xf numFmtId="3" fontId="2" fillId="6" borderId="5" xfId="0" applyNumberFormat="1" applyFont="1" applyFill="1" applyBorder="1" applyAlignment="1">
      <alignment horizontal="center" vertical="top"/>
    </xf>
    <xf numFmtId="3" fontId="2" fillId="6" borderId="18" xfId="0" applyNumberFormat="1" applyFont="1" applyFill="1" applyBorder="1" applyAlignment="1">
      <alignment horizontal="center" vertical="top"/>
    </xf>
    <xf numFmtId="0" fontId="2" fillId="6" borderId="18" xfId="0" applyFont="1" applyFill="1" applyBorder="1" applyAlignment="1">
      <alignment horizontal="left" vertical="top" wrapText="1"/>
    </xf>
    <xf numFmtId="0" fontId="2" fillId="6" borderId="70" xfId="0" applyFont="1" applyFill="1" applyBorder="1" applyAlignment="1">
      <alignment vertical="top" wrapText="1"/>
    </xf>
    <xf numFmtId="0" fontId="2" fillId="6" borderId="45" xfId="0" applyFont="1" applyFill="1" applyBorder="1" applyAlignment="1">
      <alignment horizontal="center" vertical="top" wrapText="1"/>
    </xf>
    <xf numFmtId="0" fontId="2" fillId="0" borderId="13" xfId="0" applyFont="1" applyBorder="1" applyAlignment="1">
      <alignment horizontal="center" vertical="top"/>
    </xf>
    <xf numFmtId="0" fontId="2" fillId="0" borderId="25" xfId="0" applyFont="1" applyBorder="1" applyAlignment="1">
      <alignment horizontal="center" vertical="top"/>
    </xf>
    <xf numFmtId="0" fontId="2" fillId="0" borderId="43" xfId="0" applyFont="1" applyBorder="1" applyAlignment="1">
      <alignment horizontal="center" vertical="top"/>
    </xf>
    <xf numFmtId="0" fontId="2" fillId="0" borderId="45" xfId="0" applyFont="1" applyBorder="1" applyAlignment="1">
      <alignment horizontal="center" vertical="top"/>
    </xf>
    <xf numFmtId="0" fontId="2" fillId="0" borderId="8" xfId="0" applyFont="1" applyBorder="1" applyAlignment="1">
      <alignment horizontal="center" vertical="top"/>
    </xf>
    <xf numFmtId="0" fontId="2" fillId="0" borderId="18" xfId="0" applyFont="1" applyBorder="1" applyAlignment="1">
      <alignment horizontal="center" vertical="top"/>
    </xf>
    <xf numFmtId="0" fontId="2" fillId="0" borderId="9" xfId="0" applyFont="1" applyBorder="1" applyAlignment="1">
      <alignment horizontal="center" vertical="top"/>
    </xf>
    <xf numFmtId="0" fontId="2" fillId="0" borderId="22" xfId="0" applyFont="1" applyBorder="1" applyAlignment="1">
      <alignment horizontal="center" vertical="top"/>
    </xf>
    <xf numFmtId="0" fontId="2" fillId="6" borderId="5" xfId="1" applyFont="1" applyFill="1" applyBorder="1" applyAlignment="1">
      <alignment vertical="top" wrapText="1"/>
    </xf>
    <xf numFmtId="0" fontId="2" fillId="6" borderId="8" xfId="1" applyFont="1" applyFill="1" applyBorder="1" applyAlignment="1">
      <alignment vertical="top" wrapText="1"/>
    </xf>
    <xf numFmtId="0" fontId="2" fillId="6" borderId="18" xfId="1" applyFont="1" applyFill="1" applyBorder="1" applyAlignment="1">
      <alignment vertical="top" wrapText="1"/>
    </xf>
    <xf numFmtId="0" fontId="6" fillId="6" borderId="40" xfId="0" applyFont="1" applyFill="1" applyBorder="1" applyAlignment="1"/>
    <xf numFmtId="0" fontId="2" fillId="6" borderId="72" xfId="0" applyFont="1" applyFill="1" applyBorder="1" applyAlignment="1">
      <alignment vertical="top" wrapText="1"/>
    </xf>
    <xf numFmtId="0" fontId="6" fillId="6" borderId="43" xfId="0" applyFont="1" applyFill="1" applyBorder="1" applyAlignment="1">
      <alignment horizontal="center" vertical="top" wrapText="1"/>
    </xf>
    <xf numFmtId="0" fontId="2" fillId="6" borderId="5" xfId="0" applyFont="1" applyFill="1" applyBorder="1" applyAlignment="1">
      <alignment vertical="top" wrapText="1"/>
    </xf>
    <xf numFmtId="0" fontId="2" fillId="6" borderId="8" xfId="0" applyFont="1" applyFill="1" applyBorder="1" applyAlignment="1">
      <alignment vertical="top" wrapText="1"/>
    </xf>
    <xf numFmtId="49" fontId="2" fillId="6" borderId="13" xfId="0" applyNumberFormat="1" applyFont="1" applyFill="1" applyBorder="1" applyAlignment="1">
      <alignment horizontal="center" vertical="center" textRotation="90"/>
    </xf>
    <xf numFmtId="49" fontId="2" fillId="6" borderId="14" xfId="0" applyNumberFormat="1" applyFont="1" applyFill="1" applyBorder="1" applyAlignment="1">
      <alignment horizontal="center" vertical="center" wrapText="1"/>
    </xf>
    <xf numFmtId="0" fontId="2" fillId="6" borderId="36" xfId="0" applyFont="1" applyFill="1" applyBorder="1" applyAlignment="1">
      <alignment horizontal="left" vertical="top" wrapText="1"/>
    </xf>
    <xf numFmtId="0" fontId="4" fillId="6" borderId="14" xfId="0" applyFont="1" applyFill="1" applyBorder="1" applyAlignment="1">
      <alignment horizontal="center" vertical="center" wrapText="1"/>
    </xf>
    <xf numFmtId="0" fontId="4" fillId="6" borderId="1" xfId="0" applyFont="1" applyFill="1" applyBorder="1" applyAlignment="1">
      <alignment horizontal="center" vertical="top" wrapText="1"/>
    </xf>
    <xf numFmtId="0" fontId="2" fillId="6" borderId="72" xfId="0" applyFont="1" applyFill="1" applyBorder="1" applyAlignment="1">
      <alignment vertical="center" wrapText="1"/>
    </xf>
    <xf numFmtId="0" fontId="2" fillId="0" borderId="8" xfId="0" applyFont="1" applyFill="1" applyBorder="1" applyAlignment="1">
      <alignment vertical="top" wrapText="1"/>
    </xf>
    <xf numFmtId="3" fontId="2" fillId="6" borderId="91" xfId="0" applyNumberFormat="1" applyFont="1" applyFill="1" applyBorder="1" applyAlignment="1">
      <alignment horizontal="center" vertical="top"/>
    </xf>
    <xf numFmtId="0" fontId="24" fillId="6" borderId="8" xfId="0" applyFont="1" applyFill="1" applyBorder="1" applyAlignment="1">
      <alignment vertical="top" wrapText="1"/>
    </xf>
    <xf numFmtId="3" fontId="2" fillId="6" borderId="91" xfId="1" applyNumberFormat="1" applyFont="1" applyFill="1" applyBorder="1" applyAlignment="1">
      <alignment horizontal="center" vertical="top"/>
    </xf>
    <xf numFmtId="3" fontId="2" fillId="6" borderId="1" xfId="0" applyNumberFormat="1" applyFont="1" applyFill="1" applyBorder="1" applyAlignment="1">
      <alignment horizontal="center" vertical="top"/>
    </xf>
    <xf numFmtId="165" fontId="2" fillId="6" borderId="8" xfId="0" applyNumberFormat="1" applyFont="1" applyFill="1" applyBorder="1" applyAlignment="1">
      <alignment vertical="top" wrapText="1"/>
    </xf>
    <xf numFmtId="0" fontId="2" fillId="6" borderId="24" xfId="0" applyFont="1" applyFill="1" applyBorder="1" applyAlignment="1">
      <alignment vertical="center" textRotation="90" wrapText="1"/>
    </xf>
    <xf numFmtId="0" fontId="2" fillId="6" borderId="100" xfId="0" applyFont="1" applyFill="1" applyBorder="1" applyAlignment="1">
      <alignment vertical="center" wrapText="1"/>
    </xf>
    <xf numFmtId="0" fontId="2" fillId="0" borderId="14" xfId="0" applyFont="1" applyBorder="1" applyAlignment="1">
      <alignment horizontal="center" vertical="top"/>
    </xf>
    <xf numFmtId="0" fontId="4" fillId="6" borderId="24" xfId="0" applyFont="1" applyFill="1" applyBorder="1" applyAlignment="1">
      <alignment horizontal="center" vertical="top" wrapText="1"/>
    </xf>
    <xf numFmtId="0" fontId="2" fillId="0" borderId="31" xfId="0" applyFont="1" applyFill="1" applyBorder="1" applyAlignment="1">
      <alignment horizontal="center" vertical="top"/>
    </xf>
    <xf numFmtId="0" fontId="2" fillId="0" borderId="55" xfId="0" applyFont="1" applyFill="1" applyBorder="1" applyAlignment="1">
      <alignment horizontal="center" vertical="top"/>
    </xf>
    <xf numFmtId="0" fontId="2" fillId="0" borderId="32" xfId="0" applyFont="1" applyFill="1" applyBorder="1" applyAlignment="1">
      <alignment horizontal="center" vertical="top"/>
    </xf>
    <xf numFmtId="165" fontId="2" fillId="6" borderId="122" xfId="0" applyNumberFormat="1" applyFont="1" applyFill="1" applyBorder="1" applyAlignment="1">
      <alignment horizontal="center" vertical="top"/>
    </xf>
    <xf numFmtId="165" fontId="2" fillId="6" borderId="119" xfId="0" applyNumberFormat="1" applyFont="1" applyFill="1" applyBorder="1" applyAlignment="1">
      <alignment horizontal="center" vertical="top"/>
    </xf>
    <xf numFmtId="0" fontId="4" fillId="6" borderId="66" xfId="0" applyFont="1" applyFill="1" applyBorder="1" applyAlignment="1">
      <alignment horizontal="center" vertical="top" wrapText="1"/>
    </xf>
    <xf numFmtId="0" fontId="2" fillId="6" borderId="1" xfId="0" applyFont="1" applyFill="1" applyBorder="1" applyAlignment="1">
      <alignment horizontal="center" vertical="center" textRotation="90" wrapText="1"/>
    </xf>
    <xf numFmtId="0" fontId="2" fillId="6" borderId="24" xfId="0" applyFont="1" applyFill="1" applyBorder="1" applyAlignment="1">
      <alignment horizontal="center" vertical="center" textRotation="90" wrapText="1"/>
    </xf>
    <xf numFmtId="0" fontId="2" fillId="6" borderId="35"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29" xfId="0" applyFont="1" applyFill="1" applyBorder="1" applyAlignment="1">
      <alignment horizontal="center" vertical="center"/>
    </xf>
    <xf numFmtId="0" fontId="2" fillId="6" borderId="24" xfId="0" applyFont="1" applyFill="1" applyBorder="1" applyAlignment="1">
      <alignment horizontal="center" vertical="center"/>
    </xf>
    <xf numFmtId="0" fontId="4" fillId="2" borderId="13" xfId="0" applyFont="1" applyFill="1" applyBorder="1" applyAlignment="1">
      <alignment horizontal="center" vertical="top" wrapText="1"/>
    </xf>
    <xf numFmtId="0" fontId="4" fillId="2" borderId="14" xfId="0" applyFont="1" applyFill="1" applyBorder="1" applyAlignment="1">
      <alignment horizontal="center" vertical="top" wrapText="1"/>
    </xf>
    <xf numFmtId="0" fontId="2" fillId="6" borderId="31" xfId="0" applyFont="1" applyFill="1" applyBorder="1" applyAlignment="1">
      <alignment vertical="top" wrapText="1"/>
    </xf>
    <xf numFmtId="165" fontId="2" fillId="6" borderId="44" xfId="0" applyNumberFormat="1" applyFont="1" applyFill="1" applyBorder="1" applyAlignment="1">
      <alignment horizontal="center" vertical="top"/>
    </xf>
    <xf numFmtId="165" fontId="2" fillId="6" borderId="35" xfId="0" applyNumberFormat="1" applyFont="1" applyFill="1" applyBorder="1" applyAlignment="1">
      <alignment horizontal="center" vertical="center"/>
    </xf>
    <xf numFmtId="165" fontId="2" fillId="6" borderId="88" xfId="0" applyNumberFormat="1" applyFont="1" applyFill="1" applyBorder="1" applyAlignment="1">
      <alignment horizontal="center" vertical="center"/>
    </xf>
    <xf numFmtId="165" fontId="2" fillId="6" borderId="65" xfId="0" applyNumberFormat="1" applyFont="1" applyFill="1" applyBorder="1" applyAlignment="1">
      <alignment horizontal="center" vertical="center"/>
    </xf>
    <xf numFmtId="165" fontId="2" fillId="6" borderId="13" xfId="0" applyNumberFormat="1" applyFont="1" applyFill="1" applyBorder="1" applyAlignment="1">
      <alignment horizontal="center" vertical="center"/>
    </xf>
    <xf numFmtId="165" fontId="2" fillId="6" borderId="0" xfId="0" applyNumberFormat="1" applyFont="1" applyFill="1" applyAlignment="1">
      <alignment horizontal="center" vertical="center"/>
    </xf>
    <xf numFmtId="165" fontId="2" fillId="6" borderId="61" xfId="0" applyNumberFormat="1" applyFont="1" applyFill="1" applyBorder="1" applyAlignment="1">
      <alignment horizontal="center" vertical="center"/>
    </xf>
    <xf numFmtId="165" fontId="2" fillId="6" borderId="62" xfId="0" applyNumberFormat="1" applyFont="1" applyFill="1" applyBorder="1" applyAlignment="1">
      <alignment horizontal="center" vertical="center"/>
    </xf>
    <xf numFmtId="165" fontId="2" fillId="6" borderId="60" xfId="0" applyNumberFormat="1" applyFont="1" applyFill="1" applyBorder="1" applyAlignment="1">
      <alignment horizontal="center" vertical="center"/>
    </xf>
    <xf numFmtId="165" fontId="2" fillId="6" borderId="68" xfId="0" applyNumberFormat="1" applyFont="1" applyFill="1" applyBorder="1" applyAlignment="1">
      <alignment horizontal="center" vertical="center"/>
    </xf>
    <xf numFmtId="165" fontId="2" fillId="6" borderId="70" xfId="0" applyNumberFormat="1" applyFont="1" applyFill="1" applyBorder="1" applyAlignment="1">
      <alignment horizontal="center" vertical="center"/>
    </xf>
    <xf numFmtId="165" fontId="2" fillId="6" borderId="64" xfId="0" applyNumberFormat="1" applyFont="1" applyFill="1" applyBorder="1" applyAlignment="1">
      <alignment horizontal="center" vertical="center"/>
    </xf>
    <xf numFmtId="165" fontId="4" fillId="9" borderId="94" xfId="0" applyNumberFormat="1" applyFont="1" applyFill="1" applyBorder="1" applyAlignment="1">
      <alignment horizontal="center" vertical="top"/>
    </xf>
    <xf numFmtId="165" fontId="4" fillId="9" borderId="84" xfId="0" applyNumberFormat="1" applyFont="1" applyFill="1" applyBorder="1" applyAlignment="1">
      <alignment horizontal="center" vertical="top"/>
    </xf>
    <xf numFmtId="3" fontId="29" fillId="6" borderId="5" xfId="0" applyNumberFormat="1" applyFont="1" applyFill="1" applyBorder="1" applyAlignment="1">
      <alignment horizontal="center" vertical="top"/>
    </xf>
    <xf numFmtId="165" fontId="29" fillId="6" borderId="35" xfId="0" applyNumberFormat="1" applyFont="1" applyFill="1" applyBorder="1" applyAlignment="1">
      <alignment horizontal="center" vertical="top"/>
    </xf>
    <xf numFmtId="165" fontId="29" fillId="6" borderId="16" xfId="0" applyNumberFormat="1" applyFont="1" applyFill="1" applyBorder="1" applyAlignment="1">
      <alignment horizontal="center" vertical="top"/>
    </xf>
    <xf numFmtId="165" fontId="29" fillId="6" borderId="32" xfId="0" applyNumberFormat="1" applyFont="1" applyFill="1" applyBorder="1" applyAlignment="1">
      <alignment horizontal="center" vertical="top"/>
    </xf>
    <xf numFmtId="3" fontId="29" fillId="6" borderId="100" xfId="0" applyNumberFormat="1" applyFont="1" applyFill="1" applyBorder="1" applyAlignment="1">
      <alignment horizontal="center" vertical="top"/>
    </xf>
    <xf numFmtId="165" fontId="29" fillId="6" borderId="65" xfId="0" applyNumberFormat="1" applyFont="1" applyFill="1" applyBorder="1" applyAlignment="1">
      <alignment horizontal="center" vertical="top"/>
    </xf>
    <xf numFmtId="165" fontId="29" fillId="6" borderId="102" xfId="0" applyNumberFormat="1" applyFont="1" applyFill="1" applyBorder="1" applyAlignment="1">
      <alignment horizontal="center" vertical="top"/>
    </xf>
    <xf numFmtId="165" fontId="29" fillId="6" borderId="66" xfId="0" applyNumberFormat="1" applyFont="1" applyFill="1" applyBorder="1" applyAlignment="1">
      <alignment horizontal="center" vertical="top"/>
    </xf>
    <xf numFmtId="0" fontId="29" fillId="6" borderId="5" xfId="0" applyFont="1" applyFill="1" applyBorder="1" applyAlignment="1">
      <alignment horizontal="center" vertical="top" wrapText="1"/>
    </xf>
    <xf numFmtId="165" fontId="29" fillId="6" borderId="9" xfId="0" applyNumberFormat="1" applyFont="1" applyFill="1" applyBorder="1" applyAlignment="1">
      <alignment horizontal="center" vertical="top"/>
    </xf>
    <xf numFmtId="165" fontId="29" fillId="6" borderId="1" xfId="0" applyNumberFormat="1" applyFont="1" applyFill="1" applyBorder="1" applyAlignment="1">
      <alignment horizontal="center" vertical="top"/>
    </xf>
    <xf numFmtId="3" fontId="29" fillId="6" borderId="18" xfId="0" applyNumberFormat="1" applyFont="1" applyFill="1" applyBorder="1" applyAlignment="1">
      <alignment horizontal="center" vertical="top"/>
    </xf>
    <xf numFmtId="164" fontId="29" fillId="6" borderId="22" xfId="0" applyNumberFormat="1" applyFont="1" applyFill="1" applyBorder="1" applyAlignment="1">
      <alignment horizontal="center" vertical="top" wrapText="1"/>
    </xf>
    <xf numFmtId="164" fontId="29" fillId="6" borderId="25" xfId="0" applyNumberFormat="1" applyFont="1" applyFill="1" applyBorder="1" applyAlignment="1">
      <alignment horizontal="center" vertical="top" wrapText="1"/>
    </xf>
    <xf numFmtId="164" fontId="29" fillId="6" borderId="24" xfId="0" applyNumberFormat="1" applyFont="1" applyFill="1" applyBorder="1" applyAlignment="1">
      <alignment horizontal="center" vertical="top" wrapText="1"/>
    </xf>
    <xf numFmtId="0" fontId="29" fillId="6" borderId="72" xfId="0" applyFont="1" applyFill="1" applyBorder="1" applyAlignment="1">
      <alignment horizontal="center" vertical="top" wrapText="1"/>
    </xf>
    <xf numFmtId="164" fontId="29" fillId="6" borderId="67" xfId="0" applyNumberFormat="1" applyFont="1" applyFill="1" applyBorder="1" applyAlignment="1">
      <alignment horizontal="center" vertical="top" wrapText="1"/>
    </xf>
    <xf numFmtId="164" fontId="29" fillId="6" borderId="13" xfId="0" applyNumberFormat="1" applyFont="1" applyFill="1" applyBorder="1" applyAlignment="1">
      <alignment horizontal="center" vertical="top" wrapText="1"/>
    </xf>
    <xf numFmtId="164" fontId="29" fillId="6" borderId="29" xfId="0" applyNumberFormat="1" applyFont="1" applyFill="1" applyBorder="1" applyAlignment="1">
      <alignment horizontal="center" vertical="top" wrapText="1"/>
    </xf>
    <xf numFmtId="0" fontId="29" fillId="6" borderId="8" xfId="0" applyFont="1" applyFill="1" applyBorder="1" applyAlignment="1">
      <alignment horizontal="center" vertical="top" wrapText="1"/>
    </xf>
    <xf numFmtId="165" fontId="29" fillId="6" borderId="13" xfId="0" applyNumberFormat="1" applyFont="1" applyFill="1" applyBorder="1" applyAlignment="1">
      <alignment horizontal="center" vertical="top"/>
    </xf>
    <xf numFmtId="165" fontId="29" fillId="6" borderId="14" xfId="0" applyNumberFormat="1" applyFont="1" applyFill="1" applyBorder="1" applyAlignment="1">
      <alignment horizontal="center" vertical="top"/>
    </xf>
    <xf numFmtId="0" fontId="29" fillId="0" borderId="0" xfId="0" applyFont="1" applyAlignment="1">
      <alignment horizontal="center" vertical="top"/>
    </xf>
    <xf numFmtId="0" fontId="29" fillId="0" borderId="22" xfId="0" applyFont="1" applyBorder="1" applyAlignment="1">
      <alignment vertical="top"/>
    </xf>
    <xf numFmtId="0" fontId="29" fillId="0" borderId="23" xfId="0" applyFont="1" applyBorder="1" applyAlignment="1">
      <alignment vertical="top"/>
    </xf>
    <xf numFmtId="0" fontId="29" fillId="0" borderId="24" xfId="0" applyFont="1" applyBorder="1" applyAlignment="1">
      <alignment vertical="top"/>
    </xf>
    <xf numFmtId="164" fontId="29" fillId="6" borderId="63" xfId="0" applyNumberFormat="1" applyFont="1" applyFill="1" applyBorder="1" applyAlignment="1">
      <alignment horizontal="center" vertical="top" wrapText="1"/>
    </xf>
    <xf numFmtId="164" fontId="29" fillId="6" borderId="101" xfId="0" applyNumberFormat="1" applyFont="1" applyFill="1" applyBorder="1" applyAlignment="1">
      <alignment horizontal="center" vertical="top" wrapText="1"/>
    </xf>
    <xf numFmtId="164" fontId="29" fillId="6" borderId="1" xfId="0" applyNumberFormat="1" applyFont="1" applyFill="1" applyBorder="1" applyAlignment="1">
      <alignment horizontal="center" vertical="top" wrapText="1"/>
    </xf>
    <xf numFmtId="0" fontId="29" fillId="6" borderId="99" xfId="0" applyFont="1" applyFill="1" applyBorder="1" applyAlignment="1">
      <alignment horizontal="center" vertical="top" wrapText="1"/>
    </xf>
    <xf numFmtId="164" fontId="29" fillId="0" borderId="63" xfId="0" applyNumberFormat="1" applyFont="1" applyBorder="1" applyAlignment="1">
      <alignment horizontal="center" vertical="center"/>
    </xf>
    <xf numFmtId="0" fontId="29" fillId="0" borderId="101" xfId="0" applyFont="1" applyBorder="1" applyAlignment="1">
      <alignment vertical="top"/>
    </xf>
    <xf numFmtId="0" fontId="29" fillId="0" borderId="88" xfId="0" applyFont="1" applyBorder="1" applyAlignment="1">
      <alignment vertical="top"/>
    </xf>
    <xf numFmtId="0" fontId="29" fillId="6" borderId="100" xfId="0" applyFont="1" applyFill="1" applyBorder="1" applyAlignment="1">
      <alignment horizontal="center" vertical="top" wrapText="1"/>
    </xf>
    <xf numFmtId="3" fontId="29" fillId="6" borderId="0" xfId="0" applyNumberFormat="1" applyFont="1" applyFill="1" applyBorder="1" applyAlignment="1">
      <alignment horizontal="center" vertical="top"/>
    </xf>
    <xf numFmtId="165" fontId="29" fillId="0" borderId="0" xfId="0" applyNumberFormat="1" applyFont="1" applyBorder="1" applyAlignment="1">
      <alignment vertical="top"/>
    </xf>
    <xf numFmtId="0" fontId="29" fillId="6" borderId="0" xfId="0" applyFont="1" applyFill="1" applyBorder="1" applyAlignment="1">
      <alignment horizontal="center" vertical="top" wrapText="1"/>
    </xf>
    <xf numFmtId="164" fontId="29" fillId="0" borderId="0" xfId="0" applyNumberFormat="1" applyFont="1" applyBorder="1" applyAlignment="1">
      <alignment vertical="top"/>
    </xf>
    <xf numFmtId="3" fontId="29" fillId="0" borderId="0" xfId="0" applyNumberFormat="1" applyFont="1" applyBorder="1" applyAlignment="1">
      <alignment vertical="top"/>
    </xf>
    <xf numFmtId="0" fontId="30" fillId="6" borderId="72" xfId="0" applyFont="1" applyFill="1" applyBorder="1" applyAlignment="1">
      <alignment horizontal="center" vertical="top" wrapText="1"/>
    </xf>
    <xf numFmtId="165" fontId="30" fillId="6" borderId="0" xfId="0" applyNumberFormat="1" applyFont="1" applyFill="1" applyAlignment="1">
      <alignment horizontal="center" vertical="top"/>
    </xf>
    <xf numFmtId="165" fontId="30" fillId="6" borderId="106" xfId="0" applyNumberFormat="1" applyFont="1" applyFill="1" applyBorder="1" applyAlignment="1">
      <alignment horizontal="center" vertical="top"/>
    </xf>
    <xf numFmtId="165" fontId="30" fillId="6" borderId="71" xfId="0" applyNumberFormat="1" applyFont="1" applyFill="1" applyBorder="1" applyAlignment="1">
      <alignment horizontal="center" vertical="top"/>
    </xf>
    <xf numFmtId="0" fontId="30" fillId="6" borderId="89" xfId="0" applyFont="1" applyFill="1" applyBorder="1" applyAlignment="1">
      <alignment horizontal="center" vertical="top"/>
    </xf>
    <xf numFmtId="165" fontId="30" fillId="6" borderId="67" xfId="0" applyNumberFormat="1" applyFont="1" applyFill="1" applyBorder="1" applyAlignment="1">
      <alignment horizontal="center" vertical="top"/>
    </xf>
    <xf numFmtId="165" fontId="30" fillId="6" borderId="70" xfId="0" applyNumberFormat="1" applyFont="1" applyFill="1" applyBorder="1" applyAlignment="1">
      <alignment horizontal="center" vertical="top"/>
    </xf>
    <xf numFmtId="165" fontId="30" fillId="6" borderId="64" xfId="0" applyNumberFormat="1" applyFont="1" applyFill="1" applyBorder="1" applyAlignment="1">
      <alignment horizontal="center" vertical="top"/>
    </xf>
    <xf numFmtId="0" fontId="30" fillId="6" borderId="8" xfId="0" applyFont="1" applyFill="1" applyBorder="1" applyAlignment="1">
      <alignment horizontal="center" vertical="top" wrapText="1"/>
    </xf>
    <xf numFmtId="165" fontId="30" fillId="6" borderId="9" xfId="0" applyNumberFormat="1" applyFont="1" applyFill="1" applyBorder="1" applyAlignment="1">
      <alignment horizontal="center" vertical="top"/>
    </xf>
    <xf numFmtId="165" fontId="30" fillId="6" borderId="13" xfId="0" applyNumberFormat="1" applyFont="1" applyFill="1" applyBorder="1" applyAlignment="1">
      <alignment horizontal="center" vertical="top"/>
    </xf>
    <xf numFmtId="165" fontId="30" fillId="6" borderId="14" xfId="0" applyNumberFormat="1" applyFont="1" applyFill="1" applyBorder="1" applyAlignment="1">
      <alignment horizontal="center" vertical="top"/>
    </xf>
    <xf numFmtId="165" fontId="30" fillId="6" borderId="43" xfId="0" applyNumberFormat="1" applyFont="1" applyFill="1" applyBorder="1" applyAlignment="1">
      <alignment horizontal="center" vertical="top"/>
    </xf>
    <xf numFmtId="165" fontId="30" fillId="6" borderId="69" xfId="0" applyNumberFormat="1" applyFont="1" applyFill="1" applyBorder="1" applyAlignment="1">
      <alignment horizontal="center" vertical="top"/>
    </xf>
    <xf numFmtId="165" fontId="30" fillId="6" borderId="60" xfId="0" applyNumberFormat="1" applyFont="1" applyFill="1" applyBorder="1" applyAlignment="1">
      <alignment horizontal="center" vertical="top"/>
    </xf>
    <xf numFmtId="0" fontId="30" fillId="6" borderId="89" xfId="0" applyFont="1" applyFill="1" applyBorder="1" applyAlignment="1">
      <alignment horizontal="center" vertical="top" wrapText="1"/>
    </xf>
    <xf numFmtId="164" fontId="30" fillId="6" borderId="67" xfId="0" applyNumberFormat="1" applyFont="1" applyFill="1" applyBorder="1" applyAlignment="1">
      <alignment horizontal="center" vertical="top"/>
    </xf>
    <xf numFmtId="164" fontId="30" fillId="6" borderId="70" xfId="0" applyNumberFormat="1" applyFont="1" applyFill="1" applyBorder="1" applyAlignment="1">
      <alignment horizontal="center" vertical="top"/>
    </xf>
    <xf numFmtId="164" fontId="30" fillId="6" borderId="71" xfId="0" applyNumberFormat="1" applyFont="1" applyFill="1" applyBorder="1" applyAlignment="1">
      <alignment horizontal="center" vertical="top"/>
    </xf>
    <xf numFmtId="0" fontId="30" fillId="6" borderId="18" xfId="0" applyFont="1" applyFill="1" applyBorder="1" applyAlignment="1">
      <alignment horizontal="center" vertical="top"/>
    </xf>
    <xf numFmtId="165" fontId="30" fillId="6" borderId="65" xfId="0" applyNumberFormat="1" applyFont="1" applyFill="1" applyBorder="1" applyAlignment="1">
      <alignment horizontal="center" vertical="top"/>
    </xf>
    <xf numFmtId="165" fontId="30" fillId="6" borderId="73" xfId="0" applyNumberFormat="1" applyFont="1" applyFill="1" applyBorder="1" applyAlignment="1">
      <alignment horizontal="center" vertical="top" wrapText="1"/>
    </xf>
    <xf numFmtId="165" fontId="30" fillId="6" borderId="63" xfId="0" applyNumberFormat="1" applyFont="1" applyFill="1" applyBorder="1" applyAlignment="1">
      <alignment horizontal="center" vertical="top"/>
    </xf>
    <xf numFmtId="165" fontId="30" fillId="6" borderId="101" xfId="0" applyNumberFormat="1" applyFont="1" applyFill="1" applyBorder="1" applyAlignment="1">
      <alignment horizontal="center" vertical="top"/>
    </xf>
    <xf numFmtId="3" fontId="30" fillId="6" borderId="88" xfId="0" applyNumberFormat="1" applyFont="1" applyFill="1" applyBorder="1" applyAlignment="1">
      <alignment horizontal="right" vertical="top"/>
    </xf>
    <xf numFmtId="165" fontId="30" fillId="6" borderId="89" xfId="0" applyNumberFormat="1" applyFont="1" applyFill="1" applyBorder="1" applyAlignment="1">
      <alignment horizontal="center" vertical="top" wrapText="1"/>
    </xf>
    <xf numFmtId="165" fontId="30" fillId="6" borderId="62" xfId="0" applyNumberFormat="1" applyFont="1" applyFill="1" applyBorder="1" applyAlignment="1">
      <alignment horizontal="center" vertical="top"/>
    </xf>
    <xf numFmtId="3" fontId="30" fillId="6" borderId="43" xfId="0" applyNumberFormat="1" applyFont="1" applyFill="1" applyBorder="1" applyAlignment="1">
      <alignment horizontal="right" vertical="top"/>
    </xf>
    <xf numFmtId="165" fontId="30" fillId="6" borderId="61" xfId="0" applyNumberFormat="1" applyFont="1" applyFill="1" applyBorder="1" applyAlignment="1">
      <alignment horizontal="center" vertical="top"/>
    </xf>
    <xf numFmtId="0" fontId="30" fillId="0" borderId="18" xfId="0" applyFont="1" applyBorder="1" applyAlignment="1">
      <alignment horizontal="center" vertical="top"/>
    </xf>
    <xf numFmtId="3" fontId="30" fillId="6" borderId="22" xfId="0" applyNumberFormat="1" applyFont="1" applyFill="1" applyBorder="1" applyAlignment="1">
      <alignment horizontal="center" vertical="top"/>
    </xf>
    <xf numFmtId="164" fontId="30" fillId="6" borderId="102" xfId="0" applyNumberFormat="1" applyFont="1" applyFill="1" applyBorder="1" applyAlignment="1">
      <alignment horizontal="center" vertical="top"/>
    </xf>
    <xf numFmtId="165" fontId="30" fillId="6" borderId="66" xfId="0" applyNumberFormat="1" applyFont="1" applyFill="1" applyBorder="1" applyAlignment="1">
      <alignment horizontal="center" vertical="top"/>
    </xf>
    <xf numFmtId="0" fontId="30" fillId="6" borderId="5" xfId="0" applyFont="1" applyFill="1" applyBorder="1" applyAlignment="1">
      <alignment horizontal="center" vertical="top" wrapText="1"/>
    </xf>
    <xf numFmtId="165" fontId="30" fillId="6" borderId="16" xfId="0" applyNumberFormat="1" applyFont="1" applyFill="1" applyBorder="1" applyAlignment="1">
      <alignment horizontal="center" vertical="top"/>
    </xf>
    <xf numFmtId="0" fontId="30" fillId="6" borderId="18" xfId="0" applyFont="1" applyFill="1" applyBorder="1" applyAlignment="1">
      <alignment horizontal="center" vertical="top" wrapText="1"/>
    </xf>
    <xf numFmtId="165" fontId="30" fillId="6" borderId="24" xfId="0" applyNumberFormat="1" applyFont="1" applyFill="1" applyBorder="1" applyAlignment="1">
      <alignment horizontal="center" vertical="top"/>
    </xf>
    <xf numFmtId="165" fontId="30" fillId="6" borderId="35" xfId="0" applyNumberFormat="1" applyFont="1" applyFill="1" applyBorder="1" applyAlignment="1">
      <alignment horizontal="center" vertical="top"/>
    </xf>
    <xf numFmtId="0" fontId="30" fillId="0" borderId="73" xfId="0" applyFont="1" applyBorder="1" applyAlignment="1">
      <alignment horizontal="center" vertical="top"/>
    </xf>
    <xf numFmtId="0" fontId="30" fillId="0" borderId="68" xfId="0" applyFont="1" applyBorder="1" applyAlignment="1">
      <alignment vertical="top"/>
    </xf>
    <xf numFmtId="0" fontId="30" fillId="0" borderId="69" xfId="0" applyFont="1" applyBorder="1" applyAlignment="1">
      <alignment vertical="top"/>
    </xf>
    <xf numFmtId="0" fontId="30" fillId="0" borderId="121" xfId="0" applyFont="1" applyBorder="1" applyAlignment="1">
      <alignment vertical="top"/>
    </xf>
    <xf numFmtId="0" fontId="30" fillId="0" borderId="89" xfId="0" applyFont="1" applyBorder="1" applyAlignment="1">
      <alignment horizontal="center" vertical="top"/>
    </xf>
    <xf numFmtId="0" fontId="30" fillId="6" borderId="100" xfId="0" applyFont="1" applyFill="1" applyBorder="1" applyAlignment="1">
      <alignment horizontal="center" vertical="top" wrapText="1"/>
    </xf>
    <xf numFmtId="165" fontId="30" fillId="6" borderId="102" xfId="0" applyNumberFormat="1" applyFont="1" applyFill="1" applyBorder="1" applyAlignment="1">
      <alignment horizontal="center" vertical="top"/>
    </xf>
    <xf numFmtId="165" fontId="30" fillId="6" borderId="8" xfId="0" applyNumberFormat="1" applyFont="1" applyFill="1" applyBorder="1" applyAlignment="1">
      <alignment horizontal="center" vertical="top" wrapText="1"/>
    </xf>
    <xf numFmtId="165" fontId="30" fillId="6" borderId="88" xfId="0" applyNumberFormat="1" applyFont="1" applyFill="1" applyBorder="1" applyAlignment="1">
      <alignment horizontal="center" vertical="top"/>
    </xf>
    <xf numFmtId="165" fontId="30" fillId="6" borderId="72" xfId="0" applyNumberFormat="1" applyFont="1" applyFill="1" applyBorder="1" applyAlignment="1">
      <alignment horizontal="center" vertical="top" wrapText="1"/>
    </xf>
    <xf numFmtId="165" fontId="31" fillId="6" borderId="70" xfId="0" applyNumberFormat="1" applyFont="1" applyFill="1" applyBorder="1" applyAlignment="1">
      <alignment horizontal="center" vertical="top"/>
    </xf>
    <xf numFmtId="165" fontId="31" fillId="6" borderId="43" xfId="0" applyNumberFormat="1" applyFont="1" applyFill="1" applyBorder="1" applyAlignment="1">
      <alignment horizontal="center" vertical="top"/>
    </xf>
    <xf numFmtId="165" fontId="31" fillId="6" borderId="71" xfId="0" applyNumberFormat="1" applyFont="1" applyFill="1" applyBorder="1" applyAlignment="1">
      <alignment horizontal="center" vertical="top"/>
    </xf>
    <xf numFmtId="165" fontId="30" fillId="6" borderId="18" xfId="0" applyNumberFormat="1" applyFont="1" applyFill="1" applyBorder="1" applyAlignment="1">
      <alignment horizontal="center" vertical="top" wrapText="1"/>
    </xf>
    <xf numFmtId="165" fontId="30" fillId="6" borderId="22" xfId="0" applyNumberFormat="1" applyFont="1" applyFill="1" applyBorder="1" applyAlignment="1">
      <alignment horizontal="center" vertical="top"/>
    </xf>
    <xf numFmtId="165" fontId="30" fillId="6" borderId="0" xfId="0" applyNumberFormat="1" applyFont="1" applyFill="1" applyBorder="1" applyAlignment="1">
      <alignment horizontal="center" vertical="top"/>
    </xf>
    <xf numFmtId="165" fontId="30" fillId="6" borderId="0" xfId="0" applyNumberFormat="1" applyFont="1" applyFill="1" applyBorder="1" applyAlignment="1">
      <alignment horizontal="center" vertical="top" wrapText="1"/>
    </xf>
    <xf numFmtId="165" fontId="30" fillId="0" borderId="0" xfId="0" applyNumberFormat="1" applyFont="1" applyBorder="1" applyAlignment="1">
      <alignment vertical="top"/>
    </xf>
    <xf numFmtId="0" fontId="30" fillId="6" borderId="0" xfId="0" applyFont="1" applyFill="1" applyBorder="1" applyAlignment="1">
      <alignment horizontal="center" vertical="top"/>
    </xf>
    <xf numFmtId="0" fontId="30" fillId="0" borderId="0" xfId="0" applyFont="1" applyBorder="1" applyAlignment="1">
      <alignment vertical="top"/>
    </xf>
    <xf numFmtId="0" fontId="30" fillId="6" borderId="99" xfId="0" applyFont="1" applyFill="1" applyBorder="1" applyAlignment="1">
      <alignment horizontal="center" vertical="top"/>
    </xf>
    <xf numFmtId="0" fontId="30" fillId="6" borderId="8" xfId="0" applyFont="1" applyFill="1" applyBorder="1" applyAlignment="1">
      <alignment horizontal="center" vertical="top"/>
    </xf>
    <xf numFmtId="0" fontId="30" fillId="6" borderId="100" xfId="0" applyFont="1" applyFill="1" applyBorder="1" applyAlignment="1">
      <alignment horizontal="center" vertical="top"/>
    </xf>
    <xf numFmtId="0" fontId="30" fillId="6" borderId="5" xfId="0" applyFont="1" applyFill="1" applyBorder="1" applyAlignment="1">
      <alignment horizontal="center" vertical="top"/>
    </xf>
    <xf numFmtId="0" fontId="30" fillId="6" borderId="72" xfId="0" applyFont="1" applyFill="1" applyBorder="1" applyAlignment="1">
      <alignment horizontal="center" vertical="top"/>
    </xf>
    <xf numFmtId="165" fontId="31" fillId="6" borderId="67" xfId="0" applyNumberFormat="1" applyFont="1" applyFill="1" applyBorder="1" applyAlignment="1">
      <alignment horizontal="center" vertical="top"/>
    </xf>
    <xf numFmtId="0" fontId="30" fillId="6" borderId="99" xfId="0" applyFont="1" applyFill="1" applyBorder="1" applyAlignment="1">
      <alignment horizontal="center" vertical="top" wrapText="1"/>
    </xf>
    <xf numFmtId="165" fontId="30" fillId="6" borderId="63" xfId="0" applyNumberFormat="1" applyFont="1" applyFill="1" applyBorder="1" applyAlignment="1">
      <alignment horizontal="center" vertical="center"/>
    </xf>
    <xf numFmtId="165" fontId="30" fillId="6" borderId="16" xfId="0" applyNumberFormat="1" applyFont="1" applyFill="1" applyBorder="1" applyAlignment="1">
      <alignment horizontal="center" vertical="center"/>
    </xf>
    <xf numFmtId="165" fontId="30" fillId="6" borderId="77" xfId="0" applyNumberFormat="1" applyFont="1" applyFill="1" applyBorder="1" applyAlignment="1">
      <alignment horizontal="center" vertical="center"/>
    </xf>
    <xf numFmtId="165" fontId="30" fillId="6" borderId="1" xfId="0" applyNumberFormat="1" applyFont="1" applyFill="1" applyBorder="1" applyAlignment="1">
      <alignment horizontal="center" vertical="top"/>
    </xf>
    <xf numFmtId="0" fontId="30" fillId="6" borderId="73" xfId="0" applyFont="1" applyFill="1" applyBorder="1" applyAlignment="1">
      <alignment horizontal="center" vertical="top" wrapText="1"/>
    </xf>
    <xf numFmtId="0" fontId="30" fillId="6" borderId="103" xfId="0" applyFont="1" applyFill="1" applyBorder="1" applyAlignment="1">
      <alignment horizontal="center" vertical="top"/>
    </xf>
    <xf numFmtId="0" fontId="30" fillId="6" borderId="106" xfId="0" applyFont="1" applyFill="1" applyBorder="1" applyAlignment="1">
      <alignment horizontal="center" vertical="top"/>
    </xf>
    <xf numFmtId="0" fontId="30" fillId="6" borderId="66" xfId="0" applyFont="1" applyFill="1" applyBorder="1" applyAlignment="1">
      <alignment horizontal="center" vertical="top"/>
    </xf>
    <xf numFmtId="0" fontId="30" fillId="0" borderId="99" xfId="0" applyFont="1" applyFill="1" applyBorder="1" applyAlignment="1">
      <alignment horizontal="center" vertical="top" wrapText="1"/>
    </xf>
    <xf numFmtId="165" fontId="30" fillId="6" borderId="68" xfId="0" applyNumberFormat="1" applyFont="1" applyFill="1" applyBorder="1" applyAlignment="1">
      <alignment horizontal="center" vertical="top"/>
    </xf>
    <xf numFmtId="165" fontId="30" fillId="6" borderId="74" xfId="0" applyNumberFormat="1" applyFont="1" applyFill="1" applyBorder="1" applyAlignment="1">
      <alignment horizontal="center" vertical="top"/>
    </xf>
    <xf numFmtId="0" fontId="30" fillId="0" borderId="8" xfId="0" applyFont="1" applyFill="1" applyBorder="1" applyAlignment="1">
      <alignment horizontal="center" vertical="top" wrapText="1"/>
    </xf>
    <xf numFmtId="0" fontId="30" fillId="6" borderId="108" xfId="0" applyFont="1" applyFill="1" applyBorder="1" applyAlignment="1">
      <alignment horizontal="center" vertical="top"/>
    </xf>
    <xf numFmtId="165" fontId="31" fillId="6" borderId="90" xfId="0" applyNumberFormat="1" applyFont="1" applyFill="1" applyBorder="1" applyAlignment="1">
      <alignment horizontal="center" vertical="top"/>
    </xf>
    <xf numFmtId="165" fontId="31" fillId="6" borderId="62" xfId="0" applyNumberFormat="1" applyFont="1" applyFill="1" applyBorder="1" applyAlignment="1">
      <alignment horizontal="center" vertical="top"/>
    </xf>
    <xf numFmtId="165" fontId="31" fillId="6" borderId="107" xfId="0" applyNumberFormat="1" applyFont="1" applyFill="1" applyBorder="1" applyAlignment="1">
      <alignment horizontal="center" vertical="top"/>
    </xf>
    <xf numFmtId="165" fontId="30" fillId="6" borderId="107" xfId="0" applyNumberFormat="1" applyFont="1" applyFill="1" applyBorder="1" applyAlignment="1">
      <alignment horizontal="center" vertical="top"/>
    </xf>
    <xf numFmtId="165" fontId="31" fillId="6" borderId="64" xfId="0" applyNumberFormat="1" applyFont="1" applyFill="1" applyBorder="1" applyAlignment="1">
      <alignment horizontal="center" vertical="top"/>
    </xf>
    <xf numFmtId="165" fontId="31" fillId="6" borderId="14" xfId="0" applyNumberFormat="1" applyFont="1" applyFill="1" applyBorder="1" applyAlignment="1">
      <alignment horizontal="center" vertical="top"/>
    </xf>
    <xf numFmtId="165" fontId="31" fillId="6" borderId="66" xfId="0" applyNumberFormat="1" applyFont="1" applyFill="1" applyBorder="1" applyAlignment="1">
      <alignment horizontal="center" vertical="top"/>
    </xf>
    <xf numFmtId="165" fontId="30" fillId="6" borderId="25" xfId="0" applyNumberFormat="1" applyFont="1" applyFill="1" applyBorder="1" applyAlignment="1">
      <alignment horizontal="center" vertical="top"/>
    </xf>
    <xf numFmtId="165" fontId="30" fillId="6" borderId="38" xfId="0" applyNumberFormat="1" applyFont="1" applyFill="1" applyBorder="1" applyAlignment="1">
      <alignment horizontal="center" vertical="top"/>
    </xf>
    <xf numFmtId="165" fontId="30" fillId="6" borderId="77" xfId="0" applyNumberFormat="1" applyFont="1" applyFill="1" applyBorder="1" applyAlignment="1">
      <alignment horizontal="center" vertical="top"/>
    </xf>
    <xf numFmtId="165" fontId="30" fillId="6" borderId="29" xfId="0" applyNumberFormat="1" applyFont="1" applyFill="1" applyBorder="1" applyAlignment="1">
      <alignment horizontal="center" vertical="top"/>
    </xf>
    <xf numFmtId="0" fontId="30" fillId="0" borderId="22" xfId="0" applyFont="1" applyBorder="1" applyAlignment="1">
      <alignment vertical="top"/>
    </xf>
    <xf numFmtId="0" fontId="30" fillId="0" borderId="25" xfId="0" applyFont="1" applyBorder="1" applyAlignment="1">
      <alignment vertical="top"/>
    </xf>
    <xf numFmtId="0" fontId="30" fillId="0" borderId="24" xfId="0" applyFont="1" applyBorder="1" applyAlignment="1">
      <alignment vertical="top"/>
    </xf>
    <xf numFmtId="0" fontId="30" fillId="0" borderId="18" xfId="0" applyFont="1" applyFill="1" applyBorder="1" applyAlignment="1">
      <alignment horizontal="center" vertical="top" wrapText="1"/>
    </xf>
    <xf numFmtId="165" fontId="30" fillId="6" borderId="99" xfId="0" applyNumberFormat="1" applyFont="1" applyFill="1" applyBorder="1" applyAlignment="1">
      <alignment horizontal="center" vertical="top"/>
    </xf>
    <xf numFmtId="164" fontId="30" fillId="6" borderId="115" xfId="0" applyNumberFormat="1" applyFont="1" applyFill="1" applyBorder="1" applyAlignment="1">
      <alignment horizontal="center" vertical="top"/>
    </xf>
    <xf numFmtId="164" fontId="30" fillId="6" borderId="101" xfId="1" applyNumberFormat="1" applyFont="1" applyFill="1" applyBorder="1" applyAlignment="1">
      <alignment horizontal="center" vertical="top"/>
    </xf>
    <xf numFmtId="3" fontId="30" fillId="6" borderId="1" xfId="1" applyNumberFormat="1" applyFont="1" applyFill="1" applyBorder="1" applyAlignment="1">
      <alignment horizontal="center" vertical="top"/>
    </xf>
    <xf numFmtId="165" fontId="30" fillId="6" borderId="100" xfId="0" applyNumberFormat="1" applyFont="1" applyFill="1" applyBorder="1" applyAlignment="1">
      <alignment horizontal="center" vertical="top"/>
    </xf>
    <xf numFmtId="0" fontId="30" fillId="6" borderId="114" xfId="0" applyFont="1" applyFill="1" applyBorder="1" applyAlignment="1">
      <alignment vertical="top"/>
    </xf>
    <xf numFmtId="165" fontId="30" fillId="6" borderId="102" xfId="1" applyNumberFormat="1" applyFont="1" applyFill="1" applyBorder="1" applyAlignment="1">
      <alignment horizontal="center" vertical="top"/>
    </xf>
    <xf numFmtId="165" fontId="30" fillId="6" borderId="66" xfId="1" applyNumberFormat="1" applyFont="1" applyFill="1" applyBorder="1" applyAlignment="1">
      <alignment horizontal="center" vertical="top"/>
    </xf>
    <xf numFmtId="0" fontId="32" fillId="6" borderId="99" xfId="0" applyFont="1" applyFill="1" applyBorder="1" applyAlignment="1">
      <alignment horizontal="center" vertical="top"/>
    </xf>
    <xf numFmtId="165" fontId="30" fillId="6" borderId="81" xfId="0" applyNumberFormat="1" applyFont="1" applyFill="1" applyBorder="1" applyAlignment="1">
      <alignment horizontal="center" vertical="top"/>
    </xf>
    <xf numFmtId="4" fontId="30" fillId="6" borderId="63" xfId="0" applyNumberFormat="1" applyFont="1" applyFill="1" applyBorder="1" applyAlignment="1">
      <alignment horizontal="center" vertical="top"/>
    </xf>
    <xf numFmtId="4" fontId="30" fillId="6" borderId="32" xfId="0" applyNumberFormat="1" applyFont="1" applyFill="1" applyBorder="1" applyAlignment="1">
      <alignment horizontal="center" vertical="top"/>
    </xf>
    <xf numFmtId="4" fontId="30" fillId="6" borderId="1" xfId="0" applyNumberFormat="1" applyFont="1" applyFill="1" applyBorder="1" applyAlignment="1">
      <alignment horizontal="center" vertical="top"/>
    </xf>
    <xf numFmtId="0" fontId="30" fillId="0" borderId="72" xfId="0" applyFont="1" applyFill="1" applyBorder="1" applyAlignment="1">
      <alignment horizontal="center" vertical="top" wrapText="1"/>
    </xf>
    <xf numFmtId="0" fontId="30" fillId="6" borderId="30" xfId="0" applyFont="1" applyFill="1" applyBorder="1" applyAlignment="1">
      <alignment horizontal="center" vertical="center"/>
    </xf>
    <xf numFmtId="0" fontId="30" fillId="6" borderId="38" xfId="0" applyFont="1" applyFill="1" applyBorder="1" applyAlignment="1">
      <alignment horizontal="center" vertical="center"/>
    </xf>
    <xf numFmtId="0" fontId="30" fillId="6" borderId="14" xfId="0" applyFont="1" applyFill="1" applyBorder="1" applyAlignment="1">
      <alignment horizontal="center" vertical="center"/>
    </xf>
    <xf numFmtId="0" fontId="30" fillId="6" borderId="101" xfId="0" applyNumberFormat="1" applyFont="1" applyFill="1" applyBorder="1" applyAlignment="1">
      <alignment horizontal="center" vertical="top"/>
    </xf>
    <xf numFmtId="0" fontId="30" fillId="0" borderId="99" xfId="0" applyFont="1" applyBorder="1" applyAlignment="1">
      <alignment horizontal="center" vertical="top"/>
    </xf>
    <xf numFmtId="0" fontId="30" fillId="6" borderId="67" xfId="0" applyFont="1" applyFill="1" applyBorder="1" applyAlignment="1">
      <alignment vertical="top"/>
    </xf>
    <xf numFmtId="3" fontId="30" fillId="6" borderId="64" xfId="0" applyNumberFormat="1" applyFont="1" applyFill="1" applyBorder="1" applyAlignment="1">
      <alignment horizontal="center" vertical="top" wrapText="1"/>
    </xf>
    <xf numFmtId="0" fontId="30" fillId="6" borderId="67" xfId="0" applyFont="1" applyFill="1" applyBorder="1" applyAlignment="1">
      <alignment horizontal="center" vertical="top"/>
    </xf>
    <xf numFmtId="3" fontId="30" fillId="6" borderId="60" xfId="0" applyNumberFormat="1" applyFont="1" applyFill="1" applyBorder="1" applyAlignment="1">
      <alignment horizontal="center" vertical="top" wrapText="1"/>
    </xf>
    <xf numFmtId="164" fontId="30" fillId="6" borderId="0" xfId="0" applyNumberFormat="1" applyFont="1" applyFill="1" applyBorder="1" applyAlignment="1">
      <alignment horizontal="center" vertical="top"/>
    </xf>
    <xf numFmtId="164" fontId="30" fillId="6" borderId="38" xfId="0" applyNumberFormat="1" applyFont="1" applyFill="1" applyBorder="1" applyAlignment="1">
      <alignment horizontal="center" vertical="top"/>
    </xf>
    <xf numFmtId="165" fontId="30" fillId="6" borderId="42" xfId="0" applyNumberFormat="1" applyFont="1" applyFill="1" applyBorder="1" applyAlignment="1">
      <alignment horizontal="center" vertical="top"/>
    </xf>
    <xf numFmtId="0" fontId="30" fillId="0" borderId="30" xfId="0" applyFont="1" applyBorder="1" applyAlignment="1">
      <alignment horizontal="center" vertical="top"/>
    </xf>
    <xf numFmtId="0" fontId="30" fillId="0" borderId="9" xfId="0" applyFont="1" applyBorder="1" applyAlignment="1">
      <alignment vertical="top"/>
    </xf>
    <xf numFmtId="0" fontId="30" fillId="0" borderId="13" xfId="0" applyFont="1" applyBorder="1" applyAlignment="1">
      <alignment vertical="top"/>
    </xf>
    <xf numFmtId="0" fontId="30" fillId="0" borderId="18" xfId="0" applyFont="1" applyBorder="1" applyAlignment="1">
      <alignment vertical="top"/>
    </xf>
    <xf numFmtId="0" fontId="30" fillId="6" borderId="22" xfId="0" applyFont="1" applyFill="1" applyBorder="1" applyAlignment="1">
      <alignment vertical="top"/>
    </xf>
    <xf numFmtId="0" fontId="30" fillId="6" borderId="15" xfId="0" applyFont="1" applyFill="1" applyBorder="1" applyAlignment="1">
      <alignment vertical="top"/>
    </xf>
    <xf numFmtId="0" fontId="30" fillId="6" borderId="45" xfId="0" applyFont="1" applyFill="1" applyBorder="1" applyAlignment="1">
      <alignment vertical="top"/>
    </xf>
    <xf numFmtId="0" fontId="30" fillId="6" borderId="42" xfId="0" applyFont="1" applyFill="1" applyBorder="1" applyAlignment="1">
      <alignment horizontal="center" vertical="top" wrapText="1"/>
    </xf>
    <xf numFmtId="0" fontId="30" fillId="0" borderId="8" xfId="0" applyFont="1" applyBorder="1" applyAlignment="1">
      <alignment horizontal="center" vertical="top"/>
    </xf>
    <xf numFmtId="165" fontId="30" fillId="6" borderId="5" xfId="0" applyNumberFormat="1" applyFont="1" applyFill="1" applyBorder="1" applyAlignment="1">
      <alignment horizontal="center" vertical="top" wrapText="1"/>
    </xf>
    <xf numFmtId="165" fontId="30" fillId="6" borderId="9" xfId="0" applyNumberFormat="1" applyFont="1" applyFill="1" applyBorder="1" applyAlignment="1">
      <alignment horizontal="center" vertical="top" wrapText="1"/>
    </xf>
    <xf numFmtId="165" fontId="30" fillId="6" borderId="16" xfId="0" applyNumberFormat="1" applyFont="1" applyFill="1" applyBorder="1" applyAlignment="1">
      <alignment horizontal="center" vertical="top" wrapText="1"/>
    </xf>
    <xf numFmtId="165" fontId="30" fillId="6" borderId="0" xfId="0" applyNumberFormat="1" applyFont="1" applyFill="1" applyAlignment="1">
      <alignment horizontal="center" vertical="top" wrapText="1"/>
    </xf>
    <xf numFmtId="165" fontId="30" fillId="6" borderId="13" xfId="0" applyNumberFormat="1" applyFont="1" applyFill="1" applyBorder="1" applyAlignment="1">
      <alignment horizontal="center" vertical="top" wrapText="1"/>
    </xf>
    <xf numFmtId="165" fontId="30" fillId="6" borderId="14" xfId="0" applyNumberFormat="1" applyFont="1" applyFill="1" applyBorder="1" applyAlignment="1">
      <alignment horizontal="center" vertical="top" wrapText="1"/>
    </xf>
    <xf numFmtId="0" fontId="30" fillId="0" borderId="0" xfId="0" applyFont="1" applyBorder="1" applyAlignment="1">
      <alignment horizontal="center" vertical="top"/>
    </xf>
    <xf numFmtId="4" fontId="30" fillId="0" borderId="0" xfId="0" applyNumberFormat="1" applyFont="1" applyBorder="1" applyAlignment="1">
      <alignment vertical="top"/>
    </xf>
    <xf numFmtId="0" fontId="30" fillId="6" borderId="0" xfId="0" applyFont="1" applyFill="1" applyBorder="1" applyAlignment="1">
      <alignment horizontal="center" vertical="top" wrapText="1"/>
    </xf>
    <xf numFmtId="165" fontId="21" fillId="6" borderId="0" xfId="0" applyNumberFormat="1" applyFont="1" applyFill="1" applyAlignment="1">
      <alignment horizontal="center" vertical="top"/>
    </xf>
    <xf numFmtId="0" fontId="21" fillId="6" borderId="8" xfId="0" applyFont="1" applyFill="1" applyBorder="1" applyAlignment="1">
      <alignment horizontal="center" vertical="top" wrapText="1"/>
    </xf>
    <xf numFmtId="165" fontId="21" fillId="6" borderId="9" xfId="0" applyNumberFormat="1" applyFont="1" applyFill="1" applyBorder="1" applyAlignment="1">
      <alignment horizontal="center" vertical="top"/>
    </xf>
    <xf numFmtId="165" fontId="21" fillId="6" borderId="13" xfId="0" applyNumberFormat="1" applyFont="1" applyFill="1" applyBorder="1" applyAlignment="1">
      <alignment horizontal="center" vertical="top"/>
    </xf>
    <xf numFmtId="165" fontId="21" fillId="6" borderId="14" xfId="0" applyNumberFormat="1" applyFont="1" applyFill="1" applyBorder="1" applyAlignment="1">
      <alignment horizontal="center" vertical="top"/>
    </xf>
    <xf numFmtId="165" fontId="21" fillId="6" borderId="8" xfId="0" applyNumberFormat="1" applyFont="1" applyFill="1" applyBorder="1" applyAlignment="1">
      <alignment horizontal="center" vertical="top"/>
    </xf>
    <xf numFmtId="0" fontId="21" fillId="6" borderId="30" xfId="0" applyFont="1" applyFill="1" applyBorder="1" applyAlignment="1">
      <alignment vertical="top"/>
    </xf>
    <xf numFmtId="0" fontId="21" fillId="6" borderId="13" xfId="0" applyFont="1" applyFill="1" applyBorder="1" applyAlignment="1">
      <alignment horizontal="center" vertical="top" wrapText="1"/>
    </xf>
    <xf numFmtId="0" fontId="21" fillId="6" borderId="40" xfId="0" applyFont="1" applyFill="1" applyBorder="1" applyAlignment="1">
      <alignment horizontal="center" vertical="top" wrapText="1"/>
    </xf>
    <xf numFmtId="165" fontId="21" fillId="6" borderId="71" xfId="0" applyNumberFormat="1" applyFont="1" applyFill="1" applyBorder="1" applyAlignment="1">
      <alignment horizontal="center" vertical="top"/>
    </xf>
    <xf numFmtId="165" fontId="21" fillId="6" borderId="9" xfId="0" applyNumberFormat="1" applyFont="1" applyFill="1" applyBorder="1" applyAlignment="1">
      <alignment horizontal="center" vertical="top" wrapText="1"/>
    </xf>
    <xf numFmtId="165" fontId="21" fillId="6" borderId="0" xfId="0" applyNumberFormat="1" applyFont="1" applyFill="1" applyAlignment="1">
      <alignment horizontal="center" vertical="top" wrapText="1"/>
    </xf>
    <xf numFmtId="165" fontId="21" fillId="6" borderId="8" xfId="0" applyNumberFormat="1" applyFont="1" applyFill="1" applyBorder="1" applyAlignment="1">
      <alignment horizontal="center" vertical="top" wrapText="1"/>
    </xf>
    <xf numFmtId="165" fontId="21" fillId="6" borderId="13" xfId="0" applyNumberFormat="1" applyFont="1" applyFill="1" applyBorder="1" applyAlignment="1">
      <alignment horizontal="center" vertical="top" wrapText="1"/>
    </xf>
    <xf numFmtId="165" fontId="21" fillId="6" borderId="14" xfId="0" applyNumberFormat="1" applyFont="1" applyFill="1" applyBorder="1" applyAlignment="1">
      <alignment horizontal="center" vertical="top" wrapText="1"/>
    </xf>
    <xf numFmtId="165" fontId="21" fillId="6" borderId="29" xfId="0" applyNumberFormat="1" applyFont="1" applyFill="1" applyBorder="1" applyAlignment="1">
      <alignment horizontal="center" vertical="top"/>
    </xf>
    <xf numFmtId="165" fontId="21" fillId="6" borderId="0" xfId="0" applyNumberFormat="1" applyFont="1" applyFill="1" applyBorder="1" applyAlignment="1">
      <alignment horizontal="center" vertical="top"/>
    </xf>
    <xf numFmtId="165" fontId="21" fillId="6" borderId="43" xfId="0" applyNumberFormat="1" applyFont="1" applyFill="1" applyBorder="1" applyAlignment="1">
      <alignment horizontal="center" vertical="top" wrapText="1"/>
    </xf>
    <xf numFmtId="165" fontId="21" fillId="6" borderId="18" xfId="0" applyNumberFormat="1" applyFont="1" applyFill="1" applyBorder="1" applyAlignment="1">
      <alignment horizontal="center" vertical="top"/>
    </xf>
    <xf numFmtId="165" fontId="21" fillId="6" borderId="22" xfId="0" applyNumberFormat="1" applyFont="1" applyFill="1" applyBorder="1" applyAlignment="1">
      <alignment horizontal="center" vertical="top" wrapText="1"/>
    </xf>
    <xf numFmtId="165" fontId="21" fillId="6" borderId="25" xfId="0" applyNumberFormat="1" applyFont="1" applyFill="1" applyBorder="1" applyAlignment="1">
      <alignment horizontal="center" vertical="top" wrapText="1"/>
    </xf>
    <xf numFmtId="49" fontId="21" fillId="6" borderId="42" xfId="0" applyNumberFormat="1" applyFont="1" applyFill="1" applyBorder="1" applyAlignment="1">
      <alignment vertical="top"/>
    </xf>
    <xf numFmtId="0" fontId="21" fillId="6" borderId="18" xfId="0" applyFont="1" applyFill="1" applyBorder="1" applyAlignment="1">
      <alignment vertical="top"/>
    </xf>
    <xf numFmtId="165" fontId="21" fillId="6" borderId="22" xfId="0" applyNumberFormat="1" applyFont="1" applyFill="1" applyBorder="1" applyAlignment="1">
      <alignment horizontal="center" vertical="center"/>
    </xf>
    <xf numFmtId="165" fontId="21" fillId="6" borderId="25" xfId="0" applyNumberFormat="1" applyFont="1" applyFill="1" applyBorder="1" applyAlignment="1">
      <alignment horizontal="center" vertical="center"/>
    </xf>
    <xf numFmtId="165" fontId="21" fillId="6" borderId="24" xfId="0" applyNumberFormat="1" applyFont="1" applyFill="1" applyBorder="1" applyAlignment="1">
      <alignment horizontal="center" vertical="center"/>
    </xf>
    <xf numFmtId="0" fontId="3" fillId="0" borderId="0" xfId="0" applyFont="1" applyAlignment="1">
      <alignment horizontal="right" vertical="top"/>
    </xf>
    <xf numFmtId="3" fontId="18" fillId="0" borderId="0" xfId="0" applyNumberFormat="1" applyFont="1" applyAlignment="1">
      <alignment horizontal="center" vertical="top"/>
    </xf>
    <xf numFmtId="0" fontId="5" fillId="0" borderId="0" xfId="0" applyFont="1" applyAlignment="1">
      <alignment horizontal="center" vertical="top" wrapText="1"/>
    </xf>
    <xf numFmtId="0" fontId="3" fillId="0" borderId="0" xfId="0" applyFont="1" applyAlignment="1">
      <alignment horizontal="center" vertical="top"/>
    </xf>
    <xf numFmtId="0" fontId="3" fillId="0" borderId="0" xfId="0" applyFont="1" applyAlignment="1">
      <alignment horizontal="center" vertical="top" wrapText="1"/>
    </xf>
    <xf numFmtId="0" fontId="2" fillId="0" borderId="21" xfId="0" applyFont="1" applyBorder="1" applyAlignment="1">
      <alignment horizontal="right" vertical="top"/>
    </xf>
    <xf numFmtId="0" fontId="4" fillId="0" borderId="49"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30" xfId="0" applyFont="1" applyBorder="1" applyAlignment="1">
      <alignment horizontal="center" vertical="center" textRotation="90"/>
    </xf>
    <xf numFmtId="0" fontId="2" fillId="0" borderId="51" xfId="0" applyFont="1" applyBorder="1" applyAlignment="1">
      <alignment horizontal="center" vertical="center" textRotation="90"/>
    </xf>
    <xf numFmtId="3" fontId="2" fillId="0" borderId="54" xfId="0" applyNumberFormat="1" applyFont="1" applyBorder="1" applyAlignment="1">
      <alignment horizontal="center" vertical="center"/>
    </xf>
    <xf numFmtId="3" fontId="2" fillId="0" borderId="39" xfId="0" applyNumberFormat="1" applyFont="1" applyBorder="1" applyAlignment="1">
      <alignment horizontal="center" vertical="center"/>
    </xf>
    <xf numFmtId="3" fontId="2" fillId="0" borderId="45" xfId="0" applyNumberFormat="1" applyFont="1" applyBorder="1" applyAlignment="1">
      <alignment horizontal="center" vertical="center"/>
    </xf>
    <xf numFmtId="49" fontId="4" fillId="7" borderId="58" xfId="0" applyNumberFormat="1" applyFont="1" applyFill="1" applyBorder="1" applyAlignment="1">
      <alignment horizontal="left" vertical="top" wrapText="1"/>
    </xf>
    <xf numFmtId="49" fontId="4" fillId="7" borderId="55" xfId="0" applyNumberFormat="1" applyFont="1" applyFill="1" applyBorder="1" applyAlignment="1">
      <alignment horizontal="left" vertical="top" wrapText="1"/>
    </xf>
    <xf numFmtId="0" fontId="4" fillId="4" borderId="56" xfId="0" applyFont="1" applyFill="1" applyBorder="1" applyAlignment="1">
      <alignment horizontal="left" vertical="top" wrapText="1"/>
    </xf>
    <xf numFmtId="0" fontId="4" fillId="4" borderId="33" xfId="0" applyFont="1" applyFill="1" applyBorder="1" applyAlignment="1">
      <alignment horizontal="left" vertical="top" wrapText="1"/>
    </xf>
    <xf numFmtId="0" fontId="6" fillId="0" borderId="33" xfId="0" applyFont="1" applyBorder="1" applyAlignment="1">
      <alignment horizontal="left" vertical="top" wrapText="1"/>
    </xf>
    <xf numFmtId="3" fontId="2" fillId="0" borderId="95" xfId="0" applyNumberFormat="1" applyFont="1" applyFill="1" applyBorder="1" applyAlignment="1">
      <alignment horizontal="center" vertical="center" wrapText="1" shrinkToFit="1"/>
    </xf>
    <xf numFmtId="3" fontId="2" fillId="0" borderId="14" xfId="0" applyNumberFormat="1" applyFont="1" applyFill="1" applyBorder="1" applyAlignment="1">
      <alignment horizontal="center" vertical="center" wrapText="1" shrinkToFit="1"/>
    </xf>
    <xf numFmtId="3" fontId="2" fillId="0" borderId="104" xfId="0" applyNumberFormat="1" applyFont="1" applyFill="1" applyBorder="1" applyAlignment="1">
      <alignment horizontal="center" vertical="center" wrapText="1" shrinkToFit="1"/>
    </xf>
    <xf numFmtId="3" fontId="2" fillId="0" borderId="36" xfId="0" applyNumberFormat="1" applyFont="1" applyBorder="1" applyAlignment="1">
      <alignment horizontal="center" vertical="center" textRotation="90" wrapText="1" shrinkToFit="1"/>
    </xf>
    <xf numFmtId="3" fontId="2" fillId="0" borderId="8" xfId="0" applyNumberFormat="1" applyFont="1" applyBorder="1" applyAlignment="1">
      <alignment horizontal="center" vertical="center" textRotation="90" wrapText="1" shrinkToFit="1"/>
    </xf>
    <xf numFmtId="3" fontId="2" fillId="0" borderId="51" xfId="0" applyNumberFormat="1" applyFont="1" applyBorder="1" applyAlignment="1">
      <alignment horizontal="center" vertical="center" textRotation="90" wrapText="1" shrinkToFit="1"/>
    </xf>
    <xf numFmtId="0" fontId="2" fillId="0" borderId="36" xfId="0" applyFont="1" applyBorder="1" applyAlignment="1">
      <alignment horizontal="center" vertical="center" textRotation="90" wrapText="1"/>
    </xf>
    <xf numFmtId="0" fontId="2" fillId="0" borderId="8" xfId="0" applyFont="1" applyBorder="1" applyAlignment="1">
      <alignment horizontal="center" vertical="center" textRotation="90" wrapText="1"/>
    </xf>
    <xf numFmtId="0" fontId="2" fillId="0" borderId="51" xfId="0" applyFont="1" applyBorder="1" applyAlignment="1">
      <alignment horizontal="center" vertical="center" textRotation="90" wrapText="1"/>
    </xf>
    <xf numFmtId="0" fontId="2" fillId="0" borderId="7" xfId="0" applyFont="1" applyBorder="1" applyAlignment="1">
      <alignment horizontal="center" vertical="center" textRotation="90" wrapText="1"/>
    </xf>
    <xf numFmtId="0" fontId="2" fillId="0" borderId="9" xfId="0" applyFont="1" applyBorder="1" applyAlignment="1">
      <alignment horizontal="center" vertical="center" textRotation="90" wrapText="1"/>
    </xf>
    <xf numFmtId="0" fontId="2" fillId="0" borderId="10" xfId="0" applyFont="1" applyBorder="1" applyAlignment="1">
      <alignment horizontal="center" vertical="center" textRotation="90" wrapText="1"/>
    </xf>
    <xf numFmtId="0" fontId="2" fillId="0" borderId="20" xfId="0" applyFont="1" applyBorder="1" applyAlignment="1">
      <alignment horizontal="center" vertical="center" textRotation="90" wrapText="1"/>
    </xf>
    <xf numFmtId="0" fontId="2" fillId="0" borderId="13" xfId="0" applyFont="1" applyBorder="1" applyAlignment="1">
      <alignment horizontal="center" vertical="center" textRotation="90" wrapText="1"/>
    </xf>
    <xf numFmtId="0" fontId="2" fillId="0" borderId="19" xfId="0" applyFont="1" applyBorder="1" applyAlignment="1">
      <alignment horizontal="center" vertical="center" textRotation="90" wrapText="1"/>
    </xf>
    <xf numFmtId="0" fontId="2" fillId="0" borderId="95" xfId="0" applyFont="1" applyBorder="1" applyAlignment="1">
      <alignment horizontal="center" vertical="center" textRotation="90" wrapText="1"/>
    </xf>
    <xf numFmtId="0" fontId="2" fillId="0" borderId="14" xfId="0" applyFont="1" applyBorder="1" applyAlignment="1">
      <alignment horizontal="center" vertical="center" textRotation="90" wrapText="1"/>
    </xf>
    <xf numFmtId="0" fontId="2" fillId="0" borderId="104" xfId="0" applyFont="1" applyBorder="1" applyAlignment="1">
      <alignment horizontal="center" vertical="center" textRotation="90" wrapText="1"/>
    </xf>
    <xf numFmtId="3" fontId="2" fillId="0" borderId="7" xfId="0" applyNumberFormat="1" applyFont="1" applyBorder="1" applyAlignment="1">
      <alignment horizontal="center" vertical="center" textRotation="90" shrinkToFit="1"/>
    </xf>
    <xf numFmtId="3" fontId="2" fillId="0" borderId="9" xfId="0" applyNumberFormat="1" applyFont="1" applyBorder="1" applyAlignment="1">
      <alignment horizontal="center" vertical="center" textRotation="90" shrinkToFit="1"/>
    </xf>
    <xf numFmtId="3" fontId="2" fillId="0" borderId="10" xfId="0" applyNumberFormat="1" applyFont="1" applyBorder="1" applyAlignment="1">
      <alignment horizontal="center" vertical="center" textRotation="90" shrinkToFit="1"/>
    </xf>
    <xf numFmtId="3" fontId="2" fillId="0" borderId="20" xfId="0" applyNumberFormat="1" applyFont="1" applyBorder="1" applyAlignment="1">
      <alignment horizontal="center" vertical="center" textRotation="90" shrinkToFit="1"/>
    </xf>
    <xf numFmtId="3" fontId="2" fillId="0" borderId="13" xfId="0" applyNumberFormat="1" applyFont="1" applyBorder="1" applyAlignment="1">
      <alignment horizontal="center" vertical="center" textRotation="90" shrinkToFit="1"/>
    </xf>
    <xf numFmtId="3" fontId="2" fillId="0" borderId="19" xfId="0" applyNumberFormat="1" applyFont="1" applyBorder="1" applyAlignment="1">
      <alignment horizontal="center" vertical="center" textRotation="90" shrinkToFit="1"/>
    </xf>
    <xf numFmtId="3" fontId="2" fillId="0" borderId="37" xfId="0" applyNumberFormat="1" applyFont="1" applyBorder="1" applyAlignment="1">
      <alignment horizontal="center" vertical="center" shrinkToFit="1"/>
    </xf>
    <xf numFmtId="3" fontId="2" fillId="0" borderId="40" xfId="0" applyNumberFormat="1" applyFont="1" applyBorder="1" applyAlignment="1">
      <alignment horizontal="center" vertical="center" shrinkToFit="1"/>
    </xf>
    <xf numFmtId="3" fontId="2" fillId="0" borderId="48" xfId="0" applyNumberFormat="1" applyFont="1" applyBorder="1" applyAlignment="1">
      <alignment horizontal="center" vertical="center" shrinkToFit="1"/>
    </xf>
    <xf numFmtId="0" fontId="2" fillId="6" borderId="28" xfId="0" applyFont="1" applyFill="1" applyBorder="1" applyAlignment="1">
      <alignment horizontal="left" vertical="top" wrapText="1"/>
    </xf>
    <xf numFmtId="0" fontId="6" fillId="6" borderId="28" xfId="0" applyFont="1" applyFill="1" applyBorder="1" applyAlignment="1">
      <alignment horizontal="left" vertical="top" wrapText="1"/>
    </xf>
    <xf numFmtId="0" fontId="2" fillId="6" borderId="14" xfId="0" applyFont="1" applyFill="1" applyBorder="1" applyAlignment="1">
      <alignment horizontal="center" vertical="top" wrapText="1"/>
    </xf>
    <xf numFmtId="0" fontId="2" fillId="6" borderId="30" xfId="1" applyFont="1" applyFill="1" applyBorder="1" applyAlignment="1">
      <alignment horizontal="left" vertical="top" wrapText="1"/>
    </xf>
    <xf numFmtId="0" fontId="2" fillId="6" borderId="54" xfId="1" applyFont="1" applyFill="1" applyBorder="1" applyAlignment="1">
      <alignment horizontal="left" vertical="top" wrapText="1"/>
    </xf>
    <xf numFmtId="49" fontId="4" fillId="6" borderId="16" xfId="0" applyNumberFormat="1" applyFont="1" applyFill="1" applyBorder="1" applyAlignment="1">
      <alignment horizontal="center" vertical="top"/>
    </xf>
    <xf numFmtId="49" fontId="4" fillId="6" borderId="13" xfId="0" applyNumberFormat="1" applyFont="1" applyFill="1" applyBorder="1" applyAlignment="1">
      <alignment horizontal="center" vertical="top"/>
    </xf>
    <xf numFmtId="49" fontId="4" fillId="6" borderId="25" xfId="0" applyNumberFormat="1" applyFont="1" applyFill="1" applyBorder="1" applyAlignment="1">
      <alignment horizontal="center" vertical="top"/>
    </xf>
    <xf numFmtId="0" fontId="2" fillId="6" borderId="16" xfId="0" applyFont="1" applyFill="1" applyBorder="1" applyAlignment="1">
      <alignment horizontal="left" vertical="top" wrapText="1"/>
    </xf>
    <xf numFmtId="0" fontId="2" fillId="6" borderId="13" xfId="0" applyFont="1" applyFill="1" applyBorder="1" applyAlignment="1">
      <alignment horizontal="left" vertical="top" wrapText="1"/>
    </xf>
    <xf numFmtId="0" fontId="2" fillId="6" borderId="25" xfId="0" applyFont="1" applyFill="1" applyBorder="1" applyAlignment="1">
      <alignment horizontal="left" vertical="top" wrapText="1"/>
    </xf>
    <xf numFmtId="49" fontId="2" fillId="6" borderId="42" xfId="0" applyNumberFormat="1" applyFont="1" applyFill="1" applyBorder="1" applyAlignment="1">
      <alignment horizontal="center" vertical="top" wrapText="1"/>
    </xf>
    <xf numFmtId="49" fontId="2" fillId="6" borderId="43" xfId="0" applyNumberFormat="1" applyFont="1" applyFill="1" applyBorder="1" applyAlignment="1">
      <alignment horizontal="center" vertical="top" wrapText="1"/>
    </xf>
    <xf numFmtId="49" fontId="2" fillId="6" borderId="45" xfId="0" applyNumberFormat="1" applyFont="1" applyFill="1" applyBorder="1" applyAlignment="1">
      <alignment horizontal="center" vertical="top" wrapText="1"/>
    </xf>
    <xf numFmtId="0" fontId="4" fillId="10" borderId="40" xfId="0" applyFont="1" applyFill="1" applyBorder="1" applyAlignment="1">
      <alignment horizontal="left" vertical="top" wrapText="1"/>
    </xf>
    <xf numFmtId="0" fontId="4" fillId="10" borderId="0" xfId="0" applyFont="1" applyFill="1" applyBorder="1" applyAlignment="1">
      <alignment horizontal="left" vertical="top" wrapText="1"/>
    </xf>
    <xf numFmtId="0" fontId="6" fillId="10" borderId="0" xfId="0" applyFont="1" applyFill="1" applyBorder="1" applyAlignment="1">
      <alignment horizontal="left" vertical="top" wrapText="1"/>
    </xf>
    <xf numFmtId="0" fontId="4" fillId="9" borderId="28" xfId="0" applyFont="1" applyFill="1" applyBorder="1" applyAlignment="1">
      <alignment horizontal="left" vertical="top" wrapText="1"/>
    </xf>
    <xf numFmtId="0" fontId="4" fillId="9" borderId="33" xfId="0" applyFont="1" applyFill="1" applyBorder="1" applyAlignment="1">
      <alignment horizontal="left" vertical="top" wrapText="1"/>
    </xf>
    <xf numFmtId="0" fontId="6" fillId="9" borderId="32" xfId="0" applyFont="1" applyFill="1" applyBorder="1" applyAlignment="1">
      <alignment horizontal="left" vertical="top" wrapText="1"/>
    </xf>
    <xf numFmtId="0" fontId="4" fillId="6" borderId="13" xfId="0" applyFont="1" applyFill="1" applyBorder="1" applyAlignment="1">
      <alignment horizontal="left" vertical="top" wrapText="1"/>
    </xf>
    <xf numFmtId="0" fontId="4" fillId="6" borderId="40" xfId="0" applyFont="1" applyFill="1" applyBorder="1" applyAlignment="1">
      <alignment horizontal="left" vertical="top" wrapText="1"/>
    </xf>
    <xf numFmtId="0" fontId="2" fillId="6" borderId="1" xfId="0" applyFont="1" applyFill="1" applyBorder="1" applyAlignment="1">
      <alignment horizontal="center" wrapText="1"/>
    </xf>
    <xf numFmtId="0" fontId="2" fillId="6" borderId="14" xfId="0" applyFont="1" applyFill="1" applyBorder="1" applyAlignment="1">
      <alignment horizontal="center" wrapText="1"/>
    </xf>
    <xf numFmtId="0" fontId="2" fillId="6" borderId="24" xfId="0" applyFont="1" applyFill="1" applyBorder="1" applyAlignment="1">
      <alignment horizontal="center" wrapText="1"/>
    </xf>
    <xf numFmtId="0" fontId="4" fillId="6" borderId="47" xfId="0" applyFont="1" applyFill="1" applyBorder="1" applyAlignment="1">
      <alignment vertical="top" wrapText="1"/>
    </xf>
    <xf numFmtId="0" fontId="4" fillId="6" borderId="30" xfId="0" applyFont="1" applyFill="1" applyBorder="1" applyAlignment="1">
      <alignment vertical="top" wrapText="1"/>
    </xf>
    <xf numFmtId="0" fontId="4" fillId="6" borderId="54" xfId="0" applyFont="1" applyFill="1" applyBorder="1" applyAlignment="1">
      <alignment vertical="top" wrapText="1"/>
    </xf>
    <xf numFmtId="0" fontId="2" fillId="6" borderId="30" xfId="0" applyFont="1" applyFill="1" applyBorder="1" applyAlignment="1">
      <alignment horizontal="left" vertical="top" wrapText="1"/>
    </xf>
    <xf numFmtId="0" fontId="2" fillId="6" borderId="108" xfId="0" applyFont="1" applyFill="1" applyBorder="1" applyAlignment="1">
      <alignment horizontal="left" vertical="top" wrapText="1"/>
    </xf>
    <xf numFmtId="49" fontId="4" fillId="10" borderId="9" xfId="0" applyNumberFormat="1" applyFont="1" applyFill="1" applyBorder="1" applyAlignment="1">
      <alignment horizontal="center" vertical="top"/>
    </xf>
    <xf numFmtId="49" fontId="4" fillId="3" borderId="29" xfId="0" applyNumberFormat="1" applyFont="1" applyFill="1" applyBorder="1" applyAlignment="1">
      <alignment horizontal="center" vertical="top"/>
    </xf>
    <xf numFmtId="49" fontId="4" fillId="8" borderId="13" xfId="0" applyNumberFormat="1" applyFont="1" applyFill="1" applyBorder="1" applyAlignment="1">
      <alignment horizontal="center" vertical="top"/>
    </xf>
    <xf numFmtId="49" fontId="2" fillId="6" borderId="14" xfId="0" applyNumberFormat="1" applyFont="1" applyFill="1" applyBorder="1" applyAlignment="1">
      <alignment horizontal="center" vertical="top" wrapText="1"/>
    </xf>
    <xf numFmtId="49" fontId="2" fillId="6" borderId="24" xfId="0" applyNumberFormat="1" applyFont="1" applyFill="1" applyBorder="1" applyAlignment="1">
      <alignment horizontal="center" vertical="top" wrapText="1"/>
    </xf>
    <xf numFmtId="49" fontId="2" fillId="6" borderId="1" xfId="0" applyNumberFormat="1" applyFont="1" applyFill="1" applyBorder="1" applyAlignment="1">
      <alignment horizontal="center" vertical="top" wrapText="1"/>
    </xf>
    <xf numFmtId="0" fontId="2" fillId="6" borderId="47" xfId="1" applyFont="1" applyFill="1" applyBorder="1" applyAlignment="1">
      <alignment vertical="top" wrapText="1"/>
    </xf>
    <xf numFmtId="0" fontId="2" fillId="6" borderId="30" xfId="1" applyFont="1" applyFill="1" applyBorder="1" applyAlignment="1">
      <alignment vertical="top" wrapText="1"/>
    </xf>
    <xf numFmtId="0" fontId="2" fillId="6" borderId="54" xfId="1" applyFont="1" applyFill="1" applyBorder="1" applyAlignment="1">
      <alignment vertical="top" wrapText="1"/>
    </xf>
    <xf numFmtId="49" fontId="4" fillId="3" borderId="13" xfId="0" applyNumberFormat="1" applyFont="1" applyFill="1" applyBorder="1" applyAlignment="1">
      <alignment horizontal="center" vertical="top"/>
    </xf>
    <xf numFmtId="0" fontId="6" fillId="6" borderId="13" xfId="0" applyFont="1" applyFill="1" applyBorder="1" applyAlignment="1">
      <alignment vertical="top" wrapText="1"/>
    </xf>
    <xf numFmtId="0" fontId="2" fillId="6" borderId="13" xfId="0" applyFont="1" applyFill="1" applyBorder="1" applyAlignment="1">
      <alignment horizontal="center" vertical="center" textRotation="90" wrapText="1"/>
    </xf>
    <xf numFmtId="49" fontId="4" fillId="3" borderId="40" xfId="0" applyNumberFormat="1" applyFont="1" applyFill="1" applyBorder="1" applyAlignment="1">
      <alignment horizontal="center" vertical="top"/>
    </xf>
    <xf numFmtId="49" fontId="4" fillId="0" borderId="32" xfId="0" applyNumberFormat="1" applyFont="1" applyBorder="1" applyAlignment="1">
      <alignment horizontal="center" vertical="top"/>
    </xf>
    <xf numFmtId="49" fontId="4" fillId="0" borderId="0" xfId="0" applyNumberFormat="1" applyFont="1" applyBorder="1" applyAlignment="1">
      <alignment horizontal="center" vertical="top"/>
    </xf>
    <xf numFmtId="0" fontId="6" fillId="6" borderId="54" xfId="0" applyFont="1" applyFill="1" applyBorder="1" applyAlignment="1">
      <alignment vertical="top" wrapText="1"/>
    </xf>
    <xf numFmtId="49" fontId="2" fillId="6" borderId="71" xfId="0" applyNumberFormat="1" applyFont="1" applyFill="1" applyBorder="1" applyAlignment="1">
      <alignment horizontal="center" vertical="top" wrapText="1"/>
    </xf>
    <xf numFmtId="49" fontId="2" fillId="6" borderId="60" xfId="0" applyNumberFormat="1" applyFont="1" applyFill="1" applyBorder="1" applyAlignment="1">
      <alignment horizontal="center" vertical="top" wrapText="1"/>
    </xf>
    <xf numFmtId="0" fontId="2" fillId="6" borderId="70" xfId="0" applyFont="1" applyFill="1" applyBorder="1" applyAlignment="1">
      <alignment horizontal="left" vertical="top" wrapText="1"/>
    </xf>
    <xf numFmtId="0" fontId="2" fillId="6" borderId="16" xfId="0" applyFont="1" applyFill="1" applyBorder="1" applyAlignment="1">
      <alignment vertical="top" wrapText="1"/>
    </xf>
    <xf numFmtId="0" fontId="2" fillId="6" borderId="13" xfId="0" applyFont="1" applyFill="1" applyBorder="1" applyAlignment="1">
      <alignment vertical="top" wrapText="1"/>
    </xf>
    <xf numFmtId="0" fontId="2" fillId="6" borderId="24" xfId="0" applyFont="1" applyFill="1" applyBorder="1" applyAlignment="1">
      <alignment horizontal="center" vertical="top" wrapText="1"/>
    </xf>
    <xf numFmtId="0" fontId="6" fillId="0" borderId="13" xfId="0" applyFont="1" applyBorder="1" applyAlignment="1">
      <alignment horizontal="left" vertical="top" wrapText="1"/>
    </xf>
    <xf numFmtId="1" fontId="2" fillId="6" borderId="72" xfId="0" applyNumberFormat="1" applyFont="1" applyFill="1" applyBorder="1" applyAlignment="1">
      <alignment horizontal="center" vertical="top" wrapText="1"/>
    </xf>
    <xf numFmtId="1" fontId="2" fillId="6" borderId="73" xfId="0" applyNumberFormat="1" applyFont="1" applyFill="1" applyBorder="1" applyAlignment="1">
      <alignment horizontal="center" vertical="top" wrapText="1"/>
    </xf>
    <xf numFmtId="1" fontId="2" fillId="6" borderId="97" xfId="0" applyNumberFormat="1" applyFont="1" applyFill="1" applyBorder="1" applyAlignment="1">
      <alignment horizontal="center" vertical="top" wrapText="1"/>
    </xf>
    <xf numFmtId="1" fontId="2" fillId="6" borderId="91" xfId="0" applyNumberFormat="1" applyFont="1" applyFill="1" applyBorder="1" applyAlignment="1">
      <alignment horizontal="center" vertical="top" wrapText="1"/>
    </xf>
    <xf numFmtId="1" fontId="2" fillId="6" borderId="70" xfId="0" applyNumberFormat="1" applyFont="1" applyFill="1" applyBorder="1" applyAlignment="1">
      <alignment horizontal="center" vertical="top" wrapText="1"/>
    </xf>
    <xf numFmtId="1" fontId="2" fillId="6" borderId="69" xfId="0" applyNumberFormat="1" applyFont="1" applyFill="1" applyBorder="1" applyAlignment="1">
      <alignment horizontal="center" vertical="top" wrapText="1"/>
    </xf>
    <xf numFmtId="1" fontId="2" fillId="6" borderId="75" xfId="0" applyNumberFormat="1" applyFont="1" applyFill="1" applyBorder="1" applyAlignment="1">
      <alignment horizontal="center" vertical="top" wrapText="1"/>
    </xf>
    <xf numFmtId="1" fontId="2" fillId="6" borderId="74" xfId="0" applyNumberFormat="1" applyFont="1" applyFill="1" applyBorder="1" applyAlignment="1">
      <alignment horizontal="center" vertical="top" wrapText="1"/>
    </xf>
    <xf numFmtId="0" fontId="2" fillId="6" borderId="38" xfId="0" applyFont="1" applyFill="1" applyBorder="1" applyAlignment="1">
      <alignment horizontal="left" vertical="top" wrapText="1"/>
    </xf>
    <xf numFmtId="0" fontId="6" fillId="6" borderId="40" xfId="0" applyFont="1" applyFill="1" applyBorder="1" applyAlignment="1">
      <alignment vertical="top" wrapText="1"/>
    </xf>
    <xf numFmtId="0" fontId="2" fillId="6" borderId="40" xfId="0" applyFont="1" applyFill="1" applyBorder="1" applyAlignment="1">
      <alignment horizontal="left" vertical="top" wrapText="1"/>
    </xf>
    <xf numFmtId="0" fontId="2" fillId="6" borderId="72" xfId="0" applyFont="1" applyFill="1" applyBorder="1" applyAlignment="1">
      <alignment horizontal="left" vertical="top" wrapText="1"/>
    </xf>
    <xf numFmtId="0" fontId="2" fillId="6" borderId="73" xfId="0" applyFont="1" applyFill="1" applyBorder="1" applyAlignment="1">
      <alignment horizontal="left" vertical="top" wrapText="1"/>
    </xf>
    <xf numFmtId="0" fontId="2" fillId="6" borderId="32" xfId="0" applyFont="1" applyFill="1" applyBorder="1" applyAlignment="1">
      <alignment horizontal="left" vertical="top" wrapText="1"/>
    </xf>
    <xf numFmtId="0" fontId="2" fillId="6" borderId="39" xfId="0" applyFont="1" applyFill="1" applyBorder="1" applyAlignment="1">
      <alignment horizontal="left" vertical="top" wrapText="1"/>
    </xf>
    <xf numFmtId="0" fontId="2" fillId="6" borderId="47" xfId="0" applyFont="1" applyFill="1" applyBorder="1" applyAlignment="1">
      <alignment horizontal="left" vertical="top" wrapText="1"/>
    </xf>
    <xf numFmtId="0" fontId="2" fillId="6" borderId="54" xfId="0" applyFont="1" applyFill="1" applyBorder="1" applyAlignment="1">
      <alignment horizontal="left" vertical="top" wrapText="1"/>
    </xf>
    <xf numFmtId="49" fontId="4" fillId="6" borderId="16" xfId="0" applyNumberFormat="1" applyFont="1" applyFill="1" applyBorder="1" applyAlignment="1">
      <alignment horizontal="center" vertical="top" wrapText="1"/>
    </xf>
    <xf numFmtId="49" fontId="4" fillId="6" borderId="13" xfId="0" applyNumberFormat="1" applyFont="1" applyFill="1" applyBorder="1" applyAlignment="1">
      <alignment horizontal="center" vertical="top" wrapText="1"/>
    </xf>
    <xf numFmtId="49" fontId="4" fillId="6" borderId="25" xfId="0" applyNumberFormat="1" applyFont="1" applyFill="1" applyBorder="1" applyAlignment="1">
      <alignment horizontal="center" vertical="top" wrapText="1"/>
    </xf>
    <xf numFmtId="0" fontId="6" fillId="6" borderId="30" xfId="0" applyFont="1" applyFill="1" applyBorder="1" applyAlignment="1">
      <alignment vertical="top" wrapText="1"/>
    </xf>
    <xf numFmtId="0" fontId="2" fillId="6" borderId="47" xfId="1" applyFont="1" applyFill="1" applyBorder="1" applyAlignment="1">
      <alignment horizontal="left" vertical="top" wrapText="1"/>
    </xf>
    <xf numFmtId="0" fontId="2" fillId="6" borderId="25" xfId="0" applyFont="1" applyFill="1" applyBorder="1" applyAlignment="1">
      <alignment vertical="top" wrapText="1"/>
    </xf>
    <xf numFmtId="0" fontId="2" fillId="6" borderId="5" xfId="1" applyFont="1" applyFill="1" applyBorder="1" applyAlignment="1">
      <alignment horizontal="left" vertical="top" wrapText="1"/>
    </xf>
    <xf numFmtId="0" fontId="2" fillId="6" borderId="8" xfId="1" applyFont="1" applyFill="1" applyBorder="1" applyAlignment="1">
      <alignment horizontal="left" vertical="top" wrapText="1"/>
    </xf>
    <xf numFmtId="0" fontId="2" fillId="6" borderId="18" xfId="1" applyFont="1" applyFill="1" applyBorder="1" applyAlignment="1">
      <alignment horizontal="left" vertical="top" wrapText="1"/>
    </xf>
    <xf numFmtId="3" fontId="2" fillId="0" borderId="20" xfId="0" applyNumberFormat="1" applyFont="1" applyFill="1" applyBorder="1" applyAlignment="1">
      <alignment horizontal="center" vertical="top" wrapText="1"/>
    </xf>
    <xf numFmtId="3" fontId="2" fillId="0" borderId="25" xfId="0" applyNumberFormat="1" applyFont="1" applyFill="1" applyBorder="1" applyAlignment="1">
      <alignment horizontal="center" vertical="top" wrapText="1"/>
    </xf>
    <xf numFmtId="3" fontId="2" fillId="0" borderId="44" xfId="0" applyNumberFormat="1" applyFont="1" applyFill="1" applyBorder="1" applyAlignment="1">
      <alignment horizontal="center" vertical="top" wrapText="1"/>
    </xf>
    <xf numFmtId="3" fontId="2" fillId="0" borderId="45" xfId="0" applyNumberFormat="1" applyFont="1" applyFill="1" applyBorder="1" applyAlignment="1">
      <alignment horizontal="center" vertical="top" wrapText="1"/>
    </xf>
    <xf numFmtId="49" fontId="4" fillId="10" borderId="7" xfId="0" applyNumberFormat="1" applyFont="1" applyFill="1" applyBorder="1" applyAlignment="1">
      <alignment horizontal="center" vertical="top"/>
    </xf>
    <xf numFmtId="49" fontId="4" fillId="3" borderId="37" xfId="0" applyNumberFormat="1" applyFont="1" applyFill="1" applyBorder="1" applyAlignment="1">
      <alignment horizontal="center" vertical="top"/>
    </xf>
    <xf numFmtId="49" fontId="4" fillId="8" borderId="20" xfId="0" applyNumberFormat="1" applyFont="1" applyFill="1" applyBorder="1" applyAlignment="1">
      <alignment horizontal="center" vertical="top"/>
    </xf>
    <xf numFmtId="49" fontId="2" fillId="0" borderId="20" xfId="0" applyNumberFormat="1" applyFont="1" applyBorder="1" applyAlignment="1">
      <alignment horizontal="center" vertical="top"/>
    </xf>
    <xf numFmtId="49" fontId="2" fillId="0" borderId="13" xfId="0" applyNumberFormat="1" applyFont="1" applyBorder="1" applyAlignment="1">
      <alignment horizontal="center" vertical="top"/>
    </xf>
    <xf numFmtId="0" fontId="8" fillId="6" borderId="20" xfId="0" applyFont="1" applyFill="1" applyBorder="1" applyAlignment="1">
      <alignment horizontal="left" vertical="top" wrapText="1"/>
    </xf>
    <xf numFmtId="0" fontId="8" fillId="6" borderId="25" xfId="0" applyFont="1" applyFill="1" applyBorder="1" applyAlignment="1">
      <alignment horizontal="left" vertical="top" wrapText="1"/>
    </xf>
    <xf numFmtId="0" fontId="4" fillId="6" borderId="20" xfId="0" applyFont="1" applyFill="1" applyBorder="1" applyAlignment="1">
      <alignment horizontal="center" vertical="top" wrapText="1"/>
    </xf>
    <xf numFmtId="0" fontId="4" fillId="6" borderId="25" xfId="0" applyFont="1" applyFill="1" applyBorder="1" applyAlignment="1">
      <alignment horizontal="center" vertical="top" wrapText="1"/>
    </xf>
    <xf numFmtId="49" fontId="4" fillId="3" borderId="59" xfId="0" applyNumberFormat="1" applyFont="1" applyFill="1" applyBorder="1" applyAlignment="1">
      <alignment horizontal="right" vertical="top"/>
    </xf>
    <xf numFmtId="49" fontId="4" fillId="3" borderId="52" xfId="0" applyNumberFormat="1" applyFont="1" applyFill="1" applyBorder="1" applyAlignment="1">
      <alignment horizontal="right" vertical="top"/>
    </xf>
    <xf numFmtId="0" fontId="2" fillId="3" borderId="49" xfId="0" applyFont="1" applyFill="1" applyBorder="1" applyAlignment="1">
      <alignment horizontal="center" vertical="top" wrapText="1"/>
    </xf>
    <xf numFmtId="0" fontId="2" fillId="3" borderId="52" xfId="0" applyFont="1" applyFill="1" applyBorder="1" applyAlignment="1">
      <alignment horizontal="center" vertical="top" wrapText="1"/>
    </xf>
    <xf numFmtId="0" fontId="2" fillId="6" borderId="57" xfId="0" applyFont="1" applyFill="1" applyBorder="1" applyAlignment="1">
      <alignment horizontal="left" vertical="top" wrapText="1"/>
    </xf>
    <xf numFmtId="3" fontId="2" fillId="0" borderId="36" xfId="0" applyNumberFormat="1" applyFont="1" applyFill="1" applyBorder="1" applyAlignment="1">
      <alignment horizontal="center" vertical="top" wrapText="1"/>
    </xf>
    <xf numFmtId="3" fontId="2" fillId="0" borderId="18" xfId="0" applyNumberFormat="1" applyFont="1" applyFill="1" applyBorder="1" applyAlignment="1">
      <alignment horizontal="center" vertical="top" wrapText="1"/>
    </xf>
    <xf numFmtId="3" fontId="2" fillId="0" borderId="112" xfId="0" applyNumberFormat="1" applyFont="1" applyFill="1" applyBorder="1" applyAlignment="1">
      <alignment horizontal="center" vertical="top" wrapText="1"/>
    </xf>
    <xf numFmtId="3" fontId="2" fillId="0" borderId="15" xfId="0" applyNumberFormat="1" applyFont="1" applyFill="1" applyBorder="1" applyAlignment="1">
      <alignment horizontal="center" vertical="top" wrapText="1"/>
    </xf>
    <xf numFmtId="0" fontId="20" fillId="6" borderId="16" xfId="0" applyFont="1" applyFill="1" applyBorder="1" applyAlignment="1">
      <alignment horizontal="left" vertical="top" wrapText="1"/>
    </xf>
    <xf numFmtId="0" fontId="20" fillId="6" borderId="13" xfId="0" applyFont="1" applyFill="1" applyBorder="1" applyAlignment="1">
      <alignment horizontal="left" vertical="top" wrapText="1"/>
    </xf>
    <xf numFmtId="0" fontId="20" fillId="6" borderId="25" xfId="0" applyFont="1" applyFill="1" applyBorder="1" applyAlignment="1">
      <alignment horizontal="left" vertical="top" wrapText="1"/>
    </xf>
    <xf numFmtId="0" fontId="2" fillId="6" borderId="108" xfId="0" applyFont="1" applyFill="1" applyBorder="1" applyAlignment="1">
      <alignment vertical="top"/>
    </xf>
    <xf numFmtId="0" fontId="2" fillId="6" borderId="54" xfId="0" applyFont="1" applyFill="1" applyBorder="1" applyAlignment="1">
      <alignment vertical="top"/>
    </xf>
    <xf numFmtId="0" fontId="2" fillId="6" borderId="67" xfId="0" applyFont="1" applyFill="1" applyBorder="1" applyAlignment="1">
      <alignment vertical="top"/>
    </xf>
    <xf numFmtId="0" fontId="2" fillId="6" borderId="22" xfId="0" applyFont="1" applyFill="1" applyBorder="1" applyAlignment="1">
      <alignment vertical="top"/>
    </xf>
    <xf numFmtId="0" fontId="4" fillId="9" borderId="118" xfId="0" applyFont="1" applyFill="1" applyBorder="1" applyAlignment="1">
      <alignment horizontal="left" vertical="center"/>
    </xf>
    <xf numFmtId="0" fontId="4" fillId="9" borderId="55" xfId="0" applyFont="1" applyFill="1" applyBorder="1" applyAlignment="1">
      <alignment horizontal="left" vertical="center"/>
    </xf>
    <xf numFmtId="0" fontId="2" fillId="0" borderId="43" xfId="0" applyFont="1" applyFill="1" applyBorder="1" applyAlignment="1">
      <alignment horizontal="center" vertical="top" wrapText="1"/>
    </xf>
    <xf numFmtId="0" fontId="2" fillId="6" borderId="47" xfId="0" applyFont="1" applyFill="1" applyBorder="1" applyAlignment="1">
      <alignment vertical="top" wrapText="1"/>
    </xf>
    <xf numFmtId="0" fontId="2" fillId="6" borderId="30" xfId="0" applyFont="1" applyFill="1" applyBorder="1" applyAlignment="1">
      <alignment vertical="top" wrapText="1"/>
    </xf>
    <xf numFmtId="0" fontId="2" fillId="6" borderId="111" xfId="0" applyFont="1" applyFill="1" applyBorder="1" applyAlignment="1">
      <alignment horizontal="left" vertical="top" wrapText="1"/>
    </xf>
    <xf numFmtId="0" fontId="4" fillId="9" borderId="59" xfId="0" applyFont="1" applyFill="1" applyBorder="1" applyAlignment="1">
      <alignment horizontal="left" vertical="top" wrapText="1"/>
    </xf>
    <xf numFmtId="0" fontId="4" fillId="9" borderId="52" xfId="0" applyFont="1" applyFill="1" applyBorder="1" applyAlignment="1">
      <alignment horizontal="left" vertical="top" wrapText="1"/>
    </xf>
    <xf numFmtId="0" fontId="2" fillId="6" borderId="42" xfId="0" applyFont="1" applyFill="1" applyBorder="1" applyAlignment="1">
      <alignment horizontal="center" vertical="top" wrapText="1"/>
    </xf>
    <xf numFmtId="0" fontId="2" fillId="6" borderId="43" xfId="0" applyFont="1" applyFill="1" applyBorder="1" applyAlignment="1">
      <alignment horizontal="center" vertical="top" wrapText="1"/>
    </xf>
    <xf numFmtId="0" fontId="14" fillId="6" borderId="82" xfId="0" applyFont="1" applyFill="1" applyBorder="1" applyAlignment="1">
      <alignment vertical="top" wrapText="1"/>
    </xf>
    <xf numFmtId="0" fontId="14" fillId="6" borderId="81" xfId="0" applyFont="1" applyFill="1" applyBorder="1" applyAlignment="1">
      <alignment vertical="top" wrapText="1"/>
    </xf>
    <xf numFmtId="0" fontId="2" fillId="6" borderId="8" xfId="0" applyFont="1" applyFill="1" applyBorder="1" applyAlignment="1">
      <alignment horizontal="left" vertical="top" wrapText="1"/>
    </xf>
    <xf numFmtId="0" fontId="2" fillId="6" borderId="1" xfId="0" applyNumberFormat="1" applyFont="1" applyFill="1" applyBorder="1" applyAlignment="1">
      <alignment horizontal="center" vertical="top" wrapText="1"/>
    </xf>
    <xf numFmtId="0" fontId="2" fillId="6" borderId="14" xfId="0" applyNumberFormat="1" applyFont="1" applyFill="1" applyBorder="1" applyAlignment="1">
      <alignment horizontal="center" vertical="top" wrapText="1"/>
    </xf>
    <xf numFmtId="0" fontId="2" fillId="6" borderId="24" xfId="0" applyNumberFormat="1" applyFont="1" applyFill="1" applyBorder="1" applyAlignment="1">
      <alignment horizontal="center" vertical="top" wrapText="1"/>
    </xf>
    <xf numFmtId="49" fontId="4" fillId="8" borderId="13" xfId="0" applyNumberFormat="1" applyFont="1" applyFill="1" applyBorder="1" applyAlignment="1">
      <alignment horizontal="center" vertical="top" wrapText="1"/>
    </xf>
    <xf numFmtId="49" fontId="4" fillId="0" borderId="16" xfId="0" applyNumberFormat="1" applyFont="1" applyBorder="1" applyAlignment="1">
      <alignment horizontal="center" vertical="top" wrapText="1"/>
    </xf>
    <xf numFmtId="49" fontId="4" fillId="0" borderId="13" xfId="0" applyNumberFormat="1" applyFont="1" applyBorder="1" applyAlignment="1">
      <alignment horizontal="center" vertical="top" wrapText="1"/>
    </xf>
    <xf numFmtId="0" fontId="2" fillId="2" borderId="16" xfId="0" applyFont="1" applyFill="1" applyBorder="1" applyAlignment="1">
      <alignment vertical="top" wrapText="1"/>
    </xf>
    <xf numFmtId="0" fontId="2" fillId="2" borderId="13" xfId="0" applyFont="1" applyFill="1" applyBorder="1" applyAlignment="1">
      <alignment vertical="top" wrapText="1"/>
    </xf>
    <xf numFmtId="0" fontId="4" fillId="6" borderId="16" xfId="0" applyFont="1" applyFill="1" applyBorder="1" applyAlignment="1">
      <alignment horizontal="center" vertical="top" wrapText="1"/>
    </xf>
    <xf numFmtId="0" fontId="4" fillId="6" borderId="13" xfId="0" applyFont="1" applyFill="1" applyBorder="1" applyAlignment="1">
      <alignment horizontal="center" vertical="top" wrapText="1"/>
    </xf>
    <xf numFmtId="49" fontId="2" fillId="6" borderId="32" xfId="0" applyNumberFormat="1" applyFont="1" applyFill="1" applyBorder="1" applyAlignment="1">
      <alignment horizontal="center" vertical="top" wrapText="1"/>
    </xf>
    <xf numFmtId="49" fontId="2" fillId="6" borderId="0" xfId="0" applyNumberFormat="1" applyFont="1" applyFill="1" applyBorder="1" applyAlignment="1">
      <alignment horizontal="center" vertical="top" wrapText="1"/>
    </xf>
    <xf numFmtId="3" fontId="2" fillId="6" borderId="72" xfId="0" applyNumberFormat="1" applyFont="1" applyFill="1" applyBorder="1" applyAlignment="1">
      <alignment horizontal="center" vertical="top"/>
    </xf>
    <xf numFmtId="3" fontId="2" fillId="6" borderId="73" xfId="0" applyNumberFormat="1" applyFont="1" applyFill="1" applyBorder="1" applyAlignment="1">
      <alignment horizontal="center" vertical="top"/>
    </xf>
    <xf numFmtId="3" fontId="2" fillId="6" borderId="67" xfId="0" applyNumberFormat="1" applyFont="1" applyFill="1" applyBorder="1" applyAlignment="1">
      <alignment horizontal="center" vertical="top"/>
    </xf>
    <xf numFmtId="3" fontId="2" fillId="6" borderId="68" xfId="0" applyNumberFormat="1" applyFont="1" applyFill="1" applyBorder="1" applyAlignment="1">
      <alignment horizontal="center" vertical="top"/>
    </xf>
    <xf numFmtId="3" fontId="2" fillId="6" borderId="70" xfId="0" applyNumberFormat="1" applyFont="1" applyFill="1" applyBorder="1" applyAlignment="1">
      <alignment horizontal="center" vertical="top"/>
    </xf>
    <xf numFmtId="3" fontId="2" fillId="6" borderId="69" xfId="0" applyNumberFormat="1" applyFont="1" applyFill="1" applyBorder="1" applyAlignment="1">
      <alignment horizontal="center" vertical="top"/>
    </xf>
    <xf numFmtId="3" fontId="2" fillId="6" borderId="14" xfId="0" applyNumberFormat="1" applyFont="1" applyFill="1" applyBorder="1" applyAlignment="1">
      <alignment horizontal="center" vertical="top"/>
    </xf>
    <xf numFmtId="3" fontId="2" fillId="6" borderId="60" xfId="0" applyNumberFormat="1" applyFont="1" applyFill="1" applyBorder="1" applyAlignment="1">
      <alignment horizontal="center" vertical="top"/>
    </xf>
    <xf numFmtId="49" fontId="4" fillId="3" borderId="53" xfId="0" applyNumberFormat="1" applyFont="1" applyFill="1" applyBorder="1" applyAlignment="1">
      <alignment horizontal="right" vertical="top"/>
    </xf>
    <xf numFmtId="0" fontId="6" fillId="6" borderId="0" xfId="0" applyFont="1" applyFill="1" applyBorder="1" applyAlignment="1">
      <alignment horizontal="center" vertical="top" wrapText="1"/>
    </xf>
    <xf numFmtId="0" fontId="2" fillId="6" borderId="81" xfId="0" applyFont="1" applyFill="1" applyBorder="1" applyAlignment="1">
      <alignment horizontal="left" vertical="top" wrapText="1"/>
    </xf>
    <xf numFmtId="0" fontId="9" fillId="6" borderId="16" xfId="0" applyFont="1" applyFill="1" applyBorder="1" applyAlignment="1">
      <alignment horizontal="left" vertical="top" wrapText="1"/>
    </xf>
    <xf numFmtId="0" fontId="6" fillId="6" borderId="13" xfId="0" applyFont="1" applyFill="1" applyBorder="1" applyAlignment="1">
      <alignment horizontal="left" vertical="top" wrapText="1"/>
    </xf>
    <xf numFmtId="0" fontId="6" fillId="6" borderId="13" xfId="0" applyFont="1" applyFill="1" applyBorder="1" applyAlignment="1"/>
    <xf numFmtId="49" fontId="2" fillId="6" borderId="1" xfId="0" applyNumberFormat="1" applyFont="1" applyFill="1" applyBorder="1" applyAlignment="1">
      <alignment horizontal="center" vertical="center" wrapText="1"/>
    </xf>
    <xf numFmtId="0" fontId="6" fillId="6" borderId="14" xfId="0" applyFont="1" applyFill="1" applyBorder="1" applyAlignment="1">
      <alignment horizontal="center" vertical="center" wrapText="1"/>
    </xf>
    <xf numFmtId="0" fontId="2" fillId="6" borderId="82" xfId="0" applyFont="1" applyFill="1" applyBorder="1" applyAlignment="1">
      <alignment horizontal="left" vertical="top" wrapText="1"/>
    </xf>
    <xf numFmtId="0" fontId="6" fillId="9" borderId="52" xfId="0" applyFont="1" applyFill="1" applyBorder="1" applyAlignment="1">
      <alignment horizontal="left" vertical="top" wrapText="1"/>
    </xf>
    <xf numFmtId="0" fontId="4" fillId="9" borderId="52" xfId="0" applyFont="1" applyFill="1" applyBorder="1" applyAlignment="1">
      <alignment horizontal="center" vertical="top" wrapText="1"/>
    </xf>
    <xf numFmtId="0" fontId="4" fillId="6" borderId="20" xfId="0" applyFont="1" applyFill="1" applyBorder="1" applyAlignment="1">
      <alignment horizontal="left" vertical="top" wrapText="1"/>
    </xf>
    <xf numFmtId="0" fontId="4" fillId="6" borderId="25" xfId="0" applyFont="1" applyFill="1" applyBorder="1" applyAlignment="1">
      <alignment horizontal="left" vertical="top" wrapText="1"/>
    </xf>
    <xf numFmtId="49" fontId="10" fillId="10" borderId="54" xfId="0" applyNumberFormat="1" applyFont="1" applyFill="1" applyBorder="1" applyAlignment="1">
      <alignment horizontal="center" vertical="top"/>
    </xf>
    <xf numFmtId="49" fontId="10" fillId="10" borderId="30" xfId="0" applyNumberFormat="1" applyFont="1" applyFill="1" applyBorder="1" applyAlignment="1">
      <alignment horizontal="center" vertical="top"/>
    </xf>
    <xf numFmtId="49" fontId="10" fillId="9" borderId="25" xfId="0" applyNumberFormat="1" applyFont="1" applyFill="1" applyBorder="1" applyAlignment="1">
      <alignment horizontal="center" vertical="top"/>
    </xf>
    <xf numFmtId="49" fontId="10" fillId="9" borderId="13" xfId="0" applyNumberFormat="1" applyFont="1" applyFill="1" applyBorder="1" applyAlignment="1">
      <alignment horizontal="center" vertical="top"/>
    </xf>
    <xf numFmtId="49" fontId="10" fillId="8" borderId="39" xfId="0" applyNumberFormat="1" applyFont="1" applyFill="1" applyBorder="1" applyAlignment="1">
      <alignment horizontal="center" vertical="top"/>
    </xf>
    <xf numFmtId="49" fontId="10" fillId="8" borderId="0" xfId="0" applyNumberFormat="1" applyFont="1" applyFill="1" applyBorder="1" applyAlignment="1">
      <alignment horizontal="center" vertical="top"/>
    </xf>
    <xf numFmtId="3" fontId="2" fillId="6" borderId="2" xfId="0" applyNumberFormat="1" applyFont="1" applyFill="1" applyBorder="1" applyAlignment="1">
      <alignment horizontal="left" vertical="top" wrapText="1"/>
    </xf>
    <xf numFmtId="3" fontId="2" fillId="6" borderId="13" xfId="0" applyNumberFormat="1" applyFont="1" applyFill="1" applyBorder="1" applyAlignment="1">
      <alignment horizontal="left" vertical="top" wrapText="1"/>
    </xf>
    <xf numFmtId="3" fontId="2" fillId="6" borderId="5" xfId="0" applyNumberFormat="1" applyFont="1" applyFill="1" applyBorder="1" applyAlignment="1">
      <alignment horizontal="left" vertical="top" wrapText="1"/>
    </xf>
    <xf numFmtId="3" fontId="2" fillId="6" borderId="18" xfId="0" applyNumberFormat="1" applyFont="1" applyFill="1" applyBorder="1" applyAlignment="1">
      <alignment horizontal="left" vertical="top" wrapText="1"/>
    </xf>
    <xf numFmtId="49" fontId="4" fillId="3" borderId="83" xfId="0" applyNumberFormat="1" applyFont="1" applyFill="1" applyBorder="1" applyAlignment="1">
      <alignment horizontal="right" vertical="top"/>
    </xf>
    <xf numFmtId="49" fontId="4" fillId="3" borderId="76" xfId="0" applyNumberFormat="1" applyFont="1" applyFill="1" applyBorder="1" applyAlignment="1">
      <alignment horizontal="right" vertical="top"/>
    </xf>
    <xf numFmtId="49" fontId="4" fillId="3" borderId="85" xfId="0" applyNumberFormat="1" applyFont="1" applyFill="1" applyBorder="1" applyAlignment="1">
      <alignment horizontal="right" vertical="top"/>
    </xf>
    <xf numFmtId="0" fontId="2" fillId="3" borderId="86" xfId="0" applyFont="1" applyFill="1" applyBorder="1" applyAlignment="1">
      <alignment horizontal="center" vertical="top" wrapText="1"/>
    </xf>
    <xf numFmtId="0" fontId="2" fillId="3" borderId="76" xfId="0" applyFont="1" applyFill="1" applyBorder="1" applyAlignment="1">
      <alignment horizontal="center" vertical="top" wrapText="1"/>
    </xf>
    <xf numFmtId="49" fontId="4" fillId="10" borderId="59" xfId="0" applyNumberFormat="1" applyFont="1" applyFill="1" applyBorder="1" applyAlignment="1">
      <alignment horizontal="right" vertical="top"/>
    </xf>
    <xf numFmtId="49" fontId="4" fillId="10" borderId="52" xfId="0" applyNumberFormat="1" applyFont="1" applyFill="1" applyBorder="1" applyAlignment="1">
      <alignment horizontal="right" vertical="top"/>
    </xf>
    <xf numFmtId="49" fontId="4" fillId="10" borderId="53" xfId="0" applyNumberFormat="1" applyFont="1" applyFill="1" applyBorder="1" applyAlignment="1">
      <alignment horizontal="right" vertical="top"/>
    </xf>
    <xf numFmtId="0" fontId="2" fillId="10" borderId="49" xfId="0" applyFont="1" applyFill="1" applyBorder="1" applyAlignment="1">
      <alignment horizontal="center" vertical="top" wrapText="1"/>
    </xf>
    <xf numFmtId="0" fontId="2" fillId="10" borderId="52" xfId="0" applyFont="1" applyFill="1" applyBorder="1" applyAlignment="1">
      <alignment horizontal="center" vertical="top" wrapText="1"/>
    </xf>
    <xf numFmtId="3" fontId="2" fillId="6" borderId="47" xfId="0" applyNumberFormat="1" applyFont="1" applyFill="1" applyBorder="1" applyAlignment="1">
      <alignment horizontal="left" vertical="top" wrapText="1"/>
    </xf>
    <xf numFmtId="3" fontId="2" fillId="6" borderId="54" xfId="0" applyNumberFormat="1" applyFont="1" applyFill="1" applyBorder="1" applyAlignment="1">
      <alignment horizontal="left" vertical="top" wrapText="1"/>
    </xf>
    <xf numFmtId="0" fontId="4" fillId="4" borderId="58" xfId="0" applyFont="1" applyFill="1" applyBorder="1" applyAlignment="1">
      <alignment horizontal="right" vertical="top" wrapText="1"/>
    </xf>
    <xf numFmtId="0" fontId="4" fillId="4" borderId="55" xfId="0" applyFont="1" applyFill="1" applyBorder="1" applyAlignment="1">
      <alignment horizontal="right" vertical="top" wrapText="1"/>
    </xf>
    <xf numFmtId="0" fontId="4" fillId="4" borderId="50" xfId="0" applyFont="1" applyFill="1" applyBorder="1" applyAlignment="1">
      <alignment horizontal="right" vertical="top" wrapText="1"/>
    </xf>
    <xf numFmtId="0" fontId="4" fillId="8" borderId="56" xfId="0" applyFont="1" applyFill="1" applyBorder="1" applyAlignment="1">
      <alignment horizontal="right" vertical="top" wrapText="1"/>
    </xf>
    <xf numFmtId="0" fontId="6" fillId="8" borderId="33" xfId="0" applyFont="1" applyFill="1" applyBorder="1" applyAlignment="1">
      <alignment horizontal="right" vertical="top" wrapText="1"/>
    </xf>
    <xf numFmtId="0" fontId="6" fillId="8" borderId="34" xfId="0" applyFont="1" applyFill="1" applyBorder="1" applyAlignment="1">
      <alignment horizontal="right" vertical="top" wrapText="1"/>
    </xf>
    <xf numFmtId="0" fontId="2" fillId="6" borderId="45" xfId="0" applyFont="1" applyFill="1" applyBorder="1" applyAlignment="1">
      <alignment horizontal="left" vertical="top" wrapText="1"/>
    </xf>
    <xf numFmtId="0" fontId="2" fillId="6" borderId="56" xfId="0" applyFont="1" applyFill="1" applyBorder="1" applyAlignment="1">
      <alignment horizontal="left" vertical="top" wrapText="1"/>
    </xf>
    <xf numFmtId="0" fontId="2" fillId="6" borderId="33" xfId="0" applyFont="1" applyFill="1" applyBorder="1" applyAlignment="1">
      <alignment horizontal="left" vertical="top" wrapText="1"/>
    </xf>
    <xf numFmtId="0" fontId="2" fillId="6" borderId="34" xfId="0" applyFont="1" applyFill="1" applyBorder="1" applyAlignment="1">
      <alignment horizontal="left" vertical="top" wrapText="1"/>
    </xf>
    <xf numFmtId="0" fontId="2" fillId="0" borderId="56"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49" fontId="4" fillId="4" borderId="59" xfId="0" applyNumberFormat="1" applyFont="1" applyFill="1" applyBorder="1" applyAlignment="1">
      <alignment horizontal="right" vertical="top"/>
    </xf>
    <xf numFmtId="49" fontId="4" fillId="4" borderId="52" xfId="0" applyNumberFormat="1" applyFont="1" applyFill="1" applyBorder="1" applyAlignment="1">
      <alignment horizontal="right" vertical="top"/>
    </xf>
    <xf numFmtId="49" fontId="4" fillId="4" borderId="53" xfId="0" applyNumberFormat="1" applyFont="1" applyFill="1" applyBorder="1" applyAlignment="1">
      <alignment horizontal="right" vertical="top"/>
    </xf>
    <xf numFmtId="0" fontId="2" fillId="4" borderId="49" xfId="0" applyFont="1" applyFill="1" applyBorder="1" applyAlignment="1">
      <alignment horizontal="center" vertical="top"/>
    </xf>
    <xf numFmtId="0" fontId="2" fillId="4" borderId="52" xfId="0" applyFont="1" applyFill="1" applyBorder="1" applyAlignment="1">
      <alignment horizontal="center" vertical="top"/>
    </xf>
    <xf numFmtId="3" fontId="2" fillId="0" borderId="0" xfId="0" applyNumberFormat="1" applyFont="1" applyFill="1" applyBorder="1" applyAlignment="1">
      <alignment horizontal="left" vertical="top" wrapText="1"/>
    </xf>
    <xf numFmtId="49" fontId="4" fillId="0" borderId="21" xfId="0" applyNumberFormat="1" applyFont="1" applyFill="1" applyBorder="1" applyAlignment="1">
      <alignment horizontal="center" vertical="top" wrapText="1"/>
    </xf>
    <xf numFmtId="3" fontId="4" fillId="0" borderId="49" xfId="0" applyNumberFormat="1" applyFont="1" applyBorder="1" applyAlignment="1">
      <alignment horizontal="center" vertical="center" wrapText="1"/>
    </xf>
    <xf numFmtId="3" fontId="4" fillId="0" borderId="52" xfId="0" applyNumberFormat="1" applyFont="1" applyBorder="1" applyAlignment="1">
      <alignment horizontal="center" vertical="center" wrapText="1"/>
    </xf>
    <xf numFmtId="3" fontId="4" fillId="0" borderId="53" xfId="0" applyNumberFormat="1" applyFont="1" applyBorder="1" applyAlignment="1">
      <alignment horizontal="center" vertical="center" wrapText="1"/>
    </xf>
    <xf numFmtId="3" fontId="2" fillId="0" borderId="31" xfId="0" applyNumberFormat="1" applyFont="1" applyFill="1" applyBorder="1" applyAlignment="1">
      <alignment horizontal="left" vertical="top" wrapText="1"/>
    </xf>
    <xf numFmtId="0" fontId="4" fillId="5" borderId="26" xfId="0" applyFont="1" applyFill="1" applyBorder="1" applyAlignment="1">
      <alignment horizontal="right" vertical="top" wrapText="1"/>
    </xf>
    <xf numFmtId="0" fontId="4" fillId="5" borderId="21" xfId="0" applyFont="1" applyFill="1" applyBorder="1" applyAlignment="1">
      <alignment horizontal="right" vertical="top" wrapText="1"/>
    </xf>
    <xf numFmtId="0" fontId="4" fillId="5" borderId="27" xfId="0" applyFont="1" applyFill="1" applyBorder="1" applyAlignment="1">
      <alignment horizontal="right" vertical="top" wrapText="1"/>
    </xf>
    <xf numFmtId="0" fontId="2" fillId="8" borderId="56" xfId="0" applyFont="1" applyFill="1" applyBorder="1" applyAlignment="1">
      <alignment horizontal="left" vertical="top" wrapText="1"/>
    </xf>
    <xf numFmtId="0" fontId="2" fillId="8" borderId="33" xfId="0" applyFont="1" applyFill="1" applyBorder="1" applyAlignment="1">
      <alignment horizontal="left" vertical="top" wrapText="1"/>
    </xf>
    <xf numFmtId="0" fontId="2" fillId="8" borderId="34" xfId="0" applyFont="1" applyFill="1" applyBorder="1" applyAlignment="1">
      <alignment horizontal="left" vertical="top" wrapText="1"/>
    </xf>
    <xf numFmtId="0" fontId="4" fillId="4" borderId="56" xfId="0" applyFont="1" applyFill="1" applyBorder="1" applyAlignment="1">
      <alignment horizontal="right" vertical="top" wrapText="1"/>
    </xf>
    <xf numFmtId="0" fontId="4" fillId="4" borderId="33" xfId="0" applyFont="1" applyFill="1" applyBorder="1" applyAlignment="1">
      <alignment horizontal="right" vertical="top" wrapText="1"/>
    </xf>
    <xf numFmtId="0" fontId="4" fillId="4" borderId="34" xfId="0" applyFont="1" applyFill="1" applyBorder="1" applyAlignment="1">
      <alignment horizontal="right" vertical="top" wrapText="1"/>
    </xf>
    <xf numFmtId="0" fontId="4" fillId="6" borderId="56" xfId="0" applyFont="1" applyFill="1" applyBorder="1" applyAlignment="1">
      <alignment horizontal="left" vertical="top" wrapText="1"/>
    </xf>
    <xf numFmtId="0" fontId="4" fillId="6" borderId="33" xfId="0" applyFont="1" applyFill="1" applyBorder="1" applyAlignment="1">
      <alignment horizontal="left" vertical="top" wrapText="1"/>
    </xf>
    <xf numFmtId="0" fontId="4" fillId="6" borderId="34" xfId="0" applyFont="1" applyFill="1" applyBorder="1" applyAlignment="1">
      <alignment horizontal="left" vertical="top" wrapText="1"/>
    </xf>
    <xf numFmtId="0" fontId="2" fillId="2" borderId="54" xfId="0" applyFont="1" applyFill="1" applyBorder="1" applyAlignment="1">
      <alignment horizontal="left" vertical="top" wrapText="1"/>
    </xf>
    <xf numFmtId="0" fontId="2" fillId="2" borderId="39" xfId="0" applyFont="1" applyFill="1" applyBorder="1" applyAlignment="1">
      <alignment horizontal="left" vertical="top" wrapText="1"/>
    </xf>
    <xf numFmtId="0" fontId="2" fillId="2" borderId="45" xfId="0" applyFont="1" applyFill="1" applyBorder="1" applyAlignment="1">
      <alignment horizontal="left" vertical="top" wrapText="1"/>
    </xf>
    <xf numFmtId="0" fontId="2" fillId="6" borderId="5" xfId="1" applyFont="1" applyFill="1" applyBorder="1" applyAlignment="1">
      <alignment vertical="top" wrapText="1"/>
    </xf>
    <xf numFmtId="0" fontId="6" fillId="6" borderId="18" xfId="0" applyFont="1" applyFill="1" applyBorder="1" applyAlignment="1">
      <alignment vertical="top" wrapText="1"/>
    </xf>
    <xf numFmtId="0" fontId="23" fillId="0" borderId="0" xfId="0" applyFont="1" applyAlignment="1">
      <alignment horizontal="left" vertical="top" wrapText="1"/>
    </xf>
    <xf numFmtId="0" fontId="2" fillId="6" borderId="36" xfId="0" applyFont="1" applyFill="1" applyBorder="1" applyAlignment="1">
      <alignment horizontal="left" vertical="top" wrapText="1"/>
    </xf>
    <xf numFmtId="0" fontId="2" fillId="6" borderId="18" xfId="0" applyFont="1" applyFill="1" applyBorder="1" applyAlignment="1">
      <alignment horizontal="left" vertical="top" wrapText="1"/>
    </xf>
    <xf numFmtId="0" fontId="4" fillId="6" borderId="5" xfId="0" applyFont="1" applyFill="1" applyBorder="1" applyAlignment="1">
      <alignment vertical="top" wrapText="1"/>
    </xf>
    <xf numFmtId="0" fontId="4" fillId="6" borderId="8" xfId="0" applyFont="1" applyFill="1" applyBorder="1" applyAlignment="1">
      <alignment vertical="top" wrapText="1"/>
    </xf>
    <xf numFmtId="0" fontId="4" fillId="6" borderId="18" xfId="0" applyFont="1" applyFill="1" applyBorder="1" applyAlignment="1">
      <alignment vertical="top" wrapText="1"/>
    </xf>
    <xf numFmtId="0" fontId="2" fillId="6" borderId="8" xfId="1" applyFont="1" applyFill="1" applyBorder="1" applyAlignment="1">
      <alignment vertical="top" wrapText="1"/>
    </xf>
    <xf numFmtId="0" fontId="2" fillId="6" borderId="18" xfId="1" applyFont="1" applyFill="1" applyBorder="1" applyAlignment="1">
      <alignment vertical="top" wrapText="1"/>
    </xf>
    <xf numFmtId="0" fontId="2" fillId="6" borderId="5" xfId="0" applyFont="1" applyFill="1" applyBorder="1" applyAlignment="1">
      <alignment horizontal="left" vertical="top"/>
    </xf>
    <xf numFmtId="0" fontId="2" fillId="6" borderId="73" xfId="0" applyFont="1" applyFill="1" applyBorder="1" applyAlignment="1">
      <alignment horizontal="left" vertical="top"/>
    </xf>
    <xf numFmtId="0" fontId="2" fillId="6" borderId="5" xfId="0" applyFont="1" applyFill="1" applyBorder="1" applyAlignment="1">
      <alignment horizontal="left" vertical="top" wrapText="1"/>
    </xf>
    <xf numFmtId="0" fontId="6" fillId="6" borderId="8" xfId="0" applyFont="1" applyFill="1" applyBorder="1" applyAlignment="1">
      <alignment vertical="top" wrapText="1"/>
    </xf>
    <xf numFmtId="0" fontId="4" fillId="2" borderId="20" xfId="0" applyFont="1" applyFill="1" applyBorder="1" applyAlignment="1">
      <alignment horizontal="left" vertical="top" wrapText="1"/>
    </xf>
    <xf numFmtId="0" fontId="4" fillId="2" borderId="13" xfId="0" applyFont="1" applyFill="1" applyBorder="1" applyAlignment="1">
      <alignment horizontal="left" vertical="top" wrapText="1"/>
    </xf>
    <xf numFmtId="0" fontId="4" fillId="2" borderId="25" xfId="0" applyFont="1" applyFill="1" applyBorder="1" applyAlignment="1">
      <alignment horizontal="left" vertical="top" wrapText="1"/>
    </xf>
    <xf numFmtId="0" fontId="4" fillId="6" borderId="16" xfId="0" applyFont="1" applyFill="1" applyBorder="1" applyAlignment="1">
      <alignment horizontal="left" vertical="top" wrapText="1"/>
    </xf>
    <xf numFmtId="0" fontId="4" fillId="9" borderId="116" xfId="0" applyFont="1" applyFill="1" applyBorder="1" applyAlignment="1">
      <alignment horizontal="left" vertical="top" wrapText="1"/>
    </xf>
    <xf numFmtId="3" fontId="2" fillId="6" borderId="35" xfId="0" applyNumberFormat="1" applyFont="1" applyFill="1" applyBorder="1" applyAlignment="1">
      <alignment horizontal="center" vertical="top" wrapText="1"/>
    </xf>
    <xf numFmtId="3" fontId="2" fillId="6" borderId="68" xfId="0" applyNumberFormat="1" applyFont="1" applyFill="1" applyBorder="1" applyAlignment="1">
      <alignment horizontal="center" vertical="top" wrapText="1"/>
    </xf>
    <xf numFmtId="3" fontId="2" fillId="6" borderId="16" xfId="0" applyNumberFormat="1" applyFont="1" applyFill="1" applyBorder="1" applyAlignment="1">
      <alignment horizontal="center" vertical="top" wrapText="1"/>
    </xf>
    <xf numFmtId="3" fontId="2" fillId="6" borderId="69" xfId="0" applyNumberFormat="1" applyFont="1" applyFill="1" applyBorder="1" applyAlignment="1">
      <alignment horizontal="center" vertical="top" wrapText="1"/>
    </xf>
    <xf numFmtId="3" fontId="2" fillId="6" borderId="1" xfId="0" applyNumberFormat="1" applyFont="1" applyFill="1" applyBorder="1" applyAlignment="1">
      <alignment horizontal="center" vertical="top" wrapText="1"/>
    </xf>
    <xf numFmtId="3" fontId="2" fillId="6" borderId="60" xfId="0" applyNumberFormat="1" applyFont="1" applyFill="1" applyBorder="1" applyAlignment="1">
      <alignment horizontal="center" vertical="top" wrapText="1"/>
    </xf>
  </cellXfs>
  <cellStyles count="4">
    <cellStyle name="Excel Built-in Normal" xfId="3"/>
    <cellStyle name="Įprastas" xfId="0" builtinId="0"/>
    <cellStyle name="Įprastas 2" xfId="1"/>
    <cellStyle name="Stilius 1" xfId="2"/>
  </cellStyles>
  <dxfs count="0"/>
  <tableStyles count="0" defaultTableStyle="TableStyleMedium2" defaultPivotStyle="PivotStyleLight16"/>
  <colors>
    <mruColors>
      <color rgb="FFFFFF99"/>
      <color rgb="FFFFD5FF"/>
      <color rgb="FFCCFFCC"/>
      <color rgb="FFFFCCFF"/>
      <color rgb="FF66FF99"/>
      <color rgb="FFCCCCFF"/>
      <color rgb="FFFF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330"/>
  <sheetViews>
    <sheetView zoomScaleNormal="100" zoomScaleSheetLayoutView="100" workbookViewId="0">
      <selection activeCell="O295" sqref="O295"/>
    </sheetView>
  </sheetViews>
  <sheetFormatPr defaultColWidth="9.42578125" defaultRowHeight="12.75" x14ac:dyDescent="0.2"/>
  <cols>
    <col min="1" max="3" width="3" style="3" customWidth="1"/>
    <col min="4" max="4" width="2.85546875" style="3" customWidth="1"/>
    <col min="5" max="5" width="32" style="3" customWidth="1"/>
    <col min="6" max="6" width="4.42578125" style="8" customWidth="1"/>
    <col min="7" max="7" width="13.42578125" style="58" customWidth="1"/>
    <col min="8" max="8" width="8.42578125" style="10" customWidth="1"/>
    <col min="9" max="12" width="10.85546875" style="3" customWidth="1"/>
    <col min="13" max="13" width="38.42578125" style="3" customWidth="1"/>
    <col min="14" max="14" width="7.140625" style="10" customWidth="1"/>
    <col min="15" max="15" width="8.140625" style="10" customWidth="1"/>
    <col min="16" max="16" width="7.5703125" style="10" customWidth="1"/>
    <col min="17" max="17" width="6.42578125" style="10" customWidth="1"/>
    <col min="18" max="18" width="8.5703125" style="2" customWidth="1"/>
    <col min="19" max="19" width="12.140625" style="2" customWidth="1"/>
    <col min="20" max="16384" width="9.42578125" style="2"/>
  </cols>
  <sheetData>
    <row r="1" spans="1:18" ht="15" customHeight="1" x14ac:dyDescent="0.2">
      <c r="G1" s="3"/>
      <c r="M1" s="1356" t="s">
        <v>356</v>
      </c>
      <c r="N1" s="1356"/>
      <c r="O1" s="1356"/>
      <c r="P1" s="1356"/>
      <c r="Q1" s="1356"/>
    </row>
    <row r="2" spans="1:18" ht="18" customHeight="1" x14ac:dyDescent="0.2">
      <c r="G2" s="3"/>
      <c r="I2" s="10"/>
      <c r="J2" s="10"/>
      <c r="K2" s="10"/>
      <c r="L2" s="10"/>
      <c r="M2" s="125"/>
      <c r="N2" s="125"/>
      <c r="O2" s="125"/>
      <c r="P2" s="125"/>
      <c r="Q2" s="125"/>
    </row>
    <row r="3" spans="1:18" ht="15" customHeight="1" x14ac:dyDescent="0.2">
      <c r="A3" s="1357" t="s">
        <v>261</v>
      </c>
      <c r="B3" s="1357"/>
      <c r="C3" s="1357"/>
      <c r="D3" s="1357"/>
      <c r="E3" s="1357"/>
      <c r="F3" s="1357"/>
      <c r="G3" s="1357"/>
      <c r="H3" s="1357"/>
      <c r="I3" s="1357"/>
      <c r="J3" s="1357"/>
      <c r="K3" s="1357"/>
      <c r="L3" s="1357"/>
      <c r="M3" s="1357"/>
      <c r="N3" s="1357"/>
      <c r="O3" s="1357"/>
      <c r="P3" s="1357"/>
      <c r="Q3" s="1357"/>
    </row>
    <row r="4" spans="1:18" ht="19.5" customHeight="1" x14ac:dyDescent="0.2">
      <c r="A4" s="1358" t="s">
        <v>20</v>
      </c>
      <c r="B4" s="1358"/>
      <c r="C4" s="1358"/>
      <c r="D4" s="1358"/>
      <c r="E4" s="1358"/>
      <c r="F4" s="1358"/>
      <c r="G4" s="1358"/>
      <c r="H4" s="1358"/>
      <c r="I4" s="1358"/>
      <c r="J4" s="1358"/>
      <c r="K4" s="1358"/>
      <c r="L4" s="1358"/>
      <c r="M4" s="1358"/>
      <c r="N4" s="1358"/>
      <c r="O4" s="1358"/>
      <c r="P4" s="1358"/>
      <c r="Q4" s="1358"/>
    </row>
    <row r="5" spans="1:18" ht="16.350000000000001" customHeight="1" x14ac:dyDescent="0.2">
      <c r="A5" s="1359" t="s">
        <v>70</v>
      </c>
      <c r="B5" s="1359"/>
      <c r="C5" s="1359"/>
      <c r="D5" s="1359"/>
      <c r="E5" s="1359"/>
      <c r="F5" s="1359"/>
      <c r="G5" s="1359"/>
      <c r="H5" s="1359"/>
      <c r="I5" s="1359"/>
      <c r="J5" s="1359"/>
      <c r="K5" s="1359"/>
      <c r="L5" s="1359"/>
      <c r="M5" s="1359"/>
      <c r="N5" s="1359"/>
      <c r="O5" s="1359"/>
      <c r="P5" s="1359"/>
      <c r="Q5" s="1359"/>
    </row>
    <row r="6" spans="1:18" s="3" customFormat="1" ht="15" customHeight="1" x14ac:dyDescent="0.2">
      <c r="A6" s="1360"/>
      <c r="B6" s="1360"/>
      <c r="C6" s="1360"/>
      <c r="D6" s="1360"/>
      <c r="E6" s="1360"/>
      <c r="F6" s="1360"/>
      <c r="G6" s="1360"/>
      <c r="H6" s="1360"/>
      <c r="I6" s="1360"/>
      <c r="J6" s="1360"/>
      <c r="K6" s="1360"/>
      <c r="L6" s="1360"/>
      <c r="M6" s="1360"/>
      <c r="N6" s="1360"/>
    </row>
    <row r="7" spans="1:18" ht="13.5" thickBot="1" x14ac:dyDescent="0.25">
      <c r="M7" s="1361" t="s">
        <v>67</v>
      </c>
      <c r="N7" s="1361"/>
      <c r="O7" s="1361"/>
      <c r="P7" s="1361"/>
      <c r="Q7" s="1361"/>
    </row>
    <row r="8" spans="1:18" s="21" customFormat="1" ht="24.75" customHeight="1" thickBot="1" x14ac:dyDescent="0.25">
      <c r="A8" s="1395" t="s">
        <v>15</v>
      </c>
      <c r="B8" s="1398" t="s">
        <v>0</v>
      </c>
      <c r="C8" s="1398" t="s">
        <v>1</v>
      </c>
      <c r="D8" s="1398" t="s">
        <v>54</v>
      </c>
      <c r="E8" s="1401" t="s">
        <v>10</v>
      </c>
      <c r="F8" s="1398" t="s">
        <v>189</v>
      </c>
      <c r="G8" s="1377" t="s">
        <v>190</v>
      </c>
      <c r="H8" s="1380" t="s">
        <v>2</v>
      </c>
      <c r="I8" s="1383" t="s">
        <v>252</v>
      </c>
      <c r="J8" s="1386" t="s">
        <v>262</v>
      </c>
      <c r="K8" s="1389" t="s">
        <v>191</v>
      </c>
      <c r="L8" s="1392" t="s">
        <v>263</v>
      </c>
      <c r="M8" s="1362" t="s">
        <v>9</v>
      </c>
      <c r="N8" s="1363"/>
      <c r="O8" s="1363"/>
      <c r="P8" s="1363"/>
      <c r="Q8" s="1364"/>
    </row>
    <row r="9" spans="1:18" s="21" customFormat="1" ht="18.75" customHeight="1" x14ac:dyDescent="0.2">
      <c r="A9" s="1396"/>
      <c r="B9" s="1399"/>
      <c r="C9" s="1399"/>
      <c r="D9" s="1399"/>
      <c r="E9" s="1402"/>
      <c r="F9" s="1399"/>
      <c r="G9" s="1378"/>
      <c r="H9" s="1381"/>
      <c r="I9" s="1384"/>
      <c r="J9" s="1387"/>
      <c r="K9" s="1390"/>
      <c r="L9" s="1393"/>
      <c r="M9" s="1365" t="s">
        <v>10</v>
      </c>
      <c r="N9" s="1367" t="s">
        <v>259</v>
      </c>
      <c r="O9" s="1369" t="s">
        <v>251</v>
      </c>
      <c r="P9" s="1370"/>
      <c r="Q9" s="1371"/>
      <c r="R9" s="490"/>
    </row>
    <row r="10" spans="1:18" s="21" customFormat="1" ht="110.25" customHeight="1" thickBot="1" x14ac:dyDescent="0.25">
      <c r="A10" s="1397"/>
      <c r="B10" s="1400"/>
      <c r="C10" s="1400"/>
      <c r="D10" s="1400"/>
      <c r="E10" s="1403"/>
      <c r="F10" s="1400"/>
      <c r="G10" s="1379"/>
      <c r="H10" s="1382"/>
      <c r="I10" s="1385"/>
      <c r="J10" s="1388"/>
      <c r="K10" s="1391"/>
      <c r="L10" s="1394"/>
      <c r="M10" s="1366"/>
      <c r="N10" s="1368"/>
      <c r="O10" s="315" t="s">
        <v>192</v>
      </c>
      <c r="P10" s="523" t="s">
        <v>193</v>
      </c>
      <c r="Q10" s="316" t="s">
        <v>260</v>
      </c>
    </row>
    <row r="11" spans="1:18" s="7" customFormat="1" ht="15" customHeight="1" x14ac:dyDescent="0.2">
      <c r="A11" s="1372" t="s">
        <v>46</v>
      </c>
      <c r="B11" s="1373"/>
      <c r="C11" s="1373"/>
      <c r="D11" s="1373"/>
      <c r="E11" s="1373"/>
      <c r="F11" s="1373"/>
      <c r="G11" s="1373"/>
      <c r="H11" s="1373"/>
      <c r="I11" s="1373"/>
      <c r="J11" s="1373"/>
      <c r="K11" s="1373"/>
      <c r="L11" s="1373"/>
      <c r="M11" s="1373"/>
      <c r="N11" s="1373"/>
      <c r="O11" s="604"/>
      <c r="P11" s="516"/>
      <c r="Q11" s="517"/>
    </row>
    <row r="12" spans="1:18" s="7" customFormat="1" ht="14.25" customHeight="1" x14ac:dyDescent="0.2">
      <c r="A12" s="1374" t="s">
        <v>38</v>
      </c>
      <c r="B12" s="1375"/>
      <c r="C12" s="1375"/>
      <c r="D12" s="1375"/>
      <c r="E12" s="1375"/>
      <c r="F12" s="1375"/>
      <c r="G12" s="1375"/>
      <c r="H12" s="1375"/>
      <c r="I12" s="1375"/>
      <c r="J12" s="1375"/>
      <c r="K12" s="1375"/>
      <c r="L12" s="1375"/>
      <c r="M12" s="1375"/>
      <c r="N12" s="1376"/>
      <c r="O12" s="521"/>
      <c r="P12" s="513"/>
      <c r="Q12" s="514"/>
    </row>
    <row r="13" spans="1:18" ht="15" customHeight="1" x14ac:dyDescent="0.2">
      <c r="A13" s="243" t="s">
        <v>3</v>
      </c>
      <c r="B13" s="1418" t="s">
        <v>47</v>
      </c>
      <c r="C13" s="1419"/>
      <c r="D13" s="1419"/>
      <c r="E13" s="1419"/>
      <c r="F13" s="1419"/>
      <c r="G13" s="1419"/>
      <c r="H13" s="1419"/>
      <c r="I13" s="1419"/>
      <c r="J13" s="1419"/>
      <c r="K13" s="1419"/>
      <c r="L13" s="1419"/>
      <c r="M13" s="1419"/>
      <c r="N13" s="1420"/>
      <c r="O13" s="522"/>
      <c r="P13" s="518"/>
      <c r="Q13" s="520"/>
    </row>
    <row r="14" spans="1:18" ht="15.75" customHeight="1" x14ac:dyDescent="0.2">
      <c r="A14" s="19" t="s">
        <v>3</v>
      </c>
      <c r="B14" s="20" t="s">
        <v>3</v>
      </c>
      <c r="C14" s="1421" t="s">
        <v>35</v>
      </c>
      <c r="D14" s="1422"/>
      <c r="E14" s="1422"/>
      <c r="F14" s="1422"/>
      <c r="G14" s="1422"/>
      <c r="H14" s="1422"/>
      <c r="I14" s="1422"/>
      <c r="J14" s="1422"/>
      <c r="K14" s="1422"/>
      <c r="L14" s="1422"/>
      <c r="M14" s="1422"/>
      <c r="N14" s="1423"/>
      <c r="O14" s="552"/>
      <c r="P14" s="552"/>
      <c r="Q14" s="602"/>
    </row>
    <row r="15" spans="1:18" ht="12" customHeight="1" x14ac:dyDescent="0.2">
      <c r="A15" s="1028" t="s">
        <v>3</v>
      </c>
      <c r="B15" s="1052" t="s">
        <v>3</v>
      </c>
      <c r="C15" s="1030" t="s">
        <v>3</v>
      </c>
      <c r="D15" s="1053"/>
      <c r="E15" s="1424" t="s">
        <v>64</v>
      </c>
      <c r="F15" s="62"/>
      <c r="G15" s="1426"/>
      <c r="H15" s="56"/>
      <c r="I15" s="180"/>
      <c r="J15" s="180"/>
      <c r="K15" s="184"/>
      <c r="L15" s="172"/>
      <c r="M15" s="1429"/>
      <c r="N15" s="213"/>
      <c r="O15" s="628"/>
      <c r="P15" s="168"/>
      <c r="Q15" s="603"/>
    </row>
    <row r="16" spans="1:18" ht="12" customHeight="1" x14ac:dyDescent="0.2">
      <c r="A16" s="1028"/>
      <c r="B16" s="1052"/>
      <c r="C16" s="1030"/>
      <c r="D16" s="1053"/>
      <c r="E16" s="1425"/>
      <c r="F16" s="120"/>
      <c r="G16" s="1427"/>
      <c r="H16" s="124"/>
      <c r="I16" s="448"/>
      <c r="J16" s="502"/>
      <c r="K16" s="379"/>
      <c r="L16" s="458"/>
      <c r="M16" s="1430"/>
      <c r="N16" s="214"/>
      <c r="O16" s="600"/>
      <c r="P16" s="600"/>
      <c r="Q16" s="81"/>
    </row>
    <row r="17" spans="1:17" ht="18.75" customHeight="1" x14ac:dyDescent="0.2">
      <c r="A17" s="1028"/>
      <c r="B17" s="1052"/>
      <c r="C17" s="1030"/>
      <c r="D17" s="1053"/>
      <c r="E17" s="1424"/>
      <c r="F17" s="156"/>
      <c r="G17" s="1428"/>
      <c r="H17" s="446"/>
      <c r="I17" s="30"/>
      <c r="J17" s="181"/>
      <c r="K17" s="185"/>
      <c r="L17" s="512"/>
      <c r="M17" s="1431"/>
      <c r="N17" s="630"/>
      <c r="O17" s="601"/>
      <c r="P17" s="601"/>
      <c r="Q17" s="599"/>
    </row>
    <row r="18" spans="1:17" ht="16.5" customHeight="1" x14ac:dyDescent="0.2">
      <c r="A18" s="1028"/>
      <c r="B18" s="1052"/>
      <c r="C18" s="1030"/>
      <c r="D18" s="105" t="s">
        <v>3</v>
      </c>
      <c r="E18" s="1412" t="s">
        <v>91</v>
      </c>
      <c r="F18" s="437" t="s">
        <v>159</v>
      </c>
      <c r="G18" s="1034" t="s">
        <v>347</v>
      </c>
      <c r="H18" s="393" t="s">
        <v>44</v>
      </c>
      <c r="I18" s="373">
        <v>131.19999999999999</v>
      </c>
      <c r="J18" s="449">
        <f>1556.3-500-500-56.3</f>
        <v>500</v>
      </c>
      <c r="K18" s="184"/>
      <c r="L18" s="334"/>
      <c r="M18" s="1432" t="s">
        <v>220</v>
      </c>
      <c r="N18" s="216"/>
      <c r="O18" s="344">
        <v>1</v>
      </c>
      <c r="P18" s="344">
        <v>35</v>
      </c>
      <c r="Q18" s="65">
        <v>100</v>
      </c>
    </row>
    <row r="19" spans="1:17" ht="28.5" customHeight="1" x14ac:dyDescent="0.2">
      <c r="A19" s="1028"/>
      <c r="B19" s="1052"/>
      <c r="C19" s="1030"/>
      <c r="D19" s="106"/>
      <c r="E19" s="1413"/>
      <c r="F19" s="1017" t="s">
        <v>137</v>
      </c>
      <c r="G19" s="1019" t="s">
        <v>348</v>
      </c>
      <c r="H19" s="1096" t="s">
        <v>19</v>
      </c>
      <c r="I19" s="418"/>
      <c r="J19" s="448"/>
      <c r="K19" s="363">
        <f>4756.1-662.6+300+500+56.3</f>
        <v>4949.8</v>
      </c>
      <c r="L19" s="352">
        <f>5945.1+200</f>
        <v>6145.1</v>
      </c>
      <c r="M19" s="1432"/>
      <c r="N19" s="1096"/>
      <c r="O19" s="594"/>
      <c r="P19" s="303"/>
      <c r="Q19" s="489"/>
    </row>
    <row r="20" spans="1:17" ht="15" customHeight="1" x14ac:dyDescent="0.2">
      <c r="A20" s="1028"/>
      <c r="B20" s="1052"/>
      <c r="C20" s="1030"/>
      <c r="D20" s="106"/>
      <c r="E20" s="1413"/>
      <c r="F20" s="1017" t="s">
        <v>204</v>
      </c>
      <c r="G20" s="439"/>
      <c r="H20" s="385" t="s">
        <v>188</v>
      </c>
      <c r="I20" s="448"/>
      <c r="J20" s="193"/>
      <c r="K20" s="191">
        <v>662.6</v>
      </c>
      <c r="L20" s="364">
        <v>1000</v>
      </c>
      <c r="M20" s="1433" t="s">
        <v>221</v>
      </c>
      <c r="N20" s="341"/>
      <c r="O20" s="333"/>
      <c r="P20" s="255">
        <v>30</v>
      </c>
      <c r="Q20" s="65">
        <v>100</v>
      </c>
    </row>
    <row r="21" spans="1:17" ht="15" customHeight="1" x14ac:dyDescent="0.2">
      <c r="A21" s="1028"/>
      <c r="B21" s="1052"/>
      <c r="C21" s="1030"/>
      <c r="D21" s="106"/>
      <c r="E21" s="1413"/>
      <c r="F21" s="147" t="s">
        <v>123</v>
      </c>
      <c r="G21" s="1416"/>
      <c r="H21" s="385" t="s">
        <v>163</v>
      </c>
      <c r="I21" s="396"/>
      <c r="J21" s="448"/>
      <c r="K21" s="191"/>
      <c r="L21" s="512">
        <v>2964.9</v>
      </c>
      <c r="M21" s="1432"/>
      <c r="N21" s="377"/>
      <c r="O21" s="525"/>
      <c r="P21" s="525"/>
      <c r="Q21" s="380"/>
    </row>
    <row r="22" spans="1:17" ht="15.6" customHeight="1" x14ac:dyDescent="0.2">
      <c r="A22" s="1028"/>
      <c r="B22" s="1052"/>
      <c r="C22" s="1030"/>
      <c r="D22" s="106"/>
      <c r="E22" s="1413"/>
      <c r="F22" s="151" t="s">
        <v>39</v>
      </c>
      <c r="G22" s="1416"/>
      <c r="H22" s="446"/>
      <c r="I22" s="30"/>
      <c r="J22" s="181"/>
      <c r="K22" s="185"/>
      <c r="L22" s="397"/>
      <c r="M22" s="1038"/>
      <c r="N22" s="377"/>
      <c r="O22" s="525"/>
      <c r="P22" s="525"/>
      <c r="Q22" s="380"/>
    </row>
    <row r="23" spans="1:17" ht="16.5" customHeight="1" x14ac:dyDescent="0.2">
      <c r="A23" s="1028"/>
      <c r="B23" s="1052"/>
      <c r="C23" s="1030"/>
      <c r="D23" s="1031" t="s">
        <v>5</v>
      </c>
      <c r="E23" s="1404" t="s">
        <v>326</v>
      </c>
      <c r="F23" s="155" t="s">
        <v>159</v>
      </c>
      <c r="G23" s="388" t="s">
        <v>347</v>
      </c>
      <c r="H23" s="390" t="s">
        <v>44</v>
      </c>
      <c r="I23" s="390">
        <f>58.3-50</f>
        <v>8.3000000000000007</v>
      </c>
      <c r="J23" s="183"/>
      <c r="K23" s="404"/>
      <c r="L23" s="524"/>
      <c r="M23" s="1082" t="s">
        <v>65</v>
      </c>
      <c r="N23" s="335"/>
      <c r="O23" s="581">
        <v>1</v>
      </c>
      <c r="P23" s="254"/>
      <c r="Q23" s="100"/>
    </row>
    <row r="24" spans="1:17" ht="16.350000000000001" customHeight="1" x14ac:dyDescent="0.2">
      <c r="A24" s="1028"/>
      <c r="B24" s="1052"/>
      <c r="C24" s="1030"/>
      <c r="D24" s="1053"/>
      <c r="E24" s="1404"/>
      <c r="F24" s="147" t="s">
        <v>137</v>
      </c>
      <c r="G24" s="1406" t="s">
        <v>349</v>
      </c>
      <c r="H24" s="35" t="s">
        <v>19</v>
      </c>
      <c r="I24" s="183"/>
      <c r="J24" s="357">
        <v>50</v>
      </c>
      <c r="K24" s="391"/>
      <c r="L24" s="392"/>
      <c r="M24" s="930" t="s">
        <v>223</v>
      </c>
      <c r="N24" s="216"/>
      <c r="O24" s="249"/>
      <c r="P24" s="344"/>
      <c r="Q24" s="65"/>
    </row>
    <row r="25" spans="1:17" ht="15" customHeight="1" x14ac:dyDescent="0.2">
      <c r="A25" s="1028"/>
      <c r="B25" s="1052"/>
      <c r="C25" s="1030"/>
      <c r="D25" s="1053"/>
      <c r="E25" s="1405"/>
      <c r="F25" s="147" t="s">
        <v>123</v>
      </c>
      <c r="G25" s="1406"/>
      <c r="H25" s="35"/>
      <c r="I25" s="35"/>
      <c r="J25" s="448"/>
      <c r="K25" s="109"/>
      <c r="L25" s="29"/>
      <c r="M25" s="1407"/>
      <c r="N25" s="216"/>
      <c r="O25" s="344"/>
      <c r="P25" s="344"/>
      <c r="Q25" s="65"/>
    </row>
    <row r="26" spans="1:17" ht="15" customHeight="1" x14ac:dyDescent="0.2">
      <c r="A26" s="1028"/>
      <c r="B26" s="1052"/>
      <c r="C26" s="1030"/>
      <c r="D26" s="1053"/>
      <c r="E26" s="1405"/>
      <c r="F26" s="120" t="s">
        <v>204</v>
      </c>
      <c r="G26" s="1406"/>
      <c r="H26" s="88"/>
      <c r="I26" s="183"/>
      <c r="J26" s="183"/>
      <c r="K26" s="188"/>
      <c r="L26" s="543"/>
      <c r="M26" s="1407"/>
      <c r="N26" s="216"/>
      <c r="O26" s="344"/>
      <c r="P26" s="344"/>
      <c r="Q26" s="65"/>
    </row>
    <row r="27" spans="1:17" ht="14.85" customHeight="1" x14ac:dyDescent="0.2">
      <c r="A27" s="1028"/>
      <c r="B27" s="1052"/>
      <c r="C27" s="1030"/>
      <c r="D27" s="1032"/>
      <c r="E27" s="1405"/>
      <c r="F27" s="153" t="s">
        <v>39</v>
      </c>
      <c r="G27" s="389"/>
      <c r="H27" s="445"/>
      <c r="I27" s="181"/>
      <c r="J27" s="183"/>
      <c r="K27" s="529"/>
      <c r="L27" s="524"/>
      <c r="M27" s="1408"/>
      <c r="N27" s="217"/>
      <c r="O27" s="570"/>
      <c r="P27" s="570"/>
      <c r="Q27" s="72"/>
    </row>
    <row r="28" spans="1:17" ht="15" customHeight="1" x14ac:dyDescent="0.2">
      <c r="A28" s="1028"/>
      <c r="B28" s="1029"/>
      <c r="C28" s="47"/>
      <c r="D28" s="1409" t="s">
        <v>21</v>
      </c>
      <c r="E28" s="1412" t="s">
        <v>136</v>
      </c>
      <c r="F28" s="152" t="s">
        <v>159</v>
      </c>
      <c r="G28" s="1415" t="s">
        <v>153</v>
      </c>
      <c r="H28" s="405" t="s">
        <v>44</v>
      </c>
      <c r="I28" s="184">
        <v>24</v>
      </c>
      <c r="J28" s="449"/>
      <c r="K28" s="117"/>
      <c r="L28" s="172"/>
      <c r="M28" s="1057" t="s">
        <v>238</v>
      </c>
      <c r="N28" s="1087">
        <v>100</v>
      </c>
      <c r="O28" s="645"/>
      <c r="P28" s="646"/>
      <c r="Q28" s="328"/>
    </row>
    <row r="29" spans="1:17" ht="15" customHeight="1" x14ac:dyDescent="0.2">
      <c r="A29" s="1028"/>
      <c r="B29" s="1029"/>
      <c r="C29" s="47"/>
      <c r="D29" s="1410"/>
      <c r="E29" s="1413"/>
      <c r="F29" s="438" t="s">
        <v>204</v>
      </c>
      <c r="G29" s="1416"/>
      <c r="H29" s="13" t="s">
        <v>19</v>
      </c>
      <c r="I29" s="931"/>
      <c r="J29" s="448">
        <v>57.8</v>
      </c>
      <c r="K29" s="191">
        <v>100</v>
      </c>
      <c r="L29" s="352"/>
      <c r="M29" s="717" t="s">
        <v>224</v>
      </c>
      <c r="N29" s="1022"/>
      <c r="O29" s="559">
        <v>30</v>
      </c>
      <c r="P29" s="559">
        <v>100</v>
      </c>
      <c r="Q29" s="64"/>
    </row>
    <row r="30" spans="1:17" ht="15" customHeight="1" x14ac:dyDescent="0.2">
      <c r="A30" s="1028"/>
      <c r="B30" s="1029"/>
      <c r="C30" s="47"/>
      <c r="D30" s="1410"/>
      <c r="E30" s="1413"/>
      <c r="F30" s="438" t="s">
        <v>39</v>
      </c>
      <c r="G30" s="1416"/>
      <c r="H30" s="13"/>
      <c r="I30" s="448"/>
      <c r="J30" s="448"/>
      <c r="K30" s="109"/>
      <c r="L30" s="512"/>
      <c r="M30" s="1058"/>
      <c r="N30" s="631"/>
      <c r="O30" s="559"/>
      <c r="P30" s="559"/>
      <c r="Q30" s="64"/>
    </row>
    <row r="31" spans="1:17" ht="15" customHeight="1" x14ac:dyDescent="0.2">
      <c r="A31" s="1028"/>
      <c r="B31" s="1029"/>
      <c r="C31" s="47"/>
      <c r="D31" s="1411"/>
      <c r="E31" s="1414"/>
      <c r="F31" s="169" t="s">
        <v>181</v>
      </c>
      <c r="G31" s="1417"/>
      <c r="H31" s="157"/>
      <c r="I31" s="568"/>
      <c r="J31" s="1071"/>
      <c r="K31" s="526"/>
      <c r="L31" s="384"/>
      <c r="M31" s="722"/>
      <c r="N31" s="157"/>
      <c r="O31" s="190"/>
      <c r="P31" s="190"/>
      <c r="Q31" s="174"/>
    </row>
    <row r="32" spans="1:17" ht="14.1" customHeight="1" x14ac:dyDescent="0.2">
      <c r="A32" s="1028"/>
      <c r="B32" s="1029"/>
      <c r="C32" s="47"/>
      <c r="D32" s="1053" t="s">
        <v>28</v>
      </c>
      <c r="E32" s="1014" t="s">
        <v>186</v>
      </c>
      <c r="F32" s="152" t="s">
        <v>159</v>
      </c>
      <c r="G32" s="1439" t="s">
        <v>152</v>
      </c>
      <c r="H32" s="56" t="s">
        <v>19</v>
      </c>
      <c r="I32" s="449">
        <f>300+5+27+14-50</f>
        <v>296</v>
      </c>
      <c r="J32" s="180"/>
      <c r="K32" s="109">
        <v>50</v>
      </c>
      <c r="L32" s="512"/>
      <c r="M32" s="1440" t="s">
        <v>223</v>
      </c>
      <c r="N32" s="631">
        <v>45</v>
      </c>
      <c r="O32" s="559">
        <v>95</v>
      </c>
      <c r="P32" s="559">
        <v>100</v>
      </c>
      <c r="Q32" s="64"/>
    </row>
    <row r="33" spans="1:18" ht="14.1" customHeight="1" x14ac:dyDescent="0.2">
      <c r="A33" s="1028"/>
      <c r="B33" s="1029"/>
      <c r="C33" s="47"/>
      <c r="D33" s="1053"/>
      <c r="E33" s="1014"/>
      <c r="F33" s="331" t="s">
        <v>204</v>
      </c>
      <c r="G33" s="1437"/>
      <c r="H33" s="385" t="s">
        <v>44</v>
      </c>
      <c r="I33" s="448">
        <f>111.6+5+250</f>
        <v>366.6</v>
      </c>
      <c r="J33" s="374">
        <v>900</v>
      </c>
      <c r="K33" s="191"/>
      <c r="L33" s="352"/>
      <c r="M33" s="1441"/>
      <c r="N33" s="631"/>
      <c r="O33" s="559"/>
      <c r="P33" s="559"/>
      <c r="Q33" s="64"/>
    </row>
    <row r="34" spans="1:18" ht="14.1" customHeight="1" x14ac:dyDescent="0.2">
      <c r="A34" s="1028"/>
      <c r="B34" s="1029"/>
      <c r="C34" s="47"/>
      <c r="D34" s="1053"/>
      <c r="E34" s="1014"/>
      <c r="F34" s="120" t="s">
        <v>123</v>
      </c>
      <c r="G34" s="1437"/>
      <c r="H34" s="124"/>
      <c r="I34" s="448"/>
      <c r="J34" s="448"/>
      <c r="K34" s="185"/>
      <c r="L34" s="399"/>
      <c r="M34" s="1441"/>
      <c r="N34" s="631"/>
      <c r="O34" s="559"/>
      <c r="P34" s="559"/>
      <c r="Q34" s="64"/>
    </row>
    <row r="35" spans="1:18" ht="14.1" customHeight="1" x14ac:dyDescent="0.2">
      <c r="A35" s="1028"/>
      <c r="B35" s="1029"/>
      <c r="C35" s="47"/>
      <c r="D35" s="1032"/>
      <c r="E35" s="1014"/>
      <c r="F35" s="153" t="s">
        <v>39</v>
      </c>
      <c r="G35" s="1438"/>
      <c r="H35" s="446"/>
      <c r="I35" s="181"/>
      <c r="J35" s="181"/>
      <c r="K35" s="186"/>
      <c r="L35" s="397"/>
      <c r="M35" s="1442"/>
      <c r="N35" s="631"/>
      <c r="O35" s="559"/>
      <c r="P35" s="559"/>
      <c r="Q35" s="64"/>
    </row>
    <row r="36" spans="1:18" ht="16.5" customHeight="1" x14ac:dyDescent="0.2">
      <c r="A36" s="1028"/>
      <c r="B36" s="1029"/>
      <c r="C36" s="47"/>
      <c r="D36" s="102" t="s">
        <v>29</v>
      </c>
      <c r="E36" s="1412" t="s">
        <v>194</v>
      </c>
      <c r="F36" s="168" t="s">
        <v>195</v>
      </c>
      <c r="G36" s="1437" t="s">
        <v>350</v>
      </c>
      <c r="H36" s="405" t="s">
        <v>44</v>
      </c>
      <c r="I36" s="184">
        <f>500+350+200+1027.1</f>
        <v>2077.1</v>
      </c>
      <c r="J36" s="449">
        <v>1030</v>
      </c>
      <c r="K36" s="184"/>
      <c r="L36" s="512"/>
      <c r="M36" s="1082" t="s">
        <v>223</v>
      </c>
      <c r="N36" s="23">
        <v>75</v>
      </c>
      <c r="O36" s="565">
        <v>100</v>
      </c>
      <c r="P36" s="565"/>
      <c r="Q36" s="238"/>
    </row>
    <row r="37" spans="1:18" ht="15.6" customHeight="1" x14ac:dyDescent="0.2">
      <c r="A37" s="1028"/>
      <c r="B37" s="1029"/>
      <c r="C37" s="47"/>
      <c r="D37" s="1053"/>
      <c r="E37" s="1413"/>
      <c r="F37" s="438" t="s">
        <v>159</v>
      </c>
      <c r="G37" s="1437"/>
      <c r="H37" s="124" t="s">
        <v>19</v>
      </c>
      <c r="I37" s="191">
        <f>200+622.9</f>
        <v>822.9</v>
      </c>
      <c r="J37" s="448"/>
      <c r="K37" s="191"/>
      <c r="L37" s="352"/>
      <c r="M37" s="1083"/>
      <c r="N37" s="13"/>
      <c r="O37" s="116"/>
      <c r="P37" s="116"/>
      <c r="Q37" s="337"/>
    </row>
    <row r="38" spans="1:18" ht="15.6" customHeight="1" x14ac:dyDescent="0.2">
      <c r="A38" s="1028"/>
      <c r="B38" s="1029"/>
      <c r="C38" s="47"/>
      <c r="D38" s="1053"/>
      <c r="E38" s="1014"/>
      <c r="F38" s="331" t="s">
        <v>39</v>
      </c>
      <c r="G38" s="1437"/>
      <c r="H38" s="124"/>
      <c r="I38" s="448"/>
      <c r="J38" s="448"/>
      <c r="K38" s="185"/>
      <c r="L38" s="512"/>
      <c r="M38" s="1083"/>
      <c r="N38" s="13"/>
      <c r="O38" s="116"/>
      <c r="P38" s="116"/>
      <c r="Q38" s="337"/>
    </row>
    <row r="39" spans="1:18" ht="40.5" customHeight="1" x14ac:dyDescent="0.2">
      <c r="A39" s="1028"/>
      <c r="B39" s="1029"/>
      <c r="C39" s="47"/>
      <c r="D39" s="1032"/>
      <c r="E39" s="1014"/>
      <c r="F39" s="331" t="s">
        <v>204</v>
      </c>
      <c r="G39" s="1437"/>
      <c r="H39" s="446"/>
      <c r="I39" s="181"/>
      <c r="J39" s="448"/>
      <c r="K39" s="185"/>
      <c r="L39" s="512"/>
      <c r="M39" s="1084"/>
      <c r="N39" s="13"/>
      <c r="O39" s="116"/>
      <c r="P39" s="116"/>
      <c r="Q39" s="337"/>
    </row>
    <row r="40" spans="1:18" ht="19.350000000000001" customHeight="1" x14ac:dyDescent="0.2">
      <c r="A40" s="1028"/>
      <c r="B40" s="1029"/>
      <c r="C40" s="47"/>
      <c r="D40" s="102" t="s">
        <v>22</v>
      </c>
      <c r="E40" s="1412" t="s">
        <v>203</v>
      </c>
      <c r="F40" s="168" t="s">
        <v>39</v>
      </c>
      <c r="G40" s="1439" t="s">
        <v>152</v>
      </c>
      <c r="H40" s="405" t="s">
        <v>44</v>
      </c>
      <c r="I40" s="180">
        <f>625-150</f>
        <v>475</v>
      </c>
      <c r="J40" s="180">
        <f>895.2-50</f>
        <v>845.2</v>
      </c>
      <c r="K40" s="184"/>
      <c r="L40" s="172"/>
      <c r="M40" s="1083" t="s">
        <v>223</v>
      </c>
      <c r="N40" s="23">
        <v>30</v>
      </c>
      <c r="O40" s="565">
        <v>60</v>
      </c>
      <c r="P40" s="565">
        <v>100</v>
      </c>
      <c r="Q40" s="238"/>
    </row>
    <row r="41" spans="1:18" ht="19.350000000000001" customHeight="1" x14ac:dyDescent="0.2">
      <c r="A41" s="1028"/>
      <c r="B41" s="1029"/>
      <c r="C41" s="47"/>
      <c r="D41" s="102"/>
      <c r="E41" s="1413"/>
      <c r="F41" s="438" t="s">
        <v>159</v>
      </c>
      <c r="G41" s="1437"/>
      <c r="H41" s="124" t="s">
        <v>19</v>
      </c>
      <c r="I41" s="666">
        <f>150+50</f>
        <v>200</v>
      </c>
      <c r="J41" s="374"/>
      <c r="K41" s="191">
        <v>1139.2</v>
      </c>
      <c r="L41" s="352"/>
      <c r="M41" s="1083"/>
      <c r="N41" s="13"/>
      <c r="O41" s="116"/>
      <c r="P41" s="116"/>
      <c r="Q41" s="337"/>
    </row>
    <row r="42" spans="1:18" ht="19.350000000000001" customHeight="1" x14ac:dyDescent="0.2">
      <c r="A42" s="1028"/>
      <c r="B42" s="1029"/>
      <c r="C42" s="47"/>
      <c r="D42" s="102"/>
      <c r="E42" s="1414"/>
      <c r="F42" s="471" t="s">
        <v>204</v>
      </c>
      <c r="G42" s="1438"/>
      <c r="H42" s="446"/>
      <c r="I42" s="181"/>
      <c r="J42" s="181"/>
      <c r="K42" s="186"/>
      <c r="L42" s="397"/>
      <c r="M42" s="1021"/>
      <c r="N42" s="13"/>
      <c r="O42" s="116"/>
      <c r="P42" s="116"/>
      <c r="Q42" s="337"/>
    </row>
    <row r="43" spans="1:18" ht="30" customHeight="1" x14ac:dyDescent="0.2">
      <c r="A43" s="1434"/>
      <c r="B43" s="1435"/>
      <c r="C43" s="1436"/>
      <c r="D43" s="1409" t="s">
        <v>30</v>
      </c>
      <c r="E43" s="1412" t="s">
        <v>237</v>
      </c>
      <c r="F43" s="1016" t="s">
        <v>327</v>
      </c>
      <c r="G43" s="1034" t="s">
        <v>351</v>
      </c>
      <c r="H43" s="56" t="s">
        <v>19</v>
      </c>
      <c r="I43" s="447"/>
      <c r="J43" s="180"/>
      <c r="K43" s="184">
        <v>30</v>
      </c>
      <c r="L43" s="334">
        <v>100</v>
      </c>
      <c r="M43" s="616" t="s">
        <v>243</v>
      </c>
      <c r="N43" s="335">
        <v>100</v>
      </c>
      <c r="O43" s="579"/>
      <c r="P43" s="254"/>
      <c r="Q43" s="100"/>
    </row>
    <row r="44" spans="1:18" ht="15.6" customHeight="1" x14ac:dyDescent="0.2">
      <c r="A44" s="1434"/>
      <c r="B44" s="1435"/>
      <c r="C44" s="1436"/>
      <c r="D44" s="1410"/>
      <c r="E44" s="1413"/>
      <c r="F44" s="1017" t="s">
        <v>159</v>
      </c>
      <c r="G44" s="1437" t="s">
        <v>352</v>
      </c>
      <c r="H44" s="124"/>
      <c r="I44" s="119"/>
      <c r="J44" s="448"/>
      <c r="K44" s="185"/>
      <c r="L44" s="512"/>
      <c r="M44" s="774" t="s">
        <v>307</v>
      </c>
      <c r="N44" s="345"/>
      <c r="O44" s="486"/>
      <c r="P44" s="974">
        <v>1</v>
      </c>
      <c r="Q44" s="755"/>
      <c r="R44" s="488"/>
    </row>
    <row r="45" spans="1:18" ht="15.6" customHeight="1" x14ac:dyDescent="0.2">
      <c r="A45" s="1434"/>
      <c r="B45" s="1435"/>
      <c r="C45" s="1436"/>
      <c r="D45" s="1411"/>
      <c r="E45" s="1414"/>
      <c r="F45" s="120" t="s">
        <v>204</v>
      </c>
      <c r="G45" s="1438"/>
      <c r="H45" s="1091"/>
      <c r="I45" s="115"/>
      <c r="J45" s="181"/>
      <c r="K45" s="186"/>
      <c r="L45" s="397"/>
      <c r="M45" s="606" t="s">
        <v>65</v>
      </c>
      <c r="N45" s="341"/>
      <c r="O45" s="275"/>
      <c r="P45" s="344"/>
      <c r="Q45" s="353">
        <v>1</v>
      </c>
    </row>
    <row r="46" spans="1:18" ht="27" customHeight="1" x14ac:dyDescent="0.2">
      <c r="A46" s="1434"/>
      <c r="B46" s="1435"/>
      <c r="C46" s="1436"/>
      <c r="D46" s="1409" t="s">
        <v>23</v>
      </c>
      <c r="E46" s="1412" t="s">
        <v>318</v>
      </c>
      <c r="F46" s="1016" t="s">
        <v>137</v>
      </c>
      <c r="G46" s="1034" t="s">
        <v>236</v>
      </c>
      <c r="H46" s="1036" t="s">
        <v>19</v>
      </c>
      <c r="I46" s="373"/>
      <c r="J46" s="448"/>
      <c r="K46" s="450"/>
      <c r="L46" s="375">
        <f>450-345</f>
        <v>105</v>
      </c>
      <c r="M46" s="616" t="s">
        <v>223</v>
      </c>
      <c r="N46" s="335"/>
      <c r="O46" s="579"/>
      <c r="P46" s="254"/>
      <c r="Q46" s="70">
        <v>5</v>
      </c>
    </row>
    <row r="47" spans="1:18" ht="15.6" customHeight="1" x14ac:dyDescent="0.2">
      <c r="A47" s="1434"/>
      <c r="B47" s="1435"/>
      <c r="C47" s="1436"/>
      <c r="D47" s="1410"/>
      <c r="E47" s="1413"/>
      <c r="F47" s="1017" t="s">
        <v>159</v>
      </c>
      <c r="G47" s="1437"/>
      <c r="H47" s="385" t="s">
        <v>215</v>
      </c>
      <c r="I47" s="119"/>
      <c r="J47" s="374"/>
      <c r="K47" s="185"/>
      <c r="L47" s="512">
        <f>1050-816.6</f>
        <v>233.4</v>
      </c>
      <c r="M47" s="606"/>
      <c r="N47" s="341"/>
      <c r="O47" s="344"/>
      <c r="P47" s="344"/>
      <c r="Q47" s="353"/>
    </row>
    <row r="48" spans="1:18" ht="31.5" customHeight="1" x14ac:dyDescent="0.2">
      <c r="A48" s="1434"/>
      <c r="B48" s="1435"/>
      <c r="C48" s="1436"/>
      <c r="D48" s="1411"/>
      <c r="E48" s="1414"/>
      <c r="F48" s="503" t="s">
        <v>304</v>
      </c>
      <c r="G48" s="1438"/>
      <c r="H48" s="1091"/>
      <c r="I48" s="115"/>
      <c r="J48" s="448"/>
      <c r="K48" s="186"/>
      <c r="L48" s="397"/>
      <c r="M48" s="617"/>
      <c r="N48" s="454"/>
      <c r="O48" s="597"/>
      <c r="P48" s="597"/>
      <c r="Q48" s="501"/>
    </row>
    <row r="49" spans="1:18" ht="15.6" customHeight="1" x14ac:dyDescent="0.2">
      <c r="A49" s="1028"/>
      <c r="B49" s="1029"/>
      <c r="C49" s="1030"/>
      <c r="D49" s="1053" t="s">
        <v>49</v>
      </c>
      <c r="E49" s="1413" t="s">
        <v>71</v>
      </c>
      <c r="F49" s="332" t="s">
        <v>204</v>
      </c>
      <c r="G49" s="1439" t="s">
        <v>154</v>
      </c>
      <c r="H49" s="23" t="s">
        <v>19</v>
      </c>
      <c r="I49" s="180">
        <v>160.5</v>
      </c>
      <c r="J49" s="180">
        <f>196.9-36.4</f>
        <v>160.5</v>
      </c>
      <c r="K49" s="185">
        <f>196.9-36.4</f>
        <v>160.5</v>
      </c>
      <c r="L49" s="512">
        <f>196.9-36.4</f>
        <v>160.5</v>
      </c>
      <c r="M49" s="618" t="s">
        <v>108</v>
      </c>
      <c r="N49" s="373">
        <v>6.3</v>
      </c>
      <c r="O49" s="598">
        <v>6.3</v>
      </c>
      <c r="P49" s="598">
        <v>6.3</v>
      </c>
      <c r="Q49" s="129">
        <v>6.3</v>
      </c>
    </row>
    <row r="50" spans="1:18" ht="15.6" customHeight="1" x14ac:dyDescent="0.2">
      <c r="A50" s="1028"/>
      <c r="B50" s="1029"/>
      <c r="C50" s="1030"/>
      <c r="D50" s="1053"/>
      <c r="E50" s="1413"/>
      <c r="F50" s="429"/>
      <c r="G50" s="1437"/>
      <c r="H50" s="13"/>
      <c r="I50" s="448"/>
      <c r="J50" s="448"/>
      <c r="K50" s="185"/>
      <c r="L50" s="512"/>
      <c r="M50" s="1059" t="s">
        <v>122</v>
      </c>
      <c r="N50" s="455">
        <v>387</v>
      </c>
      <c r="O50" s="576">
        <v>387</v>
      </c>
      <c r="P50" s="576">
        <v>387</v>
      </c>
      <c r="Q50" s="82">
        <v>387</v>
      </c>
    </row>
    <row r="51" spans="1:18" ht="15.6" customHeight="1" x14ac:dyDescent="0.2">
      <c r="A51" s="1434"/>
      <c r="B51" s="1443"/>
      <c r="C51" s="1436"/>
      <c r="D51" s="1409" t="s">
        <v>96</v>
      </c>
      <c r="E51" s="1412" t="s">
        <v>24</v>
      </c>
      <c r="F51" s="332" t="s">
        <v>204</v>
      </c>
      <c r="G51" s="1437"/>
      <c r="H51" s="56" t="s">
        <v>19</v>
      </c>
      <c r="I51" s="180">
        <f>74.2+9.3</f>
        <v>83.5</v>
      </c>
      <c r="J51" s="180">
        <v>74.3</v>
      </c>
      <c r="K51" s="184">
        <v>74.3</v>
      </c>
      <c r="L51" s="334">
        <v>74.3</v>
      </c>
      <c r="M51" s="618" t="s">
        <v>26</v>
      </c>
      <c r="N51" s="335">
        <v>8</v>
      </c>
      <c r="O51" s="579">
        <v>8</v>
      </c>
      <c r="P51" s="579">
        <v>8</v>
      </c>
      <c r="Q51" s="101">
        <v>8</v>
      </c>
    </row>
    <row r="52" spans="1:18" ht="15.6" customHeight="1" x14ac:dyDescent="0.2">
      <c r="A52" s="1434"/>
      <c r="B52" s="1443"/>
      <c r="C52" s="1436"/>
      <c r="D52" s="1410"/>
      <c r="E52" s="1413"/>
      <c r="F52" s="332"/>
      <c r="G52" s="1437"/>
      <c r="H52" s="110"/>
      <c r="I52" s="408"/>
      <c r="J52" s="408"/>
      <c r="K52" s="406"/>
      <c r="L52" s="775"/>
      <c r="M52" s="495" t="s">
        <v>205</v>
      </c>
      <c r="N52" s="327">
        <v>18</v>
      </c>
      <c r="O52" s="325">
        <v>18</v>
      </c>
      <c r="P52" s="325">
        <v>18</v>
      </c>
      <c r="Q52" s="166">
        <v>18</v>
      </c>
    </row>
    <row r="53" spans="1:18" ht="17.25" customHeight="1" x14ac:dyDescent="0.2">
      <c r="A53" s="1434"/>
      <c r="B53" s="1443"/>
      <c r="C53" s="1436"/>
      <c r="D53" s="1410"/>
      <c r="E53" s="1413"/>
      <c r="F53" s="332"/>
      <c r="G53" s="150"/>
      <c r="H53" s="124" t="s">
        <v>19</v>
      </c>
      <c r="I53" s="177"/>
      <c r="J53" s="193">
        <v>40</v>
      </c>
      <c r="K53" s="363"/>
      <c r="L53" s="512"/>
      <c r="M53" s="495" t="s">
        <v>187</v>
      </c>
      <c r="N53" s="327"/>
      <c r="O53" s="325">
        <v>1</v>
      </c>
      <c r="P53" s="325"/>
      <c r="Q53" s="166"/>
    </row>
    <row r="54" spans="1:18" ht="15" customHeight="1" x14ac:dyDescent="0.2">
      <c r="A54" s="1434"/>
      <c r="B54" s="1443"/>
      <c r="C54" s="1436"/>
      <c r="D54" s="1410"/>
      <c r="E54" s="1413"/>
      <c r="F54" s="332"/>
      <c r="G54" s="150"/>
      <c r="H54" s="371" t="s">
        <v>19</v>
      </c>
      <c r="I54" s="527"/>
      <c r="J54" s="408"/>
      <c r="K54" s="406">
        <v>100</v>
      </c>
      <c r="L54" s="364"/>
      <c r="M54" s="1051" t="s">
        <v>224</v>
      </c>
      <c r="N54" s="216"/>
      <c r="O54" s="344"/>
      <c r="P54" s="344">
        <v>100</v>
      </c>
      <c r="Q54" s="65"/>
    </row>
    <row r="55" spans="1:18" ht="15.6" customHeight="1" x14ac:dyDescent="0.2">
      <c r="A55" s="1434"/>
      <c r="B55" s="1443"/>
      <c r="C55" s="1436"/>
      <c r="D55" s="1410"/>
      <c r="E55" s="1413"/>
      <c r="F55" s="78"/>
      <c r="G55" s="150"/>
      <c r="H55" s="446"/>
      <c r="I55" s="30"/>
      <c r="J55" s="448"/>
      <c r="K55" s="185"/>
      <c r="L55" s="397"/>
      <c r="M55" s="619" t="s">
        <v>197</v>
      </c>
      <c r="N55" s="464">
        <v>3</v>
      </c>
      <c r="O55" s="593"/>
      <c r="P55" s="593"/>
      <c r="Q55" s="83"/>
    </row>
    <row r="56" spans="1:18" ht="18" customHeight="1" x14ac:dyDescent="0.2">
      <c r="A56" s="1028"/>
      <c r="B56" s="1029"/>
      <c r="C56" s="1030"/>
      <c r="D56" s="1409" t="s">
        <v>140</v>
      </c>
      <c r="E56" s="1412" t="s">
        <v>25</v>
      </c>
      <c r="F56" s="155" t="s">
        <v>204</v>
      </c>
      <c r="G56" s="1019"/>
      <c r="H56" s="393" t="s">
        <v>19</v>
      </c>
      <c r="I56" s="449">
        <v>178.4</v>
      </c>
      <c r="J56" s="180">
        <f>209.1-25</f>
        <v>184.1</v>
      </c>
      <c r="K56" s="184">
        <v>107</v>
      </c>
      <c r="L56" s="512">
        <v>115.7</v>
      </c>
      <c r="M56" s="620" t="s">
        <v>98</v>
      </c>
      <c r="N56" s="215"/>
      <c r="O56" s="581"/>
      <c r="P56" s="581"/>
      <c r="Q56" s="70"/>
    </row>
    <row r="57" spans="1:18" ht="27" customHeight="1" x14ac:dyDescent="0.2">
      <c r="A57" s="1028"/>
      <c r="B57" s="1029"/>
      <c r="C57" s="1030"/>
      <c r="D57" s="1410"/>
      <c r="E57" s="1444"/>
      <c r="F57" s="148"/>
      <c r="G57" s="1019"/>
      <c r="H57" s="385" t="s">
        <v>44</v>
      </c>
      <c r="I57" s="396">
        <v>20.2</v>
      </c>
      <c r="J57" s="374"/>
      <c r="K57" s="191"/>
      <c r="L57" s="352"/>
      <c r="M57" s="1060" t="s">
        <v>99</v>
      </c>
      <c r="N57" s="583">
        <v>50</v>
      </c>
      <c r="O57" s="584"/>
      <c r="P57" s="584"/>
      <c r="Q57" s="71"/>
    </row>
    <row r="58" spans="1:18" ht="30" customHeight="1" x14ac:dyDescent="0.2">
      <c r="A58" s="1028"/>
      <c r="B58" s="1029"/>
      <c r="C58" s="1030"/>
      <c r="D58" s="1410"/>
      <c r="E58" s="1444"/>
      <c r="F58" s="148"/>
      <c r="G58" s="1019"/>
      <c r="H58" s="124"/>
      <c r="I58" s="119"/>
      <c r="J58" s="448"/>
      <c r="K58" s="185"/>
      <c r="L58" s="29"/>
      <c r="M58" s="1060" t="s">
        <v>319</v>
      </c>
      <c r="N58" s="769"/>
      <c r="O58" s="584">
        <v>30</v>
      </c>
      <c r="P58" s="584">
        <v>30</v>
      </c>
      <c r="Q58" s="71">
        <v>30</v>
      </c>
    </row>
    <row r="59" spans="1:18" ht="15" customHeight="1" x14ac:dyDescent="0.2">
      <c r="A59" s="1028"/>
      <c r="B59" s="1029"/>
      <c r="C59" s="1030"/>
      <c r="D59" s="1410"/>
      <c r="E59" s="1444"/>
      <c r="F59" s="1445"/>
      <c r="G59" s="1019"/>
      <c r="H59" s="124"/>
      <c r="I59" s="119"/>
      <c r="J59" s="448"/>
      <c r="K59" s="185"/>
      <c r="L59" s="512"/>
      <c r="M59" s="495" t="s">
        <v>283</v>
      </c>
      <c r="N59" s="583">
        <v>30</v>
      </c>
      <c r="O59" s="584">
        <v>30</v>
      </c>
      <c r="P59" s="584">
        <v>30</v>
      </c>
      <c r="Q59" s="71">
        <v>30</v>
      </c>
    </row>
    <row r="60" spans="1:18" ht="15" customHeight="1" x14ac:dyDescent="0.2">
      <c r="A60" s="1028"/>
      <c r="B60" s="1029"/>
      <c r="C60" s="1030"/>
      <c r="D60" s="1410"/>
      <c r="E60" s="1444"/>
      <c r="F60" s="1445"/>
      <c r="G60" s="1019"/>
      <c r="H60" s="124"/>
      <c r="I60" s="119"/>
      <c r="J60" s="448"/>
      <c r="K60" s="185"/>
      <c r="L60" s="399"/>
      <c r="M60" s="621" t="s">
        <v>100</v>
      </c>
      <c r="N60" s="585"/>
      <c r="O60" s="475"/>
      <c r="P60" s="475"/>
      <c r="Q60" s="84"/>
    </row>
    <row r="61" spans="1:18" ht="13.5" customHeight="1" x14ac:dyDescent="0.2">
      <c r="A61" s="1028"/>
      <c r="B61" s="1029"/>
      <c r="C61" s="1030"/>
      <c r="D61" s="1410"/>
      <c r="E61" s="36"/>
      <c r="F61" s="1445"/>
      <c r="G61" s="1019"/>
      <c r="H61" s="124"/>
      <c r="I61" s="119"/>
      <c r="J61" s="448"/>
      <c r="K61" s="109"/>
      <c r="L61" s="512"/>
      <c r="M61" s="1060" t="s">
        <v>68</v>
      </c>
      <c r="N61" s="583">
        <v>6</v>
      </c>
      <c r="O61" s="584"/>
      <c r="P61" s="584"/>
      <c r="Q61" s="71"/>
    </row>
    <row r="62" spans="1:18" s="3" customFormat="1" ht="13.5" customHeight="1" x14ac:dyDescent="0.2">
      <c r="A62" s="1028"/>
      <c r="B62" s="1029"/>
      <c r="C62" s="1030"/>
      <c r="D62" s="1410"/>
      <c r="E62" s="36"/>
      <c r="F62" s="1445"/>
      <c r="G62" s="178"/>
      <c r="H62" s="119"/>
      <c r="I62" s="512"/>
      <c r="J62" s="378"/>
      <c r="K62" s="36"/>
      <c r="L62" s="36"/>
      <c r="M62" s="717" t="s">
        <v>27</v>
      </c>
      <c r="N62" s="614"/>
      <c r="O62" s="607">
        <f>40+15</f>
        <v>55</v>
      </c>
      <c r="P62" s="10"/>
      <c r="Q62" s="852">
        <v>20</v>
      </c>
      <c r="R62" s="488"/>
    </row>
    <row r="63" spans="1:18" s="3" customFormat="1" ht="13.5" customHeight="1" x14ac:dyDescent="0.2">
      <c r="A63" s="1028"/>
      <c r="B63" s="1029"/>
      <c r="C63" s="1030"/>
      <c r="D63" s="1410"/>
      <c r="E63" s="36"/>
      <c r="F63" s="1445"/>
      <c r="G63" s="178"/>
      <c r="H63" s="119"/>
      <c r="I63" s="512"/>
      <c r="J63" s="378"/>
      <c r="K63" s="36"/>
      <c r="L63" s="749"/>
      <c r="M63" s="717" t="s">
        <v>269</v>
      </c>
      <c r="N63" s="614"/>
      <c r="O63" s="607">
        <v>100</v>
      </c>
      <c r="P63" s="781"/>
      <c r="Q63" s="640"/>
      <c r="R63" s="2"/>
    </row>
    <row r="64" spans="1:18" ht="13.5" customHeight="1" x14ac:dyDescent="0.2">
      <c r="A64" s="1028"/>
      <c r="B64" s="1029"/>
      <c r="C64" s="1030"/>
      <c r="D64" s="1410"/>
      <c r="E64" s="36"/>
      <c r="F64" s="1445"/>
      <c r="G64" s="1019"/>
      <c r="H64" s="124"/>
      <c r="I64" s="448"/>
      <c r="J64" s="448"/>
      <c r="K64" s="185"/>
      <c r="L64" s="399"/>
      <c r="M64" s="717" t="s">
        <v>57</v>
      </c>
      <c r="N64" s="586">
        <v>35</v>
      </c>
      <c r="O64" s="587">
        <v>50</v>
      </c>
      <c r="P64" s="587">
        <v>20</v>
      </c>
      <c r="Q64" s="350">
        <v>40</v>
      </c>
    </row>
    <row r="65" spans="1:19" s="3" customFormat="1" ht="13.5" customHeight="1" x14ac:dyDescent="0.2">
      <c r="A65" s="1028"/>
      <c r="B65" s="1029"/>
      <c r="C65" s="1030"/>
      <c r="D65" s="1410"/>
      <c r="E65" s="1063"/>
      <c r="F65" s="36"/>
      <c r="G65" s="178"/>
      <c r="H65" s="178"/>
      <c r="I65" s="512"/>
      <c r="J65" s="378"/>
      <c r="K65" s="36"/>
      <c r="M65" s="496" t="s">
        <v>198</v>
      </c>
      <c r="N65" s="173"/>
      <c r="O65" s="629"/>
      <c r="P65" s="10">
        <v>10</v>
      </c>
      <c r="Q65" s="640"/>
      <c r="R65" s="488"/>
    </row>
    <row r="66" spans="1:19" ht="13.5" customHeight="1" x14ac:dyDescent="0.2">
      <c r="A66" s="1028"/>
      <c r="B66" s="1029"/>
      <c r="C66" s="1030"/>
      <c r="D66" s="1410"/>
      <c r="E66" s="36"/>
      <c r="F66" s="148"/>
      <c r="G66" s="1019"/>
      <c r="H66" s="124"/>
      <c r="I66" s="448"/>
      <c r="J66" s="448"/>
      <c r="K66" s="185"/>
      <c r="L66" s="512"/>
      <c r="M66" s="621" t="s">
        <v>101</v>
      </c>
      <c r="N66" s="585"/>
      <c r="O66" s="475"/>
      <c r="P66" s="475"/>
      <c r="Q66" s="84"/>
    </row>
    <row r="67" spans="1:19" ht="13.5" customHeight="1" x14ac:dyDescent="0.2">
      <c r="A67" s="1028"/>
      <c r="B67" s="1029"/>
      <c r="C67" s="1030"/>
      <c r="D67" s="1410"/>
      <c r="E67" s="36"/>
      <c r="F67" s="148"/>
      <c r="G67" s="1019"/>
      <c r="H67" s="124"/>
      <c r="I67" s="448"/>
      <c r="J67" s="448"/>
      <c r="K67" s="109"/>
      <c r="L67" s="512"/>
      <c r="M67" s="1058" t="s">
        <v>86</v>
      </c>
      <c r="N67" s="1080">
        <v>50</v>
      </c>
      <c r="O67" s="1076">
        <v>50</v>
      </c>
      <c r="P67" s="1076">
        <v>50</v>
      </c>
      <c r="Q67" s="1067">
        <v>50</v>
      </c>
    </row>
    <row r="68" spans="1:19" ht="12.75" customHeight="1" x14ac:dyDescent="0.2">
      <c r="A68" s="1028"/>
      <c r="B68" s="1029"/>
      <c r="C68" s="1030"/>
      <c r="D68" s="1410"/>
      <c r="E68" s="36"/>
      <c r="F68" s="148"/>
      <c r="G68" s="1019"/>
      <c r="H68" s="124"/>
      <c r="I68" s="448"/>
      <c r="J68" s="448"/>
      <c r="K68" s="109"/>
      <c r="L68" s="109"/>
      <c r="M68" s="496" t="s">
        <v>85</v>
      </c>
      <c r="N68" s="588">
        <v>160</v>
      </c>
      <c r="O68" s="589">
        <v>150</v>
      </c>
      <c r="P68" s="589">
        <v>150</v>
      </c>
      <c r="Q68" s="349">
        <v>150</v>
      </c>
    </row>
    <row r="69" spans="1:19" ht="17.25" customHeight="1" x14ac:dyDescent="0.2">
      <c r="A69" s="1028"/>
      <c r="B69" s="1029"/>
      <c r="C69" s="1030"/>
      <c r="D69" s="1410"/>
      <c r="E69" s="36"/>
      <c r="F69" s="148"/>
      <c r="G69" s="1019"/>
      <c r="H69" s="124"/>
      <c r="I69" s="448"/>
      <c r="J69" s="448"/>
      <c r="K69" s="109"/>
      <c r="L69" s="109"/>
      <c r="M69" s="810" t="s">
        <v>284</v>
      </c>
      <c r="N69" s="586"/>
      <c r="O69" s="587">
        <v>100</v>
      </c>
      <c r="P69" s="587"/>
      <c r="Q69" s="350"/>
    </row>
    <row r="70" spans="1:19" ht="15.75" customHeight="1" x14ac:dyDescent="0.2">
      <c r="A70" s="1028"/>
      <c r="B70" s="1029"/>
      <c r="C70" s="1030"/>
      <c r="D70" s="1410"/>
      <c r="E70" s="36"/>
      <c r="F70" s="148"/>
      <c r="G70" s="1019"/>
      <c r="H70" s="124"/>
      <c r="I70" s="448"/>
      <c r="J70" s="448"/>
      <c r="K70" s="109"/>
      <c r="L70" s="109"/>
      <c r="M70" s="621" t="s">
        <v>285</v>
      </c>
      <c r="N70" s="590"/>
      <c r="O70" s="882"/>
      <c r="P70" s="882"/>
      <c r="Q70" s="85"/>
    </row>
    <row r="71" spans="1:19" ht="28.5" customHeight="1" x14ac:dyDescent="0.2">
      <c r="A71" s="1028"/>
      <c r="B71" s="1029"/>
      <c r="C71" s="1030"/>
      <c r="D71" s="1410"/>
      <c r="E71" s="36"/>
      <c r="F71" s="148"/>
      <c r="G71" s="1019"/>
      <c r="H71" s="124"/>
      <c r="I71" s="119"/>
      <c r="J71" s="448"/>
      <c r="K71" s="185"/>
      <c r="L71" s="399"/>
      <c r="M71" s="227" t="s">
        <v>126</v>
      </c>
      <c r="N71" s="1080">
        <v>120</v>
      </c>
      <c r="O71" s="1076">
        <v>40</v>
      </c>
      <c r="P71" s="1076">
        <v>40</v>
      </c>
      <c r="Q71" s="1067">
        <v>40</v>
      </c>
    </row>
    <row r="72" spans="1:19" ht="28.5" customHeight="1" x14ac:dyDescent="0.2">
      <c r="A72" s="1028"/>
      <c r="B72" s="1029"/>
      <c r="C72" s="1030"/>
      <c r="D72" s="1410"/>
      <c r="E72" s="36"/>
      <c r="F72" s="148"/>
      <c r="G72" s="1019"/>
      <c r="H72" s="124"/>
      <c r="I72" s="472"/>
      <c r="J72" s="448"/>
      <c r="K72" s="185"/>
      <c r="L72" s="29"/>
      <c r="M72" s="803" t="s">
        <v>270</v>
      </c>
      <c r="N72" s="804"/>
      <c r="O72" s="266">
        <v>50</v>
      </c>
      <c r="P72" s="882">
        <v>50</v>
      </c>
      <c r="Q72" s="85">
        <v>50</v>
      </c>
    </row>
    <row r="73" spans="1:19" ht="28.5" customHeight="1" x14ac:dyDescent="0.2">
      <c r="A73" s="1028"/>
      <c r="B73" s="1029"/>
      <c r="C73" s="1030"/>
      <c r="D73" s="1410"/>
      <c r="E73" s="36"/>
      <c r="F73" s="432"/>
      <c r="G73" s="1048"/>
      <c r="H73" s="446"/>
      <c r="I73" s="472"/>
      <c r="J73" s="181"/>
      <c r="K73" s="186"/>
      <c r="L73" s="397"/>
      <c r="M73" s="717" t="s">
        <v>286</v>
      </c>
      <c r="N73" s="360">
        <v>4.3</v>
      </c>
      <c r="O73" s="358">
        <v>0.4</v>
      </c>
      <c r="P73" s="358">
        <v>0.4</v>
      </c>
      <c r="Q73" s="359">
        <v>0.4</v>
      </c>
    </row>
    <row r="74" spans="1:19" ht="17.100000000000001" customHeight="1" x14ac:dyDescent="0.2">
      <c r="A74" s="1434"/>
      <c r="B74" s="1446"/>
      <c r="C74" s="1436"/>
      <c r="D74" s="1447" t="s">
        <v>139</v>
      </c>
      <c r="E74" s="1412" t="s">
        <v>129</v>
      </c>
      <c r="F74" s="1016" t="s">
        <v>204</v>
      </c>
      <c r="G74" s="1415" t="s">
        <v>55</v>
      </c>
      <c r="H74" s="56" t="s">
        <v>19</v>
      </c>
      <c r="I74" s="413">
        <f>221.6-18.6+17.6</f>
        <v>220.6</v>
      </c>
      <c r="J74" s="975">
        <v>220.5</v>
      </c>
      <c r="K74" s="976">
        <v>256.10000000000002</v>
      </c>
      <c r="L74" s="977">
        <v>283.7</v>
      </c>
      <c r="M74" s="618" t="s">
        <v>75</v>
      </c>
      <c r="N74" s="592">
        <v>208</v>
      </c>
      <c r="O74" s="579">
        <v>220</v>
      </c>
      <c r="P74" s="579">
        <v>237</v>
      </c>
      <c r="Q74" s="100">
        <v>237</v>
      </c>
    </row>
    <row r="75" spans="1:19" ht="29.1" customHeight="1" x14ac:dyDescent="0.2">
      <c r="A75" s="1434"/>
      <c r="B75" s="1446"/>
      <c r="C75" s="1436"/>
      <c r="D75" s="1448"/>
      <c r="E75" s="1413"/>
      <c r="F75" s="147" t="s">
        <v>159</v>
      </c>
      <c r="G75" s="1416"/>
      <c r="H75" s="110"/>
      <c r="I75" s="175"/>
      <c r="J75" s="448"/>
      <c r="K75" s="406"/>
      <c r="L75" s="407"/>
      <c r="M75" s="1059" t="s">
        <v>246</v>
      </c>
      <c r="N75" s="341">
        <v>10</v>
      </c>
      <c r="O75" s="333">
        <v>19</v>
      </c>
      <c r="P75" s="333">
        <v>19</v>
      </c>
      <c r="Q75" s="353">
        <v>19</v>
      </c>
    </row>
    <row r="76" spans="1:19" ht="27.6" customHeight="1" x14ac:dyDescent="0.2">
      <c r="A76" s="1434"/>
      <c r="B76" s="1446"/>
      <c r="C76" s="1436"/>
      <c r="D76" s="1448"/>
      <c r="E76" s="1413"/>
      <c r="F76" s="148"/>
      <c r="G76" s="1416"/>
      <c r="H76" s="371" t="s">
        <v>19</v>
      </c>
      <c r="I76" s="193">
        <v>12.7</v>
      </c>
      <c r="J76" s="193"/>
      <c r="K76" s="185"/>
      <c r="L76" s="399"/>
      <c r="M76" s="496" t="s">
        <v>247</v>
      </c>
      <c r="N76" s="327">
        <v>5</v>
      </c>
      <c r="O76" s="325">
        <v>5</v>
      </c>
      <c r="P76" s="325">
        <v>5</v>
      </c>
      <c r="Q76" s="326">
        <v>5</v>
      </c>
      <c r="R76" s="21"/>
      <c r="S76" s="21"/>
    </row>
    <row r="77" spans="1:19" ht="17.25" customHeight="1" x14ac:dyDescent="0.2">
      <c r="A77" s="1434"/>
      <c r="B77" s="1446"/>
      <c r="C77" s="1436"/>
      <c r="D77" s="1448"/>
      <c r="E77" s="1413"/>
      <c r="F77" s="148"/>
      <c r="G77" s="1416"/>
      <c r="H77" s="371" t="s">
        <v>19</v>
      </c>
      <c r="I77" s="177">
        <v>24.2</v>
      </c>
      <c r="J77" s="193">
        <v>24</v>
      </c>
      <c r="K77" s="363">
        <v>24</v>
      </c>
      <c r="L77" s="364">
        <v>24</v>
      </c>
      <c r="M77" s="495" t="s">
        <v>169</v>
      </c>
      <c r="N77" s="345">
        <v>1</v>
      </c>
      <c r="O77" s="369">
        <v>1</v>
      </c>
      <c r="P77" s="369">
        <v>1</v>
      </c>
      <c r="Q77" s="755">
        <v>1</v>
      </c>
    </row>
    <row r="78" spans="1:19" ht="17.25" customHeight="1" x14ac:dyDescent="0.2">
      <c r="A78" s="1434"/>
      <c r="B78" s="1446"/>
      <c r="C78" s="1436"/>
      <c r="D78" s="1448"/>
      <c r="E78" s="1413"/>
      <c r="F78" s="148"/>
      <c r="G78" s="1416"/>
      <c r="H78" s="124" t="s">
        <v>19</v>
      </c>
      <c r="I78" s="347"/>
      <c r="J78" s="448">
        <f>6+31+14.5-31</f>
        <v>20.5</v>
      </c>
      <c r="K78" s="185">
        <v>31</v>
      </c>
      <c r="L78" s="399"/>
      <c r="M78" s="224" t="s">
        <v>268</v>
      </c>
      <c r="N78" s="216"/>
      <c r="O78" s="344">
        <v>15</v>
      </c>
      <c r="P78" s="344">
        <v>17</v>
      </c>
      <c r="Q78" s="398"/>
    </row>
    <row r="79" spans="1:19" ht="15" customHeight="1" x14ac:dyDescent="0.2">
      <c r="A79" s="1028"/>
      <c r="B79" s="1052"/>
      <c r="C79" s="1030"/>
      <c r="D79" s="1011" t="s">
        <v>141</v>
      </c>
      <c r="E79" s="1412" t="s">
        <v>111</v>
      </c>
      <c r="F79" s="1016" t="s">
        <v>123</v>
      </c>
      <c r="G79" s="1439" t="s">
        <v>151</v>
      </c>
      <c r="H79" s="393" t="s">
        <v>19</v>
      </c>
      <c r="I79" s="406">
        <f>84-71.2</f>
        <v>12.8</v>
      </c>
      <c r="J79" s="996">
        <f>207.4-50-37.4</f>
        <v>120</v>
      </c>
      <c r="K79" s="1008">
        <f>207.3+50+37.4</f>
        <v>294.7</v>
      </c>
      <c r="L79" s="932"/>
      <c r="M79" s="1057" t="s">
        <v>225</v>
      </c>
      <c r="N79" s="215">
        <v>5</v>
      </c>
      <c r="O79" s="581">
        <v>30</v>
      </c>
      <c r="P79" s="581">
        <v>100</v>
      </c>
      <c r="Q79" s="70"/>
    </row>
    <row r="80" spans="1:19" ht="15" customHeight="1" x14ac:dyDescent="0.2">
      <c r="A80" s="1028"/>
      <c r="B80" s="1052"/>
      <c r="C80" s="1030"/>
      <c r="D80" s="1061"/>
      <c r="E80" s="1413"/>
      <c r="F80" s="1017" t="s">
        <v>235</v>
      </c>
      <c r="G80" s="1437"/>
      <c r="H80" s="385" t="s">
        <v>119</v>
      </c>
      <c r="I80" s="191">
        <v>24.5</v>
      </c>
      <c r="J80" s="374">
        <v>24.5</v>
      </c>
      <c r="K80" s="191"/>
      <c r="L80" s="352"/>
      <c r="N80" s="1096"/>
      <c r="O80" s="594"/>
      <c r="P80" s="594"/>
      <c r="Q80" s="1094"/>
    </row>
    <row r="81" spans="1:20" ht="15" customHeight="1" x14ac:dyDescent="0.2">
      <c r="A81" s="1028"/>
      <c r="B81" s="1052"/>
      <c r="C81" s="1030"/>
      <c r="D81" s="1061"/>
      <c r="E81" s="1413"/>
      <c r="F81" s="395" t="s">
        <v>39</v>
      </c>
      <c r="G81" s="1437"/>
      <c r="H81" s="13"/>
      <c r="I81" s="458"/>
      <c r="J81" s="448"/>
      <c r="K81" s="185"/>
      <c r="L81" s="29"/>
      <c r="M81" s="1083"/>
      <c r="N81" s="216"/>
      <c r="O81" s="344"/>
      <c r="P81" s="344"/>
      <c r="Q81" s="65"/>
    </row>
    <row r="82" spans="1:20" ht="15" customHeight="1" x14ac:dyDescent="0.2">
      <c r="A82" s="1028"/>
      <c r="B82" s="1052"/>
      <c r="C82" s="1030"/>
      <c r="D82" s="104"/>
      <c r="E82" s="1414"/>
      <c r="F82" s="394" t="s">
        <v>204</v>
      </c>
      <c r="G82" s="1438"/>
      <c r="H82" s="381"/>
      <c r="I82" s="382"/>
      <c r="J82" s="544"/>
      <c r="K82" s="545"/>
      <c r="L82" s="546"/>
      <c r="M82" s="722"/>
      <c r="N82" s="173"/>
      <c r="O82" s="568"/>
      <c r="P82" s="568"/>
      <c r="Q82" s="491"/>
    </row>
    <row r="83" spans="1:20" ht="40.5" customHeight="1" x14ac:dyDescent="0.2">
      <c r="A83" s="1434"/>
      <c r="B83" s="1446"/>
      <c r="C83" s="1436"/>
      <c r="D83" s="1409" t="s">
        <v>142</v>
      </c>
      <c r="E83" s="1046" t="s">
        <v>176</v>
      </c>
      <c r="F83" s="1016" t="s">
        <v>137</v>
      </c>
      <c r="G83" s="1018" t="s">
        <v>310</v>
      </c>
      <c r="H83" s="754"/>
      <c r="I83" s="613"/>
      <c r="J83" s="180"/>
      <c r="K83" s="184"/>
      <c r="L83" s="334"/>
      <c r="M83" s="622" t="s">
        <v>217</v>
      </c>
      <c r="N83" s="335"/>
      <c r="O83" s="579"/>
      <c r="P83" s="579">
        <v>4</v>
      </c>
      <c r="Q83" s="100">
        <v>4</v>
      </c>
      <c r="R83" s="488"/>
    </row>
    <row r="84" spans="1:20" s="3" customFormat="1" ht="21" customHeight="1" x14ac:dyDescent="0.2">
      <c r="A84" s="1434"/>
      <c r="B84" s="1446"/>
      <c r="C84" s="1436"/>
      <c r="D84" s="1410"/>
      <c r="E84" s="860"/>
      <c r="F84" s="1017" t="s">
        <v>159</v>
      </c>
      <c r="G84" s="1450" t="s">
        <v>154</v>
      </c>
      <c r="H84" s="371" t="s">
        <v>19</v>
      </c>
      <c r="I84" s="871">
        <v>99.1</v>
      </c>
      <c r="J84" s="1070"/>
      <c r="K84" s="307">
        <v>50</v>
      </c>
      <c r="L84" s="326"/>
      <c r="M84" s="1104" t="s">
        <v>217</v>
      </c>
      <c r="N84" s="341">
        <v>2</v>
      </c>
      <c r="O84" s="983">
        <v>2</v>
      </c>
      <c r="P84" s="401">
        <v>1</v>
      </c>
      <c r="Q84" s="926"/>
      <c r="R84" s="924"/>
      <c r="S84" s="925"/>
    </row>
    <row r="85" spans="1:20" s="3" customFormat="1" ht="21" customHeight="1" x14ac:dyDescent="0.2">
      <c r="A85" s="1434"/>
      <c r="B85" s="1446"/>
      <c r="C85" s="1436"/>
      <c r="D85" s="1410"/>
      <c r="E85" s="860"/>
      <c r="F85" s="1017"/>
      <c r="G85" s="1451"/>
      <c r="H85" s="371" t="s">
        <v>44</v>
      </c>
      <c r="I85" s="869"/>
      <c r="J85" s="291">
        <v>99.8</v>
      </c>
      <c r="K85" s="307"/>
      <c r="L85" s="981"/>
      <c r="M85" s="227"/>
      <c r="N85" s="216"/>
      <c r="O85" s="984"/>
      <c r="P85" s="1065"/>
      <c r="Q85" s="985"/>
      <c r="R85" s="924"/>
      <c r="S85" s="925"/>
    </row>
    <row r="86" spans="1:20" s="3" customFormat="1" ht="42" customHeight="1" x14ac:dyDescent="0.2">
      <c r="A86" s="1434"/>
      <c r="B86" s="1446"/>
      <c r="C86" s="1436"/>
      <c r="D86" s="1410"/>
      <c r="E86" s="860"/>
      <c r="F86" s="1017"/>
      <c r="G86" s="336" t="s">
        <v>209</v>
      </c>
      <c r="H86" s="124" t="s">
        <v>44</v>
      </c>
      <c r="I86" s="869"/>
      <c r="J86" s="291">
        <v>30.8</v>
      </c>
      <c r="K86" s="307"/>
      <c r="L86" s="981"/>
      <c r="M86" s="224" t="s">
        <v>217</v>
      </c>
      <c r="N86" s="341"/>
      <c r="O86" s="982">
        <v>1</v>
      </c>
      <c r="P86" s="401"/>
      <c r="Q86" s="926"/>
      <c r="R86" s="924"/>
      <c r="S86" s="925"/>
    </row>
    <row r="87" spans="1:20" ht="41.1" customHeight="1" x14ac:dyDescent="0.2">
      <c r="A87" s="1434"/>
      <c r="B87" s="1446"/>
      <c r="C87" s="1436"/>
      <c r="D87" s="1410"/>
      <c r="E87" s="1049"/>
      <c r="F87" s="1074" t="s">
        <v>204</v>
      </c>
      <c r="G87" s="1035" t="s">
        <v>196</v>
      </c>
      <c r="H87" s="372" t="s">
        <v>19</v>
      </c>
      <c r="I87" s="175"/>
      <c r="J87" s="386">
        <v>12</v>
      </c>
      <c r="K87" s="348"/>
      <c r="L87" s="407"/>
      <c r="M87" s="1058" t="s">
        <v>216</v>
      </c>
      <c r="N87" s="611"/>
      <c r="O87" s="1065">
        <v>1</v>
      </c>
      <c r="P87" s="306"/>
      <c r="Q87" s="696"/>
      <c r="R87" s="488"/>
      <c r="S87" s="783"/>
      <c r="T87" s="441"/>
    </row>
    <row r="88" spans="1:20" ht="19.5" customHeight="1" x14ac:dyDescent="0.2">
      <c r="A88" s="1028"/>
      <c r="B88" s="1052"/>
      <c r="C88" s="1030"/>
      <c r="D88" s="1031" t="s">
        <v>143</v>
      </c>
      <c r="E88" s="1412" t="s">
        <v>276</v>
      </c>
      <c r="F88" s="1016" t="s">
        <v>204</v>
      </c>
      <c r="G88" s="1439" t="s">
        <v>154</v>
      </c>
      <c r="H88" s="23" t="s">
        <v>19</v>
      </c>
      <c r="I88" s="927"/>
      <c r="J88" s="965">
        <f>330-30</f>
        <v>300</v>
      </c>
      <c r="K88" s="966">
        <f>300</f>
        <v>300</v>
      </c>
      <c r="L88" s="334"/>
      <c r="M88" s="622" t="s">
        <v>277</v>
      </c>
      <c r="N88" s="405"/>
      <c r="O88" s="928">
        <v>1</v>
      </c>
      <c r="P88" s="285"/>
      <c r="Q88" s="233"/>
      <c r="R88" s="784"/>
      <c r="T88" s="441"/>
    </row>
    <row r="89" spans="1:20" ht="31.5" customHeight="1" x14ac:dyDescent="0.2">
      <c r="A89" s="1028"/>
      <c r="B89" s="1052"/>
      <c r="C89" s="1030"/>
      <c r="D89" s="1032"/>
      <c r="E89" s="1414"/>
      <c r="F89" s="147" t="s">
        <v>159</v>
      </c>
      <c r="G89" s="1437"/>
      <c r="H89" s="127"/>
      <c r="I89" s="381"/>
      <c r="J89" s="448"/>
      <c r="K89" s="186"/>
      <c r="L89" s="397"/>
      <c r="M89" s="929" t="s">
        <v>230</v>
      </c>
      <c r="N89" s="127"/>
      <c r="O89" s="559">
        <v>1</v>
      </c>
      <c r="P89" s="559">
        <v>1</v>
      </c>
      <c r="Q89" s="111"/>
      <c r="S89" s="783"/>
      <c r="T89" s="3"/>
    </row>
    <row r="90" spans="1:20" ht="20.85" customHeight="1" x14ac:dyDescent="0.2">
      <c r="A90" s="1028"/>
      <c r="B90" s="1052"/>
      <c r="C90" s="1030"/>
      <c r="D90" s="103" t="s">
        <v>144</v>
      </c>
      <c r="E90" s="1412" t="s">
        <v>72</v>
      </c>
      <c r="F90" s="155" t="s">
        <v>159</v>
      </c>
      <c r="G90" s="1437"/>
      <c r="H90" s="56" t="s">
        <v>19</v>
      </c>
      <c r="I90" s="180">
        <v>10</v>
      </c>
      <c r="J90" s="180">
        <v>10</v>
      </c>
      <c r="K90" s="185">
        <v>10</v>
      </c>
      <c r="L90" s="512">
        <v>10</v>
      </c>
      <c r="M90" s="1440" t="s">
        <v>162</v>
      </c>
      <c r="N90" s="609">
        <v>1</v>
      </c>
      <c r="O90" s="569">
        <v>1</v>
      </c>
      <c r="P90" s="569">
        <v>1</v>
      </c>
      <c r="Q90" s="73">
        <v>1</v>
      </c>
      <c r="R90" s="784"/>
      <c r="T90" s="441"/>
    </row>
    <row r="91" spans="1:20" ht="24.75" customHeight="1" x14ac:dyDescent="0.2">
      <c r="A91" s="1028"/>
      <c r="B91" s="1052"/>
      <c r="C91" s="47"/>
      <c r="D91" s="1032"/>
      <c r="E91" s="1414"/>
      <c r="F91" s="1074" t="s">
        <v>204</v>
      </c>
      <c r="G91" s="1437"/>
      <c r="H91" s="409"/>
      <c r="I91" s="181"/>
      <c r="J91" s="448"/>
      <c r="K91" s="185"/>
      <c r="L91" s="512"/>
      <c r="M91" s="1449"/>
      <c r="N91" s="217"/>
      <c r="O91" s="570"/>
      <c r="P91" s="570"/>
      <c r="Q91" s="72"/>
    </row>
    <row r="92" spans="1:20" ht="16.5" customHeight="1" x14ac:dyDescent="0.2">
      <c r="A92" s="1028"/>
      <c r="B92" s="1052"/>
      <c r="C92" s="47"/>
      <c r="D92" s="1031" t="s">
        <v>232</v>
      </c>
      <c r="E92" s="1412" t="s">
        <v>59</v>
      </c>
      <c r="F92" s="440" t="s">
        <v>159</v>
      </c>
      <c r="G92" s="1437"/>
      <c r="H92" s="393" t="s">
        <v>19</v>
      </c>
      <c r="I92" s="410">
        <f>926.7+13.3+31.1+59.3</f>
        <v>1030.4000000000001</v>
      </c>
      <c r="J92" s="180">
        <f>1056.5+107.8</f>
        <v>1164.3</v>
      </c>
      <c r="K92" s="184">
        <f>1056.1+107.8</f>
        <v>1163.9000000000001</v>
      </c>
      <c r="L92" s="375">
        <f>1056.1+107.8</f>
        <v>1163.9000000000001</v>
      </c>
      <c r="M92" s="623" t="s">
        <v>184</v>
      </c>
      <c r="N92" s="633">
        <v>21</v>
      </c>
      <c r="O92" s="571">
        <v>23</v>
      </c>
      <c r="P92" s="571">
        <v>23</v>
      </c>
      <c r="Q92" s="167">
        <v>23</v>
      </c>
      <c r="S92" s="783"/>
    </row>
    <row r="93" spans="1:20" ht="15.75" customHeight="1" x14ac:dyDescent="0.2">
      <c r="A93" s="1028"/>
      <c r="B93" s="1052"/>
      <c r="C93" s="63"/>
      <c r="D93" s="1053"/>
      <c r="E93" s="1413"/>
      <c r="F93" s="147" t="s">
        <v>123</v>
      </c>
      <c r="G93" s="1437"/>
      <c r="H93" s="371" t="s">
        <v>34</v>
      </c>
      <c r="I93" s="374">
        <v>7.7</v>
      </c>
      <c r="J93" s="374">
        <v>7.7</v>
      </c>
      <c r="K93" s="363">
        <v>7.7</v>
      </c>
      <c r="L93" s="364">
        <v>7.7</v>
      </c>
      <c r="M93" s="1062" t="s">
        <v>185</v>
      </c>
      <c r="N93" s="634">
        <v>98</v>
      </c>
      <c r="O93" s="572">
        <v>98</v>
      </c>
      <c r="P93" s="572">
        <v>98</v>
      </c>
      <c r="Q93" s="86">
        <v>98</v>
      </c>
      <c r="R93" s="784"/>
    </row>
    <row r="94" spans="1:20" ht="15.75" customHeight="1" x14ac:dyDescent="0.2">
      <c r="A94" s="1028"/>
      <c r="B94" s="1029"/>
      <c r="C94" s="63"/>
      <c r="D94" s="80"/>
      <c r="E94" s="1413"/>
      <c r="F94" s="1017" t="s">
        <v>204</v>
      </c>
      <c r="G94" s="1437"/>
      <c r="H94" s="371" t="s">
        <v>60</v>
      </c>
      <c r="I94" s="374">
        <v>0.6</v>
      </c>
      <c r="J94" s="193"/>
      <c r="K94" s="185"/>
      <c r="L94" s="399"/>
      <c r="M94" s="508" t="s">
        <v>74</v>
      </c>
      <c r="N94" s="635">
        <v>6</v>
      </c>
      <c r="O94" s="573">
        <v>8</v>
      </c>
      <c r="P94" s="272">
        <v>8</v>
      </c>
      <c r="Q94" s="132">
        <v>8</v>
      </c>
      <c r="R94" s="784"/>
    </row>
    <row r="95" spans="1:20" ht="15.75" customHeight="1" x14ac:dyDescent="0.2">
      <c r="A95" s="1028"/>
      <c r="B95" s="1052"/>
      <c r="C95" s="63"/>
      <c r="D95" s="80"/>
      <c r="E95" s="1413"/>
      <c r="F95" s="122"/>
      <c r="G95" s="1437"/>
      <c r="H95" s="124"/>
      <c r="I95" s="374"/>
      <c r="J95" s="448"/>
      <c r="K95" s="191"/>
      <c r="L95" s="352"/>
      <c r="M95" s="1083" t="s">
        <v>102</v>
      </c>
      <c r="N95" s="635">
        <v>40</v>
      </c>
      <c r="O95" s="573">
        <v>40</v>
      </c>
      <c r="P95" s="573">
        <v>40</v>
      </c>
      <c r="Q95" s="132">
        <v>40</v>
      </c>
    </row>
    <row r="96" spans="1:20" ht="15.75" customHeight="1" x14ac:dyDescent="0.2">
      <c r="A96" s="1028"/>
      <c r="B96" s="1052"/>
      <c r="C96" s="63"/>
      <c r="D96" s="80"/>
      <c r="E96" s="1413"/>
      <c r="F96" s="122"/>
      <c r="G96" s="1437"/>
      <c r="H96" s="124"/>
      <c r="I96" s="448"/>
      <c r="J96" s="448"/>
      <c r="K96" s="185"/>
      <c r="L96" s="399"/>
      <c r="M96" s="508" t="s">
        <v>218</v>
      </c>
      <c r="N96" s="636">
        <v>9</v>
      </c>
      <c r="O96" s="574">
        <v>9</v>
      </c>
      <c r="P96" s="574">
        <v>9</v>
      </c>
      <c r="Q96" s="87">
        <v>9</v>
      </c>
    </row>
    <row r="97" spans="1:24" ht="15" customHeight="1" x14ac:dyDescent="0.2">
      <c r="A97" s="1028"/>
      <c r="B97" s="1052"/>
      <c r="C97" s="63"/>
      <c r="D97" s="80"/>
      <c r="E97" s="1413"/>
      <c r="F97" s="122"/>
      <c r="G97" s="1437"/>
      <c r="H97" s="124"/>
      <c r="I97" s="448"/>
      <c r="J97" s="448"/>
      <c r="K97" s="185"/>
      <c r="L97" s="399"/>
      <c r="M97" s="1432" t="s">
        <v>355</v>
      </c>
      <c r="N97" s="637">
        <v>1</v>
      </c>
      <c r="O97" s="97">
        <v>1</v>
      </c>
      <c r="P97" s="641">
        <v>1</v>
      </c>
      <c r="Q97" s="93">
        <v>1</v>
      </c>
      <c r="S97" s="783"/>
    </row>
    <row r="98" spans="1:24" ht="12.6" customHeight="1" x14ac:dyDescent="0.2">
      <c r="A98" s="1028"/>
      <c r="B98" s="1052"/>
      <c r="C98" s="63"/>
      <c r="D98" s="80"/>
      <c r="E98" s="1043"/>
      <c r="F98" s="122"/>
      <c r="G98" s="1437"/>
      <c r="H98" s="124"/>
      <c r="I98" s="119"/>
      <c r="J98" s="448"/>
      <c r="K98" s="185"/>
      <c r="L98" s="399"/>
      <c r="M98" s="1432"/>
      <c r="N98" s="403"/>
      <c r="O98" s="575"/>
      <c r="P98" s="575"/>
      <c r="Q98" s="500"/>
    </row>
    <row r="99" spans="1:24" ht="15.6" customHeight="1" x14ac:dyDescent="0.2">
      <c r="A99" s="1028"/>
      <c r="B99" s="1052"/>
      <c r="C99" s="63"/>
      <c r="D99" s="80"/>
      <c r="E99" s="1014"/>
      <c r="F99" s="507"/>
      <c r="G99" s="1105"/>
      <c r="H99" s="124" t="s">
        <v>19</v>
      </c>
      <c r="I99" s="448"/>
      <c r="J99" s="448">
        <v>19.100000000000001</v>
      </c>
      <c r="K99" s="185">
        <v>38.200000000000003</v>
      </c>
      <c r="L99" s="109">
        <v>43.9</v>
      </c>
      <c r="M99" s="1059" t="s">
        <v>219</v>
      </c>
      <c r="N99" s="455">
        <v>13</v>
      </c>
      <c r="O99" s="576">
        <v>44</v>
      </c>
      <c r="P99" s="576">
        <v>53</v>
      </c>
      <c r="Q99" s="82">
        <v>74</v>
      </c>
    </row>
    <row r="100" spans="1:24" ht="56.25" customHeight="1" x14ac:dyDescent="0.2">
      <c r="A100" s="1028"/>
      <c r="B100" s="1052"/>
      <c r="C100" s="63"/>
      <c r="D100" s="80"/>
      <c r="E100" s="1014"/>
      <c r="F100" s="507"/>
      <c r="G100" s="1105"/>
      <c r="H100" s="371" t="s">
        <v>19</v>
      </c>
      <c r="I100" s="177"/>
      <c r="J100" s="374">
        <f>29.8+21.4-20.9</f>
        <v>30.3</v>
      </c>
      <c r="K100" s="191">
        <v>67.400000000000006</v>
      </c>
      <c r="L100" s="364">
        <v>63</v>
      </c>
      <c r="M100" s="1059" t="s">
        <v>288</v>
      </c>
      <c r="N100" s="455">
        <v>2</v>
      </c>
      <c r="O100" s="576">
        <v>8</v>
      </c>
      <c r="P100" s="576">
        <v>1</v>
      </c>
      <c r="Q100" s="82">
        <v>1</v>
      </c>
    </row>
    <row r="101" spans="1:24" ht="26.85" customHeight="1" x14ac:dyDescent="0.2">
      <c r="A101" s="1028"/>
      <c r="B101" s="1052"/>
      <c r="C101" s="63"/>
      <c r="D101" s="80"/>
      <c r="E101" s="1014"/>
      <c r="F101" s="507"/>
      <c r="G101" s="1105"/>
      <c r="H101" s="371"/>
      <c r="I101" s="177"/>
      <c r="J101" s="193"/>
      <c r="K101" s="363"/>
      <c r="L101" s="364"/>
      <c r="M101" s="1059" t="s">
        <v>257</v>
      </c>
      <c r="N101" s="455">
        <v>2</v>
      </c>
      <c r="O101" s="576"/>
      <c r="P101" s="576"/>
      <c r="Q101" s="82"/>
      <c r="S101" s="783"/>
    </row>
    <row r="102" spans="1:24" s="164" customFormat="1" ht="26.85" customHeight="1" x14ac:dyDescent="0.2">
      <c r="A102" s="1028"/>
      <c r="B102" s="1052"/>
      <c r="C102" s="1030"/>
      <c r="D102" s="80"/>
      <c r="E102" s="1014"/>
      <c r="F102" s="507"/>
      <c r="G102" s="1105"/>
      <c r="H102" s="371" t="s">
        <v>19</v>
      </c>
      <c r="I102" s="177"/>
      <c r="J102" s="193">
        <v>14</v>
      </c>
      <c r="K102" s="185"/>
      <c r="L102" s="512"/>
      <c r="M102" s="1059" t="s">
        <v>271</v>
      </c>
      <c r="N102" s="455"/>
      <c r="O102" s="265">
        <v>1</v>
      </c>
      <c r="P102" s="267"/>
      <c r="Q102" s="82"/>
      <c r="R102" s="2"/>
      <c r="S102" s="2"/>
      <c r="T102" s="2"/>
      <c r="U102" s="2"/>
      <c r="V102" s="2"/>
      <c r="W102" s="2"/>
      <c r="X102" s="2"/>
    </row>
    <row r="103" spans="1:24" ht="28.5" customHeight="1" x14ac:dyDescent="0.2">
      <c r="A103" s="1028"/>
      <c r="B103" s="1052"/>
      <c r="C103" s="63"/>
      <c r="D103" s="80"/>
      <c r="E103" s="1014"/>
      <c r="F103" s="469"/>
      <c r="G103" s="1105"/>
      <c r="H103" s="124" t="s">
        <v>19</v>
      </c>
      <c r="I103" s="175"/>
      <c r="J103" s="448">
        <f>15.5+17</f>
        <v>32.5</v>
      </c>
      <c r="K103" s="363">
        <v>17</v>
      </c>
      <c r="L103" s="364">
        <v>15.7</v>
      </c>
      <c r="M103" s="1059" t="s">
        <v>287</v>
      </c>
      <c r="N103" s="455">
        <v>6</v>
      </c>
      <c r="O103" s="325">
        <v>2</v>
      </c>
      <c r="P103" s="782">
        <v>1</v>
      </c>
      <c r="Q103" s="642">
        <v>1</v>
      </c>
    </row>
    <row r="104" spans="1:24" ht="15" customHeight="1" x14ac:dyDescent="0.2">
      <c r="A104" s="1028"/>
      <c r="B104" s="1052"/>
      <c r="C104" s="63"/>
      <c r="D104" s="80"/>
      <c r="E104" s="1452" t="s">
        <v>165</v>
      </c>
      <c r="F104" s="1017" t="s">
        <v>137</v>
      </c>
      <c r="G104" s="1019"/>
      <c r="H104" s="385"/>
      <c r="I104" s="448"/>
      <c r="J104" s="374"/>
      <c r="K104" s="185"/>
      <c r="L104" s="399"/>
      <c r="M104" s="465" t="s">
        <v>206</v>
      </c>
      <c r="N104" s="466">
        <v>2</v>
      </c>
      <c r="O104" s="467">
        <v>2</v>
      </c>
      <c r="P104" s="577">
        <v>2</v>
      </c>
      <c r="Q104" s="468">
        <v>2</v>
      </c>
    </row>
    <row r="105" spans="1:24" ht="15" customHeight="1" x14ac:dyDescent="0.2">
      <c r="A105" s="1028"/>
      <c r="B105" s="1052"/>
      <c r="C105" s="63"/>
      <c r="D105" s="80"/>
      <c r="E105" s="1413"/>
      <c r="F105" s="147" t="s">
        <v>123</v>
      </c>
      <c r="G105" s="1019"/>
      <c r="H105" s="124"/>
      <c r="I105" s="472"/>
      <c r="J105" s="448"/>
      <c r="K105" s="185"/>
      <c r="L105" s="29"/>
      <c r="M105" s="806"/>
      <c r="N105" s="13"/>
      <c r="O105" s="116"/>
      <c r="P105" s="187"/>
      <c r="Q105" s="339"/>
    </row>
    <row r="106" spans="1:24" ht="15" customHeight="1" x14ac:dyDescent="0.2">
      <c r="A106" s="1028"/>
      <c r="B106" s="1052"/>
      <c r="C106" s="63"/>
      <c r="D106" s="80"/>
      <c r="E106" s="1413"/>
      <c r="F106" s="1017" t="s">
        <v>204</v>
      </c>
      <c r="G106" s="1019"/>
      <c r="H106" s="124"/>
      <c r="I106" s="448"/>
      <c r="J106" s="448"/>
      <c r="K106" s="185"/>
      <c r="L106" s="399"/>
      <c r="M106" s="805"/>
      <c r="N106" s="461"/>
      <c r="O106" s="270"/>
      <c r="P106" s="462"/>
      <c r="Q106" s="463"/>
    </row>
    <row r="107" spans="1:24" ht="15" customHeight="1" x14ac:dyDescent="0.2">
      <c r="A107" s="1028"/>
      <c r="B107" s="1052"/>
      <c r="C107" s="63"/>
      <c r="D107" s="80"/>
      <c r="E107" s="1414"/>
      <c r="F107" s="1074" t="s">
        <v>235</v>
      </c>
      <c r="G107" s="1035"/>
      <c r="H107" s="446"/>
      <c r="I107" s="181"/>
      <c r="J107" s="448"/>
      <c r="K107" s="185"/>
      <c r="L107" s="512"/>
      <c r="M107" s="624"/>
      <c r="N107" s="460"/>
      <c r="O107" s="578"/>
      <c r="P107" s="578"/>
      <c r="Q107" s="499"/>
    </row>
    <row r="108" spans="1:24" ht="14.85" customHeight="1" x14ac:dyDescent="0.2">
      <c r="A108" s="1434"/>
      <c r="B108" s="1443"/>
      <c r="C108" s="63"/>
      <c r="D108" s="1409" t="s">
        <v>149</v>
      </c>
      <c r="E108" s="1412" t="s">
        <v>109</v>
      </c>
      <c r="F108" s="1017" t="s">
        <v>204</v>
      </c>
      <c r="G108" s="1019"/>
      <c r="H108" s="393" t="s">
        <v>19</v>
      </c>
      <c r="I108" s="180">
        <v>33.6</v>
      </c>
      <c r="J108" s="449">
        <f>42+3.8</f>
        <v>45.8</v>
      </c>
      <c r="K108" s="184">
        <f>+J108</f>
        <v>45.8</v>
      </c>
      <c r="L108" s="334">
        <f>+K108</f>
        <v>45.8</v>
      </c>
      <c r="M108" s="618" t="s">
        <v>81</v>
      </c>
      <c r="N108" s="335">
        <v>2</v>
      </c>
      <c r="O108" s="579">
        <v>2</v>
      </c>
      <c r="P108" s="579">
        <v>2</v>
      </c>
      <c r="Q108" s="101">
        <v>2</v>
      </c>
    </row>
    <row r="109" spans="1:24" ht="14.85" customHeight="1" x14ac:dyDescent="0.2">
      <c r="A109" s="1434"/>
      <c r="B109" s="1443"/>
      <c r="C109" s="63"/>
      <c r="D109" s="1410"/>
      <c r="E109" s="1413"/>
      <c r="F109" s="148"/>
      <c r="G109" s="1019"/>
      <c r="H109" s="411" t="s">
        <v>60</v>
      </c>
      <c r="I109" s="374">
        <v>1.5</v>
      </c>
      <c r="J109" s="448"/>
      <c r="K109" s="363"/>
      <c r="L109" s="352"/>
      <c r="M109" s="1059" t="s">
        <v>185</v>
      </c>
      <c r="N109" s="341">
        <v>5</v>
      </c>
      <c r="O109" s="333">
        <v>5</v>
      </c>
      <c r="P109" s="255">
        <v>5</v>
      </c>
      <c r="Q109" s="74">
        <v>5</v>
      </c>
    </row>
    <row r="110" spans="1:24" ht="14.85" customHeight="1" x14ac:dyDescent="0.2">
      <c r="A110" s="1434"/>
      <c r="B110" s="1443"/>
      <c r="C110" s="63"/>
      <c r="D110" s="1411"/>
      <c r="E110" s="1414"/>
      <c r="F110" s="432"/>
      <c r="G110" s="1019"/>
      <c r="H110" s="372" t="s">
        <v>34</v>
      </c>
      <c r="I110" s="386">
        <v>5</v>
      </c>
      <c r="J110" s="386">
        <v>5</v>
      </c>
      <c r="K110" s="186">
        <v>5</v>
      </c>
      <c r="L110" s="387">
        <v>5</v>
      </c>
      <c r="M110" s="722"/>
      <c r="N110" s="1097"/>
      <c r="O110" s="580"/>
      <c r="P110" s="580"/>
      <c r="Q110" s="1095"/>
    </row>
    <row r="111" spans="1:24" ht="15" customHeight="1" x14ac:dyDescent="0.2">
      <c r="A111" s="1028"/>
      <c r="B111" s="1052"/>
      <c r="C111" s="63"/>
      <c r="D111" s="102" t="s">
        <v>156</v>
      </c>
      <c r="E111" s="1413" t="s">
        <v>48</v>
      </c>
      <c r="F111" s="1017" t="s">
        <v>204</v>
      </c>
      <c r="G111" s="1019"/>
      <c r="H111" s="56" t="s">
        <v>34</v>
      </c>
      <c r="I111" s="449">
        <v>21</v>
      </c>
      <c r="J111" s="448">
        <v>21</v>
      </c>
      <c r="K111" s="450">
        <v>21</v>
      </c>
      <c r="L111" s="29">
        <v>21</v>
      </c>
      <c r="M111" s="1020" t="s">
        <v>184</v>
      </c>
      <c r="N111" s="215">
        <v>2</v>
      </c>
      <c r="O111" s="581">
        <v>2</v>
      </c>
      <c r="P111" s="581">
        <v>2</v>
      </c>
      <c r="Q111" s="70">
        <v>2</v>
      </c>
    </row>
    <row r="112" spans="1:24" ht="15" customHeight="1" x14ac:dyDescent="0.2">
      <c r="A112" s="1028"/>
      <c r="B112" s="1052"/>
      <c r="C112" s="47"/>
      <c r="D112" s="1053"/>
      <c r="E112" s="1414"/>
      <c r="F112" s="429"/>
      <c r="G112" s="1019"/>
      <c r="H112" s="412" t="s">
        <v>60</v>
      </c>
      <c r="I112" s="181">
        <v>0.8</v>
      </c>
      <c r="J112" s="386"/>
      <c r="K112" s="186"/>
      <c r="L112" s="387"/>
      <c r="M112" s="1021"/>
      <c r="N112" s="217"/>
      <c r="O112" s="570"/>
      <c r="P112" s="570"/>
      <c r="Q112" s="72"/>
    </row>
    <row r="113" spans="1:21" s="3" customFormat="1" ht="31.5" customHeight="1" x14ac:dyDescent="0.2">
      <c r="A113" s="1028"/>
      <c r="B113" s="1052"/>
      <c r="C113" s="47"/>
      <c r="D113" s="1031" t="s">
        <v>112</v>
      </c>
      <c r="E113" s="1412" t="s">
        <v>207</v>
      </c>
      <c r="F113" s="956" t="s">
        <v>328</v>
      </c>
      <c r="G113" s="399"/>
      <c r="H113" s="373" t="s">
        <v>19</v>
      </c>
      <c r="I113" s="373"/>
      <c r="J113" s="997">
        <f>300-100</f>
        <v>200</v>
      </c>
      <c r="K113" s="998">
        <f>305+100</f>
        <v>405</v>
      </c>
      <c r="L113" s="957"/>
      <c r="M113" s="230" t="s">
        <v>293</v>
      </c>
      <c r="N113" s="377"/>
      <c r="O113" s="279">
        <v>30</v>
      </c>
      <c r="P113" s="274">
        <v>100</v>
      </c>
      <c r="Q113" s="830"/>
      <c r="R113" s="488"/>
    </row>
    <row r="114" spans="1:21" s="3" customFormat="1" ht="29.85" customHeight="1" x14ac:dyDescent="0.2">
      <c r="A114" s="1028"/>
      <c r="B114" s="1052"/>
      <c r="C114" s="47"/>
      <c r="D114" s="400"/>
      <c r="E114" s="1414"/>
      <c r="F114" s="1074" t="s">
        <v>159</v>
      </c>
      <c r="G114" s="29"/>
      <c r="H114" s="347" t="s">
        <v>19</v>
      </c>
      <c r="I114" s="396"/>
      <c r="J114" s="958"/>
      <c r="K114" s="959"/>
      <c r="L114" s="960">
        <v>300</v>
      </c>
      <c r="M114" s="612" t="s">
        <v>294</v>
      </c>
      <c r="N114" s="961"/>
      <c r="O114" s="582"/>
      <c r="P114" s="486"/>
      <c r="Q114" s="158">
        <v>50</v>
      </c>
      <c r="R114" s="488"/>
    </row>
    <row r="115" spans="1:21" ht="15" customHeight="1" x14ac:dyDescent="0.2">
      <c r="A115" s="1028"/>
      <c r="B115" s="1052"/>
      <c r="C115" s="47"/>
      <c r="D115" s="1031" t="s">
        <v>157</v>
      </c>
      <c r="E115" s="1453" t="s">
        <v>273</v>
      </c>
      <c r="F115" s="1016" t="s">
        <v>212</v>
      </c>
      <c r="G115" s="1406"/>
      <c r="H115" s="434" t="s">
        <v>19</v>
      </c>
      <c r="I115" s="449"/>
      <c r="J115" s="449">
        <v>24.2</v>
      </c>
      <c r="K115" s="450"/>
      <c r="L115" s="375"/>
      <c r="M115" s="622" t="s">
        <v>187</v>
      </c>
      <c r="N115" s="354"/>
      <c r="O115" s="770">
        <v>1</v>
      </c>
      <c r="P115" s="770"/>
      <c r="Q115" s="225"/>
      <c r="R115" s="488"/>
    </row>
    <row r="116" spans="1:21" ht="15" customHeight="1" x14ac:dyDescent="0.2">
      <c r="A116" s="1028"/>
      <c r="B116" s="1052"/>
      <c r="C116" s="47"/>
      <c r="D116" s="1032"/>
      <c r="E116" s="1454"/>
      <c r="F116" s="1074" t="s">
        <v>39</v>
      </c>
      <c r="G116" s="1455"/>
      <c r="H116" s="13" t="s">
        <v>19</v>
      </c>
      <c r="I116" s="448"/>
      <c r="J116" s="448"/>
      <c r="K116" s="348">
        <v>508</v>
      </c>
      <c r="L116" s="94">
        <v>508</v>
      </c>
      <c r="M116" s="1058" t="s">
        <v>225</v>
      </c>
      <c r="N116" s="898"/>
      <c r="O116" s="595"/>
      <c r="P116" s="595">
        <v>50</v>
      </c>
      <c r="Q116" s="610">
        <v>100</v>
      </c>
      <c r="R116" s="488"/>
    </row>
    <row r="117" spans="1:21" ht="27" customHeight="1" x14ac:dyDescent="0.2">
      <c r="A117" s="1434"/>
      <c r="B117" s="1446"/>
      <c r="C117" s="1436"/>
      <c r="D117" s="1410" t="s">
        <v>158</v>
      </c>
      <c r="E117" s="1412" t="s">
        <v>51</v>
      </c>
      <c r="F117" s="1017" t="s">
        <v>204</v>
      </c>
      <c r="G117" s="1439" t="s">
        <v>155</v>
      </c>
      <c r="H117" s="56" t="s">
        <v>19</v>
      </c>
      <c r="I117" s="413">
        <f>3522.2-50-68+115.5</f>
        <v>3519.7</v>
      </c>
      <c r="J117" s="967">
        <f>4000-500</f>
        <v>3500</v>
      </c>
      <c r="K117" s="968">
        <f>4188.4-500</f>
        <v>3688.4</v>
      </c>
      <c r="L117" s="969">
        <f>4188.4-500</f>
        <v>3688.4</v>
      </c>
      <c r="M117" s="230" t="s">
        <v>107</v>
      </c>
      <c r="N117" s="390">
        <v>8.9</v>
      </c>
      <c r="O117" s="283">
        <v>8.9</v>
      </c>
      <c r="P117" s="404">
        <v>8.9</v>
      </c>
      <c r="Q117" s="232">
        <v>8.9</v>
      </c>
      <c r="U117" s="382"/>
    </row>
    <row r="118" spans="1:21" ht="27" customHeight="1" x14ac:dyDescent="0.2">
      <c r="A118" s="1434"/>
      <c r="B118" s="1446"/>
      <c r="C118" s="1436"/>
      <c r="D118" s="1410"/>
      <c r="E118" s="1413"/>
      <c r="F118" s="1017"/>
      <c r="G118" s="1437"/>
      <c r="H118" s="807" t="s">
        <v>44</v>
      </c>
      <c r="I118" s="396"/>
      <c r="J118" s="374">
        <v>188.4</v>
      </c>
      <c r="K118" s="191"/>
      <c r="L118" s="352"/>
      <c r="M118" s="1058" t="s">
        <v>274</v>
      </c>
      <c r="N118" s="35"/>
      <c r="O118" s="189">
        <v>8</v>
      </c>
      <c r="P118" s="188">
        <v>8</v>
      </c>
      <c r="Q118" s="88">
        <v>8</v>
      </c>
    </row>
    <row r="119" spans="1:21" ht="16.5" customHeight="1" x14ac:dyDescent="0.2">
      <c r="A119" s="1434"/>
      <c r="B119" s="1446"/>
      <c r="C119" s="1436"/>
      <c r="D119" s="1410"/>
      <c r="E119" s="1456"/>
      <c r="F119" s="148"/>
      <c r="G119" s="1437"/>
      <c r="H119" s="110"/>
      <c r="I119" s="408"/>
      <c r="J119" s="408"/>
      <c r="K119" s="406"/>
      <c r="L119" s="407"/>
      <c r="M119" s="224" t="s">
        <v>94</v>
      </c>
      <c r="N119" s="327">
        <v>425</v>
      </c>
      <c r="O119" s="269">
        <v>425</v>
      </c>
      <c r="P119" s="273">
        <v>425</v>
      </c>
      <c r="Q119" s="74">
        <v>425</v>
      </c>
      <c r="R119" s="488"/>
    </row>
    <row r="120" spans="1:21" ht="30" customHeight="1" x14ac:dyDescent="0.2">
      <c r="A120" s="1028"/>
      <c r="B120" s="1052"/>
      <c r="C120" s="1030"/>
      <c r="D120" s="1053"/>
      <c r="E120" s="912"/>
      <c r="F120" s="148"/>
      <c r="G120" s="1109"/>
      <c r="H120" s="110" t="s">
        <v>19</v>
      </c>
      <c r="I120" s="347"/>
      <c r="J120" s="286">
        <v>127.2</v>
      </c>
      <c r="K120" s="728">
        <v>254.3</v>
      </c>
      <c r="L120" s="158">
        <v>254.3</v>
      </c>
      <c r="M120" s="914" t="s">
        <v>314</v>
      </c>
      <c r="N120" s="915"/>
      <c r="O120" s="916">
        <v>764</v>
      </c>
      <c r="P120" s="917">
        <v>764</v>
      </c>
      <c r="Q120" s="918">
        <v>764</v>
      </c>
      <c r="R120" s="488"/>
    </row>
    <row r="121" spans="1:21" ht="14.85" customHeight="1" x14ac:dyDescent="0.2">
      <c r="A121" s="1434"/>
      <c r="B121" s="1446"/>
      <c r="C121" s="1436"/>
      <c r="D121" s="1409" t="s">
        <v>183</v>
      </c>
      <c r="E121" s="1465" t="s">
        <v>31</v>
      </c>
      <c r="F121" s="1017" t="s">
        <v>204</v>
      </c>
      <c r="G121" s="480"/>
      <c r="H121" s="794" t="s">
        <v>19</v>
      </c>
      <c r="I121" s="795">
        <f>175.4-15</f>
        <v>160.4</v>
      </c>
      <c r="J121" s="408">
        <v>165</v>
      </c>
      <c r="K121" s="450">
        <v>175.5</v>
      </c>
      <c r="L121" s="775">
        <v>175.5</v>
      </c>
      <c r="M121" s="1040" t="s">
        <v>33</v>
      </c>
      <c r="N121" s="216">
        <v>60</v>
      </c>
      <c r="O121" s="244">
        <v>60</v>
      </c>
      <c r="P121" s="251">
        <v>60</v>
      </c>
      <c r="Q121" s="913">
        <v>60</v>
      </c>
      <c r="R121" s="488"/>
    </row>
    <row r="122" spans="1:21" ht="14.85" customHeight="1" x14ac:dyDescent="0.2">
      <c r="A122" s="1434"/>
      <c r="B122" s="1446"/>
      <c r="C122" s="1436"/>
      <c r="D122" s="1410"/>
      <c r="E122" s="1467"/>
      <c r="F122" s="1017"/>
      <c r="G122" s="480"/>
      <c r="H122" s="411" t="s">
        <v>44</v>
      </c>
      <c r="I122" s="472"/>
      <c r="J122" s="448">
        <v>10.5</v>
      </c>
      <c r="K122" s="185"/>
      <c r="L122" s="512"/>
      <c r="M122" s="1051"/>
      <c r="N122" s="216"/>
      <c r="O122" s="344"/>
      <c r="P122" s="251"/>
      <c r="Q122" s="65"/>
    </row>
    <row r="123" spans="1:21" ht="26.85" customHeight="1" x14ac:dyDescent="0.2">
      <c r="A123" s="1434"/>
      <c r="B123" s="1446"/>
      <c r="C123" s="1436"/>
      <c r="D123" s="1410"/>
      <c r="E123" s="1467"/>
      <c r="F123" s="1063"/>
      <c r="G123" s="480"/>
      <c r="H123" s="371" t="s">
        <v>34</v>
      </c>
      <c r="I123" s="177">
        <v>2</v>
      </c>
      <c r="J123" s="193">
        <v>2</v>
      </c>
      <c r="K123" s="191">
        <v>2</v>
      </c>
      <c r="L123" s="352">
        <v>2</v>
      </c>
      <c r="M123" s="1059" t="s">
        <v>52</v>
      </c>
      <c r="N123" s="1079">
        <v>1500</v>
      </c>
      <c r="O123" s="1075">
        <v>1500</v>
      </c>
      <c r="P123" s="1077">
        <v>1500</v>
      </c>
      <c r="Q123" s="1066">
        <v>1500</v>
      </c>
      <c r="R123" s="488"/>
    </row>
    <row r="124" spans="1:21" ht="15" customHeight="1" x14ac:dyDescent="0.2">
      <c r="A124" s="1028"/>
      <c r="B124" s="1052"/>
      <c r="C124" s="1030"/>
      <c r="D124" s="1053"/>
      <c r="E124" s="1054"/>
      <c r="F124" s="1063"/>
      <c r="G124" s="1019"/>
      <c r="H124" s="385" t="s">
        <v>44</v>
      </c>
      <c r="I124" s="374">
        <v>30</v>
      </c>
      <c r="J124" s="374"/>
      <c r="K124" s="191"/>
      <c r="L124" s="352"/>
      <c r="M124" s="1468" t="s">
        <v>164</v>
      </c>
      <c r="N124" s="1457">
        <v>1</v>
      </c>
      <c r="O124" s="1459"/>
      <c r="P124" s="1461"/>
      <c r="Q124" s="1463"/>
    </row>
    <row r="125" spans="1:21" ht="15" customHeight="1" x14ac:dyDescent="0.2">
      <c r="A125" s="1028"/>
      <c r="B125" s="1052"/>
      <c r="C125" s="1030"/>
      <c r="D125" s="1053"/>
      <c r="E125" s="1054"/>
      <c r="F125" s="1063"/>
      <c r="G125" s="1019"/>
      <c r="H125" s="493"/>
      <c r="I125" s="504"/>
      <c r="J125" s="408"/>
      <c r="K125" s="406"/>
      <c r="L125" s="407"/>
      <c r="M125" s="1469"/>
      <c r="N125" s="1458"/>
      <c r="O125" s="1460"/>
      <c r="P125" s="1462"/>
      <c r="Q125" s="1464"/>
      <c r="R125" s="488"/>
    </row>
    <row r="126" spans="1:21" ht="27.75" customHeight="1" x14ac:dyDescent="0.2">
      <c r="A126" s="1028"/>
      <c r="B126" s="1052"/>
      <c r="C126" s="1030"/>
      <c r="D126" s="1053"/>
      <c r="E126" s="1054"/>
      <c r="F126" s="1063"/>
      <c r="G126" s="1019"/>
      <c r="H126" s="970" t="s">
        <v>19</v>
      </c>
      <c r="I126" s="786"/>
      <c r="J126" s="374"/>
      <c r="K126" s="185">
        <v>204.5</v>
      </c>
      <c r="L126" s="29"/>
      <c r="M126" s="1058" t="s">
        <v>167</v>
      </c>
      <c r="N126" s="883"/>
      <c r="O126" s="882"/>
      <c r="P126" s="1077">
        <v>1</v>
      </c>
      <c r="Q126" s="1066"/>
    </row>
    <row r="127" spans="1:21" ht="29.1" customHeight="1" x14ac:dyDescent="0.2">
      <c r="A127" s="1028"/>
      <c r="B127" s="1052"/>
      <c r="C127" s="1030"/>
      <c r="D127" s="1053"/>
      <c r="E127" s="1054"/>
      <c r="F127" s="1063"/>
      <c r="G127" s="1019"/>
      <c r="H127" s="370" t="s">
        <v>19</v>
      </c>
      <c r="I127" s="193">
        <f>51-24</f>
        <v>27</v>
      </c>
      <c r="J127" s="193">
        <v>118.5</v>
      </c>
      <c r="K127" s="771"/>
      <c r="L127" s="534"/>
      <c r="M127" s="495" t="s">
        <v>253</v>
      </c>
      <c r="N127" s="355"/>
      <c r="O127" s="284">
        <v>1</v>
      </c>
      <c r="P127" s="277"/>
      <c r="Q127" s="75"/>
    </row>
    <row r="128" spans="1:21" ht="15.6" customHeight="1" x14ac:dyDescent="0.2">
      <c r="A128" s="1028"/>
      <c r="B128" s="1052"/>
      <c r="C128" s="1030"/>
      <c r="D128" s="1053"/>
      <c r="E128" s="1054"/>
      <c r="F128" s="1063"/>
      <c r="G128" s="1019"/>
      <c r="H128" s="370" t="s">
        <v>19</v>
      </c>
      <c r="I128" s="177"/>
      <c r="J128" s="193">
        <v>85</v>
      </c>
      <c r="K128" s="538"/>
      <c r="L128" s="534"/>
      <c r="M128" s="1060" t="s">
        <v>275</v>
      </c>
      <c r="N128" s="1080"/>
      <c r="O128" s="1076">
        <v>1</v>
      </c>
      <c r="P128" s="1078"/>
      <c r="Q128" s="1067"/>
    </row>
    <row r="129" spans="1:18" ht="15.6" customHeight="1" x14ac:dyDescent="0.2">
      <c r="A129" s="1028"/>
      <c r="B129" s="1052"/>
      <c r="C129" s="1030"/>
      <c r="D129" s="1053"/>
      <c r="E129" s="1054"/>
      <c r="F129" s="1063"/>
      <c r="G129" s="1019"/>
      <c r="H129" s="345" t="s">
        <v>19</v>
      </c>
      <c r="I129" s="177"/>
      <c r="J129" s="448">
        <v>22</v>
      </c>
      <c r="K129" s="899"/>
      <c r="L129" s="534"/>
      <c r="M129" s="1060" t="s">
        <v>279</v>
      </c>
      <c r="N129" s="1080"/>
      <c r="O129" s="1076">
        <v>1</v>
      </c>
      <c r="P129" s="1078"/>
      <c r="Q129" s="1067"/>
    </row>
    <row r="130" spans="1:18" ht="15.6" customHeight="1" x14ac:dyDescent="0.2">
      <c r="A130" s="1028"/>
      <c r="B130" s="1052"/>
      <c r="C130" s="1030"/>
      <c r="D130" s="1053"/>
      <c r="E130" s="1054"/>
      <c r="F130" s="1063"/>
      <c r="G130" s="1019"/>
      <c r="H130" s="345" t="s">
        <v>19</v>
      </c>
      <c r="I130" s="177"/>
      <c r="J130" s="193"/>
      <c r="K130" s="442">
        <v>83.6</v>
      </c>
      <c r="L130" s="539"/>
      <c r="M130" s="1060" t="s">
        <v>309</v>
      </c>
      <c r="N130" s="1080"/>
      <c r="O130" s="1076"/>
      <c r="P130" s="1078">
        <v>1</v>
      </c>
      <c r="Q130" s="1067"/>
    </row>
    <row r="131" spans="1:18" ht="15.6" customHeight="1" x14ac:dyDescent="0.2">
      <c r="A131" s="1028"/>
      <c r="B131" s="1052"/>
      <c r="C131" s="1030"/>
      <c r="D131" s="1053"/>
      <c r="E131" s="1054"/>
      <c r="F131" s="1063"/>
      <c r="G131" s="1019"/>
      <c r="H131" s="13" t="s">
        <v>44</v>
      </c>
      <c r="I131" s="177"/>
      <c r="J131" s="374">
        <v>12</v>
      </c>
      <c r="K131" s="538"/>
      <c r="L131" s="798"/>
      <c r="M131" s="1060" t="s">
        <v>279</v>
      </c>
      <c r="N131" s="1080"/>
      <c r="O131" s="785">
        <v>1</v>
      </c>
      <c r="P131" s="1078"/>
      <c r="Q131" s="1067"/>
    </row>
    <row r="132" spans="1:18" ht="30" customHeight="1" x14ac:dyDescent="0.2">
      <c r="A132" s="1028"/>
      <c r="B132" s="1052"/>
      <c r="C132" s="1030"/>
      <c r="D132" s="1053"/>
      <c r="E132" s="1054"/>
      <c r="F132" s="1063"/>
      <c r="G132" s="1019"/>
      <c r="H132" s="345" t="s">
        <v>19</v>
      </c>
      <c r="I132" s="177"/>
      <c r="J132" s="374"/>
      <c r="K132" s="29">
        <v>290</v>
      </c>
      <c r="L132" s="534"/>
      <c r="M132" s="1060" t="s">
        <v>312</v>
      </c>
      <c r="N132" s="1080"/>
      <c r="O132" s="1076"/>
      <c r="P132" s="1078">
        <v>2</v>
      </c>
      <c r="Q132" s="1067"/>
    </row>
    <row r="133" spans="1:18" ht="42.6" customHeight="1" x14ac:dyDescent="0.2">
      <c r="A133" s="1028"/>
      <c r="B133" s="1052"/>
      <c r="C133" s="1030"/>
      <c r="D133" s="1053"/>
      <c r="E133" s="1054"/>
      <c r="F133" s="429"/>
      <c r="G133" s="1019"/>
      <c r="H133" s="1096" t="s">
        <v>19</v>
      </c>
      <c r="I133" s="181">
        <f>119-27-76.5</f>
        <v>15.5</v>
      </c>
      <c r="J133" s="386"/>
      <c r="K133" s="348"/>
      <c r="L133" s="387"/>
      <c r="M133" s="1060" t="s">
        <v>245</v>
      </c>
      <c r="N133" s="1080">
        <v>71</v>
      </c>
      <c r="O133" s="1076"/>
      <c r="P133" s="1078"/>
      <c r="Q133" s="1067"/>
    </row>
    <row r="134" spans="1:18" ht="26.1" customHeight="1" x14ac:dyDescent="0.2">
      <c r="A134" s="1028"/>
      <c r="B134" s="1052"/>
      <c r="C134" s="1030"/>
      <c r="D134" s="1031" t="s">
        <v>208</v>
      </c>
      <c r="E134" s="1465" t="s">
        <v>73</v>
      </c>
      <c r="F134" s="1017" t="s">
        <v>204</v>
      </c>
      <c r="G134" s="1019"/>
      <c r="H134" s="393" t="s">
        <v>19</v>
      </c>
      <c r="I134" s="180">
        <f>80.2+20</f>
        <v>100.2</v>
      </c>
      <c r="J134" s="448">
        <f>120.3-4.3-20.1</f>
        <v>95.9</v>
      </c>
      <c r="K134" s="185">
        <f>120.3-20.1</f>
        <v>100.2</v>
      </c>
      <c r="L134" s="29">
        <f>120.3-20.1</f>
        <v>100.2</v>
      </c>
      <c r="M134" s="622" t="s">
        <v>83</v>
      </c>
      <c r="N134" s="638">
        <v>1100</v>
      </c>
      <c r="O134" s="999">
        <v>500</v>
      </c>
      <c r="P134" s="1000">
        <v>500</v>
      </c>
      <c r="Q134" s="356">
        <v>500</v>
      </c>
    </row>
    <row r="135" spans="1:18" ht="27" customHeight="1" x14ac:dyDescent="0.2">
      <c r="A135" s="1028"/>
      <c r="B135" s="1052"/>
      <c r="C135" s="1030"/>
      <c r="D135" s="1053"/>
      <c r="E135" s="1466"/>
      <c r="F135" s="429"/>
      <c r="G135" s="1019"/>
      <c r="H135" s="446" t="s">
        <v>44</v>
      </c>
      <c r="I135" s="347"/>
      <c r="J135" s="386">
        <v>4.3</v>
      </c>
      <c r="K135" s="348"/>
      <c r="L135" s="387"/>
      <c r="M135" s="1058" t="s">
        <v>84</v>
      </c>
      <c r="N135" s="639">
        <v>342</v>
      </c>
      <c r="O135" s="1001">
        <v>300</v>
      </c>
      <c r="P135" s="1002">
        <v>300</v>
      </c>
      <c r="Q135" s="242">
        <v>300</v>
      </c>
    </row>
    <row r="136" spans="1:18" ht="15" customHeight="1" x14ac:dyDescent="0.2">
      <c r="A136" s="1028"/>
      <c r="B136" s="1052"/>
      <c r="C136" s="1030"/>
      <c r="D136" s="1409" t="s">
        <v>233</v>
      </c>
      <c r="E136" s="1412" t="s">
        <v>43</v>
      </c>
      <c r="F136" s="1017" t="s">
        <v>204</v>
      </c>
      <c r="G136" s="367"/>
      <c r="H136" s="56" t="s">
        <v>19</v>
      </c>
      <c r="I136" s="449">
        <v>56</v>
      </c>
      <c r="J136" s="180">
        <f>80-15</f>
        <v>65</v>
      </c>
      <c r="K136" s="185">
        <v>80</v>
      </c>
      <c r="L136" s="334">
        <v>80</v>
      </c>
      <c r="M136" s="1057" t="s">
        <v>32</v>
      </c>
      <c r="N136" s="215">
        <v>13</v>
      </c>
      <c r="O136" s="581">
        <v>9</v>
      </c>
      <c r="P136" s="250">
        <v>9</v>
      </c>
      <c r="Q136" s="70">
        <v>9</v>
      </c>
      <c r="R136" s="727"/>
    </row>
    <row r="137" spans="1:18" ht="18.600000000000001" customHeight="1" x14ac:dyDescent="0.2">
      <c r="A137" s="1028"/>
      <c r="B137" s="1052"/>
      <c r="C137" s="47"/>
      <c r="D137" s="1411"/>
      <c r="E137" s="1414"/>
      <c r="F137" s="429"/>
      <c r="G137" s="367"/>
      <c r="H137" s="372" t="s">
        <v>44</v>
      </c>
      <c r="I137" s="448">
        <v>36.5</v>
      </c>
      <c r="J137" s="386"/>
      <c r="K137" s="348"/>
      <c r="L137" s="387"/>
      <c r="M137" s="625"/>
      <c r="N137" s="217"/>
      <c r="O137" s="570"/>
      <c r="P137" s="253"/>
      <c r="Q137" s="72"/>
    </row>
    <row r="138" spans="1:18" ht="15" customHeight="1" x14ac:dyDescent="0.2">
      <c r="A138" s="1028"/>
      <c r="B138" s="1052"/>
      <c r="C138" s="47"/>
      <c r="D138" s="1409" t="s">
        <v>234</v>
      </c>
      <c r="E138" s="1470" t="s">
        <v>121</v>
      </c>
      <c r="F138" s="1017" t="s">
        <v>204</v>
      </c>
      <c r="G138" s="367"/>
      <c r="H138" s="56" t="s">
        <v>19</v>
      </c>
      <c r="I138" s="447">
        <v>20.6</v>
      </c>
      <c r="J138" s="448">
        <f>370-200</f>
        <v>170</v>
      </c>
      <c r="K138" s="184">
        <v>200</v>
      </c>
      <c r="L138" s="414"/>
      <c r="M138" s="1472" t="s">
        <v>224</v>
      </c>
      <c r="N138" s="215"/>
      <c r="O138" s="581">
        <v>40</v>
      </c>
      <c r="P138" s="250">
        <v>100</v>
      </c>
      <c r="Q138" s="70"/>
    </row>
    <row r="139" spans="1:18" ht="15" customHeight="1" x14ac:dyDescent="0.2">
      <c r="A139" s="14"/>
      <c r="B139" s="1052"/>
      <c r="C139" s="47"/>
      <c r="D139" s="1411"/>
      <c r="E139" s="1471"/>
      <c r="F139" s="429"/>
      <c r="G139" s="368"/>
      <c r="H139" s="446"/>
      <c r="I139" s="30"/>
      <c r="J139" s="181"/>
      <c r="K139" s="186"/>
      <c r="L139" s="397"/>
      <c r="M139" s="1473"/>
      <c r="N139" s="1097"/>
      <c r="O139" s="580"/>
      <c r="P139" s="1093"/>
      <c r="Q139" s="1095"/>
    </row>
    <row r="140" spans="1:18" ht="16.5" customHeight="1" x14ac:dyDescent="0.2">
      <c r="A140" s="14"/>
      <c r="B140" s="1052"/>
      <c r="C140" s="47"/>
      <c r="D140" s="1053" t="s">
        <v>272</v>
      </c>
      <c r="E140" s="1412" t="s">
        <v>289</v>
      </c>
      <c r="F140" s="1017" t="s">
        <v>204</v>
      </c>
      <c r="G140" s="1439" t="s">
        <v>55</v>
      </c>
      <c r="H140" s="393" t="s">
        <v>19</v>
      </c>
      <c r="I140" s="449">
        <v>18</v>
      </c>
      <c r="J140" s="449">
        <v>41.5</v>
      </c>
      <c r="K140" s="450">
        <v>41.5</v>
      </c>
      <c r="L140" s="129">
        <v>41.5</v>
      </c>
      <c r="M140" s="622" t="s">
        <v>290</v>
      </c>
      <c r="N140" s="335">
        <v>15</v>
      </c>
      <c r="O140" s="248">
        <v>30</v>
      </c>
      <c r="P140" s="254">
        <v>30</v>
      </c>
      <c r="Q140" s="101">
        <v>30</v>
      </c>
    </row>
    <row r="141" spans="1:18" ht="16.5" customHeight="1" x14ac:dyDescent="0.2">
      <c r="A141" s="14"/>
      <c r="B141" s="1052"/>
      <c r="C141" s="47"/>
      <c r="D141" s="1053"/>
      <c r="E141" s="1413"/>
      <c r="F141" s="1017"/>
      <c r="G141" s="1437"/>
      <c r="H141" s="371" t="s">
        <v>44</v>
      </c>
      <c r="I141" s="753">
        <v>24</v>
      </c>
      <c r="J141" s="193"/>
      <c r="K141" s="185"/>
      <c r="L141" s="29"/>
      <c r="M141" s="627" t="s">
        <v>298</v>
      </c>
      <c r="N141" s="583"/>
      <c r="O141" s="269">
        <v>60</v>
      </c>
      <c r="P141" s="273">
        <v>90</v>
      </c>
      <c r="Q141" s="166">
        <v>90</v>
      </c>
    </row>
    <row r="142" spans="1:18" ht="27.6" customHeight="1" x14ac:dyDescent="0.2">
      <c r="A142" s="14"/>
      <c r="B142" s="1052"/>
      <c r="C142" s="47"/>
      <c r="D142" s="1053"/>
      <c r="E142" s="1414"/>
      <c r="F142" s="1017"/>
      <c r="G142" s="1438"/>
      <c r="H142" s="446" t="s">
        <v>19</v>
      </c>
      <c r="I142" s="30"/>
      <c r="J142" s="181">
        <v>9.1999999999999993</v>
      </c>
      <c r="K142" s="348">
        <v>9.1999999999999993</v>
      </c>
      <c r="L142" s="387">
        <v>9.1999999999999993</v>
      </c>
      <c r="M142" s="625" t="s">
        <v>299</v>
      </c>
      <c r="N142" s="217"/>
      <c r="O142" s="570">
        <v>10</v>
      </c>
      <c r="P142" s="253">
        <v>10</v>
      </c>
      <c r="Q142" s="72">
        <v>10</v>
      </c>
    </row>
    <row r="143" spans="1:18" ht="13.35" customHeight="1" x14ac:dyDescent="0.2">
      <c r="A143" s="1028"/>
      <c r="B143" s="1029"/>
      <c r="C143" s="1030"/>
      <c r="D143" s="1474" t="s">
        <v>325</v>
      </c>
      <c r="E143" s="1412" t="s">
        <v>104</v>
      </c>
      <c r="F143" s="155" t="s">
        <v>159</v>
      </c>
      <c r="G143" s="1415" t="s">
        <v>347</v>
      </c>
      <c r="H143" s="393" t="s">
        <v>44</v>
      </c>
      <c r="I143" s="450">
        <f>135.8+3</f>
        <v>138.80000000000001</v>
      </c>
      <c r="J143" s="449">
        <v>30</v>
      </c>
      <c r="K143" s="184"/>
      <c r="L143" s="334"/>
      <c r="M143" s="1440" t="s">
        <v>222</v>
      </c>
      <c r="N143" s="215">
        <v>100</v>
      </c>
      <c r="O143" s="581">
        <v>100</v>
      </c>
      <c r="P143" s="581"/>
      <c r="Q143" s="70"/>
    </row>
    <row r="144" spans="1:18" ht="13.35" customHeight="1" x14ac:dyDescent="0.2">
      <c r="A144" s="1028"/>
      <c r="B144" s="1052"/>
      <c r="C144" s="1030"/>
      <c r="D144" s="1475"/>
      <c r="E144" s="1413"/>
      <c r="F144" s="147"/>
      <c r="G144" s="1416"/>
      <c r="H144" s="385" t="s">
        <v>19</v>
      </c>
      <c r="I144" s="363">
        <v>30</v>
      </c>
      <c r="J144" s="193"/>
      <c r="K144" s="191"/>
      <c r="L144" s="352"/>
      <c r="M144" s="1441"/>
      <c r="N144" s="216"/>
      <c r="O144" s="344"/>
      <c r="P144" s="344"/>
      <c r="Q144" s="65"/>
    </row>
    <row r="145" spans="1:17" ht="13.5" customHeight="1" x14ac:dyDescent="0.2">
      <c r="A145" s="1028"/>
      <c r="B145" s="1052"/>
      <c r="C145" s="1030"/>
      <c r="D145" s="1475"/>
      <c r="E145" s="1413"/>
      <c r="F145" s="147" t="s">
        <v>137</v>
      </c>
      <c r="G145" s="1416"/>
      <c r="H145" s="385" t="s">
        <v>119</v>
      </c>
      <c r="I145" s="185">
        <v>5.6</v>
      </c>
      <c r="J145" s="448"/>
      <c r="K145" s="191"/>
      <c r="L145" s="352"/>
      <c r="M145" s="1477"/>
      <c r="N145" s="216"/>
      <c r="O145" s="344"/>
      <c r="P145" s="344"/>
      <c r="Q145" s="65"/>
    </row>
    <row r="146" spans="1:17" ht="13.5" customHeight="1" x14ac:dyDescent="0.2">
      <c r="A146" s="1028"/>
      <c r="B146" s="1052"/>
      <c r="C146" s="1030"/>
      <c r="D146" s="1475"/>
      <c r="E146" s="1413"/>
      <c r="F146" s="147" t="s">
        <v>123</v>
      </c>
      <c r="G146" s="1437" t="s">
        <v>353</v>
      </c>
      <c r="H146" s="385" t="s">
        <v>171</v>
      </c>
      <c r="I146" s="191">
        <v>53.4</v>
      </c>
      <c r="J146" s="193"/>
      <c r="K146" s="363"/>
      <c r="L146" s="352"/>
      <c r="M146" s="1477"/>
      <c r="N146" s="216"/>
      <c r="O146" s="344"/>
      <c r="P146" s="344"/>
      <c r="Q146" s="65"/>
    </row>
    <row r="147" spans="1:17" ht="13.5" customHeight="1" x14ac:dyDescent="0.2">
      <c r="A147" s="1028"/>
      <c r="B147" s="1052"/>
      <c r="C147" s="1030"/>
      <c r="D147" s="1475"/>
      <c r="E147" s="1413"/>
      <c r="F147" s="151" t="s">
        <v>39</v>
      </c>
      <c r="G147" s="1437"/>
      <c r="H147" s="371" t="s">
        <v>120</v>
      </c>
      <c r="I147" s="191">
        <v>52</v>
      </c>
      <c r="J147" s="448"/>
      <c r="K147" s="185"/>
      <c r="L147" s="352"/>
      <c r="M147" s="1477"/>
      <c r="N147" s="216"/>
      <c r="O147" s="344"/>
      <c r="P147" s="344"/>
      <c r="Q147" s="65"/>
    </row>
    <row r="148" spans="1:17" ht="13.5" customHeight="1" x14ac:dyDescent="0.2">
      <c r="A148" s="1028"/>
      <c r="B148" s="1052"/>
      <c r="C148" s="1030"/>
      <c r="D148" s="1476"/>
      <c r="E148" s="1413"/>
      <c r="F148" s="503" t="s">
        <v>204</v>
      </c>
      <c r="G148" s="1437"/>
      <c r="H148" s="124" t="s">
        <v>172</v>
      </c>
      <c r="I148" s="347">
        <v>604.29999999999995</v>
      </c>
      <c r="J148" s="386"/>
      <c r="K148" s="348"/>
      <c r="L148" s="387"/>
      <c r="M148" s="1477"/>
      <c r="N148" s="217"/>
      <c r="O148" s="344"/>
      <c r="P148" s="253"/>
      <c r="Q148" s="398"/>
    </row>
    <row r="149" spans="1:17" ht="20.85" customHeight="1" x14ac:dyDescent="0.2">
      <c r="A149" s="14"/>
      <c r="B149" s="1052"/>
      <c r="C149" s="47"/>
      <c r="D149" s="1031"/>
      <c r="E149" s="1412" t="s">
        <v>254</v>
      </c>
      <c r="F149" s="1016" t="s">
        <v>212</v>
      </c>
      <c r="G149" s="1439" t="s">
        <v>153</v>
      </c>
      <c r="H149" s="56" t="s">
        <v>19</v>
      </c>
      <c r="I149" s="448">
        <v>30</v>
      </c>
      <c r="J149" s="448"/>
      <c r="K149" s="184"/>
      <c r="L149" s="512"/>
      <c r="M149" s="1472" t="s">
        <v>258</v>
      </c>
      <c r="N149" s="216">
        <v>5</v>
      </c>
      <c r="O149" s="244"/>
      <c r="P149" s="251"/>
      <c r="Q149" s="65"/>
    </row>
    <row r="150" spans="1:17" ht="20.85" customHeight="1" x14ac:dyDescent="0.2">
      <c r="A150" s="1028"/>
      <c r="B150" s="1052"/>
      <c r="C150" s="47"/>
      <c r="D150" s="1053"/>
      <c r="E150" s="1414"/>
      <c r="F150" s="1017"/>
      <c r="G150" s="1438"/>
      <c r="H150" s="124"/>
      <c r="I150" s="448"/>
      <c r="J150" s="448"/>
      <c r="K150" s="186"/>
      <c r="L150" s="512"/>
      <c r="M150" s="1473"/>
      <c r="N150" s="216"/>
      <c r="O150" s="344"/>
      <c r="P150" s="251"/>
      <c r="Q150" s="65"/>
    </row>
    <row r="151" spans="1:17" ht="22.35" customHeight="1" x14ac:dyDescent="0.2">
      <c r="A151" s="1028"/>
      <c r="B151" s="1052"/>
      <c r="C151" s="1030"/>
      <c r="D151" s="1474"/>
      <c r="E151" s="1412" t="s">
        <v>125</v>
      </c>
      <c r="F151" s="437" t="s">
        <v>159</v>
      </c>
      <c r="G151" s="1018" t="s">
        <v>347</v>
      </c>
      <c r="H151" s="393" t="s">
        <v>120</v>
      </c>
      <c r="I151" s="184">
        <v>0.3</v>
      </c>
      <c r="J151" s="180"/>
      <c r="K151" s="185"/>
      <c r="L151" s="375"/>
      <c r="M151" s="1478" t="s">
        <v>146</v>
      </c>
      <c r="N151" s="215"/>
      <c r="O151" s="581"/>
      <c r="P151" s="581"/>
      <c r="Q151" s="70"/>
    </row>
    <row r="152" spans="1:17" ht="22.35" customHeight="1" x14ac:dyDescent="0.2">
      <c r="A152" s="1028"/>
      <c r="B152" s="1052"/>
      <c r="C152" s="1030"/>
      <c r="D152" s="1475"/>
      <c r="E152" s="1413"/>
      <c r="F152" s="1017" t="s">
        <v>123</v>
      </c>
      <c r="G152" s="1406" t="s">
        <v>354</v>
      </c>
      <c r="H152" s="385" t="s">
        <v>44</v>
      </c>
      <c r="I152" s="363">
        <f>1.3+2.4</f>
        <v>3.7</v>
      </c>
      <c r="J152" s="291"/>
      <c r="K152" s="295"/>
      <c r="L152" s="159"/>
      <c r="M152" s="1407"/>
      <c r="N152" s="1096"/>
      <c r="O152" s="594"/>
      <c r="P152" s="594"/>
      <c r="Q152" s="1094"/>
    </row>
    <row r="153" spans="1:17" ht="22.35" customHeight="1" x14ac:dyDescent="0.2">
      <c r="A153" s="1028"/>
      <c r="B153" s="1052"/>
      <c r="C153" s="1030"/>
      <c r="D153" s="1475"/>
      <c r="E153" s="1413"/>
      <c r="F153" s="151" t="s">
        <v>39</v>
      </c>
      <c r="G153" s="1406"/>
      <c r="H153" s="385" t="s">
        <v>119</v>
      </c>
      <c r="I153" s="191">
        <v>0.1</v>
      </c>
      <c r="J153" s="278"/>
      <c r="K153" s="351"/>
      <c r="L153" s="532"/>
      <c r="M153" s="1083"/>
      <c r="N153" s="217"/>
      <c r="O153" s="570"/>
      <c r="P153" s="570"/>
      <c r="Q153" s="72"/>
    </row>
    <row r="154" spans="1:17" ht="15" customHeight="1" x14ac:dyDescent="0.2">
      <c r="A154" s="1028"/>
      <c r="B154" s="1052"/>
      <c r="C154" s="1030"/>
      <c r="D154" s="1031"/>
      <c r="E154" s="1412" t="s">
        <v>90</v>
      </c>
      <c r="F154" s="154" t="s">
        <v>159</v>
      </c>
      <c r="G154" s="149" t="s">
        <v>347</v>
      </c>
      <c r="H154" s="492" t="s">
        <v>44</v>
      </c>
      <c r="I154" s="492">
        <v>4.5999999999999996</v>
      </c>
      <c r="J154" s="452"/>
      <c r="K154" s="189"/>
      <c r="L154" s="530"/>
      <c r="M154" s="1480" t="s">
        <v>145</v>
      </c>
      <c r="N154" s="215"/>
      <c r="O154" s="581"/>
      <c r="P154" s="581"/>
      <c r="Q154" s="70"/>
    </row>
    <row r="155" spans="1:17" ht="15" customHeight="1" x14ac:dyDescent="0.2">
      <c r="A155" s="1028"/>
      <c r="B155" s="1052"/>
      <c r="C155" s="1030"/>
      <c r="D155" s="1053"/>
      <c r="E155" s="1413"/>
      <c r="F155" s="121" t="s">
        <v>137</v>
      </c>
      <c r="G155" s="1406" t="s">
        <v>354</v>
      </c>
      <c r="H155" s="124"/>
      <c r="I155" s="35"/>
      <c r="J155" s="448"/>
      <c r="K155" s="109"/>
      <c r="L155" s="399"/>
      <c r="M155" s="1481"/>
      <c r="N155" s="216"/>
      <c r="O155" s="344"/>
      <c r="P155" s="344"/>
      <c r="Q155" s="65"/>
    </row>
    <row r="156" spans="1:17" ht="15" customHeight="1" x14ac:dyDescent="0.2">
      <c r="A156" s="1028"/>
      <c r="B156" s="1052"/>
      <c r="C156" s="1030"/>
      <c r="D156" s="1053"/>
      <c r="E156" s="1413"/>
      <c r="F156" s="151" t="s">
        <v>39</v>
      </c>
      <c r="G156" s="1406"/>
      <c r="H156" s="35"/>
      <c r="I156" s="35"/>
      <c r="J156" s="448"/>
      <c r="K156" s="185"/>
      <c r="L156" s="178"/>
      <c r="M156" s="1481"/>
      <c r="N156" s="216"/>
      <c r="O156" s="344"/>
      <c r="P156" s="344"/>
      <c r="Q156" s="65"/>
    </row>
    <row r="157" spans="1:17" ht="15" customHeight="1" x14ac:dyDescent="0.2">
      <c r="A157" s="1028"/>
      <c r="B157" s="1052"/>
      <c r="C157" s="1030"/>
      <c r="D157" s="1032"/>
      <c r="E157" s="1413"/>
      <c r="F157" s="1017" t="s">
        <v>123</v>
      </c>
      <c r="G157" s="1406"/>
      <c r="H157" s="1097"/>
      <c r="I157" s="157"/>
      <c r="J157" s="1071"/>
      <c r="K157" s="383"/>
      <c r="L157" s="458"/>
      <c r="M157" s="1482"/>
      <c r="N157" s="217"/>
      <c r="O157" s="247"/>
      <c r="P157" s="253"/>
      <c r="Q157" s="398"/>
    </row>
    <row r="158" spans="1:17" ht="14.1" customHeight="1" x14ac:dyDescent="0.2">
      <c r="A158" s="1028"/>
      <c r="B158" s="1029"/>
      <c r="C158" s="48"/>
      <c r="D158" s="1409"/>
      <c r="E158" s="1412" t="s">
        <v>79</v>
      </c>
      <c r="F158" s="330" t="s">
        <v>159</v>
      </c>
      <c r="G158" s="1439" t="s">
        <v>152</v>
      </c>
      <c r="H158" s="56" t="s">
        <v>170</v>
      </c>
      <c r="I158" s="447">
        <v>22.9</v>
      </c>
      <c r="J158" s="180"/>
      <c r="K158" s="117"/>
      <c r="L158" s="33"/>
      <c r="M158" s="900" t="s">
        <v>239</v>
      </c>
      <c r="N158" s="631">
        <v>1</v>
      </c>
      <c r="O158" s="401"/>
      <c r="P158" s="401"/>
      <c r="Q158" s="77"/>
    </row>
    <row r="159" spans="1:17" ht="14.1" customHeight="1" x14ac:dyDescent="0.2">
      <c r="A159" s="1028"/>
      <c r="B159" s="1029"/>
      <c r="C159" s="48"/>
      <c r="D159" s="1410"/>
      <c r="E159" s="1413"/>
      <c r="F159" s="331" t="s">
        <v>137</v>
      </c>
      <c r="G159" s="1437"/>
      <c r="H159" s="10" t="s">
        <v>19</v>
      </c>
      <c r="I159" s="506">
        <v>2</v>
      </c>
      <c r="J159" s="448"/>
      <c r="K159" s="109"/>
      <c r="L159" s="512"/>
      <c r="M159" s="1058"/>
      <c r="N159" s="631"/>
      <c r="O159" s="559"/>
      <c r="P159" s="559"/>
      <c r="Q159" s="64"/>
    </row>
    <row r="160" spans="1:17" ht="14.1" customHeight="1" x14ac:dyDescent="0.2">
      <c r="A160" s="1028"/>
      <c r="B160" s="1029"/>
      <c r="C160" s="48"/>
      <c r="D160" s="1410"/>
      <c r="E160" s="1413"/>
      <c r="F160" s="121" t="s">
        <v>123</v>
      </c>
      <c r="G160" s="1437"/>
      <c r="H160" s="13"/>
      <c r="I160" s="119"/>
      <c r="J160" s="448"/>
      <c r="K160" s="185"/>
      <c r="L160" s="29"/>
      <c r="M160" s="488"/>
      <c r="N160" s="1096"/>
      <c r="O160" s="594"/>
      <c r="P160" s="594"/>
      <c r="Q160" s="1094"/>
    </row>
    <row r="161" spans="1:17" ht="14.1" customHeight="1" x14ac:dyDescent="0.2">
      <c r="A161" s="1028"/>
      <c r="B161" s="1029"/>
      <c r="C161" s="1030"/>
      <c r="D161" s="1411"/>
      <c r="E161" s="1414"/>
      <c r="F161" s="153" t="s">
        <v>39</v>
      </c>
      <c r="G161" s="1437"/>
      <c r="H161" s="1097"/>
      <c r="I161" s="721"/>
      <c r="J161" s="181"/>
      <c r="K161" s="186"/>
      <c r="L161" s="397"/>
      <c r="M161" s="1085"/>
      <c r="N161" s="1088"/>
      <c r="O161" s="560"/>
      <c r="P161" s="560"/>
      <c r="Q161" s="69"/>
    </row>
    <row r="162" spans="1:17" ht="15" customHeight="1" x14ac:dyDescent="0.2">
      <c r="A162" s="1028"/>
      <c r="B162" s="1029"/>
      <c r="C162" s="47"/>
      <c r="D162" s="1031"/>
      <c r="E162" s="1412" t="s">
        <v>166</v>
      </c>
      <c r="F162" s="152" t="s">
        <v>159</v>
      </c>
      <c r="G162" s="1439" t="s">
        <v>152</v>
      </c>
      <c r="H162" s="56" t="s">
        <v>19</v>
      </c>
      <c r="I162" s="180">
        <f>189.1-2-25+20</f>
        <v>182.1</v>
      </c>
      <c r="J162" s="180"/>
      <c r="K162" s="184"/>
      <c r="L162" s="29"/>
      <c r="M162" s="1440" t="s">
        <v>223</v>
      </c>
      <c r="N162" s="609">
        <v>100</v>
      </c>
      <c r="O162" s="569"/>
      <c r="P162" s="569"/>
      <c r="Q162" s="73"/>
    </row>
    <row r="163" spans="1:17" ht="15.75" customHeight="1" x14ac:dyDescent="0.2">
      <c r="A163" s="1028"/>
      <c r="B163" s="1029"/>
      <c r="C163" s="47"/>
      <c r="D163" s="1053"/>
      <c r="E163" s="1413"/>
      <c r="F163" s="120" t="s">
        <v>123</v>
      </c>
      <c r="G163" s="1437"/>
      <c r="H163" s="385" t="s">
        <v>44</v>
      </c>
      <c r="I163" s="528">
        <f>51.2+7.4</f>
        <v>58.6</v>
      </c>
      <c r="J163" s="374"/>
      <c r="K163" s="376"/>
      <c r="L163" s="352"/>
      <c r="M163" s="1441"/>
      <c r="N163" s="632"/>
      <c r="O163" s="595"/>
      <c r="P163" s="595"/>
      <c r="Q163" s="128"/>
    </row>
    <row r="164" spans="1:17" ht="16.5" customHeight="1" x14ac:dyDescent="0.2">
      <c r="A164" s="1028"/>
      <c r="B164" s="1029"/>
      <c r="C164" s="47"/>
      <c r="D164" s="1032"/>
      <c r="E164" s="1414"/>
      <c r="F164" s="153" t="s">
        <v>39</v>
      </c>
      <c r="G164" s="1438"/>
      <c r="H164" s="446"/>
      <c r="I164" s="181"/>
      <c r="J164" s="181"/>
      <c r="K164" s="186"/>
      <c r="L164" s="397"/>
      <c r="M164" s="1442"/>
      <c r="N164" s="127"/>
      <c r="O164" s="596"/>
      <c r="P164" s="596"/>
      <c r="Q164" s="111"/>
    </row>
    <row r="165" spans="1:17" ht="16.5" customHeight="1" x14ac:dyDescent="0.2">
      <c r="A165" s="1028"/>
      <c r="B165" s="1052"/>
      <c r="C165" s="1030"/>
      <c r="D165" s="904"/>
      <c r="E165" s="905" t="s">
        <v>248</v>
      </c>
      <c r="F165" s="1016" t="s">
        <v>204</v>
      </c>
      <c r="G165" s="851" t="s">
        <v>151</v>
      </c>
      <c r="H165" s="420" t="s">
        <v>44</v>
      </c>
      <c r="I165" s="165">
        <v>10</v>
      </c>
      <c r="J165" s="194"/>
      <c r="K165" s="184"/>
      <c r="L165" s="512"/>
      <c r="M165" s="1057" t="s">
        <v>65</v>
      </c>
      <c r="N165" s="215">
        <v>1</v>
      </c>
      <c r="O165" s="581"/>
      <c r="P165" s="581"/>
      <c r="Q165" s="901"/>
    </row>
    <row r="166" spans="1:17" ht="28.5" customHeight="1" x14ac:dyDescent="0.2">
      <c r="A166" s="1028"/>
      <c r="B166" s="1052"/>
      <c r="C166" s="47"/>
      <c r="D166" s="1031"/>
      <c r="E166" s="1014" t="s">
        <v>133</v>
      </c>
      <c r="F166" s="1016" t="s">
        <v>159</v>
      </c>
      <c r="G166" s="1406" t="s">
        <v>152</v>
      </c>
      <c r="H166" s="434" t="s">
        <v>19</v>
      </c>
      <c r="I166" s="449">
        <f>320-126.8</f>
        <v>193.2</v>
      </c>
      <c r="J166" s="449"/>
      <c r="K166" s="450"/>
      <c r="L166" s="375"/>
      <c r="M166" s="622" t="s">
        <v>168</v>
      </c>
      <c r="N166" s="354">
        <v>4</v>
      </c>
      <c r="O166" s="770"/>
      <c r="P166" s="770"/>
      <c r="Q166" s="225"/>
    </row>
    <row r="167" spans="1:17" ht="15.6" customHeight="1" x14ac:dyDescent="0.2">
      <c r="A167" s="1028"/>
      <c r="B167" s="1052"/>
      <c r="C167" s="47"/>
      <c r="D167" s="1032"/>
      <c r="E167" s="1033"/>
      <c r="F167" s="1074"/>
      <c r="G167" s="1406"/>
      <c r="H167" s="338" t="s">
        <v>44</v>
      </c>
      <c r="I167" s="347">
        <v>79.8</v>
      </c>
      <c r="J167" s="902"/>
      <c r="K167" s="903"/>
      <c r="L167" s="387"/>
      <c r="M167" s="1058" t="s">
        <v>187</v>
      </c>
      <c r="N167" s="898"/>
      <c r="O167" s="259"/>
      <c r="P167" s="595"/>
      <c r="Q167" s="610"/>
    </row>
    <row r="168" spans="1:17" ht="16.5" customHeight="1" x14ac:dyDescent="0.2">
      <c r="A168" s="1028"/>
      <c r="B168" s="1052"/>
      <c r="C168" s="47"/>
      <c r="D168" s="1031"/>
      <c r="E168" s="1453" t="s">
        <v>138</v>
      </c>
      <c r="F168" s="1016" t="s">
        <v>204</v>
      </c>
      <c r="G168" s="1025"/>
      <c r="H168" s="23" t="s">
        <v>19</v>
      </c>
      <c r="I168" s="373">
        <v>8.4</v>
      </c>
      <c r="J168" s="408"/>
      <c r="K168" s="185"/>
      <c r="L168" s="407"/>
      <c r="M168" s="1472" t="s">
        <v>244</v>
      </c>
      <c r="N168" s="609">
        <v>1</v>
      </c>
      <c r="O168" s="569"/>
      <c r="P168" s="569"/>
      <c r="Q168" s="73"/>
    </row>
    <row r="169" spans="1:17" ht="18" customHeight="1" x14ac:dyDescent="0.2">
      <c r="A169" s="1028"/>
      <c r="B169" s="1052"/>
      <c r="C169" s="47"/>
      <c r="D169" s="1032"/>
      <c r="E169" s="1479"/>
      <c r="F169" s="1074" t="s">
        <v>159</v>
      </c>
      <c r="G169" s="1026"/>
      <c r="H169" s="338" t="s">
        <v>44</v>
      </c>
      <c r="I169" s="181">
        <f>102-12.4</f>
        <v>89.6</v>
      </c>
      <c r="J169" s="386"/>
      <c r="K169" s="348"/>
      <c r="L169" s="387"/>
      <c r="M169" s="1473"/>
      <c r="N169" s="608"/>
      <c r="O169" s="582"/>
      <c r="P169" s="582"/>
      <c r="Q169" s="226"/>
    </row>
    <row r="170" spans="1:17" ht="16.5" customHeight="1" thickBot="1" x14ac:dyDescent="0.25">
      <c r="A170" s="15"/>
      <c r="B170" s="68"/>
      <c r="C170" s="46"/>
      <c r="D170" s="140"/>
      <c r="E170" s="145"/>
      <c r="F170" s="141"/>
      <c r="G170" s="146"/>
      <c r="H170" s="118" t="s">
        <v>4</v>
      </c>
      <c r="I170" s="196">
        <f>SUM(I18:I169)</f>
        <v>11927.5</v>
      </c>
      <c r="J170" s="170">
        <f>SUM(J18:J169)</f>
        <v>10914.4</v>
      </c>
      <c r="K170" s="202">
        <f>SUM(K18:K169)</f>
        <v>15747.4</v>
      </c>
      <c r="L170" s="643">
        <f>SUM(L18:L169)</f>
        <v>17741.7</v>
      </c>
      <c r="M170" s="626"/>
      <c r="N170" s="343"/>
      <c r="O170" s="287"/>
      <c r="P170" s="204"/>
      <c r="Q170" s="139"/>
    </row>
    <row r="171" spans="1:17" ht="18" customHeight="1" x14ac:dyDescent="0.2">
      <c r="A171" s="1487" t="s">
        <v>3</v>
      </c>
      <c r="B171" s="1488" t="s">
        <v>3</v>
      </c>
      <c r="C171" s="1489" t="s">
        <v>5</v>
      </c>
      <c r="D171" s="1490"/>
      <c r="E171" s="1492" t="s">
        <v>41</v>
      </c>
      <c r="F171" s="1494"/>
      <c r="G171" s="143"/>
      <c r="H171" s="130"/>
      <c r="I171" s="199"/>
      <c r="J171" s="180"/>
      <c r="K171" s="184"/>
      <c r="L171" s="334"/>
      <c r="M171" s="1500"/>
      <c r="N171" s="1501"/>
      <c r="O171" s="1503"/>
      <c r="P171" s="1483"/>
      <c r="Q171" s="1485"/>
    </row>
    <row r="172" spans="1:17" ht="11.25" customHeight="1" x14ac:dyDescent="0.2">
      <c r="A172" s="1434"/>
      <c r="B172" s="1446"/>
      <c r="C172" s="1436"/>
      <c r="D172" s="1491"/>
      <c r="E172" s="1493"/>
      <c r="F172" s="1495"/>
      <c r="G172" s="479"/>
      <c r="H172" s="446"/>
      <c r="I172" s="181"/>
      <c r="J172" s="181"/>
      <c r="K172" s="512"/>
      <c r="L172" s="399"/>
      <c r="M172" s="1473"/>
      <c r="N172" s="1502"/>
      <c r="O172" s="1504"/>
      <c r="P172" s="1484"/>
      <c r="Q172" s="1486"/>
    </row>
    <row r="173" spans="1:17" ht="15.75" customHeight="1" x14ac:dyDescent="0.2">
      <c r="A173" s="1434"/>
      <c r="B173" s="1443"/>
      <c r="C173" s="1436"/>
      <c r="D173" s="1409" t="s">
        <v>3</v>
      </c>
      <c r="E173" s="1413" t="s">
        <v>66</v>
      </c>
      <c r="F173" s="155" t="s">
        <v>159</v>
      </c>
      <c r="G173" s="1439" t="s">
        <v>154</v>
      </c>
      <c r="H173" s="393" t="s">
        <v>19</v>
      </c>
      <c r="I173" s="373">
        <f>2875.8-135.5+122</f>
        <v>2862.3</v>
      </c>
      <c r="J173" s="1003">
        <f>4230-400-100</f>
        <v>3730</v>
      </c>
      <c r="K173" s="1004">
        <f>4634.5-400-100</f>
        <v>4134.5</v>
      </c>
      <c r="L173" s="1005">
        <f>4916.2-400-100</f>
        <v>4416.2</v>
      </c>
      <c r="M173" s="1051" t="s">
        <v>53</v>
      </c>
      <c r="N173" s="921">
        <v>18.899999999999999</v>
      </c>
      <c r="O173" s="281">
        <v>19.8</v>
      </c>
      <c r="P173" s="922">
        <v>20.8</v>
      </c>
      <c r="Q173" s="923">
        <v>21.8</v>
      </c>
    </row>
    <row r="174" spans="1:17" ht="26.25" customHeight="1" x14ac:dyDescent="0.2">
      <c r="A174" s="1434"/>
      <c r="B174" s="1443"/>
      <c r="C174" s="1436"/>
      <c r="D174" s="1411"/>
      <c r="E174" s="1414"/>
      <c r="F174" s="1074" t="s">
        <v>204</v>
      </c>
      <c r="G174" s="1437"/>
      <c r="H174" s="446" t="s">
        <v>44</v>
      </c>
      <c r="I174" s="386">
        <v>129.30000000000001</v>
      </c>
      <c r="J174" s="448">
        <v>136.19999999999999</v>
      </c>
      <c r="K174" s="348"/>
      <c r="L174" s="387"/>
      <c r="M174" s="612" t="s">
        <v>226</v>
      </c>
      <c r="N174" s="362">
        <v>8.6999999999999993</v>
      </c>
      <c r="O174" s="282">
        <v>8</v>
      </c>
      <c r="P174" s="971">
        <v>7.9</v>
      </c>
      <c r="Q174" s="532">
        <v>7.7</v>
      </c>
    </row>
    <row r="175" spans="1:17" ht="16.5" customHeight="1" x14ac:dyDescent="0.2">
      <c r="A175" s="1028"/>
      <c r="B175" s="1052"/>
      <c r="C175" s="1030"/>
      <c r="D175" s="1053" t="s">
        <v>5</v>
      </c>
      <c r="E175" s="1412" t="s">
        <v>95</v>
      </c>
      <c r="F175" s="155" t="s">
        <v>159</v>
      </c>
      <c r="G175" s="150"/>
      <c r="H175" s="124" t="s">
        <v>19</v>
      </c>
      <c r="I175" s="180">
        <f>59.6+135.5+36</f>
        <v>231.1</v>
      </c>
      <c r="J175" s="180">
        <f>323.9-33.9-50</f>
        <v>240</v>
      </c>
      <c r="K175" s="184">
        <f>340.1-50</f>
        <v>290.10000000000002</v>
      </c>
      <c r="L175" s="334">
        <f>360-50</f>
        <v>310</v>
      </c>
      <c r="M175" s="1020" t="s">
        <v>226</v>
      </c>
      <c r="N175" s="492">
        <v>0.8</v>
      </c>
      <c r="O175" s="126">
        <v>0.3</v>
      </c>
      <c r="P175" s="453">
        <v>0.3</v>
      </c>
      <c r="Q175" s="89">
        <v>0.4</v>
      </c>
    </row>
    <row r="176" spans="1:17" ht="16.5" customHeight="1" x14ac:dyDescent="0.2">
      <c r="A176" s="1028"/>
      <c r="B176" s="1052"/>
      <c r="C176" s="1030"/>
      <c r="D176" s="1053"/>
      <c r="E176" s="1413"/>
      <c r="F176" s="147"/>
      <c r="G176" s="1035"/>
      <c r="H176" s="371" t="s">
        <v>44</v>
      </c>
      <c r="I176" s="177"/>
      <c r="J176" s="193">
        <v>33.9</v>
      </c>
      <c r="K176" s="363"/>
      <c r="L176" s="364"/>
      <c r="M176" s="1051"/>
      <c r="N176" s="403"/>
      <c r="O176" s="435"/>
      <c r="P176" s="575"/>
      <c r="Q176" s="436"/>
    </row>
    <row r="177" spans="1:18" ht="26.25" customHeight="1" x14ac:dyDescent="0.2">
      <c r="A177" s="1028"/>
      <c r="B177" s="1052"/>
      <c r="C177" s="1030"/>
      <c r="D177" s="80"/>
      <c r="E177" s="1413"/>
      <c r="F177" s="1017" t="s">
        <v>204</v>
      </c>
      <c r="G177" s="150"/>
      <c r="H177" s="385" t="s">
        <v>19</v>
      </c>
      <c r="I177" s="374">
        <f>150.7-40</f>
        <v>110.7</v>
      </c>
      <c r="J177" s="374">
        <v>150.69999999999999</v>
      </c>
      <c r="K177" s="191">
        <v>152</v>
      </c>
      <c r="L177" s="352">
        <v>155</v>
      </c>
      <c r="M177" s="496" t="s">
        <v>127</v>
      </c>
      <c r="N177" s="355">
        <v>980</v>
      </c>
      <c r="O177" s="284">
        <v>1461</v>
      </c>
      <c r="P177" s="284">
        <f>+O177+100</f>
        <v>1561</v>
      </c>
      <c r="Q177" s="75">
        <f>+P177+100</f>
        <v>1661</v>
      </c>
    </row>
    <row r="178" spans="1:18" ht="45" customHeight="1" x14ac:dyDescent="0.2">
      <c r="A178" s="1028"/>
      <c r="B178" s="1029"/>
      <c r="C178" s="1030"/>
      <c r="D178" s="80"/>
      <c r="E178" s="1413"/>
      <c r="F178" s="36"/>
      <c r="G178" s="505"/>
      <c r="H178" s="124"/>
      <c r="I178" s="448"/>
      <c r="J178" s="181"/>
      <c r="K178" s="512"/>
      <c r="L178" s="397"/>
      <c r="M178" s="228" t="s">
        <v>128</v>
      </c>
      <c r="N178" s="362">
        <v>20</v>
      </c>
      <c r="O178" s="278">
        <v>24</v>
      </c>
      <c r="P178" s="351">
        <v>25</v>
      </c>
      <c r="Q178" s="359">
        <v>26</v>
      </c>
    </row>
    <row r="179" spans="1:18" ht="14.25" customHeight="1" x14ac:dyDescent="0.2">
      <c r="A179" s="14"/>
      <c r="B179" s="1052"/>
      <c r="C179" s="47"/>
      <c r="D179" s="1011" t="s">
        <v>21</v>
      </c>
      <c r="E179" s="1412" t="s">
        <v>291</v>
      </c>
      <c r="F179" s="1016" t="s">
        <v>204</v>
      </c>
      <c r="G179" s="1439" t="s">
        <v>154</v>
      </c>
      <c r="H179" s="393" t="s">
        <v>19</v>
      </c>
      <c r="I179" s="373">
        <f>176.5-82</f>
        <v>94.5</v>
      </c>
      <c r="J179" s="448">
        <v>203.1</v>
      </c>
      <c r="K179" s="450">
        <v>189</v>
      </c>
      <c r="L179" s="399">
        <v>242</v>
      </c>
      <c r="M179" s="627" t="s">
        <v>113</v>
      </c>
      <c r="N179" s="583">
        <v>100</v>
      </c>
      <c r="O179" s="584"/>
      <c r="P179" s="252"/>
      <c r="Q179" s="100"/>
    </row>
    <row r="180" spans="1:18" ht="16.5" customHeight="1" x14ac:dyDescent="0.2">
      <c r="A180" s="14"/>
      <c r="B180" s="1052"/>
      <c r="C180" s="47"/>
      <c r="D180" s="815"/>
      <c r="E180" s="1413"/>
      <c r="F180" s="147" t="s">
        <v>159</v>
      </c>
      <c r="G180" s="1437"/>
      <c r="H180" s="385" t="s">
        <v>19</v>
      </c>
      <c r="I180" s="374">
        <v>10.3</v>
      </c>
      <c r="J180" s="374"/>
      <c r="K180" s="512"/>
      <c r="L180" s="352"/>
      <c r="M180" s="774" t="s">
        <v>116</v>
      </c>
      <c r="N180" s="166">
        <v>9</v>
      </c>
      <c r="O180" s="325">
        <v>9</v>
      </c>
      <c r="P180" s="273"/>
      <c r="Q180" s="166"/>
    </row>
    <row r="181" spans="1:18" ht="28.5" customHeight="1" x14ac:dyDescent="0.2">
      <c r="A181" s="14"/>
      <c r="B181" s="1052"/>
      <c r="C181" s="47"/>
      <c r="D181" s="815"/>
      <c r="E181" s="814"/>
      <c r="F181" s="813"/>
      <c r="G181" s="1451"/>
      <c r="H181" s="385" t="s">
        <v>44</v>
      </c>
      <c r="I181" s="177">
        <v>31.6</v>
      </c>
      <c r="J181" s="374"/>
      <c r="K181" s="191"/>
      <c r="L181" s="352"/>
      <c r="M181" s="1058" t="s">
        <v>281</v>
      </c>
      <c r="N181" s="13"/>
      <c r="O181" s="288">
        <v>4</v>
      </c>
      <c r="P181" s="187">
        <v>4</v>
      </c>
      <c r="Q181" s="755">
        <v>5</v>
      </c>
    </row>
    <row r="182" spans="1:18" ht="43.5" customHeight="1" x14ac:dyDescent="0.2">
      <c r="A182" s="14"/>
      <c r="B182" s="1052"/>
      <c r="C182" s="47"/>
      <c r="D182" s="1108"/>
      <c r="E182" s="811" t="s">
        <v>249</v>
      </c>
      <c r="F182" s="812" t="s">
        <v>316</v>
      </c>
      <c r="G182" s="1109" t="s">
        <v>153</v>
      </c>
      <c r="H182" s="385" t="s">
        <v>19</v>
      </c>
      <c r="I182" s="448">
        <v>35</v>
      </c>
      <c r="J182" s="374">
        <v>55</v>
      </c>
      <c r="K182" s="191"/>
      <c r="L182" s="352"/>
      <c r="M182" s="1104" t="s">
        <v>113</v>
      </c>
      <c r="N182" s="464">
        <v>30</v>
      </c>
      <c r="O182" s="344">
        <v>100</v>
      </c>
      <c r="P182" s="255"/>
      <c r="Q182" s="366"/>
    </row>
    <row r="183" spans="1:18" ht="15" customHeight="1" thickBot="1" x14ac:dyDescent="0.25">
      <c r="A183" s="15"/>
      <c r="B183" s="68"/>
      <c r="C183" s="46"/>
      <c r="D183" s="140"/>
      <c r="E183" s="137"/>
      <c r="F183" s="141"/>
      <c r="G183" s="144"/>
      <c r="H183" s="99" t="s">
        <v>4</v>
      </c>
      <c r="I183" s="196">
        <f>SUM(I173:I182)</f>
        <v>3504.8</v>
      </c>
      <c r="J183" s="170">
        <f>SUM(J173:J182)</f>
        <v>4548.8999999999996</v>
      </c>
      <c r="K183" s="202">
        <f>SUM(K173:K182)</f>
        <v>4765.6000000000004</v>
      </c>
      <c r="L183" s="206">
        <f>SUM(L173:L182)</f>
        <v>5123.2</v>
      </c>
      <c r="M183" s="231"/>
      <c r="N183" s="343"/>
      <c r="O183" s="287"/>
      <c r="P183" s="204"/>
      <c r="Q183" s="139"/>
    </row>
    <row r="184" spans="1:18" ht="15" customHeight="1" thickBot="1" x14ac:dyDescent="0.25">
      <c r="A184" s="16" t="s">
        <v>3</v>
      </c>
      <c r="B184" s="24" t="s">
        <v>3</v>
      </c>
      <c r="C184" s="1496" t="s">
        <v>6</v>
      </c>
      <c r="D184" s="1497"/>
      <c r="E184" s="1497"/>
      <c r="F184" s="1497"/>
      <c r="G184" s="1497"/>
      <c r="H184" s="1497"/>
      <c r="I184" s="200">
        <f>I183+I170</f>
        <v>15432.3</v>
      </c>
      <c r="J184" s="200">
        <f>J183+J170</f>
        <v>15463.3</v>
      </c>
      <c r="K184" s="644">
        <f>K183+K170</f>
        <v>20513</v>
      </c>
      <c r="L184" s="207">
        <f>L183+L170</f>
        <v>22864.9</v>
      </c>
      <c r="M184" s="1498"/>
      <c r="N184" s="1499"/>
      <c r="O184" s="652"/>
      <c r="P184" s="553"/>
      <c r="Q184" s="554"/>
      <c r="R184" s="488"/>
    </row>
    <row r="185" spans="1:18" ht="15" customHeight="1" thickBot="1" x14ac:dyDescent="0.25">
      <c r="A185" s="16" t="s">
        <v>3</v>
      </c>
      <c r="B185" s="24" t="s">
        <v>5</v>
      </c>
      <c r="C185" s="1512" t="s">
        <v>36</v>
      </c>
      <c r="D185" s="1513"/>
      <c r="E185" s="1513"/>
      <c r="F185" s="1513"/>
      <c r="G185" s="1513"/>
      <c r="H185" s="1513"/>
      <c r="I185" s="1513"/>
      <c r="J185" s="1513"/>
      <c r="K185" s="1513"/>
      <c r="L185" s="1513"/>
      <c r="M185" s="1513"/>
      <c r="N185" s="1513"/>
      <c r="O185" s="551"/>
      <c r="P185" s="550"/>
      <c r="Q185" s="949"/>
      <c r="R185" s="488"/>
    </row>
    <row r="186" spans="1:18" ht="27.75" customHeight="1" x14ac:dyDescent="0.2">
      <c r="A186" s="25" t="s">
        <v>3</v>
      </c>
      <c r="B186" s="31" t="s">
        <v>5</v>
      </c>
      <c r="C186" s="47" t="s">
        <v>3</v>
      </c>
      <c r="D186" s="22"/>
      <c r="E186" s="647" t="s">
        <v>56</v>
      </c>
      <c r="F186" s="648"/>
      <c r="G186" s="649"/>
      <c r="H186" s="650"/>
      <c r="I186" s="651"/>
      <c r="J186" s="181"/>
      <c r="K186" s="186"/>
      <c r="L186" s="397"/>
      <c r="M186" s="656"/>
      <c r="N186" s="657"/>
      <c r="O186" s="653"/>
      <c r="P186" s="654"/>
      <c r="Q186" s="655"/>
    </row>
    <row r="187" spans="1:18" ht="16.5" customHeight="1" x14ac:dyDescent="0.2">
      <c r="A187" s="26"/>
      <c r="B187" s="39"/>
      <c r="C187" s="47"/>
      <c r="D187" s="103" t="s">
        <v>3</v>
      </c>
      <c r="E187" s="1454" t="s">
        <v>40</v>
      </c>
      <c r="F187" s="147" t="s">
        <v>204</v>
      </c>
      <c r="G187" s="1514" t="s">
        <v>154</v>
      </c>
      <c r="H187" s="405" t="s">
        <v>19</v>
      </c>
      <c r="I187" s="180">
        <f>10.2-8</f>
        <v>2.2000000000000002</v>
      </c>
      <c r="J187" s="448">
        <v>1.7</v>
      </c>
      <c r="K187" s="450">
        <v>1.7</v>
      </c>
      <c r="L187" s="375">
        <v>1.7</v>
      </c>
      <c r="M187" s="1057" t="s">
        <v>76</v>
      </c>
      <c r="N187" s="405">
        <v>310</v>
      </c>
      <c r="O187" s="279">
        <v>311</v>
      </c>
      <c r="P187" s="285">
        <v>311</v>
      </c>
      <c r="Q187" s="233">
        <v>311</v>
      </c>
      <c r="R187" s="428"/>
    </row>
    <row r="188" spans="1:18" ht="26.25" customHeight="1" x14ac:dyDescent="0.2">
      <c r="A188" s="26"/>
      <c r="B188" s="39"/>
      <c r="C188" s="47"/>
      <c r="D188" s="22"/>
      <c r="E188" s="1454"/>
      <c r="F188" s="1063"/>
      <c r="G188" s="1514"/>
      <c r="H188" s="13" t="s">
        <v>19</v>
      </c>
      <c r="I188" s="374">
        <v>7.4</v>
      </c>
      <c r="J188" s="374">
        <v>30.4</v>
      </c>
      <c r="K188" s="512">
        <v>30.4</v>
      </c>
      <c r="L188" s="352">
        <v>30.4</v>
      </c>
      <c r="M188" s="717" t="s">
        <v>77</v>
      </c>
      <c r="N188" s="345">
        <v>290</v>
      </c>
      <c r="O188" s="288"/>
      <c r="P188" s="369"/>
      <c r="Q188" s="235"/>
    </row>
    <row r="189" spans="1:18" ht="26.25" customHeight="1" x14ac:dyDescent="0.2">
      <c r="A189" s="26"/>
      <c r="B189" s="39"/>
      <c r="C189" s="47"/>
      <c r="D189" s="22"/>
      <c r="E189" s="1454"/>
      <c r="F189" s="1063"/>
      <c r="G189" s="1514"/>
      <c r="H189" s="13"/>
      <c r="I189" s="175"/>
      <c r="J189" s="448"/>
      <c r="K189" s="512"/>
      <c r="L189" s="407"/>
      <c r="M189" s="717" t="s">
        <v>301</v>
      </c>
      <c r="N189" s="417"/>
      <c r="O189" s="301">
        <v>12</v>
      </c>
      <c r="P189" s="841">
        <v>12</v>
      </c>
      <c r="Q189" s="142">
        <v>12</v>
      </c>
    </row>
    <row r="190" spans="1:18" ht="18.600000000000001" customHeight="1" x14ac:dyDescent="0.2">
      <c r="A190" s="26"/>
      <c r="B190" s="39"/>
      <c r="C190" s="1030"/>
      <c r="D190" s="32"/>
      <c r="E190" s="1479"/>
      <c r="F190" s="429"/>
      <c r="G190" s="1514"/>
      <c r="H190" s="338" t="s">
        <v>19</v>
      </c>
      <c r="I190" s="347">
        <f>13.2-8</f>
        <v>5.2</v>
      </c>
      <c r="J190" s="374">
        <v>13.3</v>
      </c>
      <c r="K190" s="191">
        <v>13.3</v>
      </c>
      <c r="L190" s="387">
        <v>13.3</v>
      </c>
      <c r="M190" s="612" t="s">
        <v>58</v>
      </c>
      <c r="N190" s="338">
        <v>27</v>
      </c>
      <c r="O190" s="280">
        <v>47</v>
      </c>
      <c r="P190" s="286">
        <v>47</v>
      </c>
      <c r="Q190" s="234">
        <v>47</v>
      </c>
    </row>
    <row r="191" spans="1:18" ht="15.6" customHeight="1" x14ac:dyDescent="0.2">
      <c r="A191" s="26"/>
      <c r="B191" s="39"/>
      <c r="C191" s="47"/>
      <c r="D191" s="102" t="s">
        <v>5</v>
      </c>
      <c r="E191" s="1453" t="s">
        <v>161</v>
      </c>
      <c r="F191" s="147" t="s">
        <v>159</v>
      </c>
      <c r="G191" s="133"/>
      <c r="H191" s="23" t="s">
        <v>19</v>
      </c>
      <c r="I191" s="449">
        <f>223.1+17+109+18+9+16</f>
        <v>392.1</v>
      </c>
      <c r="J191" s="449">
        <f>660</f>
        <v>660</v>
      </c>
      <c r="K191" s="450">
        <f>583.9+72.8</f>
        <v>656.7</v>
      </c>
      <c r="L191" s="375">
        <v>558</v>
      </c>
      <c r="M191" s="1515" t="s">
        <v>69</v>
      </c>
      <c r="N191" s="23">
        <v>18</v>
      </c>
      <c r="O191" s="289">
        <v>18</v>
      </c>
      <c r="P191" s="565">
        <v>18</v>
      </c>
      <c r="Q191" s="238">
        <v>18</v>
      </c>
      <c r="R191" s="428"/>
    </row>
    <row r="192" spans="1:18" ht="15.6" customHeight="1" x14ac:dyDescent="0.2">
      <c r="A192" s="26"/>
      <c r="B192" s="39"/>
      <c r="C192" s="47"/>
      <c r="D192" s="79"/>
      <c r="E192" s="1444"/>
      <c r="F192" s="147" t="s">
        <v>204</v>
      </c>
      <c r="G192" s="133"/>
      <c r="H192" s="345" t="s">
        <v>44</v>
      </c>
      <c r="I192" s="448">
        <f>397.2-80</f>
        <v>317.2</v>
      </c>
      <c r="J192" s="374">
        <f>111+16.3-72.8</f>
        <v>54.5</v>
      </c>
      <c r="K192" s="512"/>
      <c r="L192" s="399"/>
      <c r="M192" s="1516"/>
      <c r="N192" s="416"/>
      <c r="O192" s="290"/>
      <c r="P192" s="566"/>
      <c r="Q192" s="237"/>
    </row>
    <row r="193" spans="1:19" ht="15" customHeight="1" x14ac:dyDescent="0.2">
      <c r="A193" s="26"/>
      <c r="B193" s="39"/>
      <c r="C193" s="47"/>
      <c r="D193" s="79"/>
      <c r="E193" s="1444"/>
      <c r="F193" s="1063"/>
      <c r="G193" s="133"/>
      <c r="H193" s="417"/>
      <c r="I193" s="396"/>
      <c r="J193" s="535"/>
      <c r="K193" s="536"/>
      <c r="L193" s="534"/>
      <c r="M193" s="1433" t="s">
        <v>114</v>
      </c>
      <c r="N193" s="417">
        <v>95</v>
      </c>
      <c r="O193" s="291">
        <v>100</v>
      </c>
      <c r="P193" s="567"/>
      <c r="Q193" s="236"/>
    </row>
    <row r="194" spans="1:19" ht="15" customHeight="1" x14ac:dyDescent="0.2">
      <c r="A194" s="26"/>
      <c r="B194" s="39"/>
      <c r="C194" s="47"/>
      <c r="D194" s="79"/>
      <c r="E194" s="1444"/>
      <c r="F194" s="1063"/>
      <c r="G194" s="133"/>
      <c r="H194" s="13"/>
      <c r="I194" s="448"/>
      <c r="J194" s="533"/>
      <c r="K194" s="796"/>
      <c r="L194" s="798"/>
      <c r="M194" s="1517"/>
      <c r="N194" s="416"/>
      <c r="O194" s="290"/>
      <c r="P194" s="566"/>
      <c r="Q194" s="237"/>
    </row>
    <row r="195" spans="1:19" ht="20.25" customHeight="1" x14ac:dyDescent="0.2">
      <c r="A195" s="26"/>
      <c r="B195" s="39"/>
      <c r="C195" s="47"/>
      <c r="D195" s="79"/>
      <c r="E195" s="1444"/>
      <c r="F195" s="1063"/>
      <c r="G195" s="133"/>
      <c r="H195" s="13"/>
      <c r="I195" s="119"/>
      <c r="J195" s="448"/>
      <c r="K195" s="185"/>
      <c r="L195" s="399"/>
      <c r="M195" s="717" t="s">
        <v>303</v>
      </c>
      <c r="N195" s="345">
        <v>41</v>
      </c>
      <c r="O195" s="288"/>
      <c r="P195" s="369"/>
      <c r="Q195" s="235"/>
    </row>
    <row r="196" spans="1:19" ht="15.6" customHeight="1" x14ac:dyDescent="0.2">
      <c r="A196" s="26"/>
      <c r="B196" s="39"/>
      <c r="C196" s="47"/>
      <c r="D196" s="22"/>
      <c r="E196" s="1056"/>
      <c r="F196" s="1063"/>
      <c r="G196" s="133"/>
      <c r="H196" s="13"/>
      <c r="I196" s="448"/>
      <c r="J196" s="651"/>
      <c r="K196" s="797"/>
      <c r="L196" s="799"/>
      <c r="M196" s="1468" t="s">
        <v>295</v>
      </c>
      <c r="N196" s="236">
        <v>5.2</v>
      </c>
      <c r="O196" s="295">
        <v>3</v>
      </c>
      <c r="P196" s="295">
        <v>3</v>
      </c>
      <c r="Q196" s="236">
        <v>3</v>
      </c>
      <c r="S196" s="793"/>
    </row>
    <row r="197" spans="1:19" ht="15.6" customHeight="1" x14ac:dyDescent="0.2">
      <c r="A197" s="26"/>
      <c r="B197" s="39"/>
      <c r="C197" s="47"/>
      <c r="D197" s="22"/>
      <c r="E197" s="1056"/>
      <c r="F197" s="1063"/>
      <c r="G197" s="133"/>
      <c r="H197" s="13"/>
      <c r="I197" s="119"/>
      <c r="J197" s="448"/>
      <c r="K197" s="185"/>
      <c r="L197" s="399"/>
      <c r="M197" s="1469"/>
      <c r="N197" s="237"/>
      <c r="O197" s="290"/>
      <c r="P197" s="566"/>
      <c r="Q197" s="237"/>
    </row>
    <row r="198" spans="1:19" ht="28.35" customHeight="1" x14ac:dyDescent="0.2">
      <c r="A198" s="26"/>
      <c r="B198" s="39"/>
      <c r="C198" s="47"/>
      <c r="D198" s="22"/>
      <c r="E198" s="1056"/>
      <c r="F198" s="1063"/>
      <c r="G198" s="133"/>
      <c r="H198" s="13"/>
      <c r="I198" s="448"/>
      <c r="J198" s="448"/>
      <c r="K198" s="185"/>
      <c r="L198" s="399"/>
      <c r="M198" s="224" t="s">
        <v>345</v>
      </c>
      <c r="N198" s="235">
        <v>1</v>
      </c>
      <c r="O198" s="288">
        <v>1</v>
      </c>
      <c r="P198" s="369"/>
      <c r="Q198" s="235"/>
    </row>
    <row r="199" spans="1:19" ht="44.45" customHeight="1" x14ac:dyDescent="0.2">
      <c r="A199" s="26"/>
      <c r="B199" s="39"/>
      <c r="C199" s="47"/>
      <c r="D199" s="22"/>
      <c r="E199" s="1056"/>
      <c r="F199" s="1063"/>
      <c r="G199" s="133"/>
      <c r="H199" s="13"/>
      <c r="I199" s="119"/>
      <c r="J199" s="448"/>
      <c r="K199" s="185"/>
      <c r="L199" s="399"/>
      <c r="M199" s="496" t="s">
        <v>346</v>
      </c>
      <c r="N199" s="345"/>
      <c r="O199" s="288">
        <v>30</v>
      </c>
      <c r="P199" s="369">
        <v>100</v>
      </c>
      <c r="Q199" s="235"/>
    </row>
    <row r="200" spans="1:19" ht="27.6" customHeight="1" x14ac:dyDescent="0.2">
      <c r="A200" s="26"/>
      <c r="B200" s="39"/>
      <c r="C200" s="47"/>
      <c r="D200" s="22"/>
      <c r="E200" s="1056"/>
      <c r="F200" s="1063"/>
      <c r="G200" s="133"/>
      <c r="H200" s="13"/>
      <c r="I200" s="119"/>
      <c r="J200" s="448"/>
      <c r="K200" s="185"/>
      <c r="L200" s="399"/>
      <c r="M200" s="496" t="s">
        <v>210</v>
      </c>
      <c r="N200" s="345">
        <v>1</v>
      </c>
      <c r="O200" s="288"/>
      <c r="P200" s="369"/>
      <c r="Q200" s="235"/>
    </row>
    <row r="201" spans="1:19" ht="31.5" customHeight="1" x14ac:dyDescent="0.2">
      <c r="A201" s="26"/>
      <c r="B201" s="39"/>
      <c r="C201" s="47"/>
      <c r="D201" s="22"/>
      <c r="E201" s="1056"/>
      <c r="F201" s="1063"/>
      <c r="G201" s="133"/>
      <c r="H201" s="13"/>
      <c r="I201" s="119"/>
      <c r="J201" s="448"/>
      <c r="K201" s="185"/>
      <c r="L201" s="399"/>
      <c r="M201" s="717" t="s">
        <v>317</v>
      </c>
      <c r="N201" s="345">
        <v>105</v>
      </c>
      <c r="O201" s="288">
        <v>860</v>
      </c>
      <c r="P201" s="369"/>
      <c r="Q201" s="235"/>
    </row>
    <row r="202" spans="1:19" ht="28.5" customHeight="1" x14ac:dyDescent="0.2">
      <c r="A202" s="26"/>
      <c r="B202" s="39"/>
      <c r="C202" s="47"/>
      <c r="D202" s="22"/>
      <c r="E202" s="1056"/>
      <c r="F202" s="1063"/>
      <c r="G202" s="133"/>
      <c r="H202" s="13"/>
      <c r="I202" s="119"/>
      <c r="J202" s="448"/>
      <c r="K202" s="185"/>
      <c r="L202" s="399"/>
      <c r="M202" s="717" t="s">
        <v>296</v>
      </c>
      <c r="N202" s="345">
        <v>100</v>
      </c>
      <c r="O202" s="288"/>
      <c r="P202" s="369"/>
      <c r="Q202" s="235"/>
    </row>
    <row r="203" spans="1:19" ht="27.75" customHeight="1" x14ac:dyDescent="0.2">
      <c r="A203" s="26"/>
      <c r="B203" s="39"/>
      <c r="C203" s="47"/>
      <c r="D203" s="22"/>
      <c r="E203" s="1056"/>
      <c r="F203" s="1063"/>
      <c r="G203" s="133"/>
      <c r="H203" s="13"/>
      <c r="I203" s="119"/>
      <c r="J203" s="448"/>
      <c r="K203" s="185"/>
      <c r="L203" s="399"/>
      <c r="M203" s="717" t="s">
        <v>302</v>
      </c>
      <c r="N203" s="417"/>
      <c r="O203" s="291">
        <v>36</v>
      </c>
      <c r="P203" s="292"/>
      <c r="Q203" s="337"/>
    </row>
    <row r="204" spans="1:19" ht="29.1" customHeight="1" x14ac:dyDescent="0.2">
      <c r="A204" s="26"/>
      <c r="B204" s="39"/>
      <c r="C204" s="47"/>
      <c r="D204" s="107"/>
      <c r="E204" s="1056"/>
      <c r="F204" s="1063"/>
      <c r="G204" s="133"/>
      <c r="H204" s="13"/>
      <c r="I204" s="119"/>
      <c r="J204" s="448"/>
      <c r="K204" s="185"/>
      <c r="L204" s="399"/>
      <c r="M204" s="842" t="s">
        <v>282</v>
      </c>
      <c r="N204" s="417">
        <v>100</v>
      </c>
      <c r="O204" s="291"/>
      <c r="P204" s="116"/>
      <c r="Q204" s="755"/>
    </row>
    <row r="205" spans="1:19" ht="17.850000000000001" customHeight="1" x14ac:dyDescent="0.2">
      <c r="A205" s="26"/>
      <c r="B205" s="39"/>
      <c r="C205" s="47"/>
      <c r="D205" s="342"/>
      <c r="E205" s="1056"/>
      <c r="F205" s="429"/>
      <c r="G205" s="133"/>
      <c r="H205" s="127"/>
      <c r="I205" s="178"/>
      <c r="J205" s="181"/>
      <c r="K205" s="185"/>
      <c r="L205" s="831"/>
      <c r="M205" s="843" t="s">
        <v>300</v>
      </c>
      <c r="N205" s="338"/>
      <c r="O205" s="844">
        <v>5</v>
      </c>
      <c r="P205" s="293">
        <v>5</v>
      </c>
      <c r="Q205" s="340"/>
    </row>
    <row r="206" spans="1:19" s="3" customFormat="1" ht="15" customHeight="1" x14ac:dyDescent="0.2">
      <c r="A206" s="26"/>
      <c r="B206" s="39"/>
      <c r="C206" s="47"/>
      <c r="D206" s="102" t="s">
        <v>21</v>
      </c>
      <c r="E206" s="1505" t="s">
        <v>199</v>
      </c>
      <c r="F206" s="120" t="s">
        <v>159</v>
      </c>
      <c r="G206" s="399"/>
      <c r="H206" s="447"/>
      <c r="I206" s="172"/>
      <c r="J206" s="832"/>
      <c r="K206" s="659"/>
      <c r="L206" s="294"/>
      <c r="M206" s="1106" t="s">
        <v>315</v>
      </c>
      <c r="N206" s="828"/>
      <c r="O206" s="279"/>
      <c r="P206" s="829"/>
      <c r="Q206" s="830"/>
      <c r="R206" s="2"/>
    </row>
    <row r="207" spans="1:19" s="3" customFormat="1" ht="15" customHeight="1" x14ac:dyDescent="0.2">
      <c r="A207" s="26"/>
      <c r="B207" s="39"/>
      <c r="C207" s="47"/>
      <c r="D207" s="473"/>
      <c r="E207" s="1506"/>
      <c r="F207" s="120" t="s">
        <v>204</v>
      </c>
      <c r="G207" s="399"/>
      <c r="H207" s="29"/>
      <c r="I207" s="119"/>
      <c r="J207" s="502"/>
      <c r="K207" s="660"/>
      <c r="L207" s="339"/>
      <c r="M207" s="1104" t="s">
        <v>231</v>
      </c>
      <c r="N207" s="1508"/>
      <c r="O207" s="1510"/>
      <c r="P207" s="728"/>
      <c r="Q207" s="950"/>
      <c r="R207" s="488"/>
    </row>
    <row r="208" spans="1:19" s="3" customFormat="1" ht="15" customHeight="1" x14ac:dyDescent="0.2">
      <c r="A208" s="26"/>
      <c r="B208" s="39"/>
      <c r="C208" s="47"/>
      <c r="D208" s="474"/>
      <c r="E208" s="1507"/>
      <c r="F208" s="120"/>
      <c r="G208" s="397"/>
      <c r="H208" s="30"/>
      <c r="I208" s="178"/>
      <c r="J208" s="1071"/>
      <c r="K208" s="596"/>
      <c r="L208" s="340"/>
      <c r="M208" s="111"/>
      <c r="N208" s="1509"/>
      <c r="O208" s="1511"/>
      <c r="P208" s="729"/>
      <c r="Q208" s="951"/>
      <c r="R208" s="488"/>
    </row>
    <row r="209" spans="1:18" ht="16.350000000000001" customHeight="1" thickBot="1" x14ac:dyDescent="0.25">
      <c r="A209" s="15"/>
      <c r="B209" s="68"/>
      <c r="C209" s="46"/>
      <c r="D209" s="140"/>
      <c r="E209" s="137"/>
      <c r="F209" s="141"/>
      <c r="G209" s="138"/>
      <c r="H209" s="118" t="s">
        <v>4</v>
      </c>
      <c r="I209" s="170">
        <f>SUM(I187:I208)</f>
        <v>724.1</v>
      </c>
      <c r="J209" s="196">
        <f>SUM(J187:J208)</f>
        <v>759.9</v>
      </c>
      <c r="K209" s="202">
        <f>SUM(K187:K208)</f>
        <v>702.1</v>
      </c>
      <c r="L209" s="206">
        <f>SUM(L187:L208)</f>
        <v>603.4</v>
      </c>
      <c r="M209" s="231"/>
      <c r="N209" s="139"/>
      <c r="O209" s="271"/>
      <c r="P209" s="287"/>
      <c r="Q209" s="139"/>
    </row>
    <row r="210" spans="1:18" ht="15" customHeight="1" thickBot="1" x14ac:dyDescent="0.25">
      <c r="A210" s="17" t="s">
        <v>3</v>
      </c>
      <c r="B210" s="4" t="s">
        <v>5</v>
      </c>
      <c r="C210" s="1496" t="s">
        <v>6</v>
      </c>
      <c r="D210" s="1497"/>
      <c r="E210" s="1497"/>
      <c r="F210" s="1497"/>
      <c r="G210" s="1497"/>
      <c r="H210" s="1497"/>
      <c r="I210" s="160">
        <f t="shared" ref="I210:L210" si="0">I209</f>
        <v>724.1</v>
      </c>
      <c r="J210" s="200">
        <f t="shared" si="0"/>
        <v>759.9</v>
      </c>
      <c r="K210" s="203">
        <f t="shared" si="0"/>
        <v>702.1</v>
      </c>
      <c r="L210" s="198">
        <f t="shared" si="0"/>
        <v>603.4</v>
      </c>
      <c r="M210" s="1498"/>
      <c r="N210" s="1499"/>
      <c r="O210" s="1499"/>
      <c r="P210" s="1499"/>
      <c r="Q210" s="949"/>
      <c r="R210" s="488"/>
    </row>
    <row r="211" spans="1:18" ht="15" customHeight="1" thickBot="1" x14ac:dyDescent="0.25">
      <c r="A211" s="16" t="s">
        <v>3</v>
      </c>
      <c r="B211" s="4" t="s">
        <v>21</v>
      </c>
      <c r="C211" s="1518" t="s">
        <v>80</v>
      </c>
      <c r="D211" s="1519"/>
      <c r="E211" s="1519"/>
      <c r="F211" s="1519"/>
      <c r="G211" s="1519"/>
      <c r="H211" s="1519"/>
      <c r="I211" s="1519"/>
      <c r="J211" s="1519"/>
      <c r="K211" s="1519"/>
      <c r="L211" s="1519"/>
      <c r="M211" s="1519"/>
      <c r="N211" s="1519"/>
      <c r="O211" s="553"/>
      <c r="P211" s="551"/>
      <c r="Q211" s="515"/>
      <c r="R211" s="488"/>
    </row>
    <row r="212" spans="1:18" ht="27.75" customHeight="1" x14ac:dyDescent="0.2">
      <c r="A212" s="42" t="s">
        <v>3</v>
      </c>
      <c r="B212" s="40" t="s">
        <v>21</v>
      </c>
      <c r="C212" s="1015" t="s">
        <v>3</v>
      </c>
      <c r="D212" s="50"/>
      <c r="E212" s="51" t="s">
        <v>148</v>
      </c>
      <c r="F212" s="44"/>
      <c r="G212" s="733"/>
      <c r="H212" s="736"/>
      <c r="I212" s="179"/>
      <c r="J212" s="192"/>
      <c r="K212" s="201"/>
      <c r="L212" s="497"/>
      <c r="M212" s="737"/>
      <c r="N212" s="176"/>
      <c r="O212" s="192"/>
      <c r="P212" s="195"/>
      <c r="Q212" s="241"/>
    </row>
    <row r="213" spans="1:18" ht="14.25" customHeight="1" x14ac:dyDescent="0.2">
      <c r="A213" s="42"/>
      <c r="B213" s="40"/>
      <c r="C213" s="1015"/>
      <c r="D213" s="52" t="s">
        <v>3</v>
      </c>
      <c r="E213" s="1412" t="s">
        <v>118</v>
      </c>
      <c r="F213" s="817"/>
      <c r="G213" s="1520" t="s">
        <v>152</v>
      </c>
      <c r="H213" s="393" t="s">
        <v>19</v>
      </c>
      <c r="I213" s="119">
        <f>1000+67</f>
        <v>1067</v>
      </c>
      <c r="J213" s="449"/>
      <c r="K213" s="450"/>
      <c r="L213" s="178"/>
      <c r="M213" s="816" t="s">
        <v>115</v>
      </c>
      <c r="N213" s="365">
        <v>10</v>
      </c>
      <c r="O213" s="298"/>
      <c r="P213" s="304"/>
      <c r="Q213" s="76"/>
    </row>
    <row r="214" spans="1:18" ht="27" customHeight="1" x14ac:dyDescent="0.2">
      <c r="A214" s="42"/>
      <c r="B214" s="40"/>
      <c r="C214" s="1015"/>
      <c r="D214" s="52"/>
      <c r="E214" s="1444"/>
      <c r="F214" s="818"/>
      <c r="G214" s="1521"/>
      <c r="H214" s="371" t="s">
        <v>44</v>
      </c>
      <c r="I214" s="177">
        <v>698.6</v>
      </c>
      <c r="J214" s="448"/>
      <c r="K214" s="185"/>
      <c r="L214" s="352"/>
      <c r="M214" s="1522" t="s">
        <v>110</v>
      </c>
      <c r="N214" s="1022">
        <v>513</v>
      </c>
      <c r="O214" s="1009"/>
      <c r="P214" s="658"/>
      <c r="Q214" s="478"/>
    </row>
    <row r="215" spans="1:18" ht="15" customHeight="1" x14ac:dyDescent="0.2">
      <c r="A215" s="42"/>
      <c r="B215" s="40"/>
      <c r="C215" s="1015"/>
      <c r="D215" s="52"/>
      <c r="E215" s="45" t="s">
        <v>211</v>
      </c>
      <c r="F215" s="818"/>
      <c r="G215" s="1521"/>
      <c r="H215" s="124" t="s">
        <v>242</v>
      </c>
      <c r="I215" s="396">
        <v>100</v>
      </c>
      <c r="J215" s="374"/>
      <c r="K215" s="191"/>
      <c r="L215" s="352"/>
      <c r="M215" s="1523"/>
      <c r="N215" s="1023"/>
      <c r="O215" s="1010"/>
      <c r="P215" s="1065"/>
      <c r="Q215" s="91"/>
    </row>
    <row r="216" spans="1:18" ht="28.35" customHeight="1" x14ac:dyDescent="0.2">
      <c r="A216" s="42"/>
      <c r="B216" s="40"/>
      <c r="C216" s="1015"/>
      <c r="D216" s="52"/>
      <c r="E216" s="777"/>
      <c r="F216" s="818"/>
      <c r="G216" s="1521"/>
      <c r="H216" s="124"/>
      <c r="I216" s="119"/>
      <c r="J216" s="408"/>
      <c r="K216" s="406"/>
      <c r="L216" s="407"/>
      <c r="M216" s="816" t="s">
        <v>89</v>
      </c>
      <c r="N216" s="418">
        <v>9.1</v>
      </c>
      <c r="O216" s="470"/>
      <c r="P216" s="419"/>
      <c r="Q216" s="776"/>
    </row>
    <row r="217" spans="1:18" ht="20.25" customHeight="1" x14ac:dyDescent="0.2">
      <c r="A217" s="42"/>
      <c r="B217" s="40"/>
      <c r="C217" s="1015"/>
      <c r="D217" s="52"/>
      <c r="E217" s="1452" t="s">
        <v>124</v>
      </c>
      <c r="F217" s="1017" t="s">
        <v>137</v>
      </c>
      <c r="G217" s="1521"/>
      <c r="H217" s="385" t="s">
        <v>44</v>
      </c>
      <c r="I217" s="396"/>
      <c r="J217" s="512">
        <f>1498.5-200</f>
        <v>1298.5</v>
      </c>
      <c r="K217" s="376"/>
      <c r="L217" s="352"/>
      <c r="M217" s="995" t="s">
        <v>279</v>
      </c>
      <c r="N217" s="418"/>
      <c r="O217" s="778">
        <v>7</v>
      </c>
      <c r="P217" s="419"/>
      <c r="Q217" s="776"/>
    </row>
    <row r="218" spans="1:18" s="164" customFormat="1" ht="26.85" customHeight="1" x14ac:dyDescent="0.2">
      <c r="A218" s="42"/>
      <c r="B218" s="40"/>
      <c r="C218" s="1015"/>
      <c r="D218" s="52"/>
      <c r="E218" s="1413"/>
      <c r="F218" s="1017" t="s">
        <v>159</v>
      </c>
      <c r="G218" s="1521"/>
      <c r="H218" s="345" t="s">
        <v>242</v>
      </c>
      <c r="I218" s="177"/>
      <c r="J218" s="374">
        <v>652.4</v>
      </c>
      <c r="K218" s="191">
        <v>400</v>
      </c>
      <c r="L218" s="364">
        <v>400</v>
      </c>
      <c r="M218" s="1468" t="s">
        <v>297</v>
      </c>
      <c r="N218" s="941"/>
      <c r="O218" s="933">
        <v>50</v>
      </c>
      <c r="P218" s="933">
        <v>100</v>
      </c>
      <c r="Q218" s="934"/>
      <c r="R218" s="2"/>
    </row>
    <row r="219" spans="1:18" s="164" customFormat="1" ht="27" customHeight="1" x14ac:dyDescent="0.2">
      <c r="A219" s="42"/>
      <c r="B219" s="40"/>
      <c r="C219" s="1015"/>
      <c r="D219" s="52"/>
      <c r="E219" s="1049"/>
      <c r="F219" s="1017" t="s">
        <v>204</v>
      </c>
      <c r="G219" s="1521"/>
      <c r="H219" s="124" t="s">
        <v>19</v>
      </c>
      <c r="I219" s="448"/>
      <c r="J219" s="374"/>
      <c r="K219" s="376">
        <f>2078.7+200</f>
        <v>2278.6999999999998</v>
      </c>
      <c r="L219" s="352">
        <v>3680.1</v>
      </c>
      <c r="M219" s="1469"/>
      <c r="N219" s="942"/>
      <c r="O219" s="943"/>
      <c r="P219" s="943"/>
      <c r="Q219" s="944"/>
    </row>
    <row r="220" spans="1:18" s="164" customFormat="1" ht="16.5" customHeight="1" x14ac:dyDescent="0.2">
      <c r="A220" s="42"/>
      <c r="B220" s="40"/>
      <c r="C220" s="1015"/>
      <c r="D220" s="52"/>
      <c r="E220" s="1049"/>
      <c r="F220" s="1017"/>
      <c r="G220" s="1521"/>
      <c r="H220" s="124"/>
      <c r="I220" s="119"/>
      <c r="J220" s="448"/>
      <c r="K220" s="185"/>
      <c r="L220" s="399"/>
      <c r="M220" s="1468" t="s">
        <v>320</v>
      </c>
      <c r="N220" s="941">
        <v>20</v>
      </c>
      <c r="O220" s="933">
        <v>50</v>
      </c>
      <c r="P220" s="933">
        <v>100</v>
      </c>
      <c r="Q220" s="934"/>
    </row>
    <row r="221" spans="1:18" s="164" customFormat="1" ht="13.35" customHeight="1" x14ac:dyDescent="0.2">
      <c r="A221" s="42"/>
      <c r="B221" s="40"/>
      <c r="C221" s="1015"/>
      <c r="D221" s="52"/>
      <c r="E221" s="1049"/>
      <c r="F221" s="1017"/>
      <c r="G221" s="1521"/>
      <c r="H221" s="124"/>
      <c r="I221" s="448"/>
      <c r="J221" s="448"/>
      <c r="K221" s="185"/>
      <c r="L221" s="178"/>
      <c r="M221" s="1524"/>
      <c r="N221" s="945"/>
      <c r="O221" s="935"/>
      <c r="P221" s="935"/>
      <c r="Q221" s="936"/>
    </row>
    <row r="222" spans="1:18" s="164" customFormat="1" ht="18" customHeight="1" x14ac:dyDescent="0.2">
      <c r="A222" s="42"/>
      <c r="B222" s="40"/>
      <c r="C222" s="1015"/>
      <c r="D222" s="52"/>
      <c r="E222" s="1049"/>
      <c r="F222" s="1017"/>
      <c r="G222" s="1521"/>
      <c r="H222" s="124"/>
      <c r="I222" s="119"/>
      <c r="J222" s="448"/>
      <c r="K222" s="185"/>
      <c r="L222" s="399"/>
      <c r="M222" s="1468" t="s">
        <v>321</v>
      </c>
      <c r="N222" s="941"/>
      <c r="O222" s="933">
        <v>20</v>
      </c>
      <c r="P222" s="933">
        <v>50</v>
      </c>
      <c r="Q222" s="934">
        <v>100</v>
      </c>
    </row>
    <row r="223" spans="1:18" s="164" customFormat="1" ht="13.5" customHeight="1" x14ac:dyDescent="0.2">
      <c r="A223" s="42"/>
      <c r="B223" s="40"/>
      <c r="C223" s="1015"/>
      <c r="D223" s="52"/>
      <c r="E223" s="1049"/>
      <c r="F223" s="1017"/>
      <c r="G223" s="1521"/>
      <c r="H223" s="124"/>
      <c r="I223" s="119"/>
      <c r="J223" s="448"/>
      <c r="K223" s="185"/>
      <c r="L223" s="178"/>
      <c r="M223" s="1524"/>
      <c r="N223" s="945"/>
      <c r="O223" s="935"/>
      <c r="P223" s="935"/>
      <c r="Q223" s="936"/>
    </row>
    <row r="224" spans="1:18" s="164" customFormat="1" ht="18" customHeight="1" x14ac:dyDescent="0.2">
      <c r="A224" s="42"/>
      <c r="B224" s="40"/>
      <c r="C224" s="1015"/>
      <c r="D224" s="52"/>
      <c r="E224" s="1049"/>
      <c r="F224" s="1017"/>
      <c r="G224" s="1521"/>
      <c r="H224" s="124"/>
      <c r="I224" s="472"/>
      <c r="J224" s="448"/>
      <c r="K224" s="185"/>
      <c r="L224" s="399"/>
      <c r="M224" s="1468" t="s">
        <v>322</v>
      </c>
      <c r="N224" s="941"/>
      <c r="O224" s="933">
        <v>5</v>
      </c>
      <c r="P224" s="933">
        <v>50</v>
      </c>
      <c r="Q224" s="934">
        <v>100</v>
      </c>
    </row>
    <row r="225" spans="1:17" s="164" customFormat="1" ht="16.5" customHeight="1" x14ac:dyDescent="0.2">
      <c r="A225" s="42"/>
      <c r="B225" s="40"/>
      <c r="C225" s="1015"/>
      <c r="D225" s="52"/>
      <c r="E225" s="1049"/>
      <c r="F225" s="1017"/>
      <c r="G225" s="1521"/>
      <c r="H225" s="124"/>
      <c r="I225" s="472"/>
      <c r="J225" s="448"/>
      <c r="K225" s="185"/>
      <c r="L225" s="399"/>
      <c r="M225" s="1524"/>
      <c r="N225" s="945"/>
      <c r="O225" s="937"/>
      <c r="P225" s="935"/>
      <c r="Q225" s="936"/>
    </row>
    <row r="226" spans="1:17" s="164" customFormat="1" ht="28.35" customHeight="1" x14ac:dyDescent="0.2">
      <c r="A226" s="42"/>
      <c r="B226" s="40"/>
      <c r="C226" s="1015"/>
      <c r="D226" s="52"/>
      <c r="E226" s="1049"/>
      <c r="F226" s="1017"/>
      <c r="G226" s="1521"/>
      <c r="H226" s="124"/>
      <c r="I226" s="119"/>
      <c r="J226" s="448"/>
      <c r="K226" s="185"/>
      <c r="L226" s="178"/>
      <c r="M226" s="1039" t="s">
        <v>323</v>
      </c>
      <c r="N226" s="941"/>
      <c r="O226" s="938"/>
      <c r="P226" s="933">
        <v>50</v>
      </c>
      <c r="Q226" s="934">
        <v>100</v>
      </c>
    </row>
    <row r="227" spans="1:17" s="164" customFormat="1" ht="28.35" customHeight="1" x14ac:dyDescent="0.2">
      <c r="A227" s="42"/>
      <c r="B227" s="40"/>
      <c r="C227" s="1015"/>
      <c r="D227" s="52"/>
      <c r="E227" s="1049"/>
      <c r="F227" s="1017"/>
      <c r="G227" s="1521"/>
      <c r="H227" s="124"/>
      <c r="I227" s="119"/>
      <c r="J227" s="448"/>
      <c r="K227" s="406"/>
      <c r="L227" s="407"/>
      <c r="M227" s="1039" t="s">
        <v>324</v>
      </c>
      <c r="N227" s="941"/>
      <c r="O227" s="938"/>
      <c r="P227" s="933"/>
      <c r="Q227" s="934">
        <v>50</v>
      </c>
    </row>
    <row r="228" spans="1:17" ht="20.25" customHeight="1" x14ac:dyDescent="0.2">
      <c r="A228" s="42"/>
      <c r="B228" s="40"/>
      <c r="C228" s="1015"/>
      <c r="D228" s="52"/>
      <c r="E228" s="1452" t="s">
        <v>117</v>
      </c>
      <c r="F228" s="1017"/>
      <c r="G228" s="1521"/>
      <c r="H228" s="371" t="s">
        <v>44</v>
      </c>
      <c r="I228" s="177"/>
      <c r="J228" s="301">
        <v>215</v>
      </c>
      <c r="K228" s="307"/>
      <c r="L228" s="955"/>
      <c r="M228" s="224" t="s">
        <v>308</v>
      </c>
      <c r="N228" s="418"/>
      <c r="O228" s="778">
        <v>4</v>
      </c>
      <c r="P228" s="939">
        <v>13</v>
      </c>
      <c r="Q228" s="940">
        <v>12</v>
      </c>
    </row>
    <row r="229" spans="1:17" ht="18.75" customHeight="1" x14ac:dyDescent="0.2">
      <c r="A229" s="42"/>
      <c r="B229" s="40"/>
      <c r="C229" s="1015"/>
      <c r="D229" s="50"/>
      <c r="E229" s="1414"/>
      <c r="F229" s="1074"/>
      <c r="G229" s="1521"/>
      <c r="H229" s="127" t="s">
        <v>19</v>
      </c>
      <c r="I229" s="30"/>
      <c r="J229" s="386"/>
      <c r="K229" s="307">
        <v>1040</v>
      </c>
      <c r="L229" s="955">
        <v>881</v>
      </c>
      <c r="M229" s="946" t="s">
        <v>278</v>
      </c>
      <c r="N229" s="127"/>
      <c r="O229" s="260"/>
      <c r="P229" s="264"/>
      <c r="Q229" s="111">
        <v>7</v>
      </c>
    </row>
    <row r="230" spans="1:17" ht="15" customHeight="1" x14ac:dyDescent="0.2">
      <c r="A230" s="1028"/>
      <c r="B230" s="1052"/>
      <c r="C230" s="1030"/>
      <c r="D230" s="108" t="s">
        <v>5</v>
      </c>
      <c r="E230" s="1412" t="s">
        <v>280</v>
      </c>
      <c r="F230" s="1016" t="s">
        <v>159</v>
      </c>
      <c r="G230" s="1525" t="s">
        <v>152</v>
      </c>
      <c r="H230" s="403" t="s">
        <v>19</v>
      </c>
      <c r="I230" s="373"/>
      <c r="J230" s="449">
        <v>13.5</v>
      </c>
      <c r="K230" s="450">
        <v>180</v>
      </c>
      <c r="L230" s="820"/>
      <c r="M230" s="627" t="s">
        <v>216</v>
      </c>
      <c r="N230" s="821"/>
      <c r="O230" s="779">
        <v>1</v>
      </c>
      <c r="P230" s="780"/>
      <c r="Q230" s="824"/>
    </row>
    <row r="231" spans="1:17" ht="15" customHeight="1" x14ac:dyDescent="0.2">
      <c r="A231" s="1028"/>
      <c r="B231" s="1052"/>
      <c r="C231" s="1030"/>
      <c r="D231" s="108"/>
      <c r="E231" s="1413"/>
      <c r="F231" s="1017"/>
      <c r="G231" s="1526"/>
      <c r="H231" s="361" t="s">
        <v>170</v>
      </c>
      <c r="I231" s="119"/>
      <c r="J231" s="448">
        <v>1.5</v>
      </c>
      <c r="K231" s="363">
        <v>20</v>
      </c>
      <c r="L231" s="845"/>
      <c r="M231" s="224" t="s">
        <v>225</v>
      </c>
      <c r="N231" s="667"/>
      <c r="O231" s="430"/>
      <c r="P231" s="564">
        <v>100</v>
      </c>
      <c r="Q231" s="562"/>
    </row>
    <row r="232" spans="1:17" ht="15" customHeight="1" x14ac:dyDescent="0.2">
      <c r="A232" s="1028"/>
      <c r="B232" s="1052"/>
      <c r="C232" s="1030"/>
      <c r="D232" s="108"/>
      <c r="E232" s="1413"/>
      <c r="F232" s="1017" t="s">
        <v>137</v>
      </c>
      <c r="G232" s="1526"/>
      <c r="H232" s="361" t="s">
        <v>19</v>
      </c>
      <c r="I232" s="177"/>
      <c r="J232" s="193"/>
      <c r="K232" s="185">
        <v>90</v>
      </c>
      <c r="L232" s="352">
        <v>270</v>
      </c>
      <c r="M232" s="224" t="s">
        <v>216</v>
      </c>
      <c r="N232" s="667"/>
      <c r="O232" s="430"/>
      <c r="P232" s="991">
        <v>1</v>
      </c>
      <c r="Q232" s="993"/>
    </row>
    <row r="233" spans="1:17" ht="15" customHeight="1" x14ac:dyDescent="0.2">
      <c r="A233" s="1028"/>
      <c r="B233" s="1052"/>
      <c r="C233" s="1030"/>
      <c r="D233" s="108"/>
      <c r="E233" s="1414"/>
      <c r="F233" s="1074" t="s">
        <v>212</v>
      </c>
      <c r="G233" s="1527"/>
      <c r="H233" s="1097" t="s">
        <v>170</v>
      </c>
      <c r="I233" s="119"/>
      <c r="J233" s="257"/>
      <c r="K233" s="994">
        <v>10</v>
      </c>
      <c r="L233" s="387">
        <v>30</v>
      </c>
      <c r="M233" s="157" t="s">
        <v>225</v>
      </c>
      <c r="N233" s="908"/>
      <c r="O233" s="822"/>
      <c r="P233" s="346">
        <v>30</v>
      </c>
      <c r="Q233" s="992">
        <v>100</v>
      </c>
    </row>
    <row r="234" spans="1:17" ht="24.75" customHeight="1" x14ac:dyDescent="0.2">
      <c r="A234" s="1434"/>
      <c r="B234" s="1443"/>
      <c r="C234" s="1528"/>
      <c r="D234" s="1529" t="s">
        <v>21</v>
      </c>
      <c r="E234" s="1531" t="s">
        <v>82</v>
      </c>
      <c r="F234" s="1533" t="s">
        <v>204</v>
      </c>
      <c r="G234" s="1535" t="s">
        <v>209</v>
      </c>
      <c r="H234" s="56" t="s">
        <v>19</v>
      </c>
      <c r="I234" s="447">
        <v>2</v>
      </c>
      <c r="J234" s="448">
        <v>2</v>
      </c>
      <c r="K234" s="184">
        <v>2</v>
      </c>
      <c r="L234" s="178">
        <v>2</v>
      </c>
      <c r="M234" s="741" t="s">
        <v>88</v>
      </c>
      <c r="N234" s="1087">
        <v>1</v>
      </c>
      <c r="O234" s="256">
        <v>1</v>
      </c>
      <c r="P234" s="261">
        <v>1</v>
      </c>
      <c r="Q234" s="66">
        <v>1</v>
      </c>
    </row>
    <row r="235" spans="1:17" ht="16.5" customHeight="1" x14ac:dyDescent="0.2">
      <c r="A235" s="1434"/>
      <c r="B235" s="1443"/>
      <c r="C235" s="1528"/>
      <c r="D235" s="1530"/>
      <c r="E235" s="1532"/>
      <c r="F235" s="1534"/>
      <c r="G235" s="1536"/>
      <c r="H235" s="446"/>
      <c r="I235" s="119"/>
      <c r="J235" s="448"/>
      <c r="K235" s="185"/>
      <c r="L235" s="397"/>
      <c r="M235" s="741"/>
      <c r="N235" s="1088"/>
      <c r="O235" s="257"/>
      <c r="P235" s="262"/>
      <c r="Q235" s="69"/>
    </row>
    <row r="236" spans="1:17" ht="14.85" customHeight="1" x14ac:dyDescent="0.2">
      <c r="A236" s="1028"/>
      <c r="B236" s="1029"/>
      <c r="C236" s="47"/>
      <c r="D236" s="1031" t="s">
        <v>28</v>
      </c>
      <c r="E236" s="1412" t="s">
        <v>292</v>
      </c>
      <c r="F236" s="1016" t="s">
        <v>204</v>
      </c>
      <c r="G236" s="1535" t="s">
        <v>209</v>
      </c>
      <c r="H236" s="124" t="s">
        <v>44</v>
      </c>
      <c r="I236" s="447">
        <v>5</v>
      </c>
      <c r="J236" s="180"/>
      <c r="K236" s="184"/>
      <c r="L236" s="178"/>
      <c r="M236" s="1470" t="s">
        <v>214</v>
      </c>
      <c r="N236" s="668">
        <v>37</v>
      </c>
      <c r="O236" s="296">
        <v>45</v>
      </c>
      <c r="P236" s="302">
        <v>49</v>
      </c>
      <c r="Q236" s="239">
        <v>52</v>
      </c>
    </row>
    <row r="237" spans="1:17" ht="16.5" customHeight="1" x14ac:dyDescent="0.2">
      <c r="A237" s="1028"/>
      <c r="B237" s="1029"/>
      <c r="C237" s="47"/>
      <c r="D237" s="1053"/>
      <c r="E237" s="1413"/>
      <c r="F237" s="147" t="s">
        <v>159</v>
      </c>
      <c r="G237" s="1536"/>
      <c r="H237" s="371" t="s">
        <v>19</v>
      </c>
      <c r="I237" s="396">
        <f>45+66</f>
        <v>111</v>
      </c>
      <c r="J237" s="193">
        <f>135-24</f>
        <v>111</v>
      </c>
      <c r="K237" s="363">
        <v>120.9</v>
      </c>
      <c r="L237" s="352">
        <v>128.30000000000001</v>
      </c>
      <c r="M237" s="1547"/>
      <c r="N237" s="494"/>
      <c r="O237" s="290"/>
      <c r="P237" s="303"/>
      <c r="Q237" s="240"/>
    </row>
    <row r="238" spans="1:17" ht="17.850000000000001" customHeight="1" x14ac:dyDescent="0.2">
      <c r="A238" s="1028"/>
      <c r="B238" s="1029"/>
      <c r="C238" s="47"/>
      <c r="D238" s="1053"/>
      <c r="E238" s="1413"/>
      <c r="F238" s="1063"/>
      <c r="G238" s="1536"/>
      <c r="H238" s="370" t="s">
        <v>19</v>
      </c>
      <c r="I238" s="666">
        <v>7</v>
      </c>
      <c r="J238" s="193">
        <v>7</v>
      </c>
      <c r="K238" s="185">
        <v>7</v>
      </c>
      <c r="L238" s="352">
        <v>7</v>
      </c>
      <c r="M238" s="742" t="s">
        <v>227</v>
      </c>
      <c r="N238" s="365">
        <v>100</v>
      </c>
      <c r="O238" s="298">
        <v>100</v>
      </c>
      <c r="P238" s="304">
        <v>100</v>
      </c>
      <c r="Q238" s="76">
        <v>100</v>
      </c>
    </row>
    <row r="239" spans="1:17" ht="25.5" customHeight="1" x14ac:dyDescent="0.2">
      <c r="A239" s="14"/>
      <c r="B239" s="1052"/>
      <c r="C239" s="47"/>
      <c r="D239" s="1053"/>
      <c r="E239" s="1413"/>
      <c r="F239" s="123"/>
      <c r="G239" s="1546"/>
      <c r="H239" s="371" t="s">
        <v>19</v>
      </c>
      <c r="I239" s="177">
        <f>210-80</f>
        <v>130</v>
      </c>
      <c r="J239" s="448">
        <f>135-35</f>
        <v>100</v>
      </c>
      <c r="K239" s="363">
        <v>135</v>
      </c>
      <c r="L239" s="352">
        <v>135</v>
      </c>
      <c r="M239" s="738" t="s">
        <v>228</v>
      </c>
      <c r="N239" s="355">
        <v>4</v>
      </c>
      <c r="O239" s="276">
        <v>2</v>
      </c>
      <c r="P239" s="277">
        <v>3</v>
      </c>
      <c r="Q239" s="75">
        <v>3</v>
      </c>
    </row>
    <row r="240" spans="1:17" ht="42" customHeight="1" x14ac:dyDescent="0.2">
      <c r="A240" s="14"/>
      <c r="B240" s="1052"/>
      <c r="C240" s="47"/>
      <c r="D240" s="1053"/>
      <c r="E240" s="1413"/>
      <c r="F240" s="123"/>
      <c r="G240" s="1027"/>
      <c r="H240" s="124" t="s">
        <v>19</v>
      </c>
      <c r="I240" s="119">
        <f>56-20</f>
        <v>36</v>
      </c>
      <c r="J240" s="374">
        <v>30</v>
      </c>
      <c r="K240" s="185">
        <v>30</v>
      </c>
      <c r="L240" s="352">
        <v>30</v>
      </c>
      <c r="M240" s="738" t="s">
        <v>229</v>
      </c>
      <c r="N240" s="1022">
        <v>5</v>
      </c>
      <c r="O240" s="1009">
        <v>2</v>
      </c>
      <c r="P240" s="1064">
        <v>2</v>
      </c>
      <c r="Q240" s="77">
        <v>2</v>
      </c>
    </row>
    <row r="241" spans="1:17" ht="18" customHeight="1" x14ac:dyDescent="0.2">
      <c r="A241" s="14"/>
      <c r="B241" s="1052"/>
      <c r="C241" s="47"/>
      <c r="D241" s="1053"/>
      <c r="E241" s="1413"/>
      <c r="F241" s="1063"/>
      <c r="G241" s="734"/>
      <c r="H241" s="371" t="s">
        <v>19</v>
      </c>
      <c r="I241" s="396">
        <v>8</v>
      </c>
      <c r="J241" s="193"/>
      <c r="K241" s="191"/>
      <c r="L241" s="352"/>
      <c r="M241" s="738" t="s">
        <v>65</v>
      </c>
      <c r="N241" s="365">
        <v>2</v>
      </c>
      <c r="O241" s="298"/>
      <c r="P241" s="304"/>
      <c r="Q241" s="76"/>
    </row>
    <row r="242" spans="1:17" ht="29.85" customHeight="1" x14ac:dyDescent="0.2">
      <c r="A242" s="14"/>
      <c r="B242" s="1052"/>
      <c r="C242" s="47"/>
      <c r="D242" s="1053"/>
      <c r="E242" s="1014"/>
      <c r="F242" s="1063"/>
      <c r="G242" s="773" t="s">
        <v>152</v>
      </c>
      <c r="H242" s="446" t="s">
        <v>19</v>
      </c>
      <c r="I242" s="347">
        <f>202-100-67</f>
        <v>35</v>
      </c>
      <c r="J242" s="386"/>
      <c r="K242" s="348"/>
      <c r="L242" s="387"/>
      <c r="M242" s="744" t="s">
        <v>230</v>
      </c>
      <c r="N242" s="611"/>
      <c r="O242" s="300"/>
      <c r="P242" s="306"/>
      <c r="Q242" s="696"/>
    </row>
    <row r="243" spans="1:17" ht="13.5" customHeight="1" x14ac:dyDescent="0.2">
      <c r="A243" s="1028"/>
      <c r="B243" s="1052"/>
      <c r="C243" s="1030"/>
      <c r="D243" s="1031" t="s">
        <v>29</v>
      </c>
      <c r="E243" s="1548" t="s">
        <v>92</v>
      </c>
      <c r="F243" s="1016" t="s">
        <v>39</v>
      </c>
      <c r="G243" s="1551" t="s">
        <v>347</v>
      </c>
      <c r="H243" s="360" t="s">
        <v>44</v>
      </c>
      <c r="I243" s="191">
        <f>501.1+120.2</f>
        <v>621.29999999999995</v>
      </c>
      <c r="J243" s="180">
        <v>282.2</v>
      </c>
      <c r="K243" s="185"/>
      <c r="L243" s="375"/>
      <c r="M243" s="739" t="s">
        <v>222</v>
      </c>
      <c r="N243" s="335">
        <v>100</v>
      </c>
      <c r="O243" s="248">
        <v>100</v>
      </c>
      <c r="P243" s="254"/>
      <c r="Q243" s="101"/>
    </row>
    <row r="244" spans="1:17" ht="15.75" customHeight="1" x14ac:dyDescent="0.2">
      <c r="A244" s="1028"/>
      <c r="B244" s="1052"/>
      <c r="C244" s="1030"/>
      <c r="D244" s="102"/>
      <c r="E244" s="1549"/>
      <c r="F244" s="1017" t="s">
        <v>159</v>
      </c>
      <c r="G244" s="1552"/>
      <c r="H244" s="360" t="s">
        <v>119</v>
      </c>
      <c r="I244" s="363">
        <v>88.6</v>
      </c>
      <c r="J244" s="374">
        <v>44.2</v>
      </c>
      <c r="K244" s="536"/>
      <c r="L244" s="537"/>
      <c r="M244" s="740" t="s">
        <v>222</v>
      </c>
      <c r="N244" s="494">
        <v>100</v>
      </c>
      <c r="O244" s="297"/>
      <c r="P244" s="303"/>
      <c r="Q244" s="240"/>
    </row>
    <row r="245" spans="1:17" ht="15" customHeight="1" x14ac:dyDescent="0.2">
      <c r="A245" s="1028"/>
      <c r="B245" s="1052"/>
      <c r="C245" s="1030"/>
      <c r="D245" s="108"/>
      <c r="E245" s="1550"/>
      <c r="F245" s="1017" t="s">
        <v>137</v>
      </c>
      <c r="G245" s="1406" t="s">
        <v>349</v>
      </c>
      <c r="H245" s="361" t="s">
        <v>120</v>
      </c>
      <c r="I245" s="185">
        <v>1004.3</v>
      </c>
      <c r="J245" s="374">
        <v>501</v>
      </c>
      <c r="K245" s="538"/>
      <c r="L245" s="539"/>
      <c r="M245" s="1553" t="s">
        <v>110</v>
      </c>
      <c r="N245" s="667">
        <v>246</v>
      </c>
      <c r="O245" s="430"/>
      <c r="P245" s="563"/>
      <c r="Q245" s="561"/>
    </row>
    <row r="246" spans="1:17" ht="15" customHeight="1" x14ac:dyDescent="0.2">
      <c r="A246" s="1028"/>
      <c r="B246" s="1052"/>
      <c r="C246" s="1030"/>
      <c r="D246" s="108"/>
      <c r="E246" s="1103"/>
      <c r="F246" s="1017" t="s">
        <v>204</v>
      </c>
      <c r="G246" s="1406"/>
      <c r="H246" s="35" t="s">
        <v>171</v>
      </c>
      <c r="I246" s="363">
        <v>35.299999999999997</v>
      </c>
      <c r="J246" s="193"/>
      <c r="K246" s="29"/>
      <c r="L246" s="364"/>
      <c r="M246" s="1547"/>
      <c r="N246" s="583"/>
      <c r="O246" s="246"/>
      <c r="P246" s="252"/>
      <c r="Q246" s="71"/>
    </row>
    <row r="247" spans="1:17" ht="18.75" customHeight="1" x14ac:dyDescent="0.2">
      <c r="A247" s="1028"/>
      <c r="B247" s="1052"/>
      <c r="C247" s="1030"/>
      <c r="D247" s="846"/>
      <c r="E247" s="910"/>
      <c r="F247" s="1074"/>
      <c r="G247" s="1455"/>
      <c r="H247" s="362" t="s">
        <v>172</v>
      </c>
      <c r="I247" s="185">
        <v>398.8</v>
      </c>
      <c r="J247" s="819"/>
      <c r="K247" s="906"/>
      <c r="L247" s="907"/>
      <c r="M247" s="228" t="s">
        <v>160</v>
      </c>
      <c r="N247" s="908">
        <v>159</v>
      </c>
      <c r="O247" s="822"/>
      <c r="P247" s="823"/>
      <c r="Q247" s="562"/>
    </row>
    <row r="248" spans="1:17" ht="15.75" customHeight="1" thickBot="1" x14ac:dyDescent="0.25">
      <c r="A248" s="15"/>
      <c r="B248" s="68"/>
      <c r="C248" s="46"/>
      <c r="D248" s="140"/>
      <c r="E248" s="137"/>
      <c r="F248" s="141"/>
      <c r="G248" s="735"/>
      <c r="H248" s="12" t="s">
        <v>4</v>
      </c>
      <c r="I248" s="131">
        <f>SUM(I213:I247)</f>
        <v>4347.8999999999996</v>
      </c>
      <c r="J248" s="170">
        <f>SUM(J213:J247)</f>
        <v>3258.3</v>
      </c>
      <c r="K248" s="661">
        <f>SUM(K213:K247)</f>
        <v>4313.6000000000004</v>
      </c>
      <c r="L248" s="197">
        <f>SUM(L213:L247)</f>
        <v>5563.4</v>
      </c>
      <c r="M248" s="743"/>
      <c r="N248" s="732"/>
      <c r="O248" s="476"/>
      <c r="P248" s="477"/>
      <c r="Q248" s="909"/>
    </row>
    <row r="249" spans="1:17" ht="33" customHeight="1" x14ac:dyDescent="0.2">
      <c r="A249" s="18" t="s">
        <v>3</v>
      </c>
      <c r="B249" s="37" t="s">
        <v>21</v>
      </c>
      <c r="C249" s="49" t="s">
        <v>5</v>
      </c>
      <c r="D249" s="38" t="s">
        <v>3</v>
      </c>
      <c r="E249" s="863" t="s">
        <v>93</v>
      </c>
      <c r="F249" s="1073" t="s">
        <v>316</v>
      </c>
      <c r="G249" s="953" t="s">
        <v>55</v>
      </c>
      <c r="H249" s="130" t="s">
        <v>19</v>
      </c>
      <c r="I249" s="199"/>
      <c r="J249" s="199">
        <f>63.7-15.2</f>
        <v>48.5</v>
      </c>
      <c r="K249" s="185">
        <f>51.5+15.2-6</f>
        <v>60.7</v>
      </c>
      <c r="L249" s="864">
        <v>39.5</v>
      </c>
      <c r="M249" s="1072" t="s">
        <v>313</v>
      </c>
      <c r="N249" s="911"/>
      <c r="O249" s="309">
        <v>7</v>
      </c>
      <c r="P249" s="1006">
        <v>9</v>
      </c>
      <c r="Q249" s="92">
        <v>4</v>
      </c>
    </row>
    <row r="250" spans="1:17" ht="53.25" customHeight="1" x14ac:dyDescent="0.2">
      <c r="A250" s="42"/>
      <c r="B250" s="40"/>
      <c r="C250" s="1015"/>
      <c r="D250" s="1061"/>
      <c r="E250" s="45" t="s">
        <v>130</v>
      </c>
      <c r="F250" s="865" t="s">
        <v>204</v>
      </c>
      <c r="G250" s="1035"/>
      <c r="H250" s="385" t="s">
        <v>19</v>
      </c>
      <c r="I250" s="875">
        <v>4</v>
      </c>
      <c r="J250" s="193"/>
      <c r="K250" s="363"/>
      <c r="L250" s="407"/>
      <c r="M250" s="222" t="s">
        <v>87</v>
      </c>
      <c r="N250" s="365"/>
      <c r="O250" s="298"/>
      <c r="P250" s="1065"/>
      <c r="Q250" s="870"/>
    </row>
    <row r="251" spans="1:17" ht="53.25" customHeight="1" x14ac:dyDescent="0.2">
      <c r="A251" s="42"/>
      <c r="B251" s="40"/>
      <c r="C251" s="1015"/>
      <c r="D251" s="1061"/>
      <c r="E251" s="45" t="s">
        <v>131</v>
      </c>
      <c r="F251" s="865" t="s">
        <v>204</v>
      </c>
      <c r="G251" s="1019"/>
      <c r="H251" s="371" t="s">
        <v>19</v>
      </c>
      <c r="I251" s="875">
        <v>4</v>
      </c>
      <c r="J251" s="193"/>
      <c r="K251" s="406"/>
      <c r="L251" s="407"/>
      <c r="M251" s="222" t="s">
        <v>87</v>
      </c>
      <c r="N251" s="1022">
        <v>1</v>
      </c>
      <c r="O251" s="258"/>
      <c r="P251" s="559"/>
      <c r="Q251" s="870"/>
    </row>
    <row r="252" spans="1:17" ht="52.5" customHeight="1" x14ac:dyDescent="0.2">
      <c r="A252" s="42"/>
      <c r="B252" s="40"/>
      <c r="C252" s="1015"/>
      <c r="D252" s="1061"/>
      <c r="E252" s="1049" t="s">
        <v>103</v>
      </c>
      <c r="F252" s="865" t="s">
        <v>204</v>
      </c>
      <c r="G252" s="1019"/>
      <c r="H252" s="371" t="s">
        <v>19</v>
      </c>
      <c r="I252" s="876">
        <v>4</v>
      </c>
      <c r="J252" s="448"/>
      <c r="K252" s="185"/>
      <c r="L252" s="407"/>
      <c r="M252" s="1051" t="s">
        <v>87</v>
      </c>
      <c r="N252" s="365"/>
      <c r="O252" s="298"/>
      <c r="P252" s="304"/>
      <c r="Q252" s="1069"/>
    </row>
    <row r="253" spans="1:17" ht="26.85" customHeight="1" x14ac:dyDescent="0.2">
      <c r="A253" s="42"/>
      <c r="B253" s="40"/>
      <c r="C253" s="1015"/>
      <c r="D253" s="1061"/>
      <c r="E253" s="1452" t="s">
        <v>132</v>
      </c>
      <c r="F253" s="865" t="s">
        <v>204</v>
      </c>
      <c r="G253" s="1019"/>
      <c r="H253" s="371" t="s">
        <v>19</v>
      </c>
      <c r="I253" s="421">
        <v>25</v>
      </c>
      <c r="J253" s="193"/>
      <c r="K253" s="363"/>
      <c r="L253" s="399"/>
      <c r="M253" s="1039" t="s">
        <v>87</v>
      </c>
      <c r="N253" s="1537">
        <v>1</v>
      </c>
      <c r="O253" s="1539"/>
      <c r="P253" s="1541"/>
      <c r="Q253" s="1543"/>
    </row>
    <row r="254" spans="1:17" ht="26.85" customHeight="1" x14ac:dyDescent="0.2">
      <c r="A254" s="42"/>
      <c r="B254" s="40"/>
      <c r="C254" s="1015"/>
      <c r="D254" s="1061"/>
      <c r="E254" s="1413"/>
      <c r="F254" s="1017"/>
      <c r="G254" s="1019"/>
      <c r="H254" s="385" t="s">
        <v>44</v>
      </c>
      <c r="I254" s="874">
        <v>36.299999999999997</v>
      </c>
      <c r="J254" s="374"/>
      <c r="K254" s="185"/>
      <c r="L254" s="364"/>
      <c r="M254" s="1055"/>
      <c r="N254" s="1538"/>
      <c r="O254" s="1540"/>
      <c r="P254" s="1542"/>
      <c r="Q254" s="1544"/>
    </row>
    <row r="255" spans="1:17" ht="66.599999999999994" customHeight="1" x14ac:dyDescent="0.2">
      <c r="A255" s="42"/>
      <c r="B255" s="40"/>
      <c r="C255" s="1015"/>
      <c r="D255" s="1061"/>
      <c r="E255" s="1090" t="s">
        <v>135</v>
      </c>
      <c r="F255" s="866" t="s">
        <v>204</v>
      </c>
      <c r="G255" s="1019"/>
      <c r="H255" s="415" t="s">
        <v>19</v>
      </c>
      <c r="I255" s="871">
        <v>4</v>
      </c>
      <c r="J255" s="193"/>
      <c r="K255" s="363"/>
      <c r="L255" s="407"/>
      <c r="M255" s="1051" t="s">
        <v>87</v>
      </c>
      <c r="N255" s="1023">
        <v>1</v>
      </c>
      <c r="O255" s="1010"/>
      <c r="P255" s="304"/>
      <c r="Q255" s="1069"/>
    </row>
    <row r="256" spans="1:17" ht="67.349999999999994" customHeight="1" x14ac:dyDescent="0.2">
      <c r="A256" s="42"/>
      <c r="B256" s="40"/>
      <c r="C256" s="1015"/>
      <c r="D256" s="1061"/>
      <c r="E256" s="1090" t="s">
        <v>213</v>
      </c>
      <c r="F256" s="867" t="s">
        <v>204</v>
      </c>
      <c r="G256" s="1035"/>
      <c r="H256" s="371" t="s">
        <v>19</v>
      </c>
      <c r="I256" s="448">
        <v>4</v>
      </c>
      <c r="J256" s="470"/>
      <c r="K256" s="451"/>
      <c r="L256" s="873"/>
      <c r="M256" s="222" t="s">
        <v>87</v>
      </c>
      <c r="N256" s="365"/>
      <c r="O256" s="298"/>
      <c r="P256" s="559"/>
      <c r="Q256" s="64"/>
    </row>
    <row r="257" spans="1:18" ht="52.5" customHeight="1" x14ac:dyDescent="0.2">
      <c r="A257" s="42"/>
      <c r="B257" s="40"/>
      <c r="C257" s="1015"/>
      <c r="D257" s="1061"/>
      <c r="E257" s="45" t="s">
        <v>202</v>
      </c>
      <c r="F257" s="1017" t="s">
        <v>204</v>
      </c>
      <c r="G257" s="1019"/>
      <c r="H257" s="872" t="s">
        <v>19</v>
      </c>
      <c r="I257" s="871">
        <v>3</v>
      </c>
      <c r="J257" s="193"/>
      <c r="K257" s="363"/>
      <c r="L257" s="407"/>
      <c r="M257" s="1055" t="s">
        <v>87</v>
      </c>
      <c r="N257" s="631">
        <v>1</v>
      </c>
      <c r="O257" s="1010"/>
      <c r="P257" s="304"/>
      <c r="Q257" s="870"/>
    </row>
    <row r="258" spans="1:18" s="3" customFormat="1" ht="52.5" customHeight="1" x14ac:dyDescent="0.2">
      <c r="A258" s="42"/>
      <c r="B258" s="40"/>
      <c r="C258" s="1015"/>
      <c r="D258" s="1061"/>
      <c r="E258" s="45" t="s">
        <v>265</v>
      </c>
      <c r="F258" s="865" t="s">
        <v>212</v>
      </c>
      <c r="G258" s="1035"/>
      <c r="H258" s="124" t="s">
        <v>19</v>
      </c>
      <c r="I258" s="448"/>
      <c r="J258" s="448"/>
      <c r="K258" s="363"/>
      <c r="L258" s="399"/>
      <c r="M258" s="1055" t="s">
        <v>87</v>
      </c>
      <c r="N258" s="365"/>
      <c r="O258" s="258"/>
      <c r="P258" s="304"/>
      <c r="Q258" s="1068"/>
      <c r="R258" s="488"/>
    </row>
    <row r="259" spans="1:18" s="3" customFormat="1" ht="52.5" customHeight="1" x14ac:dyDescent="0.2">
      <c r="A259" s="42"/>
      <c r="B259" s="40"/>
      <c r="C259" s="1015"/>
      <c r="D259" s="1061"/>
      <c r="E259" s="45" t="s">
        <v>266</v>
      </c>
      <c r="F259" s="867" t="s">
        <v>212</v>
      </c>
      <c r="G259" s="1019"/>
      <c r="H259" s="371" t="s">
        <v>19</v>
      </c>
      <c r="I259" s="871"/>
      <c r="J259" s="193"/>
      <c r="K259" s="185"/>
      <c r="L259" s="364"/>
      <c r="M259" s="1051" t="s">
        <v>87</v>
      </c>
      <c r="N259" s="365"/>
      <c r="O259" s="298"/>
      <c r="P259" s="304"/>
      <c r="Q259" s="870"/>
      <c r="R259" s="488"/>
    </row>
    <row r="260" spans="1:18" s="3" customFormat="1" ht="52.5" customHeight="1" x14ac:dyDescent="0.2">
      <c r="A260" s="42"/>
      <c r="B260" s="40"/>
      <c r="C260" s="1015"/>
      <c r="D260" s="1061"/>
      <c r="E260" s="45" t="s">
        <v>267</v>
      </c>
      <c r="F260" s="812" t="s">
        <v>212</v>
      </c>
      <c r="G260" s="1019"/>
      <c r="H260" s="371" t="s">
        <v>19</v>
      </c>
      <c r="I260" s="869"/>
      <c r="J260" s="448"/>
      <c r="K260" s="363"/>
      <c r="L260" s="407"/>
      <c r="M260" s="222" t="s">
        <v>87</v>
      </c>
      <c r="N260" s="365"/>
      <c r="O260" s="258"/>
      <c r="P260" s="304"/>
      <c r="Q260" s="870"/>
      <c r="R260" s="488"/>
    </row>
    <row r="261" spans="1:18" ht="52.5" customHeight="1" x14ac:dyDescent="0.2">
      <c r="A261" s="42"/>
      <c r="B261" s="40"/>
      <c r="C261" s="1015"/>
      <c r="D261" s="1061"/>
      <c r="E261" s="45" t="s">
        <v>200</v>
      </c>
      <c r="F261" s="867" t="s">
        <v>212</v>
      </c>
      <c r="G261" s="1019"/>
      <c r="H261" s="868" t="s">
        <v>19</v>
      </c>
      <c r="I261" s="869">
        <v>7.5</v>
      </c>
      <c r="J261" s="193"/>
      <c r="K261" s="406"/>
      <c r="L261" s="407"/>
      <c r="M261" s="222" t="s">
        <v>87</v>
      </c>
      <c r="N261" s="365">
        <v>1</v>
      </c>
      <c r="O261" s="298"/>
      <c r="P261" s="304"/>
      <c r="Q261" s="1069"/>
    </row>
    <row r="262" spans="1:18" ht="52.5" customHeight="1" x14ac:dyDescent="0.2">
      <c r="A262" s="42"/>
      <c r="B262" s="40"/>
      <c r="C262" s="1015"/>
      <c r="D262" s="1061"/>
      <c r="E262" s="1047" t="s">
        <v>201</v>
      </c>
      <c r="F262" s="1074" t="s">
        <v>212</v>
      </c>
      <c r="G262" s="1035"/>
      <c r="H262" s="372" t="s">
        <v>19</v>
      </c>
      <c r="I262" s="181">
        <v>2.8</v>
      </c>
      <c r="J262" s="181"/>
      <c r="K262" s="185"/>
      <c r="L262" s="397"/>
      <c r="M262" s="1021" t="s">
        <v>87</v>
      </c>
      <c r="N262" s="611">
        <v>1</v>
      </c>
      <c r="O262" s="300"/>
      <c r="P262" s="306"/>
      <c r="Q262" s="402"/>
    </row>
    <row r="263" spans="1:18" ht="16.5" customHeight="1" thickBot="1" x14ac:dyDescent="0.25">
      <c r="A263" s="67"/>
      <c r="B263" s="41"/>
      <c r="C263" s="134"/>
      <c r="D263" s="862"/>
      <c r="E263" s="137"/>
      <c r="F263" s="443"/>
      <c r="G263" s="138"/>
      <c r="H263" s="118" t="s">
        <v>4</v>
      </c>
      <c r="I263" s="170">
        <f>SUM(I250:I262)</f>
        <v>94.6</v>
      </c>
      <c r="J263" s="196">
        <f>SUM(J249:J262)</f>
        <v>48.5</v>
      </c>
      <c r="K263" s="206">
        <f>SUM(K249:K262)</f>
        <v>60.7</v>
      </c>
      <c r="L263" s="197">
        <f>SUM(L249:L262)</f>
        <v>39.5</v>
      </c>
      <c r="M263" s="626"/>
      <c r="N263" s="343"/>
      <c r="O263" s="271"/>
      <c r="P263" s="287"/>
      <c r="Q263" s="139"/>
    </row>
    <row r="264" spans="1:18" ht="15.6" customHeight="1" thickBot="1" x14ac:dyDescent="0.25">
      <c r="A264" s="16" t="s">
        <v>3</v>
      </c>
      <c r="B264" s="4" t="s">
        <v>21</v>
      </c>
      <c r="C264" s="1496" t="s">
        <v>6</v>
      </c>
      <c r="D264" s="1497"/>
      <c r="E264" s="1497"/>
      <c r="F264" s="1497"/>
      <c r="G264" s="1497"/>
      <c r="H264" s="1545"/>
      <c r="I264" s="200">
        <f>I263+I248</f>
        <v>4442.5</v>
      </c>
      <c r="J264" s="160">
        <f>J263+J248</f>
        <v>3306.8</v>
      </c>
      <c r="K264" s="207">
        <f>K263+K248</f>
        <v>4374.3</v>
      </c>
      <c r="L264" s="205">
        <f>L263+L248</f>
        <v>5602.9</v>
      </c>
      <c r="M264" s="1498"/>
      <c r="N264" s="1499"/>
      <c r="O264" s="553"/>
      <c r="P264" s="553"/>
      <c r="Q264" s="554"/>
      <c r="R264" s="488"/>
    </row>
    <row r="265" spans="1:18" ht="15.6" customHeight="1" thickBot="1" x14ac:dyDescent="0.25">
      <c r="A265" s="16" t="s">
        <v>3</v>
      </c>
      <c r="B265" s="4" t="s">
        <v>28</v>
      </c>
      <c r="C265" s="1518" t="s">
        <v>37</v>
      </c>
      <c r="D265" s="1554"/>
      <c r="E265" s="1554"/>
      <c r="F265" s="1554"/>
      <c r="G265" s="1554"/>
      <c r="H265" s="1554"/>
      <c r="I265" s="1012"/>
      <c r="J265" s="671"/>
      <c r="K265" s="615"/>
      <c r="L265" s="672"/>
      <c r="M265" s="1555"/>
      <c r="N265" s="1555"/>
      <c r="O265" s="553"/>
      <c r="P265" s="553"/>
      <c r="Q265" s="515"/>
    </row>
    <row r="266" spans="1:18" ht="12.75" customHeight="1" x14ac:dyDescent="0.2">
      <c r="A266" s="18" t="s">
        <v>3</v>
      </c>
      <c r="B266" s="37" t="s">
        <v>28</v>
      </c>
      <c r="C266" s="49" t="s">
        <v>3</v>
      </c>
      <c r="D266" s="38"/>
      <c r="E266" s="1556" t="s">
        <v>147</v>
      </c>
      <c r="F266" s="1073"/>
      <c r="G266" s="135"/>
      <c r="H266" s="130"/>
      <c r="I266" s="199"/>
      <c r="J266" s="448"/>
      <c r="K266" s="185"/>
      <c r="L266" s="29"/>
      <c r="M266" s="1110"/>
      <c r="N266" s="92"/>
      <c r="O266" s="309"/>
      <c r="P266" s="312"/>
      <c r="Q266" s="92"/>
    </row>
    <row r="267" spans="1:18" ht="12.75" customHeight="1" x14ac:dyDescent="0.2">
      <c r="A267" s="60"/>
      <c r="B267" s="40"/>
      <c r="C267" s="61"/>
      <c r="D267" s="52"/>
      <c r="E267" s="1557"/>
      <c r="F267" s="1074"/>
      <c r="G267" s="136"/>
      <c r="H267" s="124"/>
      <c r="I267" s="181"/>
      <c r="J267" s="181"/>
      <c r="K267" s="186"/>
      <c r="L267" s="397"/>
      <c r="M267" s="1021"/>
      <c r="N267" s="1088"/>
      <c r="O267" s="257"/>
      <c r="P267" s="262"/>
      <c r="Q267" s="69"/>
    </row>
    <row r="268" spans="1:18" s="21" customFormat="1" ht="20.85" customHeight="1" x14ac:dyDescent="0.2">
      <c r="A268" s="1558"/>
      <c r="B268" s="1560"/>
      <c r="C268" s="1562"/>
      <c r="D268" s="1474" t="s">
        <v>3</v>
      </c>
      <c r="E268" s="1564" t="s">
        <v>106</v>
      </c>
      <c r="F268" s="168" t="s">
        <v>204</v>
      </c>
      <c r="G268" s="1415" t="s">
        <v>182</v>
      </c>
      <c r="H268" s="422" t="s">
        <v>19</v>
      </c>
      <c r="I268" s="481">
        <f>290-41.7</f>
        <v>248.3</v>
      </c>
      <c r="J268" s="180"/>
      <c r="K268" s="184">
        <v>300</v>
      </c>
      <c r="L268" s="33">
        <v>300</v>
      </c>
      <c r="M268" s="1566" t="s">
        <v>105</v>
      </c>
      <c r="N268" s="669">
        <v>230</v>
      </c>
      <c r="O268" s="444">
        <v>285</v>
      </c>
      <c r="P268" s="457">
        <v>300</v>
      </c>
      <c r="Q268" s="114">
        <v>300</v>
      </c>
    </row>
    <row r="269" spans="1:18" s="21" customFormat="1" ht="19.350000000000001" customHeight="1" x14ac:dyDescent="0.2">
      <c r="A269" s="1559"/>
      <c r="B269" s="1561"/>
      <c r="C269" s="1563"/>
      <c r="D269" s="1476"/>
      <c r="E269" s="1565"/>
      <c r="F269" s="1074" t="s">
        <v>159</v>
      </c>
      <c r="G269" s="1416"/>
      <c r="H269" s="426" t="s">
        <v>44</v>
      </c>
      <c r="I269" s="423">
        <v>39.299999999999997</v>
      </c>
      <c r="J269" s="386">
        <f>786-190</f>
        <v>596</v>
      </c>
      <c r="K269" s="348"/>
      <c r="L269" s="387"/>
      <c r="M269" s="1567"/>
      <c r="N269" s="639"/>
      <c r="O269" s="310"/>
      <c r="P269" s="313"/>
      <c r="Q269" s="242"/>
    </row>
    <row r="270" spans="1:18" ht="17.25" customHeight="1" x14ac:dyDescent="0.2">
      <c r="A270" s="1028"/>
      <c r="B270" s="1029"/>
      <c r="C270" s="47"/>
      <c r="D270" s="1031" t="s">
        <v>5</v>
      </c>
      <c r="E270" s="1453" t="s">
        <v>250</v>
      </c>
      <c r="F270" s="1016" t="s">
        <v>204</v>
      </c>
      <c r="G270" s="1415" t="s">
        <v>209</v>
      </c>
      <c r="H270" s="424" t="s">
        <v>19</v>
      </c>
      <c r="I270" s="425">
        <f>10-4.3</f>
        <v>5.7</v>
      </c>
      <c r="J270" s="448">
        <v>8</v>
      </c>
      <c r="K270" s="450">
        <v>8</v>
      </c>
      <c r="L270" s="375">
        <v>8</v>
      </c>
      <c r="M270" s="1578" t="s">
        <v>134</v>
      </c>
      <c r="N270" s="637">
        <v>9</v>
      </c>
      <c r="O270" s="311">
        <v>8</v>
      </c>
      <c r="P270" s="314">
        <v>8</v>
      </c>
      <c r="Q270" s="93">
        <v>8</v>
      </c>
    </row>
    <row r="271" spans="1:18" ht="37.5" customHeight="1" x14ac:dyDescent="0.2">
      <c r="A271" s="14"/>
      <c r="B271" s="1029"/>
      <c r="C271" s="48"/>
      <c r="D271" s="102"/>
      <c r="E271" s="1479"/>
      <c r="F271" s="1074" t="s">
        <v>159</v>
      </c>
      <c r="G271" s="1417"/>
      <c r="H271" s="426" t="s">
        <v>44</v>
      </c>
      <c r="I271" s="427">
        <v>0.6</v>
      </c>
      <c r="J271" s="540"/>
      <c r="K271" s="541"/>
      <c r="L271" s="542"/>
      <c r="M271" s="1579"/>
      <c r="N271" s="639"/>
      <c r="O271" s="310"/>
      <c r="P271" s="313"/>
      <c r="Q271" s="242"/>
    </row>
    <row r="272" spans="1:18" ht="15" customHeight="1" x14ac:dyDescent="0.2">
      <c r="A272" s="1028"/>
      <c r="B272" s="1029"/>
      <c r="C272" s="47"/>
      <c r="D272" s="1031" t="s">
        <v>21</v>
      </c>
      <c r="E272" s="1454" t="s">
        <v>78</v>
      </c>
      <c r="F272" s="1017" t="s">
        <v>159</v>
      </c>
      <c r="G272" s="1416" t="s">
        <v>150</v>
      </c>
      <c r="H272" s="56" t="s">
        <v>44</v>
      </c>
      <c r="I272" s="448"/>
      <c r="J272" s="448"/>
      <c r="K272" s="450"/>
      <c r="L272" s="375"/>
      <c r="M272" s="1057" t="s">
        <v>65</v>
      </c>
      <c r="N272" s="1087"/>
      <c r="O272" s="256"/>
      <c r="P272" s="261">
        <v>1</v>
      </c>
      <c r="Q272" s="328"/>
    </row>
    <row r="273" spans="1:43" ht="15" customHeight="1" x14ac:dyDescent="0.2">
      <c r="A273" s="14"/>
      <c r="B273" s="1029"/>
      <c r="C273" s="48"/>
      <c r="D273" s="1053"/>
      <c r="E273" s="1454"/>
      <c r="F273" s="1017" t="s">
        <v>39</v>
      </c>
      <c r="G273" s="1416"/>
      <c r="H273" s="385" t="s">
        <v>19</v>
      </c>
      <c r="I273" s="396"/>
      <c r="J273" s="848"/>
      <c r="K273" s="547">
        <v>25.9</v>
      </c>
      <c r="L273" s="548">
        <v>200</v>
      </c>
      <c r="M273" s="717" t="s">
        <v>224</v>
      </c>
      <c r="N273" s="1022"/>
      <c r="O273" s="1009"/>
      <c r="P273" s="1064"/>
      <c r="Q273" s="64">
        <v>15</v>
      </c>
    </row>
    <row r="274" spans="1:43" ht="15.6" customHeight="1" x14ac:dyDescent="0.2">
      <c r="A274" s="14"/>
      <c r="B274" s="1029"/>
      <c r="C274" s="48"/>
      <c r="D274" s="1032"/>
      <c r="E274" s="1454"/>
      <c r="F274" s="1017" t="s">
        <v>204</v>
      </c>
      <c r="G274" s="1417"/>
      <c r="H274" s="446"/>
      <c r="I274" s="30"/>
      <c r="J274" s="181"/>
      <c r="K274" s="186"/>
      <c r="L274" s="397"/>
      <c r="M274" s="157"/>
      <c r="N274" s="1097"/>
      <c r="O274" s="1099"/>
      <c r="P274" s="1093"/>
      <c r="Q274" s="847"/>
    </row>
    <row r="275" spans="1:43" ht="28.35" customHeight="1" x14ac:dyDescent="0.2">
      <c r="A275" s="1028"/>
      <c r="B275" s="1029"/>
      <c r="C275" s="47"/>
      <c r="D275" s="1053" t="s">
        <v>28</v>
      </c>
      <c r="E275" s="1453" t="s">
        <v>178</v>
      </c>
      <c r="F275" s="1016" t="s">
        <v>204</v>
      </c>
      <c r="G275" s="1415" t="s">
        <v>196</v>
      </c>
      <c r="H275" s="393" t="s">
        <v>177</v>
      </c>
      <c r="I275" s="450">
        <v>400</v>
      </c>
      <c r="J275" s="877">
        <v>700</v>
      </c>
      <c r="K275" s="878">
        <v>700</v>
      </c>
      <c r="L275" s="879">
        <v>700</v>
      </c>
      <c r="M275" s="1472" t="s">
        <v>179</v>
      </c>
      <c r="N275" s="1087">
        <v>100</v>
      </c>
      <c r="O275" s="256">
        <v>100</v>
      </c>
      <c r="P275" s="261">
        <v>100</v>
      </c>
      <c r="Q275" s="64">
        <v>100</v>
      </c>
    </row>
    <row r="276" spans="1:43" ht="44.85" customHeight="1" x14ac:dyDescent="0.2">
      <c r="A276" s="14"/>
      <c r="B276" s="1029"/>
      <c r="C276" s="1030"/>
      <c r="D276" s="1032"/>
      <c r="E276" s="1479"/>
      <c r="F276" s="1074"/>
      <c r="G276" s="1416"/>
      <c r="H276" s="372" t="s">
        <v>240</v>
      </c>
      <c r="I276" s="186">
        <v>594.79999999999995</v>
      </c>
      <c r="J276" s="880"/>
      <c r="K276" s="541"/>
      <c r="L276" s="542"/>
      <c r="M276" s="1473"/>
      <c r="N276" s="1088"/>
      <c r="O276" s="257"/>
      <c r="P276" s="262"/>
      <c r="Q276" s="69"/>
    </row>
    <row r="277" spans="1:43" ht="15.6" customHeight="1" x14ac:dyDescent="0.2">
      <c r="A277" s="14"/>
      <c r="B277" s="1029"/>
      <c r="C277" s="1030"/>
      <c r="D277" s="1053" t="s">
        <v>29</v>
      </c>
      <c r="E277" s="1412" t="s">
        <v>256</v>
      </c>
      <c r="F277" s="509" t="s">
        <v>204</v>
      </c>
      <c r="G277" s="1439" t="s">
        <v>182</v>
      </c>
      <c r="H277" s="1037" t="s">
        <v>44</v>
      </c>
      <c r="I277" s="795">
        <v>195.9</v>
      </c>
      <c r="J277" s="861">
        <v>610</v>
      </c>
      <c r="K277" s="485"/>
      <c r="M277" s="1472" t="s">
        <v>255</v>
      </c>
      <c r="N277" s="631">
        <v>610</v>
      </c>
      <c r="O277" s="256">
        <v>570</v>
      </c>
      <c r="P277" s="263">
        <v>630</v>
      </c>
      <c r="Q277" s="64">
        <v>700</v>
      </c>
    </row>
    <row r="278" spans="1:43" ht="24.75" customHeight="1" x14ac:dyDescent="0.2">
      <c r="A278" s="14"/>
      <c r="B278" s="1029"/>
      <c r="C278" s="511"/>
      <c r="D278" s="1032"/>
      <c r="E278" s="1414"/>
      <c r="F278" s="510"/>
      <c r="G278" s="1438"/>
      <c r="H278" s="372" t="s">
        <v>19</v>
      </c>
      <c r="I278" s="448">
        <v>41.7</v>
      </c>
      <c r="J278" s="448"/>
      <c r="K278" s="348">
        <v>671</v>
      </c>
      <c r="L278" s="387">
        <v>730</v>
      </c>
      <c r="M278" s="1432"/>
      <c r="N278" s="631"/>
      <c r="O278" s="257"/>
      <c r="P278" s="262"/>
      <c r="Q278" s="69"/>
    </row>
    <row r="279" spans="1:43" ht="15" customHeight="1" thickBot="1" x14ac:dyDescent="0.25">
      <c r="A279" s="67" t="s">
        <v>3</v>
      </c>
      <c r="B279" s="697" t="s">
        <v>28</v>
      </c>
      <c r="C279" s="1568" t="s">
        <v>6</v>
      </c>
      <c r="D279" s="1569"/>
      <c r="E279" s="1569"/>
      <c r="F279" s="1569"/>
      <c r="G279" s="1569"/>
      <c r="H279" s="1570"/>
      <c r="I279" s="549">
        <f>SUM(I268:I278)</f>
        <v>1526.3</v>
      </c>
      <c r="J279" s="208">
        <f>SUM(J268:J278)</f>
        <v>1914</v>
      </c>
      <c r="K279" s="673">
        <f>SUM(K268:K278)</f>
        <v>1704.9</v>
      </c>
      <c r="L279" s="674">
        <f>SUM(L268:L278)</f>
        <v>1938</v>
      </c>
      <c r="M279" s="1571"/>
      <c r="N279" s="1572"/>
      <c r="O279" s="519"/>
      <c r="P279" s="519"/>
      <c r="Q279" s="555"/>
    </row>
    <row r="280" spans="1:43" ht="15" customHeight="1" thickBot="1" x14ac:dyDescent="0.25">
      <c r="A280" s="17" t="s">
        <v>3</v>
      </c>
      <c r="B280" s="1573" t="s">
        <v>7</v>
      </c>
      <c r="C280" s="1574"/>
      <c r="D280" s="1574"/>
      <c r="E280" s="1574"/>
      <c r="F280" s="1574"/>
      <c r="G280" s="1574"/>
      <c r="H280" s="1575"/>
      <c r="I280" s="209">
        <f>I279+I264+I210+I184</f>
        <v>22125.200000000001</v>
      </c>
      <c r="J280" s="662">
        <f>J279+J264+J210+J184</f>
        <v>21444</v>
      </c>
      <c r="K280" s="211">
        <f>K279+K264+K210+K184</f>
        <v>27294.3</v>
      </c>
      <c r="L280" s="663">
        <f>L279+L264+L210+L184</f>
        <v>31009.200000000001</v>
      </c>
      <c r="M280" s="1576"/>
      <c r="N280" s="1577"/>
      <c r="O280" s="670"/>
      <c r="P280" s="556"/>
      <c r="Q280" s="952"/>
      <c r="R280" s="488"/>
    </row>
    <row r="281" spans="1:43" ht="15" customHeight="1" thickBot="1" x14ac:dyDescent="0.25">
      <c r="A281" s="11" t="s">
        <v>30</v>
      </c>
      <c r="B281" s="1593" t="s">
        <v>42</v>
      </c>
      <c r="C281" s="1594"/>
      <c r="D281" s="1594"/>
      <c r="E281" s="1594"/>
      <c r="F281" s="1594"/>
      <c r="G281" s="1594"/>
      <c r="H281" s="1595"/>
      <c r="I281" s="210">
        <f t="shared" ref="I281:L281" si="1">SUM(I280)</f>
        <v>22125.200000000001</v>
      </c>
      <c r="J281" s="665">
        <f t="shared" si="1"/>
        <v>21444</v>
      </c>
      <c r="K281" s="212">
        <f t="shared" si="1"/>
        <v>27294.3</v>
      </c>
      <c r="L281" s="664">
        <f t="shared" si="1"/>
        <v>31009.200000000001</v>
      </c>
      <c r="M281" s="1596"/>
      <c r="N281" s="1597"/>
      <c r="O281" s="557"/>
      <c r="P281" s="557"/>
      <c r="Q281" s="558"/>
      <c r="R281" s="488"/>
    </row>
    <row r="282" spans="1:43" s="6" customFormat="1" ht="17.25" customHeight="1" x14ac:dyDescent="0.2">
      <c r="A282" s="1603" t="s">
        <v>365</v>
      </c>
      <c r="B282" s="1603"/>
      <c r="C282" s="1603"/>
      <c r="D282" s="1603"/>
      <c r="E282" s="1603"/>
      <c r="F282" s="1603"/>
      <c r="G282" s="1603"/>
      <c r="H282" s="1603"/>
      <c r="I282" s="1603"/>
      <c r="J282" s="1603"/>
      <c r="K282" s="2"/>
      <c r="L282" s="2"/>
      <c r="M282" s="2"/>
      <c r="N282" s="2"/>
      <c r="O282" s="2"/>
      <c r="P282" s="2"/>
      <c r="Q282" s="2"/>
      <c r="R282" s="2"/>
      <c r="S282" s="2"/>
      <c r="T282" s="2"/>
      <c r="U282" s="2"/>
      <c r="V282" s="2"/>
      <c r="W282" s="2"/>
      <c r="X282" s="2"/>
      <c r="Y282" s="2"/>
      <c r="Z282" s="2"/>
      <c r="AA282" s="2"/>
      <c r="AB282" s="2"/>
      <c r="AC282" s="2"/>
      <c r="AD282" s="2"/>
      <c r="AE282" s="2"/>
      <c r="AF282" s="2"/>
      <c r="AG282" s="2"/>
      <c r="AH282" s="2"/>
      <c r="AI282" s="2"/>
      <c r="AJ282" s="2"/>
      <c r="AK282" s="2"/>
    </row>
    <row r="283" spans="1:43" s="6" customFormat="1" ht="17.25" customHeight="1" x14ac:dyDescent="0.2">
      <c r="A283" s="1598" t="s">
        <v>311</v>
      </c>
      <c r="B283" s="1598"/>
      <c r="C283" s="1598"/>
      <c r="D283" s="1598"/>
      <c r="E283" s="1598"/>
      <c r="F283" s="1598"/>
      <c r="G283" s="1598"/>
      <c r="H283" s="1598"/>
      <c r="I283" s="1598"/>
      <c r="J283" s="1598"/>
      <c r="K283" s="1598"/>
      <c r="L283" s="1598"/>
      <c r="M283" s="1598"/>
      <c r="N283" s="1598"/>
      <c r="O283" s="2"/>
      <c r="P283" s="2"/>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row>
    <row r="284" spans="1:43" s="5" customFormat="1" ht="14.85" customHeight="1" x14ac:dyDescent="0.2">
      <c r="A284" s="1042"/>
      <c r="B284" s="59"/>
      <c r="C284" s="59"/>
      <c r="D284" s="59"/>
      <c r="E284" s="59"/>
      <c r="F284" s="59"/>
      <c r="G284" s="59"/>
      <c r="H284" s="59"/>
      <c r="I284" s="112"/>
      <c r="J284" s="90"/>
      <c r="K284" s="90"/>
      <c r="L284" s="90"/>
      <c r="M284" s="90"/>
      <c r="N284" s="2"/>
      <c r="O284" s="2"/>
      <c r="P284" s="2"/>
      <c r="Q284" s="2"/>
      <c r="R284" s="2"/>
      <c r="S284" s="2"/>
      <c r="T284" s="2"/>
      <c r="U284" s="2"/>
      <c r="V284" s="2"/>
      <c r="W284" s="2"/>
      <c r="X284" s="2"/>
      <c r="Y284" s="2"/>
      <c r="Z284" s="2"/>
      <c r="AA284" s="2"/>
      <c r="AB284" s="2"/>
    </row>
    <row r="285" spans="1:43" s="6" customFormat="1" ht="16.350000000000001" customHeight="1" thickBot="1" x14ac:dyDescent="0.25">
      <c r="A285" s="1599" t="s">
        <v>11</v>
      </c>
      <c r="B285" s="1599"/>
      <c r="C285" s="1599"/>
      <c r="D285" s="1599"/>
      <c r="E285" s="1599"/>
      <c r="F285" s="1599"/>
      <c r="G285" s="1599"/>
      <c r="H285" s="1599"/>
      <c r="I285" s="171"/>
      <c r="J285" s="95"/>
      <c r="K285" s="95"/>
      <c r="L285" s="95"/>
      <c r="M285" s="95"/>
      <c r="N285" s="2"/>
      <c r="O285" s="2"/>
      <c r="P285" s="2"/>
      <c r="Q285" s="2"/>
      <c r="R285" s="2"/>
      <c r="S285" s="2"/>
      <c r="T285" s="2"/>
      <c r="U285" s="2"/>
      <c r="V285" s="2"/>
      <c r="W285" s="2"/>
      <c r="X285" s="2"/>
      <c r="Y285" s="2"/>
      <c r="Z285" s="2"/>
      <c r="AA285" s="2"/>
      <c r="AB285" s="2"/>
    </row>
    <row r="286" spans="1:43" ht="90.75" customHeight="1" thickBot="1" x14ac:dyDescent="0.25">
      <c r="A286" s="1600" t="s">
        <v>8</v>
      </c>
      <c r="B286" s="1601"/>
      <c r="C286" s="1601"/>
      <c r="D286" s="1601"/>
      <c r="E286" s="1601"/>
      <c r="F286" s="1601"/>
      <c r="G286" s="1601"/>
      <c r="H286" s="1602"/>
      <c r="I286" s="317" t="s">
        <v>264</v>
      </c>
      <c r="J286" s="318" t="s">
        <v>262</v>
      </c>
      <c r="K286" s="319" t="s">
        <v>191</v>
      </c>
      <c r="L286" s="320" t="s">
        <v>263</v>
      </c>
      <c r="M286" s="1"/>
      <c r="N286" s="2"/>
      <c r="O286" s="2"/>
      <c r="P286" s="2"/>
      <c r="Q286" s="2"/>
    </row>
    <row r="287" spans="1:43" ht="14.25" customHeight="1" x14ac:dyDescent="0.2">
      <c r="A287" s="1580" t="s">
        <v>12</v>
      </c>
      <c r="B287" s="1581"/>
      <c r="C287" s="1581"/>
      <c r="D287" s="1581"/>
      <c r="E287" s="1581"/>
      <c r="F287" s="1581"/>
      <c r="G287" s="1581"/>
      <c r="H287" s="1582"/>
      <c r="I287" s="53">
        <f>I288+I298+I299+I300+I301+I297</f>
        <v>22102.3</v>
      </c>
      <c r="J287" s="677">
        <f t="shared" ref="J287:L287" si="2">J288+J298+J299+J300+J301+J297</f>
        <v>21442.5</v>
      </c>
      <c r="K287" s="694">
        <f t="shared" si="2"/>
        <v>27264.3</v>
      </c>
      <c r="L287" s="678">
        <f t="shared" si="2"/>
        <v>30745.8</v>
      </c>
      <c r="M287" s="849"/>
      <c r="N287" s="2"/>
      <c r="O287" s="2"/>
      <c r="P287" s="2"/>
      <c r="Q287" s="2"/>
    </row>
    <row r="288" spans="1:43" ht="14.25" customHeight="1" x14ac:dyDescent="0.2">
      <c r="A288" s="1583" t="s">
        <v>61</v>
      </c>
      <c r="B288" s="1584"/>
      <c r="C288" s="1584"/>
      <c r="D288" s="1584"/>
      <c r="E288" s="1584"/>
      <c r="F288" s="1584"/>
      <c r="G288" s="1584"/>
      <c r="H288" s="1585"/>
      <c r="I288" s="27">
        <f>SUM(I289:I296)</f>
        <v>14759.7</v>
      </c>
      <c r="J288" s="675">
        <f t="shared" ref="J288:L288" si="3">SUM(J289:J296)</f>
        <v>14565.2</v>
      </c>
      <c r="K288" s="693">
        <f t="shared" si="3"/>
        <v>27264.3</v>
      </c>
      <c r="L288" s="676">
        <f t="shared" si="3"/>
        <v>30745.8</v>
      </c>
      <c r="M288" s="10"/>
      <c r="N288" s="2"/>
      <c r="O288" s="2"/>
      <c r="P288" s="2"/>
      <c r="Q288" s="2"/>
    </row>
    <row r="289" spans="1:17" ht="14.25" customHeight="1" x14ac:dyDescent="0.2">
      <c r="A289" s="1473" t="s">
        <v>16</v>
      </c>
      <c r="B289" s="1471"/>
      <c r="C289" s="1471"/>
      <c r="D289" s="1471"/>
      <c r="E289" s="1471"/>
      <c r="F289" s="1471"/>
      <c r="G289" s="1471"/>
      <c r="H289" s="1586"/>
      <c r="I289" s="30">
        <f>SUMIF(H18:H281,"SB",I18:I281)</f>
        <v>13048.6</v>
      </c>
      <c r="J289" s="679">
        <f>SUMIF(H18:H281,"SB",J18:J281)</f>
        <v>12607.4</v>
      </c>
      <c r="K289" s="531">
        <f>SUMIF(H18:H281,"SB",K18:K281)</f>
        <v>25466</v>
      </c>
      <c r="L289" s="329">
        <f>SUMIF(H18:H281,"SB",L18:L281)</f>
        <v>25645.200000000001</v>
      </c>
      <c r="M289" s="113"/>
      <c r="N289" s="2"/>
      <c r="O289" s="2"/>
      <c r="P289" s="2"/>
      <c r="Q289" s="2"/>
    </row>
    <row r="290" spans="1:17" ht="14.25" customHeight="1" x14ac:dyDescent="0.2">
      <c r="A290" s="1587" t="s">
        <v>306</v>
      </c>
      <c r="B290" s="1588"/>
      <c r="C290" s="1588"/>
      <c r="D290" s="1588"/>
      <c r="E290" s="1588"/>
      <c r="F290" s="1588"/>
      <c r="G290" s="1588"/>
      <c r="H290" s="1589"/>
      <c r="I290" s="34">
        <f>SUMIF(H18:H281,"SB(P)",I18:I281)</f>
        <v>0</v>
      </c>
      <c r="J290" s="680">
        <f>SUMIF(H18:H281,"SB(P)",J18:J281)</f>
        <v>0</v>
      </c>
      <c r="K290" s="692">
        <f>SUMIF(H18:H281,"SB(P)",K18:K281)</f>
        <v>0</v>
      </c>
      <c r="L290" s="681">
        <f>SUMIF(H17:H280,"SB(P)",L17:L280)</f>
        <v>2964.9</v>
      </c>
      <c r="M290" s="113"/>
      <c r="N290" s="2"/>
      <c r="O290" s="2"/>
      <c r="P290" s="2"/>
      <c r="Q290" s="2"/>
    </row>
    <row r="291" spans="1:17" ht="14.25" customHeight="1" x14ac:dyDescent="0.2">
      <c r="A291" s="1587" t="s">
        <v>50</v>
      </c>
      <c r="B291" s="1588"/>
      <c r="C291" s="1588"/>
      <c r="D291" s="1588"/>
      <c r="E291" s="1588"/>
      <c r="F291" s="1588"/>
      <c r="G291" s="1588"/>
      <c r="H291" s="1589"/>
      <c r="I291" s="34">
        <f>SUMIF(H18:H281,"SB(VR)",I18:I281)</f>
        <v>0</v>
      </c>
      <c r="J291" s="680">
        <f>SUMIF(H18:H281,"SB(VR)",J18:J281)</f>
        <v>0</v>
      </c>
      <c r="K291" s="692">
        <f>SUMIF(H18:H281,"SB(VR)",K18:K281)</f>
        <v>662.6</v>
      </c>
      <c r="L291" s="681">
        <f>SUMIF(H18:H281,"SB(VR)",L18:L281)</f>
        <v>1000</v>
      </c>
      <c r="M291" s="113"/>
      <c r="N291" s="2"/>
      <c r="O291" s="2"/>
      <c r="P291" s="2"/>
      <c r="Q291" s="2"/>
    </row>
    <row r="292" spans="1:17" ht="14.25" customHeight="1" x14ac:dyDescent="0.2">
      <c r="A292" s="1590" t="s">
        <v>17</v>
      </c>
      <c r="B292" s="1591"/>
      <c r="C292" s="1591"/>
      <c r="D292" s="1591"/>
      <c r="E292" s="1591"/>
      <c r="F292" s="1591"/>
      <c r="G292" s="1591"/>
      <c r="H292" s="1592"/>
      <c r="I292" s="34">
        <f>SUMIF(H18:H281,"SB(SP)",I18:I281)</f>
        <v>35.700000000000003</v>
      </c>
      <c r="J292" s="680">
        <f>SUMIF(H18:H281,"SB(SP)",J18:J281)</f>
        <v>35.700000000000003</v>
      </c>
      <c r="K292" s="692">
        <f>SUMIF(H18:H281,"SB(SP)",K18:K281)</f>
        <v>35.700000000000003</v>
      </c>
      <c r="L292" s="681">
        <f>SUMIF(H18:H281,"SB(SP)",L18:L281)</f>
        <v>35.700000000000003</v>
      </c>
      <c r="M292" s="10"/>
      <c r="N292" s="2"/>
      <c r="O292" s="2"/>
      <c r="P292" s="2"/>
      <c r="Q292" s="2"/>
    </row>
    <row r="293" spans="1:17" ht="14.25" customHeight="1" x14ac:dyDescent="0.2">
      <c r="A293" s="1587" t="s">
        <v>180</v>
      </c>
      <c r="B293" s="1588"/>
      <c r="C293" s="1588"/>
      <c r="D293" s="1588"/>
      <c r="E293" s="1588"/>
      <c r="F293" s="1588"/>
      <c r="G293" s="1588"/>
      <c r="H293" s="1589"/>
      <c r="I293" s="30">
        <f>SUMIF(H18:H281,"SB(SPI)",I18:I281)</f>
        <v>400</v>
      </c>
      <c r="J293" s="679">
        <f>SUMIF(H18:H281,"SB(SPI)",J18:J281)</f>
        <v>700</v>
      </c>
      <c r="K293" s="531">
        <f>SUMIF(H18:H281,"SB(SPI)",K18:K281)</f>
        <v>700</v>
      </c>
      <c r="L293" s="329">
        <f>SUMIF(H18:H281,"SB(SPI)",L18:L281)</f>
        <v>700</v>
      </c>
      <c r="M293" s="10"/>
      <c r="N293" s="2"/>
      <c r="O293" s="2"/>
      <c r="P293" s="2"/>
      <c r="Q293" s="2"/>
    </row>
    <row r="294" spans="1:17" x14ac:dyDescent="0.2">
      <c r="A294" s="1590" t="s">
        <v>63</v>
      </c>
      <c r="B294" s="1591"/>
      <c r="C294" s="1591"/>
      <c r="D294" s="1591"/>
      <c r="E294" s="1591"/>
      <c r="F294" s="1591"/>
      <c r="G294" s="1591"/>
      <c r="H294" s="1592"/>
      <c r="I294" s="34">
        <f>SUMIF(H18:H281,"SB(VB)",I18:I281)</f>
        <v>118.8</v>
      </c>
      <c r="J294" s="680">
        <f>SUMIF(H18:H281,"SB(VB)",J18:J281)</f>
        <v>68.7</v>
      </c>
      <c r="K294" s="691">
        <f>SUMIF(H18:H281,"SB(VB)",K18:K281)</f>
        <v>0</v>
      </c>
      <c r="L294" s="321">
        <f>SUMIF(H18:H281,"SB(VB)",L18:L281)</f>
        <v>0</v>
      </c>
      <c r="M294" s="10"/>
      <c r="N294" s="2"/>
      <c r="O294" s="2"/>
      <c r="P294" s="2"/>
      <c r="Q294" s="2"/>
    </row>
    <row r="295" spans="1:17" x14ac:dyDescent="0.2">
      <c r="A295" s="1587" t="s">
        <v>97</v>
      </c>
      <c r="B295" s="1588"/>
      <c r="C295" s="1588"/>
      <c r="D295" s="1588"/>
      <c r="E295" s="1588"/>
      <c r="F295" s="1588"/>
      <c r="G295" s="1588"/>
      <c r="H295" s="1589"/>
      <c r="I295" s="34">
        <f>SUMIF(H18:H281,"SB(KPP)",I18:I281)</f>
        <v>100</v>
      </c>
      <c r="J295" s="682">
        <f>SUMIF(H18:H281,"SB(KPP)",J18:J281)</f>
        <v>652.4</v>
      </c>
      <c r="K295" s="689">
        <f>SUMIF(H18:H281,"SB(KPP)",K18:K281)</f>
        <v>400</v>
      </c>
      <c r="L295" s="681">
        <f>SUMIF(H18:H281,"SB(KPP)",L18:L281)</f>
        <v>400</v>
      </c>
      <c r="M295" s="96"/>
      <c r="N295" s="2"/>
      <c r="O295" s="2"/>
      <c r="P295" s="2"/>
      <c r="Q295" s="2"/>
    </row>
    <row r="296" spans="1:17" ht="27" customHeight="1" x14ac:dyDescent="0.2">
      <c r="A296" s="1616" t="s">
        <v>175</v>
      </c>
      <c r="B296" s="1617"/>
      <c r="C296" s="1617"/>
      <c r="D296" s="1617"/>
      <c r="E296" s="1617"/>
      <c r="F296" s="1617"/>
      <c r="G296" s="1617"/>
      <c r="H296" s="1618"/>
      <c r="I296" s="34">
        <f>SUMIF(H18:H281,"SB(ES)",I18:I281)</f>
        <v>1056.5999999999999</v>
      </c>
      <c r="J296" s="682">
        <f>SUMIF(H18:H281,"SB(ES)",J18:J281)</f>
        <v>501</v>
      </c>
      <c r="K296" s="691">
        <f>SUMIF(H18:H281,"SB(ES)",K18:K281)</f>
        <v>0</v>
      </c>
      <c r="L296" s="321">
        <f>SUMIF(H18:H281,"SB(ES)",L18:L281)</f>
        <v>0</v>
      </c>
      <c r="M296" s="10"/>
      <c r="N296" s="2"/>
      <c r="O296" s="2"/>
      <c r="P296" s="2"/>
      <c r="Q296" s="2"/>
    </row>
    <row r="297" spans="1:17" ht="14.25" customHeight="1" x14ac:dyDescent="0.2">
      <c r="A297" s="1607" t="s">
        <v>45</v>
      </c>
      <c r="B297" s="1608"/>
      <c r="C297" s="1608"/>
      <c r="D297" s="1608"/>
      <c r="E297" s="1608"/>
      <c r="F297" s="1608"/>
      <c r="G297" s="1608"/>
      <c r="H297" s="1609"/>
      <c r="I297" s="43">
        <f>SUMIF(H18:H281,"SB(L)",I18:I281)</f>
        <v>5653.1</v>
      </c>
      <c r="J297" s="683">
        <f>SUMIF(H18:H281,"SB(L)",J18:J281)</f>
        <v>6877.3</v>
      </c>
      <c r="K297" s="605">
        <f>SUMIF(H18:H281,"SB(L)",K18:K281)</f>
        <v>0</v>
      </c>
      <c r="L297" s="322">
        <f>SUMIF(H18:H281,"SB(L)",L18:L281)</f>
        <v>0</v>
      </c>
      <c r="M297" s="10"/>
      <c r="N297" s="2"/>
      <c r="O297" s="2"/>
      <c r="P297" s="2"/>
      <c r="Q297" s="2"/>
    </row>
    <row r="298" spans="1:17" x14ac:dyDescent="0.2">
      <c r="A298" s="1607" t="s">
        <v>62</v>
      </c>
      <c r="B298" s="1608"/>
      <c r="C298" s="1608"/>
      <c r="D298" s="1608"/>
      <c r="E298" s="1608"/>
      <c r="F298" s="1608"/>
      <c r="G298" s="1608"/>
      <c r="H298" s="1609"/>
      <c r="I298" s="28">
        <f>SUMIF(H18:H281,"SB(SPL)",I18:I281)</f>
        <v>2.9</v>
      </c>
      <c r="J298" s="482">
        <f>SUMIF(H18:H281,"SB(SPL)",J18:J281)</f>
        <v>0</v>
      </c>
      <c r="K298" s="324">
        <f>SUMIF(H18:H281,"SB(SPL)",K18:K281)</f>
        <v>0</v>
      </c>
      <c r="L298" s="323">
        <f>SUMIF(H18:H281,"SB(SPL)",L18:L281)</f>
        <v>0</v>
      </c>
      <c r="M298" s="10"/>
      <c r="N298" s="2"/>
      <c r="O298" s="2"/>
      <c r="P298" s="2"/>
      <c r="Q298" s="2"/>
    </row>
    <row r="299" spans="1:17" ht="13.35" customHeight="1" x14ac:dyDescent="0.2">
      <c r="A299" s="1607" t="s">
        <v>174</v>
      </c>
      <c r="B299" s="1608"/>
      <c r="C299" s="1608"/>
      <c r="D299" s="1608"/>
      <c r="E299" s="1608"/>
      <c r="F299" s="1608"/>
      <c r="G299" s="1608"/>
      <c r="H299" s="1609"/>
      <c r="I299" s="28">
        <f>SUMIF(H18:H281,"SB(VBL)",I18:I281)</f>
        <v>88.7</v>
      </c>
      <c r="J299" s="482">
        <f>SUMIF(H18:H281,"SB(VBL)",J18:J281)</f>
        <v>0</v>
      </c>
      <c r="K299" s="484">
        <f>SUMIF(H18:H281,"SB(VBL)",K18:K281)</f>
        <v>0</v>
      </c>
      <c r="L299" s="483">
        <f>SUMIF(H18:H281,"SB(VBL)",L18:L281)</f>
        <v>0</v>
      </c>
      <c r="M299" s="10"/>
      <c r="N299" s="2"/>
      <c r="O299" s="2"/>
      <c r="P299" s="2"/>
      <c r="Q299" s="2"/>
    </row>
    <row r="300" spans="1:17" ht="13.35" customHeight="1" x14ac:dyDescent="0.2">
      <c r="A300" s="1607" t="s">
        <v>173</v>
      </c>
      <c r="B300" s="1608"/>
      <c r="C300" s="1608"/>
      <c r="D300" s="1608"/>
      <c r="E300" s="1608"/>
      <c r="F300" s="1608"/>
      <c r="G300" s="1608"/>
      <c r="H300" s="1609"/>
      <c r="I300" s="28">
        <f>SUMIF(H18:H281,"SB(ESL)",I18:I281)</f>
        <v>1003.1</v>
      </c>
      <c r="J300" s="482">
        <f>SUMIF(H18:H281,"SB(ESL)",J18:J281)</f>
        <v>0</v>
      </c>
      <c r="K300" s="484">
        <f>SUMIF(H18:H281,"SB(ESL)",K18:K281)</f>
        <v>0</v>
      </c>
      <c r="L300" s="483">
        <f>SUMIF(H18:H281,"SB(ESL)",L18:L281)</f>
        <v>0</v>
      </c>
      <c r="M300" s="849"/>
      <c r="N300" s="2"/>
      <c r="O300" s="2"/>
      <c r="P300" s="2"/>
      <c r="Q300" s="2"/>
    </row>
    <row r="301" spans="1:17" ht="13.35" customHeight="1" x14ac:dyDescent="0.2">
      <c r="A301" s="1607" t="s">
        <v>241</v>
      </c>
      <c r="B301" s="1608"/>
      <c r="C301" s="1608"/>
      <c r="D301" s="1608"/>
      <c r="E301" s="1608"/>
      <c r="F301" s="1608"/>
      <c r="G301" s="1608"/>
      <c r="H301" s="1609"/>
      <c r="I301" s="28">
        <f>SUMIF(H18:H281,"SB(SPIL)",I18:I281)</f>
        <v>594.79999999999995</v>
      </c>
      <c r="J301" s="482">
        <f>SUMIF(H18:H281,"SB(SPIL)",J18:J281)</f>
        <v>0</v>
      </c>
      <c r="K301" s="484">
        <f>SUMIF(H18:H281,"SB(SPIL)",K18:K281)</f>
        <v>0</v>
      </c>
      <c r="L301" s="483">
        <f>SUMIF(H18:H281,"SB(SPIL)",L18:L281)</f>
        <v>0</v>
      </c>
      <c r="M301" s="10"/>
      <c r="N301" s="2"/>
      <c r="O301" s="2"/>
      <c r="P301" s="2"/>
      <c r="Q301" s="2"/>
    </row>
    <row r="302" spans="1:17" x14ac:dyDescent="0.2">
      <c r="A302" s="1610" t="s">
        <v>13</v>
      </c>
      <c r="B302" s="1611"/>
      <c r="C302" s="1611"/>
      <c r="D302" s="1611"/>
      <c r="E302" s="1611"/>
      <c r="F302" s="1611"/>
      <c r="G302" s="1611"/>
      <c r="H302" s="1612"/>
      <c r="I302" s="57">
        <f>SUM(I303:I304)</f>
        <v>22.9</v>
      </c>
      <c r="J302" s="684">
        <f>SUM(J303:J304)</f>
        <v>1.5</v>
      </c>
      <c r="K302" s="690">
        <f>SUM(K303:K304)</f>
        <v>30</v>
      </c>
      <c r="L302" s="685">
        <f>SUM(L303:L304)</f>
        <v>263.39999999999998</v>
      </c>
      <c r="M302" s="10"/>
      <c r="N302" s="2"/>
      <c r="O302" s="2"/>
      <c r="P302" s="2"/>
      <c r="Q302" s="2"/>
    </row>
    <row r="303" spans="1:17" ht="15.75" customHeight="1" x14ac:dyDescent="0.2">
      <c r="A303" s="1613" t="s">
        <v>305</v>
      </c>
      <c r="B303" s="1614"/>
      <c r="C303" s="1614"/>
      <c r="D303" s="1614"/>
      <c r="E303" s="1614"/>
      <c r="F303" s="1614"/>
      <c r="G303" s="1614"/>
      <c r="H303" s="1615"/>
      <c r="I303" s="34">
        <f>SUMIF(H18:H281,"ES",I18:I281)</f>
        <v>0</v>
      </c>
      <c r="J303" s="682">
        <f>SUMIF(H18:H281,"ES",J18:J281)</f>
        <v>0</v>
      </c>
      <c r="K303" s="689">
        <f>SUMIF(H18:H281,"ES",K18:K281)</f>
        <v>0</v>
      </c>
      <c r="L303" s="681">
        <f>SUMIF(H18:H281,"ES",L18:L281)</f>
        <v>233.4</v>
      </c>
      <c r="M303" s="10"/>
      <c r="N303" s="2"/>
      <c r="O303" s="2"/>
      <c r="P303" s="2"/>
      <c r="Q303" s="2"/>
    </row>
    <row r="304" spans="1:17" ht="15.75" customHeight="1" x14ac:dyDescent="0.2">
      <c r="A304" s="1590" t="s">
        <v>18</v>
      </c>
      <c r="B304" s="1591"/>
      <c r="C304" s="1591"/>
      <c r="D304" s="1591"/>
      <c r="E304" s="1591"/>
      <c r="F304" s="1591"/>
      <c r="G304" s="1591"/>
      <c r="H304" s="1592"/>
      <c r="I304" s="34">
        <f>SUMIF(H18:H281,"Kt",I18:I281)</f>
        <v>22.9</v>
      </c>
      <c r="J304" s="682">
        <f>SUMIF(H18:H281,"Kt",J18:J281)</f>
        <v>1.5</v>
      </c>
      <c r="K304" s="689">
        <f>SUMIF(H18:H281,"Kt",K18:K281)</f>
        <v>30</v>
      </c>
      <c r="L304" s="681">
        <f>SUMIF(H18:H281,"Kt",L18:L281)</f>
        <v>30</v>
      </c>
      <c r="M304" s="10"/>
      <c r="N304" s="2"/>
      <c r="O304" s="2"/>
      <c r="P304" s="2"/>
      <c r="Q304" s="2"/>
    </row>
    <row r="305" spans="1:48" ht="15" customHeight="1" thickBot="1" x14ac:dyDescent="0.25">
      <c r="A305" s="1604" t="s">
        <v>14</v>
      </c>
      <c r="B305" s="1605"/>
      <c r="C305" s="1605"/>
      <c r="D305" s="1605"/>
      <c r="E305" s="1605"/>
      <c r="F305" s="1605"/>
      <c r="G305" s="1605"/>
      <c r="H305" s="1606"/>
      <c r="I305" s="54">
        <f>SUM(I287,I302)</f>
        <v>22125.200000000001</v>
      </c>
      <c r="J305" s="686">
        <f>SUM(J287,J302)</f>
        <v>21444</v>
      </c>
      <c r="K305" s="688">
        <f>SUM(K287,K302)</f>
        <v>27294.3</v>
      </c>
      <c r="L305" s="687">
        <f>SUM(L287,L302)</f>
        <v>31009.200000000001</v>
      </c>
      <c r="M305" s="97"/>
      <c r="N305" s="2"/>
      <c r="O305" s="2"/>
      <c r="P305" s="2"/>
      <c r="Q305" s="2"/>
    </row>
    <row r="306" spans="1:48" x14ac:dyDescent="0.2">
      <c r="G306" s="161"/>
      <c r="H306" s="162"/>
      <c r="I306" s="163"/>
      <c r="J306" s="1"/>
      <c r="K306" s="1"/>
      <c r="L306" s="1"/>
      <c r="M306" s="1"/>
      <c r="N306" s="2"/>
      <c r="O306" s="2"/>
      <c r="P306" s="2"/>
      <c r="Q306" s="2"/>
    </row>
    <row r="307" spans="1:48" x14ac:dyDescent="0.2">
      <c r="I307" s="55"/>
      <c r="J307" s="772"/>
      <c r="K307" s="98"/>
      <c r="L307" s="98"/>
      <c r="M307" s="850"/>
      <c r="N307" s="2"/>
      <c r="O307" s="2"/>
      <c r="P307" s="2"/>
      <c r="Q307" s="2"/>
    </row>
    <row r="308" spans="1:48" x14ac:dyDescent="0.2">
      <c r="I308" s="9"/>
      <c r="J308" s="10"/>
      <c r="K308" s="10"/>
      <c r="L308" s="10"/>
      <c r="M308" s="825"/>
      <c r="N308" s="784"/>
      <c r="O308" s="784"/>
      <c r="P308" s="784"/>
      <c r="Q308" s="2"/>
    </row>
    <row r="309" spans="1:48" x14ac:dyDescent="0.2">
      <c r="I309" s="9"/>
      <c r="J309" s="9"/>
      <c r="K309" s="9"/>
      <c r="L309" s="9"/>
      <c r="M309" s="825"/>
      <c r="N309" s="2"/>
      <c r="O309" s="2"/>
      <c r="P309" s="2"/>
      <c r="Q309" s="2"/>
    </row>
    <row r="310" spans="1:48" s="10" customFormat="1" x14ac:dyDescent="0.2">
      <c r="A310" s="3"/>
      <c r="B310" s="3"/>
      <c r="C310" s="3"/>
      <c r="D310" s="3"/>
      <c r="E310" s="3"/>
      <c r="F310" s="8"/>
      <c r="G310" s="58"/>
      <c r="I310" s="9"/>
      <c r="J310" s="9"/>
      <c r="K310" s="9"/>
      <c r="L310" s="9"/>
      <c r="N310" s="783"/>
      <c r="O310" s="783"/>
      <c r="P310" s="783"/>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c r="AV310" s="2"/>
    </row>
    <row r="311" spans="1:48" s="10" customFormat="1" x14ac:dyDescent="0.2">
      <c r="A311" s="3"/>
      <c r="B311" s="3"/>
      <c r="C311" s="3"/>
      <c r="D311" s="3"/>
      <c r="E311" s="3"/>
      <c r="F311" s="8"/>
      <c r="G311" s="58"/>
      <c r="I311" s="9"/>
      <c r="J311" s="9"/>
      <c r="K311" s="9"/>
      <c r="L311" s="9"/>
      <c r="N311" s="2"/>
      <c r="O311" s="2"/>
      <c r="P311" s="2"/>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c r="AV311" s="2"/>
    </row>
    <row r="312" spans="1:48" s="10" customFormat="1" x14ac:dyDescent="0.2">
      <c r="A312" s="3"/>
      <c r="B312" s="3"/>
      <c r="C312" s="3"/>
      <c r="D312" s="3"/>
      <c r="E312" s="3"/>
      <c r="F312" s="8"/>
      <c r="G312" s="58"/>
      <c r="I312" s="9"/>
      <c r="J312" s="9"/>
      <c r="K312" s="9"/>
      <c r="L312" s="9"/>
      <c r="M312" s="825"/>
      <c r="N312" s="783"/>
      <c r="O312" s="783"/>
      <c r="P312" s="2"/>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c r="AV312" s="2"/>
    </row>
    <row r="313" spans="1:48" x14ac:dyDescent="0.2">
      <c r="I313" s="792"/>
      <c r="J313" s="792"/>
      <c r="K313" s="792"/>
      <c r="L313" s="792"/>
      <c r="M313" s="10"/>
      <c r="N313" s="2"/>
      <c r="O313" s="2"/>
      <c r="P313" s="2"/>
      <c r="Q313" s="2"/>
    </row>
    <row r="314" spans="1:48" x14ac:dyDescent="0.2">
      <c r="J314" s="10"/>
      <c r="K314" s="10"/>
      <c r="L314" s="10"/>
      <c r="M314" s="10"/>
      <c r="N314" s="2"/>
      <c r="O314" s="2"/>
      <c r="P314" s="2"/>
      <c r="Q314" s="2"/>
    </row>
    <row r="315" spans="1:48" x14ac:dyDescent="0.2">
      <c r="J315" s="10"/>
      <c r="K315" s="10"/>
      <c r="L315" s="10"/>
      <c r="M315" s="10"/>
      <c r="N315" s="2"/>
      <c r="O315" s="2"/>
      <c r="P315" s="2"/>
      <c r="Q315" s="2"/>
    </row>
    <row r="316" spans="1:48" x14ac:dyDescent="0.2">
      <c r="J316" s="10"/>
      <c r="K316" s="10"/>
      <c r="L316" s="10"/>
      <c r="M316" s="10"/>
      <c r="N316" s="2"/>
      <c r="O316" s="2"/>
      <c r="P316" s="2"/>
      <c r="Q316" s="2"/>
    </row>
    <row r="317" spans="1:48" x14ac:dyDescent="0.2">
      <c r="J317" s="10"/>
      <c r="K317" s="10"/>
      <c r="L317" s="10"/>
      <c r="M317" s="10"/>
      <c r="N317" s="2"/>
      <c r="O317" s="2"/>
      <c r="P317" s="2"/>
      <c r="Q317" s="2"/>
    </row>
    <row r="318" spans="1:48" x14ac:dyDescent="0.2">
      <c r="J318" s="10"/>
      <c r="K318" s="10"/>
      <c r="L318" s="10"/>
      <c r="M318" s="10"/>
      <c r="N318" s="2"/>
      <c r="O318" s="2"/>
      <c r="P318" s="2"/>
      <c r="Q318" s="2"/>
    </row>
    <row r="319" spans="1:48" x14ac:dyDescent="0.2">
      <c r="J319" s="10"/>
      <c r="K319" s="10"/>
      <c r="L319" s="10"/>
      <c r="M319" s="10"/>
      <c r="N319" s="2"/>
      <c r="O319" s="2"/>
      <c r="P319" s="2"/>
      <c r="Q319" s="2"/>
    </row>
    <row r="320" spans="1:48" x14ac:dyDescent="0.2">
      <c r="J320" s="10"/>
      <c r="K320" s="10"/>
      <c r="L320" s="10"/>
      <c r="M320" s="10"/>
      <c r="N320" s="2"/>
      <c r="O320" s="2"/>
      <c r="P320" s="2"/>
      <c r="Q320" s="2"/>
    </row>
    <row r="321" spans="10:17" x14ac:dyDescent="0.2">
      <c r="J321" s="10"/>
      <c r="K321" s="10"/>
      <c r="L321" s="10"/>
      <c r="M321" s="10"/>
      <c r="N321" s="2"/>
      <c r="O321" s="2"/>
      <c r="P321" s="2"/>
      <c r="Q321" s="2"/>
    </row>
    <row r="322" spans="10:17" x14ac:dyDescent="0.2">
      <c r="J322" s="10"/>
      <c r="K322" s="10"/>
      <c r="L322" s="10"/>
      <c r="M322" s="10"/>
      <c r="N322" s="2"/>
      <c r="O322" s="2"/>
      <c r="P322" s="2"/>
      <c r="Q322" s="2"/>
    </row>
    <row r="323" spans="10:17" x14ac:dyDescent="0.2">
      <c r="J323" s="10"/>
      <c r="K323" s="10"/>
      <c r="L323" s="10"/>
      <c r="M323" s="10"/>
      <c r="N323" s="2"/>
      <c r="O323" s="2"/>
      <c r="P323" s="2"/>
      <c r="Q323" s="2"/>
    </row>
    <row r="324" spans="10:17" x14ac:dyDescent="0.2">
      <c r="J324" s="2"/>
      <c r="K324" s="2"/>
      <c r="L324" s="2"/>
    </row>
    <row r="325" spans="10:17" x14ac:dyDescent="0.2">
      <c r="J325" s="695"/>
      <c r="K325" s="695"/>
      <c r="L325" s="695"/>
    </row>
    <row r="326" spans="10:17" x14ac:dyDescent="0.2">
      <c r="J326" s="9"/>
      <c r="K326" s="9"/>
      <c r="L326" s="9"/>
    </row>
    <row r="327" spans="10:17" x14ac:dyDescent="0.2">
      <c r="J327" s="9"/>
      <c r="K327" s="9"/>
      <c r="L327" s="9"/>
    </row>
    <row r="328" spans="10:17" x14ac:dyDescent="0.2">
      <c r="J328" s="9"/>
      <c r="K328" s="9"/>
      <c r="L328" s="9"/>
    </row>
    <row r="330" spans="10:17" x14ac:dyDescent="0.2">
      <c r="J330" s="9"/>
      <c r="K330" s="9"/>
      <c r="L330" s="9"/>
    </row>
  </sheetData>
  <mergeCells count="262">
    <mergeCell ref="A305:H305"/>
    <mergeCell ref="A299:H299"/>
    <mergeCell ref="A300:H300"/>
    <mergeCell ref="A301:H301"/>
    <mergeCell ref="A302:H302"/>
    <mergeCell ref="A303:H303"/>
    <mergeCell ref="A304:H304"/>
    <mergeCell ref="A293:H293"/>
    <mergeCell ref="A294:H294"/>
    <mergeCell ref="A295:H295"/>
    <mergeCell ref="A296:H296"/>
    <mergeCell ref="A297:H297"/>
    <mergeCell ref="A298:H298"/>
    <mergeCell ref="A287:H287"/>
    <mergeCell ref="A288:H288"/>
    <mergeCell ref="A289:H289"/>
    <mergeCell ref="A290:H290"/>
    <mergeCell ref="A291:H291"/>
    <mergeCell ref="A292:H292"/>
    <mergeCell ref="B281:H281"/>
    <mergeCell ref="M281:N281"/>
    <mergeCell ref="A283:N283"/>
    <mergeCell ref="A285:H285"/>
    <mergeCell ref="A286:H286"/>
    <mergeCell ref="A282:J282"/>
    <mergeCell ref="E277:E278"/>
    <mergeCell ref="G277:G278"/>
    <mergeCell ref="M277:M278"/>
    <mergeCell ref="C279:H279"/>
    <mergeCell ref="M279:N279"/>
    <mergeCell ref="B280:H280"/>
    <mergeCell ref="M280:N280"/>
    <mergeCell ref="E270:E271"/>
    <mergeCell ref="G270:G271"/>
    <mergeCell ref="M270:M271"/>
    <mergeCell ref="E272:E274"/>
    <mergeCell ref="G272:G274"/>
    <mergeCell ref="E275:E276"/>
    <mergeCell ref="G275:G276"/>
    <mergeCell ref="M275:M276"/>
    <mergeCell ref="C265:H265"/>
    <mergeCell ref="M265:N265"/>
    <mergeCell ref="E266:E267"/>
    <mergeCell ref="A268:A269"/>
    <mergeCell ref="B268:B269"/>
    <mergeCell ref="C268:C269"/>
    <mergeCell ref="D268:D269"/>
    <mergeCell ref="E268:E269"/>
    <mergeCell ref="G268:G269"/>
    <mergeCell ref="M268:M269"/>
    <mergeCell ref="E253:E254"/>
    <mergeCell ref="N253:N254"/>
    <mergeCell ref="O253:O254"/>
    <mergeCell ref="P253:P254"/>
    <mergeCell ref="Q253:Q254"/>
    <mergeCell ref="C264:H264"/>
    <mergeCell ref="M264:N264"/>
    <mergeCell ref="E236:E241"/>
    <mergeCell ref="G236:G239"/>
    <mergeCell ref="M236:M237"/>
    <mergeCell ref="E243:E245"/>
    <mergeCell ref="G243:G244"/>
    <mergeCell ref="G245:G247"/>
    <mergeCell ref="M245:M246"/>
    <mergeCell ref="E230:E233"/>
    <mergeCell ref="G230:G233"/>
    <mergeCell ref="A234:A235"/>
    <mergeCell ref="B234:B235"/>
    <mergeCell ref="C234:C235"/>
    <mergeCell ref="D234:D235"/>
    <mergeCell ref="E234:E235"/>
    <mergeCell ref="F234:F235"/>
    <mergeCell ref="G234:G235"/>
    <mergeCell ref="C211:N211"/>
    <mergeCell ref="E213:E214"/>
    <mergeCell ref="G213:G229"/>
    <mergeCell ref="M214:M215"/>
    <mergeCell ref="E217:E218"/>
    <mergeCell ref="M218:M219"/>
    <mergeCell ref="M220:M221"/>
    <mergeCell ref="M222:M223"/>
    <mergeCell ref="M224:M225"/>
    <mergeCell ref="E228:E229"/>
    <mergeCell ref="E206:E208"/>
    <mergeCell ref="N207:N208"/>
    <mergeCell ref="O207:O208"/>
    <mergeCell ref="C210:H210"/>
    <mergeCell ref="M210:N210"/>
    <mergeCell ref="O210:P210"/>
    <mergeCell ref="C185:N185"/>
    <mergeCell ref="E187:E190"/>
    <mergeCell ref="G187:G190"/>
    <mergeCell ref="E191:E195"/>
    <mergeCell ref="M191:M192"/>
    <mergeCell ref="M193:M194"/>
    <mergeCell ref="E175:E178"/>
    <mergeCell ref="E179:E180"/>
    <mergeCell ref="G179:G181"/>
    <mergeCell ref="C184:H184"/>
    <mergeCell ref="M184:N184"/>
    <mergeCell ref="M171:M172"/>
    <mergeCell ref="N171:N172"/>
    <mergeCell ref="O171:O172"/>
    <mergeCell ref="M196:M197"/>
    <mergeCell ref="P171:P172"/>
    <mergeCell ref="Q171:Q172"/>
    <mergeCell ref="A173:A174"/>
    <mergeCell ref="B173:B174"/>
    <mergeCell ref="C173:C174"/>
    <mergeCell ref="D173:D174"/>
    <mergeCell ref="E173:E174"/>
    <mergeCell ref="A171:A172"/>
    <mergeCell ref="B171:B172"/>
    <mergeCell ref="C171:C172"/>
    <mergeCell ref="D171:D172"/>
    <mergeCell ref="E171:E172"/>
    <mergeCell ref="F171:F172"/>
    <mergeCell ref="G173:G174"/>
    <mergeCell ref="E162:E164"/>
    <mergeCell ref="G162:G164"/>
    <mergeCell ref="M162:M164"/>
    <mergeCell ref="G166:G167"/>
    <mergeCell ref="E168:E169"/>
    <mergeCell ref="M168:M169"/>
    <mergeCell ref="E154:E157"/>
    <mergeCell ref="M154:M157"/>
    <mergeCell ref="G155:G157"/>
    <mergeCell ref="D158:D161"/>
    <mergeCell ref="E158:E161"/>
    <mergeCell ref="G158:G161"/>
    <mergeCell ref="E149:E150"/>
    <mergeCell ref="G149:G150"/>
    <mergeCell ref="M149:M150"/>
    <mergeCell ref="D151:D153"/>
    <mergeCell ref="E151:E153"/>
    <mergeCell ref="M151:M152"/>
    <mergeCell ref="G152:G153"/>
    <mergeCell ref="D138:D139"/>
    <mergeCell ref="E138:E139"/>
    <mergeCell ref="M138:M139"/>
    <mergeCell ref="E140:E142"/>
    <mergeCell ref="G140:G142"/>
    <mergeCell ref="D143:D148"/>
    <mergeCell ref="E143:E148"/>
    <mergeCell ref="G143:G145"/>
    <mergeCell ref="M143:M148"/>
    <mergeCell ref="G146:G148"/>
    <mergeCell ref="N124:N125"/>
    <mergeCell ref="O124:O125"/>
    <mergeCell ref="P124:P125"/>
    <mergeCell ref="Q124:Q125"/>
    <mergeCell ref="E134:E135"/>
    <mergeCell ref="D136:D137"/>
    <mergeCell ref="E136:E137"/>
    <mergeCell ref="A121:A123"/>
    <mergeCell ref="B121:B123"/>
    <mergeCell ref="C121:C123"/>
    <mergeCell ref="D121:D123"/>
    <mergeCell ref="E121:E123"/>
    <mergeCell ref="M124:M125"/>
    <mergeCell ref="E113:E114"/>
    <mergeCell ref="E115:E116"/>
    <mergeCell ref="G115:G116"/>
    <mergeCell ref="A117:A119"/>
    <mergeCell ref="B117:B119"/>
    <mergeCell ref="C117:C119"/>
    <mergeCell ref="D117:D119"/>
    <mergeCell ref="E117:E119"/>
    <mergeCell ref="G117:G119"/>
    <mergeCell ref="E104:E107"/>
    <mergeCell ref="A108:A110"/>
    <mergeCell ref="B108:B110"/>
    <mergeCell ref="D108:D110"/>
    <mergeCell ref="E108:E110"/>
    <mergeCell ref="E111:E112"/>
    <mergeCell ref="E88:E89"/>
    <mergeCell ref="G88:G89"/>
    <mergeCell ref="E90:E91"/>
    <mergeCell ref="G90:G98"/>
    <mergeCell ref="M90:M91"/>
    <mergeCell ref="E92:E97"/>
    <mergeCell ref="M97:M98"/>
    <mergeCell ref="G74:G78"/>
    <mergeCell ref="E79:E82"/>
    <mergeCell ref="G79:G82"/>
    <mergeCell ref="A83:A87"/>
    <mergeCell ref="B83:B87"/>
    <mergeCell ref="C83:C87"/>
    <mergeCell ref="D83:D87"/>
    <mergeCell ref="G84:G85"/>
    <mergeCell ref="D56:D73"/>
    <mergeCell ref="E56:E60"/>
    <mergeCell ref="F59:F64"/>
    <mergeCell ref="A74:A78"/>
    <mergeCell ref="B74:B78"/>
    <mergeCell ref="C74:C78"/>
    <mergeCell ref="D74:D78"/>
    <mergeCell ref="E74:E78"/>
    <mergeCell ref="E49:E50"/>
    <mergeCell ref="G49:G52"/>
    <mergeCell ref="A51:A55"/>
    <mergeCell ref="B51:B55"/>
    <mergeCell ref="C51:C55"/>
    <mergeCell ref="D51:D55"/>
    <mergeCell ref="E51:E55"/>
    <mergeCell ref="A46:A48"/>
    <mergeCell ref="B46:B48"/>
    <mergeCell ref="C46:C48"/>
    <mergeCell ref="D46:D48"/>
    <mergeCell ref="E46:E48"/>
    <mergeCell ref="G47:G48"/>
    <mergeCell ref="A43:A45"/>
    <mergeCell ref="B43:B45"/>
    <mergeCell ref="C43:C45"/>
    <mergeCell ref="D43:D45"/>
    <mergeCell ref="E43:E45"/>
    <mergeCell ref="G44:G45"/>
    <mergeCell ref="G32:G35"/>
    <mergeCell ref="M32:M35"/>
    <mergeCell ref="E36:E37"/>
    <mergeCell ref="G36:G39"/>
    <mergeCell ref="E40:E42"/>
    <mergeCell ref="G40:G42"/>
    <mergeCell ref="E23:E27"/>
    <mergeCell ref="G24:G26"/>
    <mergeCell ref="M25:M27"/>
    <mergeCell ref="D28:D31"/>
    <mergeCell ref="E28:E31"/>
    <mergeCell ref="G28:G31"/>
    <mergeCell ref="B13:N13"/>
    <mergeCell ref="C14:N14"/>
    <mergeCell ref="E15:E17"/>
    <mergeCell ref="G15:G17"/>
    <mergeCell ref="M15:M17"/>
    <mergeCell ref="E18:E22"/>
    <mergeCell ref="M18:M19"/>
    <mergeCell ref="M20:M21"/>
    <mergeCell ref="G21:G22"/>
    <mergeCell ref="A11:N11"/>
    <mergeCell ref="A12:N12"/>
    <mergeCell ref="G8:G10"/>
    <mergeCell ref="H8:H10"/>
    <mergeCell ref="I8:I10"/>
    <mergeCell ref="J8:J10"/>
    <mergeCell ref="K8:K10"/>
    <mergeCell ref="L8:L10"/>
    <mergeCell ref="A8:A10"/>
    <mergeCell ref="B8:B10"/>
    <mergeCell ref="C8:C10"/>
    <mergeCell ref="D8:D10"/>
    <mergeCell ref="E8:E10"/>
    <mergeCell ref="F8:F10"/>
    <mergeCell ref="M1:Q1"/>
    <mergeCell ref="A3:Q3"/>
    <mergeCell ref="A4:Q4"/>
    <mergeCell ref="A5:Q5"/>
    <mergeCell ref="A6:N6"/>
    <mergeCell ref="M7:Q7"/>
    <mergeCell ref="M8:Q8"/>
    <mergeCell ref="M9:M10"/>
    <mergeCell ref="N9:N10"/>
    <mergeCell ref="O9:Q9"/>
  </mergeCells>
  <printOptions horizontalCentered="1"/>
  <pageMargins left="0.78740157480314965" right="0.39370078740157483" top="0.39370078740157483" bottom="0.39370078740157483" header="0" footer="0"/>
  <pageSetup paperSize="9" scale="50" fitToHeight="0" orientation="portrait" r:id="rId1"/>
  <rowBreaks count="4" manualBreakCount="4">
    <brk id="78" max="16" man="1"/>
    <brk id="142" max="16" man="1"/>
    <brk id="210" max="16383" man="1"/>
    <brk id="260" max="1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R282"/>
  <sheetViews>
    <sheetView tabSelected="1" zoomScaleNormal="100" zoomScaleSheetLayoutView="100" workbookViewId="0">
      <selection activeCell="Z183" sqref="Z183"/>
    </sheetView>
  </sheetViews>
  <sheetFormatPr defaultColWidth="9.42578125" defaultRowHeight="12.75" x14ac:dyDescent="0.2"/>
  <cols>
    <col min="1" max="3" width="3" style="3" customWidth="1"/>
    <col min="4" max="4" width="32" style="3" customWidth="1"/>
    <col min="5" max="5" width="4.42578125" style="8" customWidth="1"/>
    <col min="6" max="6" width="8.42578125" style="10" customWidth="1"/>
    <col min="7" max="9" width="9" style="3" customWidth="1"/>
    <col min="10" max="10" width="38.42578125" style="3" customWidth="1"/>
    <col min="11" max="13" width="6.85546875" style="10" customWidth="1"/>
    <col min="14" max="14" width="8.5703125" style="2" customWidth="1"/>
    <col min="15" max="15" width="12.140625" style="2" hidden="1" customWidth="1"/>
    <col min="16" max="19" width="0" style="2" hidden="1" customWidth="1"/>
    <col min="20" max="16384" width="9.42578125" style="2"/>
  </cols>
  <sheetData>
    <row r="1" spans="1:18" ht="32.25" customHeight="1" x14ac:dyDescent="0.2">
      <c r="G1" s="10"/>
      <c r="H1" s="10"/>
      <c r="I1" s="10"/>
      <c r="J1" s="1621" t="s">
        <v>331</v>
      </c>
      <c r="K1" s="1621"/>
      <c r="L1" s="1621"/>
      <c r="M1" s="1621"/>
    </row>
    <row r="2" spans="1:18" ht="14.25" customHeight="1" x14ac:dyDescent="0.2">
      <c r="G2" s="10"/>
      <c r="H2" s="10"/>
      <c r="I2" s="10"/>
      <c r="J2" s="1621" t="s">
        <v>332</v>
      </c>
      <c r="K2" s="1621"/>
      <c r="L2" s="1621"/>
      <c r="M2" s="1621"/>
    </row>
    <row r="3" spans="1:18" ht="14.25" customHeight="1" x14ac:dyDescent="0.2">
      <c r="G3" s="10"/>
      <c r="H3" s="10"/>
      <c r="I3" s="10"/>
      <c r="J3" s="125"/>
      <c r="K3" s="125"/>
      <c r="L3" s="125"/>
      <c r="M3" s="125"/>
    </row>
    <row r="4" spans="1:18" ht="15" customHeight="1" x14ac:dyDescent="0.2">
      <c r="A4" s="1357" t="s">
        <v>329</v>
      </c>
      <c r="B4" s="1357"/>
      <c r="C4" s="1357"/>
      <c r="D4" s="1357"/>
      <c r="E4" s="1357"/>
      <c r="F4" s="1357"/>
      <c r="G4" s="1357"/>
      <c r="H4" s="1357"/>
      <c r="I4" s="1357"/>
      <c r="J4" s="1357"/>
      <c r="K4" s="1357"/>
      <c r="L4" s="1357"/>
      <c r="M4" s="1357"/>
    </row>
    <row r="5" spans="1:18" ht="19.5" customHeight="1" x14ac:dyDescent="0.2">
      <c r="A5" s="1358" t="s">
        <v>20</v>
      </c>
      <c r="B5" s="1358"/>
      <c r="C5" s="1358"/>
      <c r="D5" s="1358"/>
      <c r="E5" s="1358"/>
      <c r="F5" s="1358"/>
      <c r="G5" s="1358"/>
      <c r="H5" s="1358"/>
      <c r="I5" s="1358"/>
      <c r="J5" s="1358"/>
      <c r="K5" s="1358"/>
      <c r="L5" s="1358"/>
      <c r="M5" s="1358"/>
    </row>
    <row r="6" spans="1:18" ht="16.350000000000001" customHeight="1" x14ac:dyDescent="0.2">
      <c r="A6" s="1359" t="s">
        <v>70</v>
      </c>
      <c r="B6" s="1359"/>
      <c r="C6" s="1359"/>
      <c r="D6" s="1359"/>
      <c r="E6" s="1359"/>
      <c r="F6" s="1359"/>
      <c r="G6" s="1359"/>
      <c r="H6" s="1359"/>
      <c r="I6" s="1359"/>
      <c r="J6" s="1359"/>
      <c r="K6" s="1359"/>
      <c r="L6" s="1359"/>
      <c r="M6" s="1359"/>
    </row>
    <row r="7" spans="1:18" s="3" customFormat="1" ht="15" customHeight="1" x14ac:dyDescent="0.2">
      <c r="A7" s="1360"/>
      <c r="B7" s="1360"/>
      <c r="C7" s="1360"/>
      <c r="D7" s="1360"/>
      <c r="E7" s="1360"/>
      <c r="F7" s="1360"/>
      <c r="G7" s="1360"/>
      <c r="H7" s="1360"/>
      <c r="I7" s="1360"/>
      <c r="J7" s="1360"/>
    </row>
    <row r="8" spans="1:18" ht="13.5" thickBot="1" x14ac:dyDescent="0.25">
      <c r="J8" s="1361" t="s">
        <v>67</v>
      </c>
      <c r="K8" s="1361"/>
      <c r="L8" s="1361"/>
      <c r="M8" s="1361"/>
    </row>
    <row r="9" spans="1:18" s="21" customFormat="1" ht="24.75" customHeight="1" thickBot="1" x14ac:dyDescent="0.25">
      <c r="A9" s="1395" t="s">
        <v>15</v>
      </c>
      <c r="B9" s="1398" t="s">
        <v>0</v>
      </c>
      <c r="C9" s="1398" t="s">
        <v>1</v>
      </c>
      <c r="D9" s="1401" t="s">
        <v>10</v>
      </c>
      <c r="E9" s="1398" t="s">
        <v>189</v>
      </c>
      <c r="F9" s="1380" t="s">
        <v>2</v>
      </c>
      <c r="G9" s="1386" t="s">
        <v>357</v>
      </c>
      <c r="H9" s="1389" t="s">
        <v>191</v>
      </c>
      <c r="I9" s="1392" t="s">
        <v>263</v>
      </c>
      <c r="J9" s="1362" t="s">
        <v>9</v>
      </c>
      <c r="K9" s="1363"/>
      <c r="L9" s="1363"/>
      <c r="M9" s="1364"/>
    </row>
    <row r="10" spans="1:18" s="21" customFormat="1" ht="18.75" customHeight="1" x14ac:dyDescent="0.2">
      <c r="A10" s="1396"/>
      <c r="B10" s="1399"/>
      <c r="C10" s="1399"/>
      <c r="D10" s="1402"/>
      <c r="E10" s="1399"/>
      <c r="F10" s="1381"/>
      <c r="G10" s="1387"/>
      <c r="H10" s="1390"/>
      <c r="I10" s="1393"/>
      <c r="J10" s="1365" t="s">
        <v>10</v>
      </c>
      <c r="K10" s="1369" t="s">
        <v>251</v>
      </c>
      <c r="L10" s="1370"/>
      <c r="M10" s="1371"/>
      <c r="N10" s="490"/>
    </row>
    <row r="11" spans="1:18" s="21" customFormat="1" ht="110.25" customHeight="1" thickBot="1" x14ac:dyDescent="0.25">
      <c r="A11" s="1397"/>
      <c r="B11" s="1400"/>
      <c r="C11" s="1400"/>
      <c r="D11" s="1403"/>
      <c r="E11" s="1400"/>
      <c r="F11" s="1382"/>
      <c r="G11" s="1388"/>
      <c r="H11" s="1391"/>
      <c r="I11" s="1394"/>
      <c r="J11" s="1366"/>
      <c r="K11" s="315" t="s">
        <v>192</v>
      </c>
      <c r="L11" s="523" t="s">
        <v>193</v>
      </c>
      <c r="M11" s="316" t="s">
        <v>260</v>
      </c>
    </row>
    <row r="12" spans="1:18" s="7" customFormat="1" ht="15" customHeight="1" x14ac:dyDescent="0.2">
      <c r="A12" s="1372" t="s">
        <v>46</v>
      </c>
      <c r="B12" s="1373"/>
      <c r="C12" s="1373"/>
      <c r="D12" s="1373"/>
      <c r="E12" s="1373"/>
      <c r="F12" s="1373"/>
      <c r="G12" s="1373"/>
      <c r="H12" s="1373"/>
      <c r="I12" s="1373"/>
      <c r="J12" s="1373"/>
      <c r="K12" s="604"/>
      <c r="L12" s="516"/>
      <c r="M12" s="517"/>
    </row>
    <row r="13" spans="1:18" s="7" customFormat="1" ht="14.25" customHeight="1" x14ac:dyDescent="0.2">
      <c r="A13" s="1374" t="s">
        <v>38</v>
      </c>
      <c r="B13" s="1375"/>
      <c r="C13" s="1375"/>
      <c r="D13" s="1375"/>
      <c r="E13" s="1375"/>
      <c r="F13" s="1375"/>
      <c r="G13" s="1375"/>
      <c r="H13" s="1375"/>
      <c r="I13" s="1375"/>
      <c r="J13" s="1375"/>
      <c r="K13" s="521"/>
      <c r="L13" s="513"/>
      <c r="M13" s="514"/>
    </row>
    <row r="14" spans="1:18" ht="15" customHeight="1" x14ac:dyDescent="0.2">
      <c r="A14" s="243" t="s">
        <v>3</v>
      </c>
      <c r="B14" s="1418" t="s">
        <v>47</v>
      </c>
      <c r="C14" s="1419"/>
      <c r="D14" s="1419"/>
      <c r="E14" s="1419"/>
      <c r="F14" s="1419"/>
      <c r="G14" s="1419"/>
      <c r="H14" s="1419"/>
      <c r="I14" s="1419"/>
      <c r="J14" s="1419"/>
      <c r="K14" s="522"/>
      <c r="L14" s="518"/>
      <c r="M14" s="520"/>
    </row>
    <row r="15" spans="1:18" ht="15.75" customHeight="1" x14ac:dyDescent="0.2">
      <c r="A15" s="19" t="s">
        <v>3</v>
      </c>
      <c r="B15" s="20" t="s">
        <v>3</v>
      </c>
      <c r="C15" s="1421" t="s">
        <v>35</v>
      </c>
      <c r="D15" s="1422"/>
      <c r="E15" s="1422"/>
      <c r="F15" s="1422"/>
      <c r="G15" s="1422"/>
      <c r="H15" s="1422"/>
      <c r="I15" s="1422"/>
      <c r="J15" s="1422"/>
      <c r="K15" s="552"/>
      <c r="L15" s="552"/>
      <c r="M15" s="602"/>
    </row>
    <row r="16" spans="1:18" ht="15" customHeight="1" x14ac:dyDescent="0.2">
      <c r="A16" s="706" t="s">
        <v>3</v>
      </c>
      <c r="B16" s="710" t="s">
        <v>3</v>
      </c>
      <c r="C16" s="707" t="s">
        <v>3</v>
      </c>
      <c r="D16" s="1424" t="s">
        <v>64</v>
      </c>
      <c r="E16" s="62"/>
      <c r="F16" s="1096" t="s">
        <v>19</v>
      </c>
      <c r="G16" s="1141">
        <v>7203.2</v>
      </c>
      <c r="H16" s="1004">
        <v>15049.1</v>
      </c>
      <c r="I16" s="1142">
        <v>13507.7</v>
      </c>
      <c r="J16" s="1624"/>
      <c r="K16" s="628"/>
      <c r="L16" s="168"/>
      <c r="M16" s="603"/>
      <c r="O16" s="1327" t="s">
        <v>19</v>
      </c>
      <c r="P16" s="1328">
        <f>+G24+G28+G33+G37+G46+G48+G51+G54+G56+G58+G59+G60+G76+G79+G80+G81+G86+G89+G90+G92+G94+G101+G102+G103+G104+G109+G114+G115+G116+G117+G118+G121+G122+G125+G126+G127+G128+G129+G131+G132+G134+G136+G138+G140</f>
        <v>7203.2</v>
      </c>
      <c r="Q16" s="1328">
        <f>+H24+H28+H33+H37+H46+H48+H51+H54+H56+H58+H59+H60+H76+H79+H80+H81+H86+H89+H90+H92+H94+H101+H102+H103+H104+H109+H114+H115+H116+H117+H118+H121+H122+H125+H126+H127+H128+H129+H131+H132+H134+H136+H138+H140</f>
        <v>15049.1</v>
      </c>
      <c r="R16" s="1328">
        <f>+I24+I28+I33+I37+I46+I48+I51+I54+I56+I58+I59+I60+I76+I79+I80+I81+I86+I89+I90+I92+I94+I101+I102+I103+I104+I109+I114+I115+I116+I117+I118+I121+I122+I125+I126+I127+I128+I129+I131+I132+I134+I136+I138+I140</f>
        <v>13507.7</v>
      </c>
    </row>
    <row r="17" spans="1:18" ht="15" customHeight="1" x14ac:dyDescent="0.2">
      <c r="A17" s="706"/>
      <c r="B17" s="710"/>
      <c r="C17" s="707"/>
      <c r="D17" s="1425"/>
      <c r="E17" s="120"/>
      <c r="F17" s="385" t="s">
        <v>163</v>
      </c>
      <c r="G17" s="1146"/>
      <c r="H17" s="1147"/>
      <c r="I17" s="1148">
        <v>2964.9</v>
      </c>
      <c r="J17" s="1625"/>
      <c r="K17" s="600"/>
      <c r="L17" s="600"/>
      <c r="M17" s="81"/>
      <c r="O17" s="1329" t="s">
        <v>163</v>
      </c>
      <c r="P17" s="1248">
        <f>+G26</f>
        <v>0</v>
      </c>
      <c r="Q17" s="1248">
        <f t="shared" ref="Q17:R17" si="0">+H26</f>
        <v>0</v>
      </c>
      <c r="R17" s="1248">
        <f t="shared" si="0"/>
        <v>2964.9</v>
      </c>
    </row>
    <row r="18" spans="1:18" ht="15" customHeight="1" x14ac:dyDescent="0.2">
      <c r="A18" s="1028"/>
      <c r="B18" s="1052"/>
      <c r="C18" s="1030"/>
      <c r="D18" s="1425"/>
      <c r="E18" s="120"/>
      <c r="F18" s="385" t="s">
        <v>188</v>
      </c>
      <c r="G18" s="1149"/>
      <c r="H18" s="1144">
        <v>662.6</v>
      </c>
      <c r="I18" s="1145">
        <v>1000</v>
      </c>
      <c r="J18" s="1625"/>
      <c r="K18" s="600"/>
      <c r="L18" s="600"/>
      <c r="M18" s="81"/>
      <c r="O18" s="1329" t="s">
        <v>188</v>
      </c>
      <c r="P18" s="1248">
        <f>+G25</f>
        <v>0</v>
      </c>
      <c r="Q18" s="1248">
        <f t="shared" ref="Q18:R18" si="1">+H25</f>
        <v>662.6</v>
      </c>
      <c r="R18" s="1248">
        <f t="shared" si="1"/>
        <v>1000</v>
      </c>
    </row>
    <row r="19" spans="1:18" ht="15" customHeight="1" x14ac:dyDescent="0.2">
      <c r="A19" s="1028"/>
      <c r="B19" s="1052"/>
      <c r="C19" s="1030"/>
      <c r="D19" s="1425"/>
      <c r="E19" s="120"/>
      <c r="F19" s="385" t="s">
        <v>119</v>
      </c>
      <c r="G19" s="1149">
        <v>24.5</v>
      </c>
      <c r="H19" s="1150"/>
      <c r="I19" s="1151"/>
      <c r="J19" s="1625"/>
      <c r="K19" s="600"/>
      <c r="L19" s="600"/>
      <c r="M19" s="81"/>
      <c r="O19" s="1329" t="s">
        <v>119</v>
      </c>
      <c r="P19" s="1248">
        <f>+G82</f>
        <v>24.5</v>
      </c>
      <c r="Q19" s="1248">
        <f t="shared" ref="Q19:R19" si="2">+H82</f>
        <v>0</v>
      </c>
      <c r="R19" s="1248">
        <f t="shared" si="2"/>
        <v>0</v>
      </c>
    </row>
    <row r="20" spans="1:18" ht="15" customHeight="1" x14ac:dyDescent="0.2">
      <c r="A20" s="1028"/>
      <c r="B20" s="1052"/>
      <c r="C20" s="1030"/>
      <c r="D20" s="1425"/>
      <c r="E20" s="120"/>
      <c r="F20" s="385" t="s">
        <v>34</v>
      </c>
      <c r="G20" s="410">
        <v>35.700000000000003</v>
      </c>
      <c r="H20" s="1150">
        <v>35.700000000000003</v>
      </c>
      <c r="I20" s="1145">
        <v>35.700000000000003</v>
      </c>
      <c r="J20" s="1625"/>
      <c r="K20" s="600"/>
      <c r="L20" s="600"/>
      <c r="M20" s="81"/>
      <c r="O20" s="1329" t="s">
        <v>34</v>
      </c>
      <c r="P20" s="1248">
        <f>+G95+G110+G112+G124</f>
        <v>35.700000000000003</v>
      </c>
      <c r="Q20" s="1248">
        <f t="shared" ref="Q20:R20" si="3">+H95+H110+H112+H124</f>
        <v>35.700000000000003</v>
      </c>
      <c r="R20" s="1248">
        <f t="shared" si="3"/>
        <v>35.700000000000003</v>
      </c>
    </row>
    <row r="21" spans="1:18" ht="15" customHeight="1" x14ac:dyDescent="0.2">
      <c r="A21" s="1028"/>
      <c r="B21" s="1052"/>
      <c r="C21" s="1030"/>
      <c r="D21" s="1425"/>
      <c r="E21" s="120"/>
      <c r="F21" s="371" t="s">
        <v>44</v>
      </c>
      <c r="G21" s="1146">
        <v>3651</v>
      </c>
      <c r="H21" s="1147"/>
      <c r="I21" s="1151"/>
      <c r="J21" s="1625"/>
      <c r="K21" s="600"/>
      <c r="L21" s="600"/>
      <c r="M21" s="81"/>
      <c r="O21" s="1329" t="s">
        <v>44</v>
      </c>
      <c r="P21" s="1248">
        <f>+G23+G38+G41+G45+G87+G88+G119+G123+G130+G133+G141</f>
        <v>3651</v>
      </c>
      <c r="Q21" s="1248">
        <f>+H23+H38+H41+H45+H87+H88+H119+H123+H130+H133+H141</f>
        <v>0</v>
      </c>
      <c r="R21" s="1248">
        <f>+I23+I38+I41+I45+I87+I88+I119+I123+I130+I133+I141</f>
        <v>0</v>
      </c>
    </row>
    <row r="22" spans="1:18" ht="15" customHeight="1" x14ac:dyDescent="0.2">
      <c r="A22" s="706"/>
      <c r="B22" s="710"/>
      <c r="C22" s="707"/>
      <c r="D22" s="1424"/>
      <c r="E22" s="156"/>
      <c r="F22" s="385" t="s">
        <v>215</v>
      </c>
      <c r="G22" s="1143"/>
      <c r="H22" s="1144"/>
      <c r="I22" s="1145">
        <v>233.4</v>
      </c>
      <c r="J22" s="1626"/>
      <c r="K22" s="601"/>
      <c r="L22" s="601"/>
      <c r="M22" s="599"/>
      <c r="O22" s="1329" t="s">
        <v>215</v>
      </c>
      <c r="P22" s="1248">
        <f>+G52</f>
        <v>0</v>
      </c>
      <c r="Q22" s="1248">
        <f t="shared" ref="Q22:R22" si="4">+H52</f>
        <v>0</v>
      </c>
      <c r="R22" s="1248">
        <f t="shared" si="4"/>
        <v>233.4</v>
      </c>
    </row>
    <row r="23" spans="1:18" ht="16.5" customHeight="1" x14ac:dyDescent="0.2">
      <c r="A23" s="706"/>
      <c r="B23" s="710"/>
      <c r="C23" s="707"/>
      <c r="D23" s="1412" t="s">
        <v>91</v>
      </c>
      <c r="E23" s="437" t="s">
        <v>159</v>
      </c>
      <c r="F23" s="1257" t="s">
        <v>334</v>
      </c>
      <c r="G23" s="1215">
        <f>1556.3-500-500-56.3</f>
        <v>500</v>
      </c>
      <c r="H23" s="1227"/>
      <c r="I23" s="1261"/>
      <c r="J23" s="1524" t="s">
        <v>220</v>
      </c>
      <c r="K23" s="344">
        <v>1</v>
      </c>
      <c r="L23" s="344">
        <v>35</v>
      </c>
      <c r="M23" s="65">
        <v>100</v>
      </c>
      <c r="O23" s="1250"/>
      <c r="P23" s="1328">
        <f>SUM(P16:P22)</f>
        <v>10914.4</v>
      </c>
      <c r="Q23" s="1328">
        <f t="shared" ref="Q23:R23" si="5">SUM(Q16:Q22)</f>
        <v>15747.4</v>
      </c>
      <c r="R23" s="1328">
        <f t="shared" si="5"/>
        <v>17741.7</v>
      </c>
    </row>
    <row r="24" spans="1:18" ht="28.5" customHeight="1" x14ac:dyDescent="0.2">
      <c r="A24" s="706"/>
      <c r="B24" s="710"/>
      <c r="C24" s="707"/>
      <c r="D24" s="1413"/>
      <c r="E24" s="719" t="s">
        <v>137</v>
      </c>
      <c r="F24" s="1320" t="s">
        <v>335</v>
      </c>
      <c r="G24" s="1202"/>
      <c r="H24" s="1219">
        <f>4756.1-662.6+300+500+56.3</f>
        <v>4949.8</v>
      </c>
      <c r="I24" s="1196">
        <f>5945.1+200</f>
        <v>6145.1</v>
      </c>
      <c r="J24" s="1524"/>
      <c r="K24" s="594"/>
      <c r="L24" s="303"/>
      <c r="M24" s="489"/>
      <c r="O24" s="1250"/>
      <c r="P24" s="1248">
        <f>+P23-G146</f>
        <v>0</v>
      </c>
      <c r="Q24" s="1248">
        <f>+Q23-H146</f>
        <v>0</v>
      </c>
      <c r="R24" s="1248">
        <f>+R23-I146</f>
        <v>0</v>
      </c>
    </row>
    <row r="25" spans="1:18" ht="15" customHeight="1" x14ac:dyDescent="0.2">
      <c r="A25" s="706"/>
      <c r="B25" s="710"/>
      <c r="C25" s="707"/>
      <c r="D25" s="1413"/>
      <c r="E25" s="719" t="s">
        <v>204</v>
      </c>
      <c r="F25" s="1193" t="s">
        <v>336</v>
      </c>
      <c r="G25" s="1221"/>
      <c r="H25" s="1199">
        <v>662.6</v>
      </c>
      <c r="I25" s="1200">
        <v>1000</v>
      </c>
      <c r="J25" s="1468" t="s">
        <v>221</v>
      </c>
      <c r="K25" s="333"/>
      <c r="L25" s="255">
        <v>30</v>
      </c>
      <c r="M25" s="65">
        <v>100</v>
      </c>
    </row>
    <row r="26" spans="1:18" ht="15" customHeight="1" x14ac:dyDescent="0.2">
      <c r="A26" s="706"/>
      <c r="B26" s="710"/>
      <c r="C26" s="707"/>
      <c r="D26" s="1413"/>
      <c r="E26" s="147" t="s">
        <v>123</v>
      </c>
      <c r="F26" s="1193" t="s">
        <v>337</v>
      </c>
      <c r="G26" s="1202"/>
      <c r="H26" s="1199"/>
      <c r="I26" s="1194">
        <v>2964.9</v>
      </c>
      <c r="J26" s="1524"/>
      <c r="K26" s="525"/>
      <c r="L26" s="525"/>
      <c r="M26" s="380"/>
    </row>
    <row r="27" spans="1:18" ht="15.6" customHeight="1" x14ac:dyDescent="0.2">
      <c r="A27" s="706"/>
      <c r="B27" s="710"/>
      <c r="C27" s="707"/>
      <c r="D27" s="1413"/>
      <c r="E27" s="151" t="s">
        <v>39</v>
      </c>
      <c r="F27" s="1228"/>
      <c r="G27" s="1245"/>
      <c r="H27" s="1203"/>
      <c r="I27" s="1229"/>
      <c r="J27" s="381"/>
      <c r="K27" s="525"/>
      <c r="L27" s="525"/>
      <c r="M27" s="380"/>
    </row>
    <row r="28" spans="1:18" ht="16.5" customHeight="1" x14ac:dyDescent="0.2">
      <c r="A28" s="706"/>
      <c r="B28" s="710"/>
      <c r="C28" s="707"/>
      <c r="D28" s="1404" t="s">
        <v>326</v>
      </c>
      <c r="E28" s="155" t="s">
        <v>159</v>
      </c>
      <c r="F28" s="1321" t="s">
        <v>335</v>
      </c>
      <c r="G28" s="1322">
        <v>50</v>
      </c>
      <c r="H28" s="1323"/>
      <c r="I28" s="1324"/>
      <c r="J28" s="1100" t="s">
        <v>65</v>
      </c>
      <c r="K28" s="581">
        <v>1</v>
      </c>
      <c r="L28" s="250"/>
      <c r="M28" s="913"/>
    </row>
    <row r="29" spans="1:18" ht="16.350000000000001" customHeight="1" x14ac:dyDescent="0.2">
      <c r="A29" s="706"/>
      <c r="B29" s="710"/>
      <c r="C29" s="707"/>
      <c r="D29" s="1404"/>
      <c r="E29" s="147" t="s">
        <v>137</v>
      </c>
      <c r="F29" s="1238"/>
      <c r="G29" s="1322"/>
      <c r="H29" s="1325"/>
      <c r="I29" s="1326"/>
      <c r="J29" s="1083"/>
      <c r="K29" s="245"/>
      <c r="L29" s="344"/>
      <c r="M29" s="65"/>
    </row>
    <row r="30" spans="1:18" ht="15" customHeight="1" x14ac:dyDescent="0.2">
      <c r="A30" s="706"/>
      <c r="B30" s="710"/>
      <c r="C30" s="707"/>
      <c r="D30" s="1405"/>
      <c r="E30" s="147" t="s">
        <v>123</v>
      </c>
      <c r="F30" s="1342"/>
      <c r="G30" s="1332"/>
      <c r="H30" s="1345"/>
      <c r="I30" s="1346"/>
      <c r="J30" s="1481"/>
      <c r="K30" s="344"/>
      <c r="L30" s="344"/>
      <c r="M30" s="65"/>
    </row>
    <row r="31" spans="1:18" ht="15" customHeight="1" x14ac:dyDescent="0.2">
      <c r="A31" s="706"/>
      <c r="B31" s="710"/>
      <c r="C31" s="707"/>
      <c r="D31" s="1405"/>
      <c r="E31" s="1111" t="s">
        <v>204</v>
      </c>
      <c r="F31" s="1347"/>
      <c r="G31" s="1340"/>
      <c r="H31" s="1343"/>
      <c r="I31" s="1344"/>
      <c r="J31" s="1481"/>
      <c r="K31" s="344"/>
      <c r="L31" s="344"/>
      <c r="M31" s="65"/>
    </row>
    <row r="32" spans="1:18" ht="14.85" customHeight="1" x14ac:dyDescent="0.2">
      <c r="A32" s="706"/>
      <c r="B32" s="710"/>
      <c r="C32" s="707"/>
      <c r="D32" s="1405"/>
      <c r="E32" s="153" t="s">
        <v>39</v>
      </c>
      <c r="F32" s="1348"/>
      <c r="G32" s="1349"/>
      <c r="H32" s="1350"/>
      <c r="I32" s="1341"/>
      <c r="J32" s="1482"/>
      <c r="K32" s="570"/>
      <c r="L32" s="570"/>
      <c r="M32" s="72"/>
    </row>
    <row r="33" spans="1:13" ht="15" customHeight="1" x14ac:dyDescent="0.2">
      <c r="A33" s="706"/>
      <c r="B33" s="711"/>
      <c r="C33" s="47"/>
      <c r="D33" s="1412" t="s">
        <v>136</v>
      </c>
      <c r="E33" s="152" t="s">
        <v>159</v>
      </c>
      <c r="F33" s="1252" t="s">
        <v>335</v>
      </c>
      <c r="G33" s="1202">
        <v>57.8</v>
      </c>
      <c r="H33" s="1199">
        <v>100</v>
      </c>
      <c r="I33" s="1311"/>
      <c r="J33" s="1104" t="s">
        <v>224</v>
      </c>
      <c r="K33" s="559">
        <v>30</v>
      </c>
      <c r="L33" s="559">
        <v>100</v>
      </c>
      <c r="M33" s="1118"/>
    </row>
    <row r="34" spans="1:13" ht="15" customHeight="1" x14ac:dyDescent="0.2">
      <c r="A34" s="706"/>
      <c r="B34" s="711"/>
      <c r="C34" s="47"/>
      <c r="D34" s="1413"/>
      <c r="E34" s="331" t="s">
        <v>204</v>
      </c>
      <c r="F34" s="1312"/>
      <c r="G34" s="1313"/>
      <c r="H34" s="1314"/>
      <c r="I34" s="1204"/>
      <c r="K34" s="1098"/>
      <c r="M34" s="1068"/>
    </row>
    <row r="35" spans="1:13" ht="15" customHeight="1" x14ac:dyDescent="0.2">
      <c r="A35" s="706"/>
      <c r="B35" s="711"/>
      <c r="C35" s="47"/>
      <c r="D35" s="1413"/>
      <c r="E35" s="438" t="s">
        <v>39</v>
      </c>
      <c r="F35" s="1252"/>
      <c r="G35" s="1202"/>
      <c r="H35" s="1281"/>
      <c r="I35" s="1194"/>
      <c r="J35" s="1107"/>
      <c r="K35" s="559"/>
      <c r="L35" s="559"/>
      <c r="M35" s="64"/>
    </row>
    <row r="36" spans="1:13" ht="15" customHeight="1" x14ac:dyDescent="0.2">
      <c r="A36" s="706"/>
      <c r="B36" s="711"/>
      <c r="C36" s="47"/>
      <c r="D36" s="1414"/>
      <c r="E36" s="169" t="s">
        <v>181</v>
      </c>
      <c r="F36" s="1315"/>
      <c r="G36" s="1316"/>
      <c r="H36" s="1317"/>
      <c r="I36" s="1318"/>
      <c r="J36" s="157"/>
      <c r="K36" s="190"/>
      <c r="L36" s="190"/>
      <c r="M36" s="174"/>
    </row>
    <row r="37" spans="1:13" ht="14.1" customHeight="1" x14ac:dyDescent="0.2">
      <c r="A37" s="706"/>
      <c r="B37" s="711"/>
      <c r="C37" s="47"/>
      <c r="D37" s="705" t="s">
        <v>186</v>
      </c>
      <c r="E37" s="152" t="s">
        <v>159</v>
      </c>
      <c r="F37" s="1226" t="s">
        <v>335</v>
      </c>
      <c r="G37" s="1230"/>
      <c r="H37" s="1281">
        <v>50</v>
      </c>
      <c r="I37" s="1194"/>
      <c r="J37" s="1619" t="s">
        <v>223</v>
      </c>
      <c r="K37" s="559">
        <v>95</v>
      </c>
      <c r="L37" s="559">
        <v>100</v>
      </c>
      <c r="M37" s="64"/>
    </row>
    <row r="38" spans="1:13" ht="14.1" customHeight="1" x14ac:dyDescent="0.2">
      <c r="A38" s="706"/>
      <c r="B38" s="711"/>
      <c r="C38" s="47"/>
      <c r="D38" s="705"/>
      <c r="E38" s="331" t="s">
        <v>204</v>
      </c>
      <c r="F38" s="1193" t="s">
        <v>334</v>
      </c>
      <c r="G38" s="1198">
        <v>900</v>
      </c>
      <c r="H38" s="1199"/>
      <c r="I38" s="1196"/>
      <c r="J38" s="1627"/>
      <c r="K38" s="559"/>
      <c r="L38" s="559"/>
      <c r="M38" s="64"/>
    </row>
    <row r="39" spans="1:13" ht="14.1" customHeight="1" x14ac:dyDescent="0.2">
      <c r="A39" s="706"/>
      <c r="B39" s="711"/>
      <c r="C39" s="47"/>
      <c r="D39" s="705"/>
      <c r="E39" s="120" t="s">
        <v>123</v>
      </c>
      <c r="F39" s="1201"/>
      <c r="G39" s="1202"/>
      <c r="H39" s="1203"/>
      <c r="I39" s="1204"/>
      <c r="J39" s="1627"/>
      <c r="K39" s="559"/>
      <c r="L39" s="559"/>
      <c r="M39" s="64"/>
    </row>
    <row r="40" spans="1:13" ht="14.1" customHeight="1" x14ac:dyDescent="0.2">
      <c r="A40" s="706"/>
      <c r="B40" s="711"/>
      <c r="C40" s="47"/>
      <c r="D40" s="705"/>
      <c r="E40" s="153" t="s">
        <v>39</v>
      </c>
      <c r="F40" s="1228"/>
      <c r="G40" s="1245"/>
      <c r="H40" s="1278"/>
      <c r="I40" s="1229"/>
      <c r="J40" s="1628"/>
      <c r="K40" s="559"/>
      <c r="L40" s="559"/>
      <c r="M40" s="64"/>
    </row>
    <row r="41" spans="1:13" ht="15" customHeight="1" x14ac:dyDescent="0.2">
      <c r="A41" s="706"/>
      <c r="B41" s="711"/>
      <c r="C41" s="47"/>
      <c r="D41" s="1412" t="s">
        <v>194</v>
      </c>
      <c r="E41" s="168" t="s">
        <v>195</v>
      </c>
      <c r="F41" s="1254" t="s">
        <v>334</v>
      </c>
      <c r="G41" s="1230">
        <v>1030</v>
      </c>
      <c r="H41" s="1227"/>
      <c r="I41" s="1194"/>
      <c r="J41" s="1100" t="s">
        <v>223</v>
      </c>
      <c r="K41" s="565">
        <v>100</v>
      </c>
      <c r="L41" s="565"/>
      <c r="M41" s="238"/>
    </row>
    <row r="42" spans="1:13" ht="15" customHeight="1" x14ac:dyDescent="0.2">
      <c r="A42" s="706"/>
      <c r="B42" s="711"/>
      <c r="C42" s="47"/>
      <c r="D42" s="1413"/>
      <c r="E42" s="438" t="s">
        <v>159</v>
      </c>
      <c r="F42" s="1201"/>
      <c r="G42" s="1202"/>
      <c r="H42" s="1203"/>
      <c r="I42" s="1204"/>
      <c r="J42" s="1101"/>
      <c r="K42" s="116"/>
      <c r="L42" s="116"/>
      <c r="M42" s="337"/>
    </row>
    <row r="43" spans="1:13" ht="15" customHeight="1" x14ac:dyDescent="0.2">
      <c r="A43" s="706"/>
      <c r="B43" s="711"/>
      <c r="C43" s="47"/>
      <c r="D43" s="705"/>
      <c r="E43" s="331" t="s">
        <v>39</v>
      </c>
      <c r="F43" s="1201"/>
      <c r="G43" s="1202"/>
      <c r="H43" s="1203"/>
      <c r="I43" s="1194"/>
      <c r="J43" s="1101"/>
      <c r="K43" s="116"/>
      <c r="L43" s="116"/>
      <c r="M43" s="337"/>
    </row>
    <row r="44" spans="1:13" ht="15" customHeight="1" x14ac:dyDescent="0.2">
      <c r="A44" s="706"/>
      <c r="B44" s="711"/>
      <c r="C44" s="47"/>
      <c r="D44" s="705"/>
      <c r="E44" s="331" t="s">
        <v>204</v>
      </c>
      <c r="F44" s="1228"/>
      <c r="G44" s="1202"/>
      <c r="H44" s="1203"/>
      <c r="I44" s="1194"/>
      <c r="J44" s="1102"/>
      <c r="K44" s="116"/>
      <c r="L44" s="116"/>
      <c r="M44" s="337"/>
    </row>
    <row r="45" spans="1:13" ht="19.350000000000001" customHeight="1" x14ac:dyDescent="0.2">
      <c r="A45" s="706"/>
      <c r="B45" s="711"/>
      <c r="C45" s="47"/>
      <c r="D45" s="1412" t="s">
        <v>203</v>
      </c>
      <c r="E45" s="168" t="s">
        <v>39</v>
      </c>
      <c r="F45" s="1251" t="s">
        <v>334</v>
      </c>
      <c r="G45" s="1230">
        <f>895.2-50</f>
        <v>845.2</v>
      </c>
      <c r="H45" s="1227"/>
      <c r="I45" s="1311"/>
      <c r="J45" s="1101" t="s">
        <v>223</v>
      </c>
      <c r="K45" s="565">
        <v>60</v>
      </c>
      <c r="L45" s="565">
        <v>100</v>
      </c>
      <c r="M45" s="238"/>
    </row>
    <row r="46" spans="1:13" ht="19.350000000000001" customHeight="1" x14ac:dyDescent="0.2">
      <c r="A46" s="706"/>
      <c r="B46" s="711"/>
      <c r="C46" s="47"/>
      <c r="D46" s="1413"/>
      <c r="E46" s="438" t="s">
        <v>159</v>
      </c>
      <c r="F46" s="1201" t="s">
        <v>335</v>
      </c>
      <c r="G46" s="1198"/>
      <c r="H46" s="1199">
        <v>1139.2</v>
      </c>
      <c r="I46" s="1196"/>
      <c r="J46" s="704"/>
      <c r="K46" s="182"/>
      <c r="L46" s="116"/>
      <c r="M46" s="337"/>
    </row>
    <row r="47" spans="1:13" ht="19.350000000000001" customHeight="1" x14ac:dyDescent="0.2">
      <c r="A47" s="706"/>
      <c r="B47" s="711"/>
      <c r="C47" s="47"/>
      <c r="D47" s="1414"/>
      <c r="E47" s="471" t="s">
        <v>204</v>
      </c>
      <c r="F47" s="1228"/>
      <c r="G47" s="1245"/>
      <c r="H47" s="1278"/>
      <c r="I47" s="1229"/>
      <c r="J47" s="1089"/>
      <c r="K47" s="116"/>
      <c r="L47" s="116"/>
      <c r="M47" s="337"/>
    </row>
    <row r="48" spans="1:13" ht="27.6" customHeight="1" x14ac:dyDescent="0.2">
      <c r="A48" s="1434"/>
      <c r="B48" s="1435"/>
      <c r="C48" s="1436"/>
      <c r="D48" s="1412" t="s">
        <v>237</v>
      </c>
      <c r="E48" s="972" t="s">
        <v>327</v>
      </c>
      <c r="F48" s="1226" t="s">
        <v>335</v>
      </c>
      <c r="G48" s="1230"/>
      <c r="H48" s="1227">
        <v>30</v>
      </c>
      <c r="I48" s="1261">
        <v>100</v>
      </c>
      <c r="J48" s="1629" t="s">
        <v>307</v>
      </c>
      <c r="K48" s="1638"/>
      <c r="L48" s="1640">
        <v>1</v>
      </c>
      <c r="M48" s="1642"/>
    </row>
    <row r="49" spans="1:14" ht="12.6" customHeight="1" x14ac:dyDescent="0.2">
      <c r="A49" s="1434"/>
      <c r="B49" s="1435"/>
      <c r="C49" s="1436"/>
      <c r="D49" s="1413"/>
      <c r="E49" s="973" t="s">
        <v>159</v>
      </c>
      <c r="F49" s="1201"/>
      <c r="G49" s="1202"/>
      <c r="H49" s="1203"/>
      <c r="I49" s="1194"/>
      <c r="J49" s="1630"/>
      <c r="K49" s="1639"/>
      <c r="L49" s="1641"/>
      <c r="M49" s="1643"/>
      <c r="N49" s="488"/>
    </row>
    <row r="50" spans="1:14" ht="27.6" customHeight="1" x14ac:dyDescent="0.2">
      <c r="A50" s="1434"/>
      <c r="B50" s="1435"/>
      <c r="C50" s="1436"/>
      <c r="D50" s="1414"/>
      <c r="E50" s="120" t="s">
        <v>204</v>
      </c>
      <c r="F50" s="1228"/>
      <c r="G50" s="1245"/>
      <c r="H50" s="1278"/>
      <c r="I50" s="1229"/>
      <c r="J50" s="487" t="s">
        <v>65</v>
      </c>
      <c r="K50" s="593"/>
      <c r="L50" s="344"/>
      <c r="M50" s="353">
        <v>1</v>
      </c>
    </row>
    <row r="51" spans="1:14" ht="27" customHeight="1" x14ac:dyDescent="0.2">
      <c r="A51" s="1434"/>
      <c r="B51" s="1435"/>
      <c r="C51" s="1436"/>
      <c r="D51" s="1412" t="s">
        <v>358</v>
      </c>
      <c r="E51" s="1112" t="s">
        <v>137</v>
      </c>
      <c r="F51" s="1319" t="s">
        <v>335</v>
      </c>
      <c r="G51" s="1202"/>
      <c r="H51" s="1216"/>
      <c r="I51" s="1239">
        <f>450-345</f>
        <v>105</v>
      </c>
      <c r="J51" s="927" t="s">
        <v>223</v>
      </c>
      <c r="K51" s="244"/>
      <c r="L51" s="250"/>
      <c r="M51" s="913">
        <v>5</v>
      </c>
    </row>
    <row r="52" spans="1:14" ht="15.6" customHeight="1" x14ac:dyDescent="0.2">
      <c r="A52" s="1434"/>
      <c r="B52" s="1435"/>
      <c r="C52" s="1436"/>
      <c r="D52" s="1413"/>
      <c r="E52" s="973" t="s">
        <v>159</v>
      </c>
      <c r="F52" s="1193" t="s">
        <v>338</v>
      </c>
      <c r="G52" s="1198"/>
      <c r="H52" s="1203"/>
      <c r="I52" s="1194">
        <f>1050-816.6</f>
        <v>233.4</v>
      </c>
      <c r="J52" s="1119"/>
      <c r="K52" s="344"/>
      <c r="L52" s="344"/>
      <c r="M52" s="366"/>
    </row>
    <row r="53" spans="1:14" ht="31.5" customHeight="1" x14ac:dyDescent="0.2">
      <c r="A53" s="1434"/>
      <c r="B53" s="1435"/>
      <c r="C53" s="1436"/>
      <c r="D53" s="1414"/>
      <c r="E53" s="156" t="s">
        <v>304</v>
      </c>
      <c r="F53" s="1228"/>
      <c r="G53" s="1202"/>
      <c r="H53" s="1278"/>
      <c r="I53" s="1229"/>
      <c r="J53" s="454"/>
      <c r="K53" s="597"/>
      <c r="L53" s="597"/>
      <c r="M53" s="501"/>
    </row>
    <row r="54" spans="1:14" ht="15.6" customHeight="1" x14ac:dyDescent="0.2">
      <c r="A54" s="706"/>
      <c r="B54" s="711"/>
      <c r="C54" s="707"/>
      <c r="D54" s="1413" t="s">
        <v>71</v>
      </c>
      <c r="E54" s="332" t="s">
        <v>204</v>
      </c>
      <c r="F54" s="1254" t="s">
        <v>335</v>
      </c>
      <c r="G54" s="1230">
        <f>196.9-36.4</f>
        <v>160.5</v>
      </c>
      <c r="H54" s="1203">
        <f>196.9-36.4</f>
        <v>160.5</v>
      </c>
      <c r="I54" s="1194">
        <f>196.9-36.4</f>
        <v>160.5</v>
      </c>
      <c r="J54" s="220" t="s">
        <v>108</v>
      </c>
      <c r="K54" s="598">
        <v>6.3</v>
      </c>
      <c r="L54" s="598">
        <v>6.3</v>
      </c>
      <c r="M54" s="129">
        <v>6.3</v>
      </c>
    </row>
    <row r="55" spans="1:14" ht="15.6" customHeight="1" x14ac:dyDescent="0.2">
      <c r="A55" s="706"/>
      <c r="B55" s="711"/>
      <c r="C55" s="707"/>
      <c r="D55" s="1413"/>
      <c r="E55" s="429"/>
      <c r="F55" s="1252"/>
      <c r="G55" s="1202"/>
      <c r="H55" s="1203"/>
      <c r="I55" s="1194"/>
      <c r="J55" s="1039" t="s">
        <v>122</v>
      </c>
      <c r="K55" s="576">
        <v>387</v>
      </c>
      <c r="L55" s="576">
        <v>387</v>
      </c>
      <c r="M55" s="82">
        <v>387</v>
      </c>
    </row>
    <row r="56" spans="1:14" ht="15.6" customHeight="1" x14ac:dyDescent="0.2">
      <c r="A56" s="1434"/>
      <c r="B56" s="1443"/>
      <c r="C56" s="1436"/>
      <c r="D56" s="1412" t="s">
        <v>24</v>
      </c>
      <c r="E56" s="332" t="s">
        <v>204</v>
      </c>
      <c r="F56" s="1226" t="s">
        <v>335</v>
      </c>
      <c r="G56" s="1230">
        <v>74.3</v>
      </c>
      <c r="H56" s="1227">
        <v>74.3</v>
      </c>
      <c r="I56" s="1261">
        <v>74.3</v>
      </c>
      <c r="J56" s="220" t="s">
        <v>26</v>
      </c>
      <c r="K56" s="579">
        <v>8</v>
      </c>
      <c r="L56" s="579">
        <v>8</v>
      </c>
      <c r="M56" s="101">
        <v>8</v>
      </c>
    </row>
    <row r="57" spans="1:14" ht="15.6" customHeight="1" x14ac:dyDescent="0.2">
      <c r="A57" s="1434"/>
      <c r="B57" s="1443"/>
      <c r="C57" s="1436"/>
      <c r="D57" s="1413"/>
      <c r="E57" s="332"/>
      <c r="F57" s="1262"/>
      <c r="G57" s="1267"/>
      <c r="H57" s="1206"/>
      <c r="I57" s="1268"/>
      <c r="J57" s="222" t="s">
        <v>205</v>
      </c>
      <c r="K57" s="325">
        <v>18</v>
      </c>
      <c r="L57" s="325">
        <v>18</v>
      </c>
      <c r="M57" s="166">
        <v>18</v>
      </c>
    </row>
    <row r="58" spans="1:14" ht="17.25" customHeight="1" x14ac:dyDescent="0.2">
      <c r="A58" s="1434"/>
      <c r="B58" s="1443"/>
      <c r="C58" s="1436"/>
      <c r="D58" s="1413"/>
      <c r="E58" s="332"/>
      <c r="F58" s="1201" t="s">
        <v>335</v>
      </c>
      <c r="G58" s="1221">
        <v>40</v>
      </c>
      <c r="H58" s="1219"/>
      <c r="I58" s="1194"/>
      <c r="J58" s="222" t="s">
        <v>187</v>
      </c>
      <c r="K58" s="325">
        <v>1</v>
      </c>
      <c r="L58" s="325"/>
      <c r="M58" s="166"/>
    </row>
    <row r="59" spans="1:14" ht="15" customHeight="1" x14ac:dyDescent="0.2">
      <c r="A59" s="1434"/>
      <c r="B59" s="1443"/>
      <c r="C59" s="1436"/>
      <c r="D59" s="1413"/>
      <c r="E59" s="332"/>
      <c r="F59" s="1208" t="s">
        <v>335</v>
      </c>
      <c r="G59" s="1267"/>
      <c r="H59" s="1206">
        <v>100</v>
      </c>
      <c r="I59" s="1225"/>
      <c r="J59" s="1040" t="s">
        <v>224</v>
      </c>
      <c r="K59" s="344"/>
      <c r="L59" s="344">
        <v>100</v>
      </c>
      <c r="M59" s="65"/>
    </row>
    <row r="60" spans="1:14" ht="15.75" customHeight="1" x14ac:dyDescent="0.2">
      <c r="A60" s="706"/>
      <c r="B60" s="711"/>
      <c r="C60" s="707"/>
      <c r="D60" s="1412" t="s">
        <v>359</v>
      </c>
      <c r="E60" s="155" t="s">
        <v>204</v>
      </c>
      <c r="F60" s="1226" t="s">
        <v>335</v>
      </c>
      <c r="G60" s="1230">
        <f>209.1-25</f>
        <v>184.1</v>
      </c>
      <c r="H60" s="1227">
        <v>107</v>
      </c>
      <c r="I60" s="1194">
        <v>115.7</v>
      </c>
      <c r="J60" s="221" t="s">
        <v>98</v>
      </c>
      <c r="K60" s="581"/>
      <c r="L60" s="581"/>
      <c r="M60" s="70"/>
    </row>
    <row r="61" spans="1:14" ht="39.75" customHeight="1" x14ac:dyDescent="0.2">
      <c r="A61" s="747"/>
      <c r="B61" s="748"/>
      <c r="C61" s="750"/>
      <c r="D61" s="1444"/>
      <c r="E61" s="148"/>
      <c r="F61" s="1201"/>
      <c r="G61" s="1202"/>
      <c r="H61" s="1203"/>
      <c r="I61" s="1246"/>
      <c r="J61" s="1055" t="s">
        <v>319</v>
      </c>
      <c r="K61" s="584">
        <v>30</v>
      </c>
      <c r="L61" s="584">
        <v>30</v>
      </c>
      <c r="M61" s="71">
        <v>30</v>
      </c>
    </row>
    <row r="62" spans="1:14" ht="15" customHeight="1" x14ac:dyDescent="0.2">
      <c r="A62" s="706"/>
      <c r="B62" s="711"/>
      <c r="C62" s="707"/>
      <c r="D62" s="1444"/>
      <c r="E62" s="1445"/>
      <c r="F62" s="1331"/>
      <c r="G62" s="1332"/>
      <c r="H62" s="1333"/>
      <c r="I62" s="1330"/>
      <c r="J62" s="222" t="s">
        <v>283</v>
      </c>
      <c r="K62" s="584">
        <v>30</v>
      </c>
      <c r="L62" s="584">
        <v>30</v>
      </c>
      <c r="M62" s="71">
        <v>30</v>
      </c>
    </row>
    <row r="63" spans="1:14" ht="15" customHeight="1" x14ac:dyDescent="0.2">
      <c r="A63" s="706"/>
      <c r="B63" s="711"/>
      <c r="C63" s="707"/>
      <c r="D63" s="1444"/>
      <c r="E63" s="1445"/>
      <c r="F63" s="1331"/>
      <c r="G63" s="1332"/>
      <c r="H63" s="1333"/>
      <c r="I63" s="1334"/>
      <c r="J63" s="223" t="s">
        <v>100</v>
      </c>
      <c r="K63" s="475"/>
      <c r="L63" s="475"/>
      <c r="M63" s="84"/>
    </row>
    <row r="64" spans="1:14" s="3" customFormat="1" ht="13.5" customHeight="1" x14ac:dyDescent="0.2">
      <c r="A64" s="706"/>
      <c r="B64" s="711"/>
      <c r="C64" s="707"/>
      <c r="D64" s="36"/>
      <c r="E64" s="1445"/>
      <c r="F64" s="1335"/>
      <c r="G64" s="1336"/>
      <c r="H64" s="1337"/>
      <c r="I64" s="1337"/>
      <c r="J64" s="1104" t="s">
        <v>27</v>
      </c>
      <c r="K64" s="607">
        <f>40+15</f>
        <v>55</v>
      </c>
      <c r="L64" s="781"/>
      <c r="M64" s="852">
        <v>20</v>
      </c>
      <c r="N64" s="488"/>
    </row>
    <row r="65" spans="1:15" s="3" customFormat="1" ht="13.5" customHeight="1" x14ac:dyDescent="0.2">
      <c r="A65" s="747"/>
      <c r="B65" s="748"/>
      <c r="C65" s="750"/>
      <c r="D65" s="36"/>
      <c r="E65" s="1445"/>
      <c r="F65" s="1335"/>
      <c r="G65" s="1336"/>
      <c r="H65" s="1337"/>
      <c r="I65" s="1338"/>
      <c r="J65" s="1104" t="s">
        <v>269</v>
      </c>
      <c r="K65" s="607">
        <v>100</v>
      </c>
      <c r="L65" s="781"/>
      <c r="M65" s="640"/>
      <c r="N65" s="2"/>
    </row>
    <row r="66" spans="1:15" ht="13.5" customHeight="1" x14ac:dyDescent="0.2">
      <c r="A66" s="706"/>
      <c r="B66" s="711"/>
      <c r="C66" s="707"/>
      <c r="D66" s="36"/>
      <c r="E66" s="1445"/>
      <c r="F66" s="124"/>
      <c r="G66" s="448"/>
      <c r="H66" s="185"/>
      <c r="I66" s="399"/>
      <c r="J66" s="1104" t="s">
        <v>57</v>
      </c>
      <c r="K66" s="587">
        <v>50</v>
      </c>
      <c r="L66" s="587">
        <v>20</v>
      </c>
      <c r="M66" s="350">
        <v>40</v>
      </c>
    </row>
    <row r="67" spans="1:15" s="3" customFormat="1" ht="13.5" customHeight="1" x14ac:dyDescent="0.2">
      <c r="A67" s="706"/>
      <c r="B67" s="711"/>
      <c r="C67" s="707"/>
      <c r="D67" s="709"/>
      <c r="E67" s="1025"/>
      <c r="F67" s="178"/>
      <c r="G67" s="378"/>
      <c r="H67" s="36"/>
      <c r="J67" s="224" t="s">
        <v>198</v>
      </c>
      <c r="K67" s="629"/>
      <c r="L67" s="10">
        <v>10</v>
      </c>
      <c r="M67" s="640"/>
      <c r="N67" s="488"/>
    </row>
    <row r="68" spans="1:15" ht="13.5" customHeight="1" x14ac:dyDescent="0.2">
      <c r="A68" s="706"/>
      <c r="B68" s="711"/>
      <c r="C68" s="707"/>
      <c r="D68" s="36"/>
      <c r="E68" s="148"/>
      <c r="F68" s="124"/>
      <c r="G68" s="448"/>
      <c r="H68" s="185"/>
      <c r="I68" s="512"/>
      <c r="J68" s="223" t="s">
        <v>101</v>
      </c>
      <c r="K68" s="475"/>
      <c r="L68" s="475"/>
      <c r="M68" s="84"/>
    </row>
    <row r="69" spans="1:15" ht="13.5" customHeight="1" x14ac:dyDescent="0.2">
      <c r="A69" s="706"/>
      <c r="B69" s="711"/>
      <c r="C69" s="707"/>
      <c r="D69" s="36"/>
      <c r="E69" s="148"/>
      <c r="F69" s="124"/>
      <c r="G69" s="448"/>
      <c r="H69" s="109"/>
      <c r="I69" s="512"/>
      <c r="J69" s="1107" t="s">
        <v>86</v>
      </c>
      <c r="K69" s="699">
        <v>50</v>
      </c>
      <c r="L69" s="699">
        <v>50</v>
      </c>
      <c r="M69" s="702">
        <v>50</v>
      </c>
    </row>
    <row r="70" spans="1:15" ht="12.75" customHeight="1" x14ac:dyDescent="0.2">
      <c r="A70" s="706"/>
      <c r="B70" s="711"/>
      <c r="C70" s="707"/>
      <c r="D70" s="36"/>
      <c r="E70" s="148"/>
      <c r="F70" s="124"/>
      <c r="G70" s="448"/>
      <c r="H70" s="109"/>
      <c r="I70" s="109"/>
      <c r="J70" s="224" t="s">
        <v>85</v>
      </c>
      <c r="K70" s="589">
        <v>150</v>
      </c>
      <c r="L70" s="589">
        <v>150</v>
      </c>
      <c r="M70" s="349">
        <v>150</v>
      </c>
    </row>
    <row r="71" spans="1:15" ht="17.25" customHeight="1" x14ac:dyDescent="0.2">
      <c r="A71" s="747"/>
      <c r="B71" s="748"/>
      <c r="C71" s="750"/>
      <c r="D71" s="36"/>
      <c r="E71" s="148"/>
      <c r="F71" s="124"/>
      <c r="G71" s="448"/>
      <c r="H71" s="109"/>
      <c r="I71" s="109"/>
      <c r="J71" s="1113" t="s">
        <v>284</v>
      </c>
      <c r="K71" s="587">
        <v>100</v>
      </c>
      <c r="L71" s="587"/>
      <c r="M71" s="350"/>
    </row>
    <row r="72" spans="1:15" ht="15.75" customHeight="1" x14ac:dyDescent="0.2">
      <c r="A72" s="706"/>
      <c r="B72" s="711"/>
      <c r="C72" s="707"/>
      <c r="D72" s="36"/>
      <c r="E72" s="148"/>
      <c r="F72" s="124"/>
      <c r="G72" s="448"/>
      <c r="H72" s="109"/>
      <c r="I72" s="109"/>
      <c r="J72" s="223" t="s">
        <v>285</v>
      </c>
      <c r="K72" s="591"/>
      <c r="L72" s="591"/>
      <c r="M72" s="85"/>
    </row>
    <row r="73" spans="1:15" ht="28.5" customHeight="1" x14ac:dyDescent="0.2">
      <c r="A73" s="706"/>
      <c r="B73" s="711"/>
      <c r="C73" s="707"/>
      <c r="D73" s="36"/>
      <c r="E73" s="148"/>
      <c r="F73" s="124"/>
      <c r="G73" s="448"/>
      <c r="H73" s="185"/>
      <c r="I73" s="399"/>
      <c r="J73" s="227" t="s">
        <v>126</v>
      </c>
      <c r="K73" s="962">
        <v>40</v>
      </c>
      <c r="L73" s="962">
        <v>40</v>
      </c>
      <c r="M73" s="963">
        <v>40</v>
      </c>
    </row>
    <row r="74" spans="1:15" ht="28.5" customHeight="1" x14ac:dyDescent="0.2">
      <c r="A74" s="747"/>
      <c r="B74" s="748"/>
      <c r="C74" s="750"/>
      <c r="D74" s="36"/>
      <c r="E74" s="148"/>
      <c r="F74" s="124"/>
      <c r="G74" s="448"/>
      <c r="H74" s="185"/>
      <c r="I74" s="29"/>
      <c r="J74" s="1114" t="s">
        <v>270</v>
      </c>
      <c r="K74" s="882">
        <v>50</v>
      </c>
      <c r="L74" s="882">
        <v>50</v>
      </c>
      <c r="M74" s="85">
        <v>50</v>
      </c>
    </row>
    <row r="75" spans="1:15" ht="28.5" customHeight="1" x14ac:dyDescent="0.2">
      <c r="A75" s="706"/>
      <c r="B75" s="711"/>
      <c r="C75" s="707"/>
      <c r="D75" s="36"/>
      <c r="E75" s="432"/>
      <c r="F75" s="446"/>
      <c r="G75" s="181"/>
      <c r="H75" s="186"/>
      <c r="I75" s="397"/>
      <c r="J75" s="228" t="s">
        <v>286</v>
      </c>
      <c r="K75" s="358">
        <v>0.4</v>
      </c>
      <c r="L75" s="358">
        <v>0.4</v>
      </c>
      <c r="M75" s="359">
        <v>0.4</v>
      </c>
    </row>
    <row r="76" spans="1:15" ht="17.100000000000001" customHeight="1" x14ac:dyDescent="0.2">
      <c r="A76" s="1434"/>
      <c r="B76" s="1446"/>
      <c r="C76" s="1436"/>
      <c r="D76" s="1412" t="s">
        <v>129</v>
      </c>
      <c r="E76" s="718" t="s">
        <v>204</v>
      </c>
      <c r="F76" s="1226" t="s">
        <v>335</v>
      </c>
      <c r="G76" s="1300">
        <v>220.5</v>
      </c>
      <c r="H76" s="1301">
        <v>256.10000000000002</v>
      </c>
      <c r="I76" s="1302">
        <v>283.7</v>
      </c>
      <c r="J76" s="220" t="s">
        <v>75</v>
      </c>
      <c r="K76" s="579">
        <v>220</v>
      </c>
      <c r="L76" s="579">
        <v>237</v>
      </c>
      <c r="M76" s="100">
        <v>237</v>
      </c>
    </row>
    <row r="77" spans="1:15" ht="29.1" customHeight="1" x14ac:dyDescent="0.2">
      <c r="A77" s="1434"/>
      <c r="B77" s="1446"/>
      <c r="C77" s="1436"/>
      <c r="D77" s="1413"/>
      <c r="E77" s="147" t="s">
        <v>159</v>
      </c>
      <c r="F77" s="1201"/>
      <c r="G77" s="1202"/>
      <c r="H77" s="1203"/>
      <c r="I77" s="1204"/>
      <c r="J77" s="1039" t="s">
        <v>246</v>
      </c>
      <c r="K77" s="333">
        <v>19</v>
      </c>
      <c r="L77" s="333">
        <v>19</v>
      </c>
      <c r="M77" s="353">
        <v>19</v>
      </c>
    </row>
    <row r="78" spans="1:15" ht="27.6" customHeight="1" x14ac:dyDescent="0.2">
      <c r="A78" s="1434"/>
      <c r="B78" s="1446"/>
      <c r="C78" s="1436"/>
      <c r="D78" s="1413"/>
      <c r="E78" s="148"/>
      <c r="F78" s="1262"/>
      <c r="G78" s="1267"/>
      <c r="H78" s="1203"/>
      <c r="I78" s="1204"/>
      <c r="J78" s="224" t="s">
        <v>360</v>
      </c>
      <c r="K78" s="325">
        <v>5</v>
      </c>
      <c r="L78" s="325">
        <v>5</v>
      </c>
      <c r="M78" s="326">
        <v>5</v>
      </c>
      <c r="N78" s="21"/>
      <c r="O78" s="21"/>
    </row>
    <row r="79" spans="1:15" ht="17.25" customHeight="1" x14ac:dyDescent="0.2">
      <c r="A79" s="1434"/>
      <c r="B79" s="1446"/>
      <c r="C79" s="1436"/>
      <c r="D79" s="1413"/>
      <c r="E79" s="148"/>
      <c r="F79" s="1208" t="s">
        <v>335</v>
      </c>
      <c r="G79" s="1221">
        <v>24</v>
      </c>
      <c r="H79" s="1219">
        <v>24</v>
      </c>
      <c r="I79" s="1200">
        <v>24</v>
      </c>
      <c r="J79" s="222" t="s">
        <v>169</v>
      </c>
      <c r="K79" s="369">
        <v>1</v>
      </c>
      <c r="L79" s="369">
        <v>1</v>
      </c>
      <c r="M79" s="755">
        <v>1</v>
      </c>
    </row>
    <row r="80" spans="1:15" ht="17.25" customHeight="1" x14ac:dyDescent="0.2">
      <c r="A80" s="1434"/>
      <c r="B80" s="1446"/>
      <c r="C80" s="1436"/>
      <c r="D80" s="1413"/>
      <c r="E80" s="148"/>
      <c r="F80" s="1201" t="s">
        <v>335</v>
      </c>
      <c r="G80" s="1202">
        <f>6+31+14.5-31</f>
        <v>20.5</v>
      </c>
      <c r="H80" s="1203">
        <v>31</v>
      </c>
      <c r="I80" s="1204"/>
      <c r="J80" s="224" t="s">
        <v>268</v>
      </c>
      <c r="K80" s="344">
        <v>15</v>
      </c>
      <c r="L80" s="344">
        <v>17</v>
      </c>
      <c r="M80" s="398"/>
    </row>
    <row r="81" spans="1:16" ht="15" customHeight="1" x14ac:dyDescent="0.2">
      <c r="A81" s="706"/>
      <c r="B81" s="710"/>
      <c r="C81" s="707"/>
      <c r="D81" s="1412" t="s">
        <v>111</v>
      </c>
      <c r="E81" s="718" t="s">
        <v>123</v>
      </c>
      <c r="F81" s="1257" t="s">
        <v>335</v>
      </c>
      <c r="G81" s="1287">
        <f>207.4-50-37.4</f>
        <v>120</v>
      </c>
      <c r="H81" s="1303">
        <f>207.3+50+37.4</f>
        <v>294.7</v>
      </c>
      <c r="I81" s="1351"/>
      <c r="J81" s="1106" t="s">
        <v>225</v>
      </c>
      <c r="K81" s="581">
        <v>30</v>
      </c>
      <c r="L81" s="581">
        <v>100</v>
      </c>
      <c r="M81" s="70"/>
    </row>
    <row r="82" spans="1:16" ht="15" customHeight="1" x14ac:dyDescent="0.2">
      <c r="A82" s="706"/>
      <c r="B82" s="710"/>
      <c r="C82" s="707"/>
      <c r="D82" s="1413"/>
      <c r="E82" s="719" t="s">
        <v>235</v>
      </c>
      <c r="F82" s="1193" t="s">
        <v>339</v>
      </c>
      <c r="G82" s="1198">
        <v>24.5</v>
      </c>
      <c r="H82" s="1199"/>
      <c r="I82" s="1339"/>
      <c r="J82" s="173"/>
      <c r="K82" s="594"/>
      <c r="L82" s="594"/>
      <c r="M82" s="724"/>
    </row>
    <row r="83" spans="1:16" ht="15" customHeight="1" x14ac:dyDescent="0.2">
      <c r="A83" s="706"/>
      <c r="B83" s="710"/>
      <c r="C83" s="707"/>
      <c r="D83" s="1413"/>
      <c r="E83" s="395" t="s">
        <v>39</v>
      </c>
      <c r="F83" s="1252"/>
      <c r="G83" s="1202"/>
      <c r="H83" s="1203"/>
      <c r="I83" s="1346"/>
      <c r="J83" s="1101"/>
      <c r="K83" s="344"/>
      <c r="L83" s="344"/>
      <c r="M83" s="65"/>
    </row>
    <row r="84" spans="1:16" ht="15" customHeight="1" x14ac:dyDescent="0.2">
      <c r="A84" s="706"/>
      <c r="B84" s="710"/>
      <c r="C84" s="707"/>
      <c r="D84" s="1414"/>
      <c r="E84" s="394" t="s">
        <v>204</v>
      </c>
      <c r="F84" s="1352"/>
      <c r="G84" s="1353"/>
      <c r="H84" s="1354"/>
      <c r="I84" s="1355"/>
      <c r="J84" s="157"/>
      <c r="K84" s="568"/>
      <c r="L84" s="568"/>
      <c r="M84" s="491"/>
    </row>
    <row r="85" spans="1:16" ht="40.5" customHeight="1" x14ac:dyDescent="0.2">
      <c r="A85" s="1434"/>
      <c r="B85" s="1446"/>
      <c r="C85" s="1436"/>
      <c r="D85" s="858" t="s">
        <v>176</v>
      </c>
      <c r="E85" s="766" t="s">
        <v>137</v>
      </c>
      <c r="F85" s="1304"/>
      <c r="G85" s="1230"/>
      <c r="H85" s="1227"/>
      <c r="I85" s="1261"/>
      <c r="J85" s="230" t="s">
        <v>217</v>
      </c>
      <c r="K85" s="579"/>
      <c r="L85" s="579">
        <v>4</v>
      </c>
      <c r="M85" s="100">
        <v>4</v>
      </c>
      <c r="N85" s="488"/>
    </row>
    <row r="86" spans="1:16" s="3" customFormat="1" ht="21" customHeight="1" x14ac:dyDescent="0.2">
      <c r="A86" s="1434"/>
      <c r="B86" s="1446"/>
      <c r="C86" s="1436"/>
      <c r="D86" s="860"/>
      <c r="E86" s="920" t="s">
        <v>159</v>
      </c>
      <c r="F86" s="1208" t="s">
        <v>335</v>
      </c>
      <c r="G86" s="1305"/>
      <c r="H86" s="1210">
        <v>50</v>
      </c>
      <c r="I86" s="1306"/>
      <c r="J86" s="980" t="s">
        <v>217</v>
      </c>
      <c r="K86" s="983">
        <v>2</v>
      </c>
      <c r="L86" s="401">
        <v>1</v>
      </c>
      <c r="M86" s="926"/>
      <c r="N86" s="924"/>
      <c r="O86" s="925"/>
    </row>
    <row r="87" spans="1:16" s="3" customFormat="1" ht="21" customHeight="1" x14ac:dyDescent="0.2">
      <c r="A87" s="1434"/>
      <c r="B87" s="1446"/>
      <c r="C87" s="1436"/>
      <c r="D87" s="860"/>
      <c r="E87" s="979"/>
      <c r="F87" s="1208" t="s">
        <v>334</v>
      </c>
      <c r="G87" s="1307">
        <v>99.8</v>
      </c>
      <c r="H87" s="1210"/>
      <c r="I87" s="1308"/>
      <c r="J87" s="227"/>
      <c r="K87" s="984"/>
      <c r="L87" s="978"/>
      <c r="M87" s="985"/>
      <c r="N87" s="924"/>
      <c r="O87" s="925"/>
    </row>
    <row r="88" spans="1:16" s="3" customFormat="1" ht="42" customHeight="1" x14ac:dyDescent="0.2">
      <c r="A88" s="1434"/>
      <c r="B88" s="1446"/>
      <c r="C88" s="1436"/>
      <c r="D88" s="860"/>
      <c r="E88" s="979"/>
      <c r="F88" s="1201" t="s">
        <v>334</v>
      </c>
      <c r="G88" s="1307">
        <v>30.8</v>
      </c>
      <c r="H88" s="1210"/>
      <c r="I88" s="1308"/>
      <c r="J88" s="224" t="s">
        <v>217</v>
      </c>
      <c r="K88" s="982">
        <v>1</v>
      </c>
      <c r="L88" s="401"/>
      <c r="M88" s="926"/>
      <c r="N88" s="924"/>
      <c r="O88" s="925"/>
    </row>
    <row r="89" spans="1:16" ht="41.1" customHeight="1" x14ac:dyDescent="0.2">
      <c r="A89" s="1434"/>
      <c r="B89" s="1446"/>
      <c r="C89" s="1436"/>
      <c r="D89" s="859"/>
      <c r="E89" s="919" t="s">
        <v>204</v>
      </c>
      <c r="F89" s="1236" t="s">
        <v>335</v>
      </c>
      <c r="G89" s="1213">
        <v>12</v>
      </c>
      <c r="H89" s="1237"/>
      <c r="I89" s="1207"/>
      <c r="J89" s="1107" t="s">
        <v>216</v>
      </c>
      <c r="K89" s="1115">
        <v>1</v>
      </c>
      <c r="L89" s="306"/>
      <c r="M89" s="696"/>
      <c r="N89" s="488"/>
      <c r="O89" s="783"/>
      <c r="P89" s="441"/>
    </row>
    <row r="90" spans="1:16" ht="16.5" customHeight="1" x14ac:dyDescent="0.2">
      <c r="A90" s="759"/>
      <c r="B90" s="762"/>
      <c r="C90" s="760"/>
      <c r="D90" s="1412" t="s">
        <v>276</v>
      </c>
      <c r="E90" s="801" t="s">
        <v>204</v>
      </c>
      <c r="F90" s="1254" t="s">
        <v>335</v>
      </c>
      <c r="G90" s="1309">
        <f>330-30</f>
        <v>300</v>
      </c>
      <c r="H90" s="1310">
        <f>300</f>
        <v>300</v>
      </c>
      <c r="I90" s="1261"/>
      <c r="J90" s="230" t="s">
        <v>277</v>
      </c>
      <c r="K90" s="928">
        <v>1</v>
      </c>
      <c r="L90" s="285"/>
      <c r="M90" s="233"/>
      <c r="N90" s="784"/>
      <c r="P90" s="441"/>
    </row>
    <row r="91" spans="1:16" ht="27.75" customHeight="1" x14ac:dyDescent="0.2">
      <c r="A91" s="759"/>
      <c r="B91" s="762"/>
      <c r="C91" s="760"/>
      <c r="D91" s="1414"/>
      <c r="E91" s="147" t="s">
        <v>159</v>
      </c>
      <c r="F91" s="1212"/>
      <c r="G91" s="1202"/>
      <c r="H91" s="1278"/>
      <c r="I91" s="1229"/>
      <c r="J91" s="1107" t="s">
        <v>230</v>
      </c>
      <c r="K91" s="559">
        <v>1</v>
      </c>
      <c r="L91" s="559">
        <v>1</v>
      </c>
      <c r="M91" s="111"/>
      <c r="O91" s="783"/>
      <c r="P91" s="3"/>
    </row>
    <row r="92" spans="1:16" ht="20.85" customHeight="1" x14ac:dyDescent="0.2">
      <c r="A92" s="706"/>
      <c r="B92" s="710"/>
      <c r="C92" s="707"/>
      <c r="D92" s="1412" t="s">
        <v>72</v>
      </c>
      <c r="E92" s="155" t="s">
        <v>159</v>
      </c>
      <c r="F92" s="1226" t="s">
        <v>335</v>
      </c>
      <c r="G92" s="1230">
        <v>10</v>
      </c>
      <c r="H92" s="1203">
        <v>10</v>
      </c>
      <c r="I92" s="1194">
        <v>10</v>
      </c>
      <c r="J92" s="1619" t="s">
        <v>162</v>
      </c>
      <c r="K92" s="569">
        <v>1</v>
      </c>
      <c r="L92" s="569">
        <v>1</v>
      </c>
      <c r="M92" s="73">
        <v>1</v>
      </c>
      <c r="N92" s="784"/>
      <c r="P92" s="441"/>
    </row>
    <row r="93" spans="1:16" ht="22.5" customHeight="1" x14ac:dyDescent="0.2">
      <c r="A93" s="706"/>
      <c r="B93" s="710"/>
      <c r="C93" s="47"/>
      <c r="D93" s="1414"/>
      <c r="E93" s="715" t="s">
        <v>204</v>
      </c>
      <c r="F93" s="1285"/>
      <c r="G93" s="1202"/>
      <c r="H93" s="1203"/>
      <c r="I93" s="1194"/>
      <c r="J93" s="1620"/>
      <c r="K93" s="570"/>
      <c r="L93" s="570"/>
      <c r="M93" s="72"/>
    </row>
    <row r="94" spans="1:16" ht="16.5" customHeight="1" x14ac:dyDescent="0.2">
      <c r="A94" s="706"/>
      <c r="B94" s="710"/>
      <c r="C94" s="47"/>
      <c r="D94" s="1412" t="s">
        <v>59</v>
      </c>
      <c r="E94" s="440" t="s">
        <v>159</v>
      </c>
      <c r="F94" s="1257" t="s">
        <v>335</v>
      </c>
      <c r="G94" s="1230">
        <f>1056.5+107.8</f>
        <v>1164.3</v>
      </c>
      <c r="H94" s="1227">
        <f>1056.1+107.8</f>
        <v>1163.9000000000001</v>
      </c>
      <c r="I94" s="1239">
        <f>1056.1+107.8</f>
        <v>1163.9000000000001</v>
      </c>
      <c r="J94" s="229" t="s">
        <v>184</v>
      </c>
      <c r="K94" s="571">
        <v>23</v>
      </c>
      <c r="L94" s="571">
        <v>23</v>
      </c>
      <c r="M94" s="167">
        <v>23</v>
      </c>
      <c r="O94" s="783"/>
    </row>
    <row r="95" spans="1:16" ht="15.75" customHeight="1" x14ac:dyDescent="0.2">
      <c r="A95" s="706"/>
      <c r="B95" s="710"/>
      <c r="C95" s="63"/>
      <c r="D95" s="1413"/>
      <c r="E95" s="147" t="s">
        <v>123</v>
      </c>
      <c r="F95" s="1208" t="s">
        <v>340</v>
      </c>
      <c r="G95" s="1198">
        <v>7.7</v>
      </c>
      <c r="H95" s="1219">
        <v>7.7</v>
      </c>
      <c r="I95" s="1200">
        <v>7.7</v>
      </c>
      <c r="J95" s="1081" t="s">
        <v>185</v>
      </c>
      <c r="K95" s="572">
        <v>98</v>
      </c>
      <c r="L95" s="572">
        <v>98</v>
      </c>
      <c r="M95" s="86">
        <v>98</v>
      </c>
      <c r="N95" s="784"/>
    </row>
    <row r="96" spans="1:16" ht="15.75" customHeight="1" x14ac:dyDescent="0.2">
      <c r="A96" s="706"/>
      <c r="B96" s="711"/>
      <c r="C96" s="63"/>
      <c r="D96" s="1413"/>
      <c r="E96" s="719" t="s">
        <v>204</v>
      </c>
      <c r="F96" s="1193"/>
      <c r="G96" s="1198"/>
      <c r="H96" s="1203"/>
      <c r="I96" s="1204"/>
      <c r="J96" s="219" t="s">
        <v>74</v>
      </c>
      <c r="K96" s="573">
        <v>8</v>
      </c>
      <c r="L96" s="272">
        <v>8</v>
      </c>
      <c r="M96" s="132">
        <v>8</v>
      </c>
      <c r="N96" s="784"/>
    </row>
    <row r="97" spans="1:20" ht="15.75" customHeight="1" x14ac:dyDescent="0.2">
      <c r="A97" s="706"/>
      <c r="B97" s="710"/>
      <c r="C97" s="63"/>
      <c r="D97" s="1413"/>
      <c r="E97" s="122"/>
      <c r="F97" s="1201"/>
      <c r="G97" s="1202"/>
      <c r="H97" s="1203"/>
      <c r="I97" s="1204"/>
      <c r="J97" s="1101" t="s">
        <v>102</v>
      </c>
      <c r="K97" s="573">
        <v>40</v>
      </c>
      <c r="L97" s="573">
        <v>40</v>
      </c>
      <c r="M97" s="132">
        <v>40</v>
      </c>
    </row>
    <row r="98" spans="1:20" ht="15.75" customHeight="1" x14ac:dyDescent="0.2">
      <c r="A98" s="706"/>
      <c r="B98" s="710"/>
      <c r="C98" s="63"/>
      <c r="D98" s="1413"/>
      <c r="E98" s="122"/>
      <c r="F98" s="1201"/>
      <c r="G98" s="1202"/>
      <c r="H98" s="1203"/>
      <c r="I98" s="1204"/>
      <c r="J98" s="219" t="s">
        <v>218</v>
      </c>
      <c r="K98" s="574">
        <v>9</v>
      </c>
      <c r="L98" s="574">
        <v>9</v>
      </c>
      <c r="M98" s="87">
        <v>9</v>
      </c>
    </row>
    <row r="99" spans="1:20" ht="15" customHeight="1" x14ac:dyDescent="0.2">
      <c r="A99" s="706"/>
      <c r="B99" s="710"/>
      <c r="C99" s="63"/>
      <c r="D99" s="1413"/>
      <c r="E99" s="122"/>
      <c r="F99" s="1201"/>
      <c r="G99" s="1202"/>
      <c r="H99" s="1203"/>
      <c r="I99" s="1204"/>
      <c r="J99" s="1524" t="s">
        <v>355</v>
      </c>
      <c r="K99" s="97">
        <v>1</v>
      </c>
      <c r="L99" s="641">
        <v>1</v>
      </c>
      <c r="M99" s="93">
        <v>1</v>
      </c>
      <c r="O99" s="783"/>
    </row>
    <row r="100" spans="1:20" ht="12.6" customHeight="1" x14ac:dyDescent="0.2">
      <c r="A100" s="706"/>
      <c r="B100" s="710"/>
      <c r="C100" s="63"/>
      <c r="D100" s="433"/>
      <c r="E100" s="122"/>
      <c r="F100" s="1201"/>
      <c r="G100" s="1202"/>
      <c r="H100" s="1203"/>
      <c r="I100" s="1204"/>
      <c r="J100" s="1524"/>
      <c r="K100" s="575"/>
      <c r="L100" s="575"/>
      <c r="M100" s="500"/>
    </row>
    <row r="101" spans="1:20" ht="15.6" customHeight="1" x14ac:dyDescent="0.2">
      <c r="A101" s="706"/>
      <c r="B101" s="710"/>
      <c r="C101" s="63"/>
      <c r="D101" s="705"/>
      <c r="E101" s="507"/>
      <c r="F101" s="1201" t="s">
        <v>335</v>
      </c>
      <c r="G101" s="1202">
        <v>19.100000000000001</v>
      </c>
      <c r="H101" s="1203">
        <v>38.200000000000003</v>
      </c>
      <c r="I101" s="1281">
        <v>43.9</v>
      </c>
      <c r="J101" s="1039" t="s">
        <v>219</v>
      </c>
      <c r="K101" s="576">
        <v>44</v>
      </c>
      <c r="L101" s="576">
        <v>53</v>
      </c>
      <c r="M101" s="82">
        <v>74</v>
      </c>
    </row>
    <row r="102" spans="1:20" ht="29.25" customHeight="1" x14ac:dyDescent="0.2">
      <c r="A102" s="706"/>
      <c r="B102" s="710"/>
      <c r="C102" s="63"/>
      <c r="D102" s="705"/>
      <c r="E102" s="507"/>
      <c r="F102" s="1208" t="s">
        <v>335</v>
      </c>
      <c r="G102" s="1198">
        <f>29.8+21.4-20.9</f>
        <v>30.3</v>
      </c>
      <c r="H102" s="1219">
        <v>67.400000000000006</v>
      </c>
      <c r="I102" s="1200">
        <v>63</v>
      </c>
      <c r="J102" s="1039" t="s">
        <v>288</v>
      </c>
      <c r="K102" s="576">
        <v>8</v>
      </c>
      <c r="L102" s="576">
        <v>1</v>
      </c>
      <c r="M102" s="82">
        <v>1</v>
      </c>
    </row>
    <row r="103" spans="1:20" s="164" customFormat="1" ht="28.5" customHeight="1" x14ac:dyDescent="0.2">
      <c r="A103" s="747"/>
      <c r="B103" s="752"/>
      <c r="C103" s="750"/>
      <c r="D103" s="746"/>
      <c r="E103" s="507"/>
      <c r="F103" s="1208" t="s">
        <v>335</v>
      </c>
      <c r="G103" s="1221">
        <v>14</v>
      </c>
      <c r="H103" s="1203"/>
      <c r="I103" s="1194"/>
      <c r="J103" s="751" t="s">
        <v>361</v>
      </c>
      <c r="K103" s="265">
        <v>1</v>
      </c>
      <c r="L103" s="267"/>
      <c r="M103" s="82"/>
      <c r="N103" s="2"/>
      <c r="O103" s="2"/>
      <c r="P103" s="2"/>
      <c r="Q103" s="2"/>
      <c r="R103" s="2"/>
      <c r="S103" s="2"/>
      <c r="T103" s="2"/>
    </row>
    <row r="104" spans="1:20" ht="17.25" customHeight="1" x14ac:dyDescent="0.2">
      <c r="A104" s="706"/>
      <c r="B104" s="710"/>
      <c r="C104" s="63"/>
      <c r="D104" s="705"/>
      <c r="E104" s="469"/>
      <c r="F104" s="1201" t="s">
        <v>335</v>
      </c>
      <c r="G104" s="1202">
        <f>15.5+17</f>
        <v>32.5</v>
      </c>
      <c r="H104" s="1219">
        <v>17</v>
      </c>
      <c r="I104" s="1200">
        <v>15.7</v>
      </c>
      <c r="J104" s="222" t="s">
        <v>287</v>
      </c>
      <c r="K104" s="325">
        <v>2</v>
      </c>
      <c r="L104" s="782">
        <v>1</v>
      </c>
      <c r="M104" s="642">
        <v>1</v>
      </c>
    </row>
    <row r="105" spans="1:20" ht="15" customHeight="1" x14ac:dyDescent="0.2">
      <c r="A105" s="706"/>
      <c r="B105" s="710"/>
      <c r="C105" s="63"/>
      <c r="D105" s="1452" t="s">
        <v>362</v>
      </c>
      <c r="E105" s="719" t="s">
        <v>137</v>
      </c>
      <c r="F105" s="1193"/>
      <c r="G105" s="1198"/>
      <c r="H105" s="1203"/>
      <c r="I105" s="1204"/>
      <c r="J105" s="465" t="s">
        <v>206</v>
      </c>
      <c r="K105" s="467">
        <v>2</v>
      </c>
      <c r="L105" s="577">
        <v>2</v>
      </c>
      <c r="M105" s="468">
        <v>2</v>
      </c>
    </row>
    <row r="106" spans="1:20" ht="15" customHeight="1" x14ac:dyDescent="0.2">
      <c r="A106" s="706"/>
      <c r="B106" s="710"/>
      <c r="C106" s="63"/>
      <c r="D106" s="1413"/>
      <c r="E106" s="147" t="s">
        <v>123</v>
      </c>
      <c r="F106" s="1201"/>
      <c r="G106" s="1202"/>
      <c r="H106" s="1203"/>
      <c r="I106" s="1246"/>
      <c r="J106" s="1116"/>
      <c r="K106" s="116"/>
      <c r="L106" s="187"/>
      <c r="M106" s="339"/>
    </row>
    <row r="107" spans="1:20" ht="15" customHeight="1" x14ac:dyDescent="0.2">
      <c r="A107" s="706"/>
      <c r="B107" s="710"/>
      <c r="C107" s="63"/>
      <c r="D107" s="1413"/>
      <c r="E107" s="719" t="s">
        <v>204</v>
      </c>
      <c r="F107" s="1201"/>
      <c r="G107" s="1202"/>
      <c r="H107" s="1203"/>
      <c r="I107" s="1204"/>
      <c r="J107" s="805"/>
      <c r="K107" s="270"/>
      <c r="L107" s="462"/>
      <c r="M107" s="463"/>
    </row>
    <row r="108" spans="1:20" ht="15" customHeight="1" x14ac:dyDescent="0.2">
      <c r="A108" s="706"/>
      <c r="B108" s="710"/>
      <c r="C108" s="63"/>
      <c r="D108" s="1414"/>
      <c r="E108" s="715" t="s">
        <v>235</v>
      </c>
      <c r="F108" s="1228"/>
      <c r="G108" s="1202"/>
      <c r="H108" s="1203"/>
      <c r="I108" s="1194"/>
      <c r="J108" s="459"/>
      <c r="K108" s="578"/>
      <c r="L108" s="578"/>
      <c r="M108" s="499"/>
    </row>
    <row r="109" spans="1:20" ht="14.85" customHeight="1" x14ac:dyDescent="0.2">
      <c r="A109" s="1434"/>
      <c r="B109" s="1443"/>
      <c r="C109" s="63"/>
      <c r="D109" s="1412" t="s">
        <v>109</v>
      </c>
      <c r="E109" s="719" t="s">
        <v>204</v>
      </c>
      <c r="F109" s="1257" t="s">
        <v>335</v>
      </c>
      <c r="G109" s="1215">
        <f>42+3.8</f>
        <v>45.8</v>
      </c>
      <c r="H109" s="1216">
        <f>+G109</f>
        <v>45.8</v>
      </c>
      <c r="I109" s="1261">
        <f>+H109</f>
        <v>45.8</v>
      </c>
      <c r="J109" s="220" t="s">
        <v>81</v>
      </c>
      <c r="K109" s="579">
        <v>2</v>
      </c>
      <c r="L109" s="579">
        <v>2</v>
      </c>
      <c r="M109" s="101">
        <v>2</v>
      </c>
    </row>
    <row r="110" spans="1:20" ht="14.85" customHeight="1" x14ac:dyDescent="0.2">
      <c r="A110" s="1434"/>
      <c r="B110" s="1443"/>
      <c r="C110" s="63"/>
      <c r="D110" s="1413"/>
      <c r="E110" s="148"/>
      <c r="F110" s="1193" t="s">
        <v>340</v>
      </c>
      <c r="G110" s="1198">
        <v>5</v>
      </c>
      <c r="H110" s="1199">
        <v>5</v>
      </c>
      <c r="I110" s="1196">
        <v>5</v>
      </c>
      <c r="J110" s="1039" t="s">
        <v>185</v>
      </c>
      <c r="K110" s="333">
        <v>5</v>
      </c>
      <c r="L110" s="255">
        <v>5</v>
      </c>
      <c r="M110" s="74">
        <v>5</v>
      </c>
    </row>
    <row r="111" spans="1:20" ht="14.85" customHeight="1" x14ac:dyDescent="0.2">
      <c r="A111" s="1434"/>
      <c r="B111" s="1443"/>
      <c r="C111" s="63"/>
      <c r="D111" s="1414"/>
      <c r="E111" s="1120"/>
      <c r="F111" s="1222"/>
      <c r="G111" s="1282"/>
      <c r="H111" s="1283"/>
      <c r="I111" s="1284"/>
      <c r="J111" s="157"/>
      <c r="K111" s="580"/>
      <c r="L111" s="580"/>
      <c r="M111" s="725"/>
    </row>
    <row r="112" spans="1:20" ht="15" customHeight="1" x14ac:dyDescent="0.2">
      <c r="A112" s="706"/>
      <c r="B112" s="710"/>
      <c r="C112" s="63"/>
      <c r="D112" s="1413" t="s">
        <v>48</v>
      </c>
      <c r="E112" s="719" t="s">
        <v>204</v>
      </c>
      <c r="F112" s="1226" t="s">
        <v>340</v>
      </c>
      <c r="G112" s="1230">
        <v>21</v>
      </c>
      <c r="H112" s="1227">
        <v>21</v>
      </c>
      <c r="I112" s="1261">
        <v>21</v>
      </c>
      <c r="J112" s="1086" t="s">
        <v>184</v>
      </c>
      <c r="K112" s="581">
        <v>2</v>
      </c>
      <c r="L112" s="581">
        <v>2</v>
      </c>
      <c r="M112" s="70">
        <v>2</v>
      </c>
    </row>
    <row r="113" spans="1:17" ht="15" customHeight="1" x14ac:dyDescent="0.2">
      <c r="A113" s="706"/>
      <c r="B113" s="710"/>
      <c r="C113" s="47"/>
      <c r="D113" s="1414"/>
      <c r="E113" s="429"/>
      <c r="F113" s="1285"/>
      <c r="G113" s="1245"/>
      <c r="H113" s="1278"/>
      <c r="I113" s="1229"/>
      <c r="J113" s="1089"/>
      <c r="K113" s="570"/>
      <c r="L113" s="570"/>
      <c r="M113" s="72"/>
    </row>
    <row r="114" spans="1:17" s="3" customFormat="1" ht="31.5" customHeight="1" x14ac:dyDescent="0.2">
      <c r="A114" s="706"/>
      <c r="B114" s="710"/>
      <c r="C114" s="47"/>
      <c r="D114" s="1412" t="s">
        <v>207</v>
      </c>
      <c r="E114" s="956" t="s">
        <v>328</v>
      </c>
      <c r="F114" s="1286" t="s">
        <v>335</v>
      </c>
      <c r="G114" s="1287">
        <f>300-100</f>
        <v>200</v>
      </c>
      <c r="H114" s="1288">
        <f>305+100</f>
        <v>405</v>
      </c>
      <c r="I114" s="1289"/>
      <c r="J114" s="230" t="s">
        <v>293</v>
      </c>
      <c r="K114" s="285">
        <v>30</v>
      </c>
      <c r="L114" s="274">
        <v>100</v>
      </c>
      <c r="M114" s="830"/>
      <c r="N114" s="488"/>
    </row>
    <row r="115" spans="1:17" s="3" customFormat="1" ht="29.85" customHeight="1" x14ac:dyDescent="0.2">
      <c r="A115" s="706"/>
      <c r="B115" s="710"/>
      <c r="C115" s="47"/>
      <c r="D115" s="1414"/>
      <c r="E115" s="954" t="s">
        <v>159</v>
      </c>
      <c r="F115" s="1290" t="s">
        <v>335</v>
      </c>
      <c r="G115" s="1291"/>
      <c r="H115" s="1292"/>
      <c r="I115" s="1293">
        <v>300</v>
      </c>
      <c r="J115" s="228" t="s">
        <v>294</v>
      </c>
      <c r="K115" s="582"/>
      <c r="L115" s="486"/>
      <c r="M115" s="158">
        <v>50</v>
      </c>
      <c r="N115" s="488"/>
    </row>
    <row r="116" spans="1:17" ht="15" customHeight="1" x14ac:dyDescent="0.2">
      <c r="A116" s="747"/>
      <c r="B116" s="752"/>
      <c r="C116" s="47"/>
      <c r="D116" s="1453" t="s">
        <v>273</v>
      </c>
      <c r="E116" s="745" t="s">
        <v>212</v>
      </c>
      <c r="F116" s="1294" t="s">
        <v>335</v>
      </c>
      <c r="G116" s="1215">
        <v>24.2</v>
      </c>
      <c r="H116" s="1216"/>
      <c r="I116" s="1239"/>
      <c r="J116" s="230" t="s">
        <v>187</v>
      </c>
      <c r="K116" s="770">
        <v>1</v>
      </c>
      <c r="L116" s="770"/>
      <c r="M116" s="225"/>
      <c r="N116" s="488"/>
    </row>
    <row r="117" spans="1:17" ht="15" customHeight="1" x14ac:dyDescent="0.2">
      <c r="A117" s="747"/>
      <c r="B117" s="752"/>
      <c r="C117" s="47"/>
      <c r="D117" s="1454"/>
      <c r="E117" s="885" t="s">
        <v>39</v>
      </c>
      <c r="F117" s="1252" t="s">
        <v>335</v>
      </c>
      <c r="G117" s="1202"/>
      <c r="H117" s="1237">
        <v>508</v>
      </c>
      <c r="I117" s="1295">
        <v>508</v>
      </c>
      <c r="J117" s="218" t="s">
        <v>225</v>
      </c>
      <c r="K117" s="595"/>
      <c r="L117" s="595">
        <v>50</v>
      </c>
      <c r="M117" s="610">
        <v>100</v>
      </c>
      <c r="N117" s="488"/>
    </row>
    <row r="118" spans="1:17" ht="27" customHeight="1" x14ac:dyDescent="0.2">
      <c r="A118" s="1434"/>
      <c r="B118" s="1446"/>
      <c r="C118" s="1436"/>
      <c r="D118" s="1412" t="s">
        <v>51</v>
      </c>
      <c r="E118" s="719" t="s">
        <v>204</v>
      </c>
      <c r="F118" s="1226" t="s">
        <v>335</v>
      </c>
      <c r="G118" s="1296">
        <f>4000-500</f>
        <v>3500</v>
      </c>
      <c r="H118" s="1297">
        <f>4188.4-500</f>
        <v>3688.4</v>
      </c>
      <c r="I118" s="1298">
        <f>4188.4-500</f>
        <v>3688.4</v>
      </c>
      <c r="J118" s="230" t="s">
        <v>107</v>
      </c>
      <c r="K118" s="283">
        <v>8.9</v>
      </c>
      <c r="L118" s="404">
        <v>8.9</v>
      </c>
      <c r="M118" s="232">
        <v>8.9</v>
      </c>
      <c r="Q118" s="382"/>
    </row>
    <row r="119" spans="1:17" ht="27" customHeight="1" x14ac:dyDescent="0.2">
      <c r="A119" s="1434"/>
      <c r="B119" s="1446"/>
      <c r="C119" s="1436"/>
      <c r="D119" s="1413"/>
      <c r="E119" s="767"/>
      <c r="F119" s="1299" t="s">
        <v>334</v>
      </c>
      <c r="G119" s="1198">
        <v>188.4</v>
      </c>
      <c r="H119" s="1199"/>
      <c r="I119" s="1196"/>
      <c r="J119" s="764" t="s">
        <v>274</v>
      </c>
      <c r="K119" s="268">
        <v>8</v>
      </c>
      <c r="L119" s="188">
        <v>8</v>
      </c>
      <c r="M119" s="88">
        <v>8</v>
      </c>
    </row>
    <row r="120" spans="1:17" ht="16.5" customHeight="1" x14ac:dyDescent="0.2">
      <c r="A120" s="1434"/>
      <c r="B120" s="1446"/>
      <c r="C120" s="1436"/>
      <c r="D120" s="1456"/>
      <c r="E120" s="148"/>
      <c r="F120" s="1262"/>
      <c r="G120" s="1267"/>
      <c r="H120" s="1206"/>
      <c r="I120" s="1207"/>
      <c r="J120" s="224" t="s">
        <v>94</v>
      </c>
      <c r="K120" s="269">
        <v>425</v>
      </c>
      <c r="L120" s="273">
        <v>425</v>
      </c>
      <c r="M120" s="74">
        <v>425</v>
      </c>
      <c r="N120" s="488"/>
    </row>
    <row r="121" spans="1:17" ht="30" customHeight="1" x14ac:dyDescent="0.2">
      <c r="A121" s="891"/>
      <c r="B121" s="894"/>
      <c r="C121" s="892"/>
      <c r="D121" s="912"/>
      <c r="E121" s="148"/>
      <c r="F121" s="1262" t="s">
        <v>335</v>
      </c>
      <c r="G121" s="1263">
        <v>127.2</v>
      </c>
      <c r="H121" s="1264">
        <v>254.3</v>
      </c>
      <c r="I121" s="1265">
        <v>254.3</v>
      </c>
      <c r="J121" s="914" t="s">
        <v>314</v>
      </c>
      <c r="K121" s="916">
        <v>764</v>
      </c>
      <c r="L121" s="917">
        <v>764</v>
      </c>
      <c r="M121" s="918">
        <v>764</v>
      </c>
      <c r="N121" s="488"/>
    </row>
    <row r="122" spans="1:17" ht="14.85" customHeight="1" x14ac:dyDescent="0.2">
      <c r="A122" s="1434"/>
      <c r="B122" s="1446"/>
      <c r="C122" s="1436"/>
      <c r="D122" s="1465" t="s">
        <v>31</v>
      </c>
      <c r="E122" s="719" t="s">
        <v>204</v>
      </c>
      <c r="F122" s="1266" t="s">
        <v>335</v>
      </c>
      <c r="G122" s="1267">
        <v>165</v>
      </c>
      <c r="H122" s="1216">
        <v>175.5</v>
      </c>
      <c r="I122" s="1268">
        <v>175.5</v>
      </c>
      <c r="J122" s="890" t="s">
        <v>33</v>
      </c>
      <c r="K122" s="244">
        <v>60</v>
      </c>
      <c r="L122" s="251">
        <v>60</v>
      </c>
      <c r="M122" s="913">
        <v>60</v>
      </c>
      <c r="N122" s="488"/>
    </row>
    <row r="123" spans="1:17" ht="14.85" customHeight="1" x14ac:dyDescent="0.2">
      <c r="A123" s="1434"/>
      <c r="B123" s="1446"/>
      <c r="C123" s="1436"/>
      <c r="D123" s="1467"/>
      <c r="E123" s="791"/>
      <c r="F123" s="1269" t="s">
        <v>334</v>
      </c>
      <c r="G123" s="1202">
        <v>10.5</v>
      </c>
      <c r="H123" s="1203"/>
      <c r="I123" s="1194"/>
      <c r="J123" s="1040"/>
      <c r="K123" s="344"/>
      <c r="L123" s="251"/>
      <c r="M123" s="65"/>
    </row>
    <row r="124" spans="1:17" ht="26.85" customHeight="1" x14ac:dyDescent="0.2">
      <c r="A124" s="1434"/>
      <c r="B124" s="1446"/>
      <c r="C124" s="1436"/>
      <c r="D124" s="1467"/>
      <c r="E124" s="709"/>
      <c r="F124" s="1208" t="s">
        <v>340</v>
      </c>
      <c r="G124" s="1221">
        <v>2</v>
      </c>
      <c r="H124" s="1219">
        <v>2</v>
      </c>
      <c r="I124" s="1200">
        <v>2</v>
      </c>
      <c r="J124" s="222" t="s">
        <v>52</v>
      </c>
      <c r="K124" s="698">
        <v>1500</v>
      </c>
      <c r="L124" s="700">
        <v>1500</v>
      </c>
      <c r="M124" s="701">
        <v>1500</v>
      </c>
      <c r="N124" s="488"/>
    </row>
    <row r="125" spans="1:17" ht="27.75" customHeight="1" x14ac:dyDescent="0.2">
      <c r="A125" s="706"/>
      <c r="B125" s="710"/>
      <c r="C125" s="707"/>
      <c r="D125" s="712"/>
      <c r="E125" s="709"/>
      <c r="F125" s="1270" t="s">
        <v>335</v>
      </c>
      <c r="G125" s="1198"/>
      <c r="H125" s="1203">
        <v>204.5</v>
      </c>
      <c r="I125" s="1246"/>
      <c r="J125" s="1104" t="s">
        <v>167</v>
      </c>
      <c r="K125" s="276"/>
      <c r="L125" s="964">
        <v>1</v>
      </c>
      <c r="M125" s="881"/>
    </row>
    <row r="126" spans="1:17" ht="29.1" customHeight="1" x14ac:dyDescent="0.2">
      <c r="A126" s="706"/>
      <c r="B126" s="710"/>
      <c r="C126" s="707"/>
      <c r="D126" s="712"/>
      <c r="E126" s="709"/>
      <c r="F126" s="1235" t="s">
        <v>335</v>
      </c>
      <c r="G126" s="1221">
        <v>118.5</v>
      </c>
      <c r="H126" s="1271"/>
      <c r="I126" s="1243"/>
      <c r="J126" s="222" t="s">
        <v>253</v>
      </c>
      <c r="K126" s="284">
        <v>1</v>
      </c>
      <c r="L126" s="277"/>
      <c r="M126" s="75"/>
    </row>
    <row r="127" spans="1:17" ht="15.6" customHeight="1" x14ac:dyDescent="0.2">
      <c r="A127" s="759"/>
      <c r="B127" s="762"/>
      <c r="C127" s="760"/>
      <c r="D127" s="763"/>
      <c r="E127" s="761"/>
      <c r="F127" s="1235" t="s">
        <v>335</v>
      </c>
      <c r="G127" s="1221">
        <v>85</v>
      </c>
      <c r="H127" s="1272"/>
      <c r="I127" s="1243"/>
      <c r="J127" s="1055" t="s">
        <v>275</v>
      </c>
      <c r="K127" s="756">
        <v>1</v>
      </c>
      <c r="L127" s="757"/>
      <c r="M127" s="758"/>
    </row>
    <row r="128" spans="1:17" ht="15.6" customHeight="1" x14ac:dyDescent="0.2">
      <c r="A128" s="891"/>
      <c r="B128" s="894"/>
      <c r="C128" s="892"/>
      <c r="D128" s="897"/>
      <c r="E128" s="893"/>
      <c r="F128" s="1197" t="s">
        <v>335</v>
      </c>
      <c r="G128" s="1202">
        <v>22</v>
      </c>
      <c r="H128" s="1273"/>
      <c r="I128" s="1243"/>
      <c r="J128" s="1055" t="s">
        <v>279</v>
      </c>
      <c r="K128" s="886">
        <v>1</v>
      </c>
      <c r="L128" s="884"/>
      <c r="M128" s="887"/>
    </row>
    <row r="129" spans="1:14" ht="15.6" customHeight="1" x14ac:dyDescent="0.2">
      <c r="A129" s="853"/>
      <c r="B129" s="856"/>
      <c r="C129" s="854"/>
      <c r="D129" s="857"/>
      <c r="E129" s="855"/>
      <c r="F129" s="1197" t="s">
        <v>335</v>
      </c>
      <c r="G129" s="1221"/>
      <c r="H129" s="1274">
        <v>83.6</v>
      </c>
      <c r="I129" s="1275"/>
      <c r="J129" s="1055" t="s">
        <v>309</v>
      </c>
      <c r="K129" s="886"/>
      <c r="L129" s="884">
        <v>1</v>
      </c>
      <c r="M129" s="887"/>
    </row>
    <row r="130" spans="1:14" ht="15.6" customHeight="1" x14ac:dyDescent="0.2">
      <c r="A130" s="891"/>
      <c r="B130" s="894"/>
      <c r="C130" s="892"/>
      <c r="D130" s="897"/>
      <c r="E130" s="893"/>
      <c r="F130" s="1252" t="s">
        <v>334</v>
      </c>
      <c r="G130" s="1198">
        <v>12</v>
      </c>
      <c r="H130" s="1272"/>
      <c r="I130" s="1276"/>
      <c r="J130" s="1055" t="s">
        <v>279</v>
      </c>
      <c r="K130" s="1117">
        <v>1</v>
      </c>
      <c r="L130" s="884"/>
      <c r="M130" s="887"/>
    </row>
    <row r="131" spans="1:14" ht="30" customHeight="1" x14ac:dyDescent="0.2">
      <c r="A131" s="891"/>
      <c r="B131" s="894"/>
      <c r="C131" s="892"/>
      <c r="D131" s="897"/>
      <c r="E131" s="893"/>
      <c r="F131" s="1197" t="s">
        <v>335</v>
      </c>
      <c r="G131" s="1213"/>
      <c r="H131" s="1237">
        <v>290</v>
      </c>
      <c r="I131" s="1277"/>
      <c r="J131" s="1055" t="s">
        <v>312</v>
      </c>
      <c r="K131" s="886"/>
      <c r="L131" s="884">
        <v>2</v>
      </c>
      <c r="M131" s="887"/>
    </row>
    <row r="132" spans="1:14" ht="26.1" customHeight="1" x14ac:dyDescent="0.2">
      <c r="A132" s="706"/>
      <c r="B132" s="710"/>
      <c r="C132" s="707"/>
      <c r="D132" s="1465" t="s">
        <v>73</v>
      </c>
      <c r="E132" s="719" t="s">
        <v>204</v>
      </c>
      <c r="F132" s="1257" t="s">
        <v>335</v>
      </c>
      <c r="G132" s="1202">
        <f>120.3-4.3-20.1</f>
        <v>95.9</v>
      </c>
      <c r="H132" s="1203">
        <f>120.3-20.1</f>
        <v>100.2</v>
      </c>
      <c r="I132" s="1246">
        <f>120.3-20.1</f>
        <v>100.2</v>
      </c>
      <c r="J132" s="230" t="s">
        <v>83</v>
      </c>
      <c r="K132" s="999">
        <v>500</v>
      </c>
      <c r="L132" s="1000">
        <v>500</v>
      </c>
      <c r="M132" s="356">
        <v>500</v>
      </c>
    </row>
    <row r="133" spans="1:14" ht="27" customHeight="1" x14ac:dyDescent="0.2">
      <c r="A133" s="706"/>
      <c r="B133" s="710"/>
      <c r="C133" s="707"/>
      <c r="D133" s="1466"/>
      <c r="E133" s="429"/>
      <c r="F133" s="1228" t="s">
        <v>334</v>
      </c>
      <c r="G133" s="1213">
        <v>4.3</v>
      </c>
      <c r="H133" s="1237"/>
      <c r="I133" s="1225"/>
      <c r="J133" s="1107" t="s">
        <v>84</v>
      </c>
      <c r="K133" s="1001">
        <v>300</v>
      </c>
      <c r="L133" s="1002">
        <v>300</v>
      </c>
      <c r="M133" s="242">
        <v>300</v>
      </c>
    </row>
    <row r="134" spans="1:14" ht="15" customHeight="1" x14ac:dyDescent="0.2">
      <c r="A134" s="706"/>
      <c r="B134" s="710"/>
      <c r="C134" s="707"/>
      <c r="D134" s="1412" t="s">
        <v>43</v>
      </c>
      <c r="E134" s="719" t="s">
        <v>204</v>
      </c>
      <c r="F134" s="1226" t="s">
        <v>335</v>
      </c>
      <c r="G134" s="1230">
        <f>80-15</f>
        <v>65</v>
      </c>
      <c r="H134" s="1227">
        <v>80</v>
      </c>
      <c r="I134" s="1261">
        <v>80</v>
      </c>
      <c r="J134" s="1106" t="s">
        <v>32</v>
      </c>
      <c r="K134" s="581">
        <v>9</v>
      </c>
      <c r="L134" s="250">
        <v>9</v>
      </c>
      <c r="M134" s="70">
        <v>9</v>
      </c>
      <c r="N134" s="727"/>
    </row>
    <row r="135" spans="1:14" ht="18.600000000000001" customHeight="1" x14ac:dyDescent="0.2">
      <c r="A135" s="706"/>
      <c r="B135" s="710"/>
      <c r="C135" s="47"/>
      <c r="D135" s="1414"/>
      <c r="E135" s="429"/>
      <c r="F135" s="1228"/>
      <c r="G135" s="1245"/>
      <c r="H135" s="1278"/>
      <c r="I135" s="1229"/>
      <c r="J135" s="218"/>
      <c r="K135" s="570"/>
      <c r="L135" s="253"/>
      <c r="M135" s="72"/>
    </row>
    <row r="136" spans="1:14" ht="15" customHeight="1" x14ac:dyDescent="0.2">
      <c r="A136" s="706"/>
      <c r="B136" s="710"/>
      <c r="C136" s="47"/>
      <c r="D136" s="1412" t="s">
        <v>121</v>
      </c>
      <c r="E136" s="719" t="s">
        <v>204</v>
      </c>
      <c r="F136" s="1226" t="s">
        <v>335</v>
      </c>
      <c r="G136" s="1202">
        <f>370-200</f>
        <v>170</v>
      </c>
      <c r="H136" s="1227">
        <v>200</v>
      </c>
      <c r="I136" s="1279"/>
      <c r="J136" s="1631" t="s">
        <v>224</v>
      </c>
      <c r="K136" s="581">
        <v>40</v>
      </c>
      <c r="L136" s="250">
        <v>100</v>
      </c>
      <c r="M136" s="70"/>
    </row>
    <row r="137" spans="1:14" ht="15" customHeight="1" x14ac:dyDescent="0.2">
      <c r="A137" s="14"/>
      <c r="B137" s="710"/>
      <c r="C137" s="47"/>
      <c r="D137" s="1414"/>
      <c r="E137" s="429"/>
      <c r="F137" s="1228"/>
      <c r="G137" s="1245"/>
      <c r="H137" s="1278"/>
      <c r="I137" s="1229"/>
      <c r="J137" s="1623"/>
      <c r="K137" s="580"/>
      <c r="L137" s="726"/>
      <c r="M137" s="725"/>
    </row>
    <row r="138" spans="1:14" ht="16.5" customHeight="1" x14ac:dyDescent="0.2">
      <c r="A138" s="14"/>
      <c r="B138" s="710"/>
      <c r="C138" s="47"/>
      <c r="D138" s="1412" t="s">
        <v>289</v>
      </c>
      <c r="E138" s="719" t="s">
        <v>204</v>
      </c>
      <c r="F138" s="1257" t="s">
        <v>335</v>
      </c>
      <c r="G138" s="1215">
        <v>41.5</v>
      </c>
      <c r="H138" s="1216">
        <v>41.5</v>
      </c>
      <c r="I138" s="1280">
        <v>41.5</v>
      </c>
      <c r="J138" s="230" t="s">
        <v>290</v>
      </c>
      <c r="K138" s="579">
        <v>30</v>
      </c>
      <c r="L138" s="254">
        <v>30</v>
      </c>
      <c r="M138" s="101">
        <v>30</v>
      </c>
    </row>
    <row r="139" spans="1:14" ht="16.5" customHeight="1" x14ac:dyDescent="0.2">
      <c r="A139" s="14"/>
      <c r="B139" s="730"/>
      <c r="C139" s="47"/>
      <c r="D139" s="1413"/>
      <c r="E139" s="731"/>
      <c r="F139" s="1193"/>
      <c r="G139" s="1198"/>
      <c r="H139" s="1199"/>
      <c r="I139" s="1246"/>
      <c r="J139" s="627" t="s">
        <v>298</v>
      </c>
      <c r="K139" s="269">
        <v>60</v>
      </c>
      <c r="L139" s="273">
        <v>90</v>
      </c>
      <c r="M139" s="166">
        <v>90</v>
      </c>
    </row>
    <row r="140" spans="1:14" ht="27.6" customHeight="1" x14ac:dyDescent="0.2">
      <c r="A140" s="14"/>
      <c r="B140" s="710"/>
      <c r="C140" s="47"/>
      <c r="D140" s="1414"/>
      <c r="E140" s="719"/>
      <c r="F140" s="1228" t="s">
        <v>335</v>
      </c>
      <c r="G140" s="1245">
        <v>9.1999999999999993</v>
      </c>
      <c r="H140" s="1278">
        <v>9.1999999999999993</v>
      </c>
      <c r="I140" s="1229">
        <v>9.1999999999999993</v>
      </c>
      <c r="J140" s="218" t="s">
        <v>299</v>
      </c>
      <c r="K140" s="570">
        <v>10</v>
      </c>
      <c r="L140" s="253">
        <v>10</v>
      </c>
      <c r="M140" s="72">
        <v>10</v>
      </c>
    </row>
    <row r="141" spans="1:14" ht="13.35" customHeight="1" x14ac:dyDescent="0.2">
      <c r="A141" s="891"/>
      <c r="B141" s="947"/>
      <c r="C141" s="948"/>
      <c r="D141" s="1412" t="s">
        <v>104</v>
      </c>
      <c r="E141" s="155" t="s">
        <v>159</v>
      </c>
      <c r="F141" s="1226" t="s">
        <v>334</v>
      </c>
      <c r="G141" s="1230">
        <v>30</v>
      </c>
      <c r="H141" s="1227"/>
      <c r="I141" s="1261"/>
      <c r="J141" s="1619" t="s">
        <v>222</v>
      </c>
      <c r="K141" s="581">
        <v>100</v>
      </c>
      <c r="L141" s="581"/>
      <c r="M141" s="70"/>
    </row>
    <row r="142" spans="1:14" ht="13.35" customHeight="1" x14ac:dyDescent="0.2">
      <c r="A142" s="891"/>
      <c r="B142" s="894"/>
      <c r="C142" s="892"/>
      <c r="D142" s="1413"/>
      <c r="E142" s="1111" t="s">
        <v>204</v>
      </c>
      <c r="F142" s="1201"/>
      <c r="G142" s="1202"/>
      <c r="H142" s="1203"/>
      <c r="I142" s="1204"/>
      <c r="J142" s="1627"/>
      <c r="K142" s="344"/>
      <c r="L142" s="344"/>
      <c r="M142" s="65"/>
    </row>
    <row r="143" spans="1:14" ht="13.5" customHeight="1" x14ac:dyDescent="0.2">
      <c r="A143" s="891"/>
      <c r="B143" s="894"/>
      <c r="C143" s="892"/>
      <c r="D143" s="1413"/>
      <c r="E143" s="147" t="s">
        <v>137</v>
      </c>
      <c r="F143" s="1201"/>
      <c r="G143" s="1202"/>
      <c r="H143" s="1203"/>
      <c r="I143" s="1204"/>
      <c r="J143" s="1632"/>
      <c r="K143" s="344"/>
      <c r="L143" s="344"/>
      <c r="M143" s="65"/>
    </row>
    <row r="144" spans="1:14" ht="13.5" customHeight="1" x14ac:dyDescent="0.2">
      <c r="A144" s="891"/>
      <c r="B144" s="894"/>
      <c r="C144" s="892"/>
      <c r="D144" s="1413"/>
      <c r="E144" s="147" t="s">
        <v>123</v>
      </c>
      <c r="F144" s="1201"/>
      <c r="G144" s="1202"/>
      <c r="H144" s="1203"/>
      <c r="I144" s="1204"/>
      <c r="J144" s="1632"/>
      <c r="K144" s="344"/>
      <c r="L144" s="344"/>
      <c r="M144" s="65"/>
    </row>
    <row r="145" spans="1:18" ht="13.5" customHeight="1" x14ac:dyDescent="0.2">
      <c r="A145" s="891"/>
      <c r="B145" s="894"/>
      <c r="C145" s="892"/>
      <c r="D145" s="1413"/>
      <c r="E145" s="151" t="s">
        <v>39</v>
      </c>
      <c r="F145" s="1262"/>
      <c r="G145" s="1245"/>
      <c r="H145" s="1203"/>
      <c r="I145" s="1229"/>
      <c r="J145" s="1632"/>
      <c r="K145" s="344"/>
      <c r="L145" s="344"/>
      <c r="M145" s="65"/>
    </row>
    <row r="146" spans="1:18" ht="16.5" customHeight="1" thickBot="1" x14ac:dyDescent="0.25">
      <c r="A146" s="15"/>
      <c r="B146" s="68"/>
      <c r="C146" s="46"/>
      <c r="D146" s="137"/>
      <c r="E146" s="141"/>
      <c r="F146" s="118" t="s">
        <v>4</v>
      </c>
      <c r="G146" s="196">
        <f>+G16+G17+G18+G19+G20+G21+G22</f>
        <v>10914.4</v>
      </c>
      <c r="H146" s="206">
        <f>+H16+H17+H18+H19+H20+H21+H22</f>
        <v>15747.4</v>
      </c>
      <c r="I146" s="197">
        <f>+I16+I17+I18+I19+I20+I21+I22</f>
        <v>17741.7</v>
      </c>
      <c r="J146" s="231"/>
      <c r="K146" s="287"/>
      <c r="L146" s="204"/>
      <c r="M146" s="139"/>
    </row>
    <row r="147" spans="1:18" ht="15" customHeight="1" x14ac:dyDescent="0.2">
      <c r="A147" s="1487" t="s">
        <v>3</v>
      </c>
      <c r="B147" s="1488" t="s">
        <v>3</v>
      </c>
      <c r="C147" s="1489" t="s">
        <v>5</v>
      </c>
      <c r="D147" s="1492" t="s">
        <v>41</v>
      </c>
      <c r="E147" s="1494"/>
      <c r="F147" s="393" t="s">
        <v>19</v>
      </c>
      <c r="G147" s="1127">
        <v>4378.8</v>
      </c>
      <c r="H147" s="1128">
        <v>4765.6000000000004</v>
      </c>
      <c r="I147" s="864">
        <v>5123.2</v>
      </c>
      <c r="J147" s="1622"/>
      <c r="K147" s="1503"/>
      <c r="L147" s="1483"/>
      <c r="M147" s="1485"/>
      <c r="O147" s="1250" t="s">
        <v>19</v>
      </c>
      <c r="P147" s="1248">
        <f>+G149+G151+G153+G155+G157</f>
        <v>4378.8</v>
      </c>
      <c r="Q147" s="1248">
        <f t="shared" ref="Q147:R147" si="6">+H149+H151+H153+H155+H157</f>
        <v>4765.6000000000004</v>
      </c>
      <c r="R147" s="1248">
        <f t="shared" si="6"/>
        <v>5123.2</v>
      </c>
    </row>
    <row r="148" spans="1:18" ht="15" customHeight="1" x14ac:dyDescent="0.2">
      <c r="A148" s="1434"/>
      <c r="B148" s="1446"/>
      <c r="C148" s="1436"/>
      <c r="D148" s="1493"/>
      <c r="E148" s="1495"/>
      <c r="F148" s="446" t="s">
        <v>44</v>
      </c>
      <c r="G148" s="181">
        <v>170.1</v>
      </c>
      <c r="H148" s="512"/>
      <c r="I148" s="399"/>
      <c r="J148" s="1623"/>
      <c r="K148" s="1504"/>
      <c r="L148" s="1484"/>
      <c r="M148" s="1486"/>
      <c r="O148" s="1250" t="s">
        <v>333</v>
      </c>
      <c r="P148" s="1248">
        <f>+G150+G152</f>
        <v>170.1</v>
      </c>
      <c r="Q148" s="1248">
        <f t="shared" ref="Q148:R148" si="7">+H150+H152</f>
        <v>0</v>
      </c>
      <c r="R148" s="1248">
        <f t="shared" si="7"/>
        <v>0</v>
      </c>
    </row>
    <row r="149" spans="1:18" ht="15.75" customHeight="1" x14ac:dyDescent="0.2">
      <c r="A149" s="1434"/>
      <c r="B149" s="1443"/>
      <c r="C149" s="1436"/>
      <c r="D149" s="1413" t="s">
        <v>66</v>
      </c>
      <c r="E149" s="155" t="s">
        <v>159</v>
      </c>
      <c r="F149" s="1257" t="s">
        <v>335</v>
      </c>
      <c r="G149" s="1258">
        <f>4230-400-100</f>
        <v>3730</v>
      </c>
      <c r="H149" s="1259">
        <f>4634.5-400-100</f>
        <v>4134.5</v>
      </c>
      <c r="I149" s="1260">
        <f>4916.2-400-100</f>
        <v>4416.2</v>
      </c>
      <c r="J149" s="1040" t="s">
        <v>53</v>
      </c>
      <c r="K149" s="281">
        <v>19.8</v>
      </c>
      <c r="L149" s="922">
        <v>20.8</v>
      </c>
      <c r="M149" s="923">
        <v>21.8</v>
      </c>
      <c r="O149" s="1250"/>
      <c r="P149" s="1248">
        <f>SUM(P147:P148)</f>
        <v>4548.8999999999996</v>
      </c>
      <c r="Q149" s="1248">
        <f t="shared" ref="Q149:R149" si="8">SUM(Q147:Q148)</f>
        <v>4765.6000000000004</v>
      </c>
      <c r="R149" s="1248">
        <f t="shared" si="8"/>
        <v>5123.2</v>
      </c>
    </row>
    <row r="150" spans="1:18" ht="17.25" customHeight="1" x14ac:dyDescent="0.2">
      <c r="A150" s="1434"/>
      <c r="B150" s="1443"/>
      <c r="C150" s="1436"/>
      <c r="D150" s="1414"/>
      <c r="E150" s="715" t="s">
        <v>204</v>
      </c>
      <c r="F150" s="1228" t="s">
        <v>334</v>
      </c>
      <c r="G150" s="1202">
        <v>136.19999999999999</v>
      </c>
      <c r="H150" s="1237"/>
      <c r="I150" s="1225"/>
      <c r="J150" s="228" t="s">
        <v>226</v>
      </c>
      <c r="K150" s="282">
        <v>8</v>
      </c>
      <c r="L150" s="971">
        <v>7.9</v>
      </c>
      <c r="M150" s="532">
        <v>7.7</v>
      </c>
      <c r="O150" s="1250"/>
      <c r="P150" s="1248">
        <f>+P149-G158</f>
        <v>0</v>
      </c>
      <c r="Q150" s="1248">
        <f t="shared" ref="Q150:R150" si="9">+Q149-H158</f>
        <v>0</v>
      </c>
      <c r="R150" s="1248">
        <f t="shared" si="9"/>
        <v>0</v>
      </c>
    </row>
    <row r="151" spans="1:18" ht="16.5" customHeight="1" x14ac:dyDescent="0.2">
      <c r="A151" s="706"/>
      <c r="B151" s="710"/>
      <c r="C151" s="707"/>
      <c r="D151" s="1412" t="s">
        <v>95</v>
      </c>
      <c r="E151" s="155" t="s">
        <v>159</v>
      </c>
      <c r="F151" s="1201" t="s">
        <v>335</v>
      </c>
      <c r="G151" s="1230">
        <f>323.9-33.9-50</f>
        <v>240</v>
      </c>
      <c r="H151" s="1227">
        <f>340.1-50</f>
        <v>290.10000000000002</v>
      </c>
      <c r="I151" s="1261">
        <f>360-50</f>
        <v>310</v>
      </c>
      <c r="J151" s="1086" t="s">
        <v>226</v>
      </c>
      <c r="K151" s="126">
        <v>0.3</v>
      </c>
      <c r="L151" s="453">
        <v>0.3</v>
      </c>
      <c r="M151" s="89">
        <v>0.4</v>
      </c>
    </row>
    <row r="152" spans="1:18" ht="16.5" customHeight="1" x14ac:dyDescent="0.2">
      <c r="A152" s="788"/>
      <c r="B152" s="790"/>
      <c r="C152" s="789"/>
      <c r="D152" s="1413"/>
      <c r="E152" s="147"/>
      <c r="F152" s="1208" t="s">
        <v>334</v>
      </c>
      <c r="G152" s="1221">
        <v>33.9</v>
      </c>
      <c r="H152" s="1219"/>
      <c r="I152" s="1200"/>
      <c r="J152" s="787"/>
      <c r="K152" s="435"/>
      <c r="L152" s="575"/>
      <c r="M152" s="436"/>
    </row>
    <row r="153" spans="1:18" ht="26.25" customHeight="1" x14ac:dyDescent="0.2">
      <c r="A153" s="706"/>
      <c r="B153" s="710"/>
      <c r="C153" s="707"/>
      <c r="D153" s="1413"/>
      <c r="E153" s="719" t="s">
        <v>204</v>
      </c>
      <c r="F153" s="1193" t="s">
        <v>335</v>
      </c>
      <c r="G153" s="1198">
        <v>150.69999999999999</v>
      </c>
      <c r="H153" s="1199">
        <v>152</v>
      </c>
      <c r="I153" s="1196">
        <v>155</v>
      </c>
      <c r="J153" s="224" t="s">
        <v>127</v>
      </c>
      <c r="K153" s="284">
        <v>1461</v>
      </c>
      <c r="L153" s="284">
        <f>+K153+100</f>
        <v>1561</v>
      </c>
      <c r="M153" s="75">
        <f>+L153+100</f>
        <v>1661</v>
      </c>
    </row>
    <row r="154" spans="1:18" ht="41.25" customHeight="1" x14ac:dyDescent="0.2">
      <c r="A154" s="706"/>
      <c r="B154" s="711"/>
      <c r="C154" s="707"/>
      <c r="D154" s="1413"/>
      <c r="E154" s="36"/>
      <c r="F154" s="1201"/>
      <c r="G154" s="1245"/>
      <c r="H154" s="1194"/>
      <c r="I154" s="1229"/>
      <c r="J154" s="228" t="s">
        <v>128</v>
      </c>
      <c r="K154" s="278">
        <v>24</v>
      </c>
      <c r="L154" s="351">
        <v>25</v>
      </c>
      <c r="M154" s="359">
        <v>26</v>
      </c>
    </row>
    <row r="155" spans="1:18" ht="14.25" customHeight="1" x14ac:dyDescent="0.2">
      <c r="A155" s="14"/>
      <c r="B155" s="710"/>
      <c r="C155" s="47"/>
      <c r="D155" s="1412" t="s">
        <v>291</v>
      </c>
      <c r="E155" s="718" t="s">
        <v>204</v>
      </c>
      <c r="F155" s="1226" t="s">
        <v>335</v>
      </c>
      <c r="G155" s="1202">
        <v>203.1</v>
      </c>
      <c r="H155" s="1227">
        <v>189</v>
      </c>
      <c r="I155" s="1204">
        <v>242</v>
      </c>
      <c r="J155" s="774" t="s">
        <v>116</v>
      </c>
      <c r="K155" s="325">
        <v>9</v>
      </c>
      <c r="L155" s="252"/>
      <c r="M155" s="100"/>
    </row>
    <row r="156" spans="1:18" ht="30" customHeight="1" x14ac:dyDescent="0.2">
      <c r="A156" s="14"/>
      <c r="B156" s="710"/>
      <c r="C156" s="47"/>
      <c r="D156" s="1413"/>
      <c r="E156" s="147" t="s">
        <v>159</v>
      </c>
      <c r="F156" s="1201"/>
      <c r="G156" s="1202"/>
      <c r="H156" s="1203"/>
      <c r="I156" s="1204"/>
      <c r="J156" s="800" t="s">
        <v>281</v>
      </c>
      <c r="K156" s="288">
        <v>4</v>
      </c>
      <c r="L156" s="187">
        <v>4</v>
      </c>
      <c r="M156" s="755">
        <v>5</v>
      </c>
    </row>
    <row r="157" spans="1:18" ht="28.5" customHeight="1" x14ac:dyDescent="0.2">
      <c r="A157" s="14"/>
      <c r="B157" s="710"/>
      <c r="C157" s="47"/>
      <c r="D157" s="811" t="s">
        <v>249</v>
      </c>
      <c r="E157" s="1129" t="s">
        <v>316</v>
      </c>
      <c r="F157" s="1193" t="s">
        <v>335</v>
      </c>
      <c r="G157" s="1198">
        <v>55</v>
      </c>
      <c r="H157" s="1199"/>
      <c r="I157" s="1196"/>
      <c r="J157" s="802" t="s">
        <v>113</v>
      </c>
      <c r="K157" s="344">
        <v>100</v>
      </c>
      <c r="L157" s="255"/>
      <c r="M157" s="366"/>
    </row>
    <row r="158" spans="1:18" ht="15" customHeight="1" thickBot="1" x14ac:dyDescent="0.25">
      <c r="A158" s="15"/>
      <c r="B158" s="68"/>
      <c r="C158" s="46"/>
      <c r="D158" s="137"/>
      <c r="E158" s="141"/>
      <c r="F158" s="99" t="s">
        <v>4</v>
      </c>
      <c r="G158" s="170">
        <f>+G147+G148</f>
        <v>4548.8999999999996</v>
      </c>
      <c r="H158" s="661">
        <f t="shared" ref="H158:I158" si="10">+H147+H148</f>
        <v>4765.6000000000004</v>
      </c>
      <c r="I158" s="197">
        <f t="shared" si="10"/>
        <v>5123.2</v>
      </c>
      <c r="J158" s="231"/>
      <c r="K158" s="287"/>
      <c r="L158" s="204"/>
      <c r="M158" s="139"/>
    </row>
    <row r="159" spans="1:18" ht="15" customHeight="1" thickBot="1" x14ac:dyDescent="0.25">
      <c r="A159" s="16" t="s">
        <v>3</v>
      </c>
      <c r="B159" s="24" t="s">
        <v>3</v>
      </c>
      <c r="C159" s="1496" t="s">
        <v>6</v>
      </c>
      <c r="D159" s="1497"/>
      <c r="E159" s="1497"/>
      <c r="F159" s="1497"/>
      <c r="G159" s="200">
        <f>G158+G146</f>
        <v>15463.3</v>
      </c>
      <c r="H159" s="644">
        <f>H158+H146</f>
        <v>20513</v>
      </c>
      <c r="I159" s="207">
        <f>I158+I146</f>
        <v>22864.9</v>
      </c>
      <c r="J159" s="1024"/>
      <c r="K159" s="652"/>
      <c r="L159" s="553"/>
      <c r="M159" s="554"/>
      <c r="N159" s="488"/>
    </row>
    <row r="160" spans="1:18" ht="15" customHeight="1" thickBot="1" x14ac:dyDescent="0.25">
      <c r="A160" s="16" t="s">
        <v>3</v>
      </c>
      <c r="B160" s="24" t="s">
        <v>5</v>
      </c>
      <c r="C160" s="1512" t="s">
        <v>36</v>
      </c>
      <c r="D160" s="1513"/>
      <c r="E160" s="1513"/>
      <c r="F160" s="1513"/>
      <c r="G160" s="1513"/>
      <c r="H160" s="1513"/>
      <c r="I160" s="1513"/>
      <c r="J160" s="1513"/>
      <c r="K160" s="551"/>
      <c r="L160" s="550"/>
      <c r="M160" s="949"/>
      <c r="N160" s="488"/>
    </row>
    <row r="161" spans="1:18" ht="15.75" customHeight="1" x14ac:dyDescent="0.2">
      <c r="A161" s="25" t="s">
        <v>3</v>
      </c>
      <c r="B161" s="31" t="s">
        <v>5</v>
      </c>
      <c r="C161" s="47" t="s">
        <v>3</v>
      </c>
      <c r="D161" s="1636" t="s">
        <v>56</v>
      </c>
      <c r="E161" s="1130"/>
      <c r="F161" s="23" t="s">
        <v>19</v>
      </c>
      <c r="G161" s="448">
        <v>705.4</v>
      </c>
      <c r="H161" s="450">
        <v>702.1</v>
      </c>
      <c r="I161" s="375">
        <v>603.4</v>
      </c>
      <c r="J161" s="843"/>
      <c r="K161" s="1132"/>
      <c r="L161" s="659"/>
      <c r="M161" s="1133"/>
      <c r="O161" s="1250" t="s">
        <v>19</v>
      </c>
      <c r="P161" s="1248" t="e">
        <f>+G163+#REF!+G165+G166</f>
        <v>#REF!</v>
      </c>
      <c r="Q161" s="1248" t="e">
        <f>+H163+#REF!+H165+H166</f>
        <v>#REF!</v>
      </c>
      <c r="R161" s="1248" t="e">
        <f>+I163+#REF!+I165+I166</f>
        <v>#REF!</v>
      </c>
    </row>
    <row r="162" spans="1:18" ht="15.75" customHeight="1" x14ac:dyDescent="0.2">
      <c r="A162" s="26"/>
      <c r="B162" s="39"/>
      <c r="C162" s="47"/>
      <c r="D162" s="1557"/>
      <c r="E162" s="1131"/>
      <c r="F162" s="345" t="s">
        <v>44</v>
      </c>
      <c r="G162" s="386">
        <v>54.5</v>
      </c>
      <c r="H162" s="185"/>
      <c r="I162" s="399"/>
      <c r="J162" s="843"/>
      <c r="K162" s="1134"/>
      <c r="L162" s="1135"/>
      <c r="M162" s="1136"/>
      <c r="O162" s="1250" t="s">
        <v>333</v>
      </c>
      <c r="P162" s="1248">
        <f>+G167</f>
        <v>54.5</v>
      </c>
      <c r="Q162" s="1248">
        <f t="shared" ref="Q162:R162" si="11">+H167</f>
        <v>0</v>
      </c>
      <c r="R162" s="1248">
        <f t="shared" si="11"/>
        <v>0</v>
      </c>
    </row>
    <row r="163" spans="1:18" ht="18.600000000000001" customHeight="1" x14ac:dyDescent="0.2">
      <c r="A163" s="26"/>
      <c r="B163" s="39"/>
      <c r="C163" s="47"/>
      <c r="D163" s="1454" t="s">
        <v>40</v>
      </c>
      <c r="E163" s="147" t="s">
        <v>204</v>
      </c>
      <c r="F163" s="1251" t="s">
        <v>335</v>
      </c>
      <c r="G163" s="1215">
        <v>1.7</v>
      </c>
      <c r="H163" s="1216">
        <v>1.7</v>
      </c>
      <c r="I163" s="1239">
        <v>1.7</v>
      </c>
      <c r="J163" s="713" t="s">
        <v>76</v>
      </c>
      <c r="K163" s="279">
        <v>311</v>
      </c>
      <c r="L163" s="285">
        <v>311</v>
      </c>
      <c r="M163" s="233">
        <v>311</v>
      </c>
      <c r="N163" s="428"/>
      <c r="O163" s="1250"/>
      <c r="P163" s="1248" t="e">
        <f>SUM(P161:P162)</f>
        <v>#REF!</v>
      </c>
      <c r="Q163" s="1248" t="e">
        <f t="shared" ref="Q163:R163" si="12">SUM(Q161:Q162)</f>
        <v>#REF!</v>
      </c>
      <c r="R163" s="1248" t="e">
        <f t="shared" si="12"/>
        <v>#REF!</v>
      </c>
    </row>
    <row r="164" spans="1:18" ht="30" customHeight="1" x14ac:dyDescent="0.2">
      <c r="A164" s="26"/>
      <c r="B164" s="39"/>
      <c r="C164" s="47"/>
      <c r="D164" s="1454"/>
      <c r="E164" s="827"/>
      <c r="F164" s="1252"/>
      <c r="G164" s="1202"/>
      <c r="H164" s="1194"/>
      <c r="I164" s="1207"/>
      <c r="J164" s="717" t="s">
        <v>301</v>
      </c>
      <c r="K164" s="301">
        <v>12</v>
      </c>
      <c r="L164" s="841">
        <v>12</v>
      </c>
      <c r="M164" s="142">
        <v>12</v>
      </c>
    </row>
    <row r="165" spans="1:18" ht="30.6" customHeight="1" x14ac:dyDescent="0.2">
      <c r="A165" s="26"/>
      <c r="B165" s="39"/>
      <c r="C165" s="707"/>
      <c r="D165" s="1479"/>
      <c r="E165" s="429"/>
      <c r="F165" s="1253" t="s">
        <v>335</v>
      </c>
      <c r="G165" s="1198">
        <v>13.3</v>
      </c>
      <c r="H165" s="1199">
        <v>13.3</v>
      </c>
      <c r="I165" s="1225">
        <v>13.3</v>
      </c>
      <c r="J165" s="612" t="s">
        <v>58</v>
      </c>
      <c r="K165" s="280">
        <v>47</v>
      </c>
      <c r="L165" s="286">
        <v>47</v>
      </c>
      <c r="M165" s="234">
        <v>47</v>
      </c>
    </row>
    <row r="166" spans="1:18" ht="15.6" customHeight="1" x14ac:dyDescent="0.2">
      <c r="A166" s="26"/>
      <c r="B166" s="39"/>
      <c r="C166" s="47"/>
      <c r="D166" s="1453" t="s">
        <v>161</v>
      </c>
      <c r="E166" s="147" t="s">
        <v>159</v>
      </c>
      <c r="F166" s="1254" t="s">
        <v>335</v>
      </c>
      <c r="G166" s="1215">
        <f>660</f>
        <v>660</v>
      </c>
      <c r="H166" s="1216">
        <f>583.9+72.8</f>
        <v>656.7</v>
      </c>
      <c r="I166" s="1239">
        <v>558</v>
      </c>
      <c r="J166" s="1515" t="s">
        <v>69</v>
      </c>
      <c r="K166" s="289">
        <v>18</v>
      </c>
      <c r="L166" s="565">
        <v>18</v>
      </c>
      <c r="M166" s="238">
        <v>18</v>
      </c>
      <c r="N166" s="428"/>
    </row>
    <row r="167" spans="1:18" ht="15.6" customHeight="1" x14ac:dyDescent="0.2">
      <c r="A167" s="26"/>
      <c r="B167" s="39"/>
      <c r="C167" s="47"/>
      <c r="D167" s="1444"/>
      <c r="E167" s="147" t="s">
        <v>204</v>
      </c>
      <c r="F167" s="1197" t="s">
        <v>334</v>
      </c>
      <c r="G167" s="1198">
        <f>111+16.3-72.8</f>
        <v>54.5</v>
      </c>
      <c r="H167" s="1194"/>
      <c r="I167" s="1204"/>
      <c r="J167" s="1516"/>
      <c r="K167" s="290"/>
      <c r="L167" s="566"/>
      <c r="M167" s="237"/>
    </row>
    <row r="168" spans="1:18" ht="15" customHeight="1" x14ac:dyDescent="0.2">
      <c r="A168" s="26"/>
      <c r="B168" s="39"/>
      <c r="C168" s="47"/>
      <c r="D168" s="1444"/>
      <c r="E168" s="709"/>
      <c r="F168" s="1255"/>
      <c r="G168" s="1256"/>
      <c r="H168" s="1241"/>
      <c r="I168" s="1243"/>
      <c r="J168" s="1433" t="s">
        <v>114</v>
      </c>
      <c r="K168" s="291">
        <v>100</v>
      </c>
      <c r="L168" s="567"/>
      <c r="M168" s="236"/>
    </row>
    <row r="169" spans="1:18" ht="15" customHeight="1" x14ac:dyDescent="0.2">
      <c r="A169" s="26"/>
      <c r="B169" s="39"/>
      <c r="C169" s="47"/>
      <c r="D169" s="1444"/>
      <c r="E169" s="709"/>
      <c r="F169" s="13"/>
      <c r="G169" s="533"/>
      <c r="H169" s="796"/>
      <c r="I169" s="798"/>
      <c r="J169" s="1517"/>
      <c r="K169" s="290"/>
      <c r="L169" s="566"/>
      <c r="M169" s="237"/>
    </row>
    <row r="170" spans="1:18" ht="15.6" customHeight="1" x14ac:dyDescent="0.2">
      <c r="A170" s="26"/>
      <c r="B170" s="39"/>
      <c r="C170" s="47"/>
      <c r="D170" s="708"/>
      <c r="E170" s="709"/>
      <c r="F170" s="13"/>
      <c r="G170" s="651"/>
      <c r="H170" s="797"/>
      <c r="I170" s="799"/>
      <c r="J170" s="1468" t="s">
        <v>295</v>
      </c>
      <c r="K170" s="295">
        <v>3</v>
      </c>
      <c r="L170" s="295">
        <v>3</v>
      </c>
      <c r="M170" s="236">
        <v>3</v>
      </c>
      <c r="O170" s="793"/>
    </row>
    <row r="171" spans="1:18" ht="15.6" customHeight="1" x14ac:dyDescent="0.2">
      <c r="A171" s="26"/>
      <c r="B171" s="39"/>
      <c r="C171" s="47"/>
      <c r="D171" s="708"/>
      <c r="E171" s="709"/>
      <c r="F171" s="13"/>
      <c r="G171" s="448"/>
      <c r="H171" s="185"/>
      <c r="I171" s="399"/>
      <c r="J171" s="1469"/>
      <c r="K171" s="290"/>
      <c r="L171" s="566"/>
      <c r="M171" s="237"/>
    </row>
    <row r="172" spans="1:18" ht="28.35" customHeight="1" x14ac:dyDescent="0.2">
      <c r="A172" s="26"/>
      <c r="B172" s="39"/>
      <c r="C172" s="47"/>
      <c r="D172" s="708"/>
      <c r="E172" s="709"/>
      <c r="F172" s="13"/>
      <c r="G172" s="448"/>
      <c r="H172" s="185"/>
      <c r="I172" s="399"/>
      <c r="J172" s="224" t="s">
        <v>345</v>
      </c>
      <c r="K172" s="288">
        <v>1</v>
      </c>
      <c r="L172" s="369"/>
      <c r="M172" s="235"/>
    </row>
    <row r="173" spans="1:18" ht="41.45" customHeight="1" x14ac:dyDescent="0.2">
      <c r="A173" s="26"/>
      <c r="B173" s="39"/>
      <c r="C173" s="47"/>
      <c r="D173" s="708"/>
      <c r="E173" s="709"/>
      <c r="F173" s="13"/>
      <c r="G173" s="448"/>
      <c r="H173" s="185"/>
      <c r="I173" s="399"/>
      <c r="J173" s="496" t="s">
        <v>346</v>
      </c>
      <c r="K173" s="288">
        <v>30</v>
      </c>
      <c r="L173" s="369">
        <v>100</v>
      </c>
      <c r="M173" s="235"/>
    </row>
    <row r="174" spans="1:18" ht="30" customHeight="1" x14ac:dyDescent="0.2">
      <c r="A174" s="26"/>
      <c r="B174" s="39"/>
      <c r="C174" s="47"/>
      <c r="D174" s="708"/>
      <c r="E174" s="709"/>
      <c r="F174" s="13"/>
      <c r="G174" s="448"/>
      <c r="H174" s="185"/>
      <c r="I174" s="399"/>
      <c r="J174" s="717" t="s">
        <v>317</v>
      </c>
      <c r="K174" s="288">
        <v>860</v>
      </c>
      <c r="L174" s="369"/>
      <c r="M174" s="235"/>
    </row>
    <row r="175" spans="1:18" ht="25.5" customHeight="1" x14ac:dyDescent="0.2">
      <c r="A175" s="26"/>
      <c r="B175" s="39"/>
      <c r="C175" s="47"/>
      <c r="D175" s="826"/>
      <c r="E175" s="827"/>
      <c r="F175" s="13"/>
      <c r="G175" s="448"/>
      <c r="H175" s="185"/>
      <c r="I175" s="399"/>
      <c r="J175" s="717" t="s">
        <v>302</v>
      </c>
      <c r="K175" s="291">
        <v>36</v>
      </c>
      <c r="L175" s="292"/>
      <c r="M175" s="337"/>
    </row>
    <row r="176" spans="1:18" ht="17.850000000000001" customHeight="1" x14ac:dyDescent="0.2">
      <c r="A176" s="26"/>
      <c r="B176" s="39"/>
      <c r="C176" s="47"/>
      <c r="D176" s="826"/>
      <c r="E176" s="429"/>
      <c r="F176" s="127"/>
      <c r="G176" s="181"/>
      <c r="H176" s="185"/>
      <c r="I176" s="831"/>
      <c r="J176" s="1121" t="s">
        <v>300</v>
      </c>
      <c r="K176" s="844">
        <v>5</v>
      </c>
      <c r="L176" s="293">
        <v>5</v>
      </c>
      <c r="M176" s="158"/>
    </row>
    <row r="177" spans="1:18" s="3" customFormat="1" ht="15" customHeight="1" x14ac:dyDescent="0.2">
      <c r="A177" s="26"/>
      <c r="B177" s="39"/>
      <c r="C177" s="47"/>
      <c r="D177" s="1505" t="s">
        <v>199</v>
      </c>
      <c r="E177" s="120" t="s">
        <v>159</v>
      </c>
      <c r="F177" s="447"/>
      <c r="G177" s="832"/>
      <c r="H177" s="659"/>
      <c r="I177" s="294"/>
      <c r="J177" s="809" t="s">
        <v>315</v>
      </c>
      <c r="K177" s="279"/>
      <c r="L177" s="829"/>
      <c r="M177" s="830"/>
      <c r="N177" s="2"/>
    </row>
    <row r="178" spans="1:18" s="3" customFormat="1" ht="15" customHeight="1" x14ac:dyDescent="0.2">
      <c r="A178" s="26"/>
      <c r="B178" s="39"/>
      <c r="C178" s="47"/>
      <c r="D178" s="1506"/>
      <c r="E178" s="120" t="s">
        <v>204</v>
      </c>
      <c r="F178" s="119"/>
      <c r="G178" s="502"/>
      <c r="H178" s="660"/>
      <c r="I178" s="339"/>
      <c r="J178" s="808" t="s">
        <v>231</v>
      </c>
      <c r="K178" s="1510"/>
      <c r="L178" s="728"/>
      <c r="M178" s="950"/>
      <c r="N178" s="488"/>
    </row>
    <row r="179" spans="1:18" s="3" customFormat="1" ht="15" customHeight="1" x14ac:dyDescent="0.2">
      <c r="A179" s="26"/>
      <c r="B179" s="39"/>
      <c r="C179" s="47"/>
      <c r="D179" s="1507"/>
      <c r="E179" s="120"/>
      <c r="F179" s="30"/>
      <c r="G179" s="498"/>
      <c r="H179" s="596"/>
      <c r="I179" s="340"/>
      <c r="J179" s="111"/>
      <c r="K179" s="1511"/>
      <c r="L179" s="729"/>
      <c r="M179" s="951"/>
      <c r="N179" s="488"/>
    </row>
    <row r="180" spans="1:18" ht="16.350000000000001" customHeight="1" thickBot="1" x14ac:dyDescent="0.25">
      <c r="A180" s="15"/>
      <c r="B180" s="68"/>
      <c r="C180" s="46"/>
      <c r="D180" s="137"/>
      <c r="E180" s="141"/>
      <c r="F180" s="118" t="s">
        <v>4</v>
      </c>
      <c r="G180" s="170">
        <f>+G161+G162</f>
        <v>759.9</v>
      </c>
      <c r="H180" s="661">
        <f>+H161+H162</f>
        <v>702.1</v>
      </c>
      <c r="I180" s="197">
        <f>+I161+I162</f>
        <v>603.4</v>
      </c>
      <c r="J180" s="231"/>
      <c r="K180" s="271"/>
      <c r="L180" s="287"/>
      <c r="M180" s="139"/>
    </row>
    <row r="181" spans="1:18" ht="15" customHeight="1" thickBot="1" x14ac:dyDescent="0.25">
      <c r="A181" s="17" t="s">
        <v>3</v>
      </c>
      <c r="B181" s="4" t="s">
        <v>5</v>
      </c>
      <c r="C181" s="1496" t="s">
        <v>6</v>
      </c>
      <c r="D181" s="1497"/>
      <c r="E181" s="1497"/>
      <c r="F181" s="1497"/>
      <c r="G181" s="200">
        <f t="shared" ref="G181:I181" si="13">G180</f>
        <v>759.9</v>
      </c>
      <c r="H181" s="203">
        <f t="shared" si="13"/>
        <v>702.1</v>
      </c>
      <c r="I181" s="198">
        <f t="shared" si="13"/>
        <v>603.4</v>
      </c>
      <c r="J181" s="1024"/>
      <c r="K181" s="1499"/>
      <c r="L181" s="1499"/>
      <c r="M181" s="554"/>
      <c r="N181" s="488"/>
    </row>
    <row r="182" spans="1:18" ht="15" customHeight="1" thickBot="1" x14ac:dyDescent="0.25">
      <c r="A182" s="16" t="s">
        <v>3</v>
      </c>
      <c r="B182" s="4" t="s">
        <v>21</v>
      </c>
      <c r="C182" s="1518" t="s">
        <v>80</v>
      </c>
      <c r="D182" s="1519"/>
      <c r="E182" s="1519"/>
      <c r="F182" s="1519"/>
      <c r="G182" s="1519"/>
      <c r="H182" s="1519"/>
      <c r="I182" s="1519"/>
      <c r="J182" s="1519"/>
      <c r="K182" s="553"/>
      <c r="L182" s="551"/>
      <c r="M182" s="515"/>
      <c r="N182" s="488"/>
    </row>
    <row r="183" spans="1:18" ht="15" customHeight="1" x14ac:dyDescent="0.2">
      <c r="A183" s="42" t="s">
        <v>3</v>
      </c>
      <c r="B183" s="40" t="s">
        <v>21</v>
      </c>
      <c r="C183" s="716" t="s">
        <v>3</v>
      </c>
      <c r="D183" s="1633" t="s">
        <v>148</v>
      </c>
      <c r="E183" s="1137"/>
      <c r="F183" s="403" t="s">
        <v>19</v>
      </c>
      <c r="G183" s="199">
        <v>263.5</v>
      </c>
      <c r="H183" s="201">
        <v>3883.6</v>
      </c>
      <c r="I183" s="864">
        <v>5133.3999999999996</v>
      </c>
      <c r="J183" s="1139"/>
      <c r="K183" s="199"/>
      <c r="L183" s="201"/>
      <c r="M183" s="1140"/>
      <c r="O183" s="1247" t="s">
        <v>19</v>
      </c>
      <c r="P183" s="1248">
        <f>+G192+G202+G203+G205+G207+G209+G211+G212+G213</f>
        <v>263.5</v>
      </c>
      <c r="Q183" s="1248">
        <f t="shared" ref="Q183:R183" si="14">+H192+H202+H203+H205+H207+H209+H211+H212+H213</f>
        <v>3883.6</v>
      </c>
      <c r="R183" s="1248">
        <f t="shared" si="14"/>
        <v>5133.3999999999996</v>
      </c>
    </row>
    <row r="184" spans="1:18" ht="15" customHeight="1" x14ac:dyDescent="0.2">
      <c r="A184" s="42"/>
      <c r="B184" s="40"/>
      <c r="C184" s="1015"/>
      <c r="D184" s="1634"/>
      <c r="E184" s="1138"/>
      <c r="F184" s="345" t="s">
        <v>242</v>
      </c>
      <c r="G184" s="374">
        <v>652.4</v>
      </c>
      <c r="H184" s="191">
        <v>400</v>
      </c>
      <c r="I184" s="364">
        <v>400</v>
      </c>
      <c r="J184" s="1107"/>
      <c r="K184" s="448"/>
      <c r="L184" s="185"/>
      <c r="M184" s="399"/>
      <c r="O184" s="1249" t="s">
        <v>242</v>
      </c>
      <c r="P184" s="1248">
        <f>+G191</f>
        <v>652.4</v>
      </c>
      <c r="Q184" s="1248">
        <f t="shared" ref="Q184:R184" si="15">+H191</f>
        <v>400</v>
      </c>
      <c r="R184" s="1248">
        <f t="shared" si="15"/>
        <v>400</v>
      </c>
    </row>
    <row r="185" spans="1:18" ht="15" customHeight="1" x14ac:dyDescent="0.2">
      <c r="A185" s="42"/>
      <c r="B185" s="40"/>
      <c r="C185" s="1015"/>
      <c r="D185" s="1634"/>
      <c r="E185" s="1137"/>
      <c r="F185" s="360" t="s">
        <v>119</v>
      </c>
      <c r="G185" s="193">
        <v>44.2</v>
      </c>
      <c r="H185" s="363"/>
      <c r="I185" s="178"/>
      <c r="J185" s="929"/>
      <c r="K185" s="448"/>
      <c r="L185" s="185"/>
      <c r="M185" s="178"/>
      <c r="O185" s="1247" t="s">
        <v>119</v>
      </c>
      <c r="P185" s="1248">
        <f>+G215</f>
        <v>44.2</v>
      </c>
      <c r="Q185" s="1248">
        <f>+H215</f>
        <v>0</v>
      </c>
      <c r="R185" s="1248">
        <f>+I215</f>
        <v>0</v>
      </c>
    </row>
    <row r="186" spans="1:18" ht="15" customHeight="1" x14ac:dyDescent="0.2">
      <c r="A186" s="42"/>
      <c r="B186" s="40"/>
      <c r="C186" s="1015"/>
      <c r="D186" s="1634"/>
      <c r="E186" s="1137"/>
      <c r="F186" s="361" t="s">
        <v>120</v>
      </c>
      <c r="G186" s="448">
        <v>501</v>
      </c>
      <c r="H186" s="185"/>
      <c r="I186" s="352"/>
      <c r="J186" s="929"/>
      <c r="K186" s="448"/>
      <c r="L186" s="185"/>
      <c r="M186" s="178"/>
      <c r="O186" s="1247" t="s">
        <v>120</v>
      </c>
      <c r="P186" s="1248">
        <f>+G216</f>
        <v>501</v>
      </c>
      <c r="Q186" s="1248">
        <f t="shared" ref="Q186:R186" si="16">+H216</f>
        <v>0</v>
      </c>
      <c r="R186" s="1248">
        <f t="shared" si="16"/>
        <v>0</v>
      </c>
    </row>
    <row r="187" spans="1:18" ht="15" customHeight="1" x14ac:dyDescent="0.2">
      <c r="A187" s="42"/>
      <c r="B187" s="40"/>
      <c r="C187" s="1015"/>
      <c r="D187" s="1634"/>
      <c r="E187" s="1137"/>
      <c r="F187" s="35" t="s">
        <v>44</v>
      </c>
      <c r="G187" s="374">
        <v>1795.7</v>
      </c>
      <c r="H187" s="363"/>
      <c r="I187" s="352"/>
      <c r="J187" s="929"/>
      <c r="K187" s="448"/>
      <c r="L187" s="185"/>
      <c r="M187" s="178"/>
      <c r="O187" s="1247" t="s">
        <v>44</v>
      </c>
      <c r="P187" s="1248">
        <f>+G190+G201+G214</f>
        <v>1795.7</v>
      </c>
      <c r="Q187" s="1248">
        <f t="shared" ref="Q187:R187" si="17">+H190+H201+H214</f>
        <v>0</v>
      </c>
      <c r="R187" s="1248">
        <f t="shared" si="17"/>
        <v>0</v>
      </c>
    </row>
    <row r="188" spans="1:18" ht="15" customHeight="1" x14ac:dyDescent="0.2">
      <c r="A188" s="42"/>
      <c r="B188" s="40"/>
      <c r="C188" s="1015"/>
      <c r="D188" s="1635"/>
      <c r="E188" s="1137"/>
      <c r="F188" s="361" t="s">
        <v>170</v>
      </c>
      <c r="G188" s="386">
        <v>1.5</v>
      </c>
      <c r="H188" s="185">
        <v>30</v>
      </c>
      <c r="I188" s="387">
        <v>30</v>
      </c>
      <c r="J188" s="218"/>
      <c r="K188" s="181"/>
      <c r="L188" s="185"/>
      <c r="M188" s="178"/>
      <c r="O188" s="1247" t="s">
        <v>170</v>
      </c>
      <c r="P188" s="1248">
        <f>+G204+G206</f>
        <v>1.5</v>
      </c>
      <c r="Q188" s="1248">
        <f t="shared" ref="Q188:R188" si="18">+H204+H206</f>
        <v>30</v>
      </c>
      <c r="R188" s="1248">
        <f t="shared" si="18"/>
        <v>30</v>
      </c>
    </row>
    <row r="189" spans="1:18" ht="27.75" customHeight="1" x14ac:dyDescent="0.2">
      <c r="A189" s="42"/>
      <c r="B189" s="40"/>
      <c r="C189" s="716"/>
      <c r="D189" s="1046" t="s">
        <v>118</v>
      </c>
      <c r="E189" s="817"/>
      <c r="F189" s="393"/>
      <c r="G189" s="449"/>
      <c r="H189" s="450"/>
      <c r="I189" s="178"/>
      <c r="J189" s="1041"/>
      <c r="K189" s="1010"/>
      <c r="L189" s="646"/>
      <c r="M189" s="328"/>
      <c r="O189" s="1250"/>
      <c r="P189" s="1248">
        <f>SUM(P183:P188)</f>
        <v>3258.3</v>
      </c>
      <c r="Q189" s="1248">
        <f t="shared" ref="Q189:R189" si="19">SUM(Q183:Q188)</f>
        <v>4313.6000000000004</v>
      </c>
      <c r="R189" s="1248">
        <f t="shared" si="19"/>
        <v>5563.4</v>
      </c>
    </row>
    <row r="190" spans="1:18" ht="20.25" customHeight="1" x14ac:dyDescent="0.2">
      <c r="A190" s="42"/>
      <c r="B190" s="40"/>
      <c r="C190" s="768"/>
      <c r="D190" s="1452" t="s">
        <v>124</v>
      </c>
      <c r="E190" s="719" t="s">
        <v>137</v>
      </c>
      <c r="F190" s="1193" t="s">
        <v>334</v>
      </c>
      <c r="G190" s="1194">
        <f>1498.5-200</f>
        <v>1298.5</v>
      </c>
      <c r="H190" s="1195"/>
      <c r="I190" s="1196"/>
      <c r="J190" s="995" t="s">
        <v>279</v>
      </c>
      <c r="K190" s="778">
        <v>7</v>
      </c>
      <c r="L190" s="419"/>
      <c r="M190" s="776"/>
      <c r="O190" s="1250"/>
      <c r="P190" s="1248">
        <f>+P189-G218</f>
        <v>0</v>
      </c>
      <c r="Q190" s="1248">
        <f t="shared" ref="Q190:R190" si="20">+Q189-H218</f>
        <v>0</v>
      </c>
      <c r="R190" s="1248">
        <f t="shared" si="20"/>
        <v>0</v>
      </c>
    </row>
    <row r="191" spans="1:18" s="164" customFormat="1" ht="26.85" customHeight="1" x14ac:dyDescent="0.2">
      <c r="A191" s="42"/>
      <c r="B191" s="40"/>
      <c r="C191" s="768"/>
      <c r="D191" s="1413"/>
      <c r="E191" s="719" t="s">
        <v>159</v>
      </c>
      <c r="F191" s="1197" t="s">
        <v>341</v>
      </c>
      <c r="G191" s="1198">
        <v>652.4</v>
      </c>
      <c r="H191" s="1199">
        <v>400</v>
      </c>
      <c r="I191" s="1200">
        <v>400</v>
      </c>
      <c r="J191" s="1468" t="s">
        <v>297</v>
      </c>
      <c r="K191" s="933">
        <v>50</v>
      </c>
      <c r="L191" s="933">
        <v>100</v>
      </c>
      <c r="M191" s="934"/>
      <c r="N191" s="2"/>
    </row>
    <row r="192" spans="1:18" s="164" customFormat="1" ht="27" customHeight="1" x14ac:dyDescent="0.2">
      <c r="A192" s="42"/>
      <c r="B192" s="40"/>
      <c r="C192" s="768"/>
      <c r="D192" s="765"/>
      <c r="E192" s="719" t="s">
        <v>204</v>
      </c>
      <c r="F192" s="1201" t="s">
        <v>335</v>
      </c>
      <c r="G192" s="1198"/>
      <c r="H192" s="1195">
        <f>2078.7+200</f>
        <v>2278.6999999999998</v>
      </c>
      <c r="I192" s="1196">
        <v>3680.1</v>
      </c>
      <c r="J192" s="1469"/>
      <c r="K192" s="943"/>
      <c r="L192" s="943"/>
      <c r="M192" s="944"/>
    </row>
    <row r="193" spans="1:13" s="164" customFormat="1" ht="16.5" customHeight="1" x14ac:dyDescent="0.2">
      <c r="A193" s="42"/>
      <c r="B193" s="40"/>
      <c r="C193" s="768"/>
      <c r="D193" s="765"/>
      <c r="E193" s="767"/>
      <c r="F193" s="1201"/>
      <c r="G193" s="1202"/>
      <c r="H193" s="1203"/>
      <c r="I193" s="1204"/>
      <c r="J193" s="1468" t="s">
        <v>320</v>
      </c>
      <c r="K193" s="933">
        <v>50</v>
      </c>
      <c r="L193" s="933">
        <v>100</v>
      </c>
      <c r="M193" s="934"/>
    </row>
    <row r="194" spans="1:13" s="164" customFormat="1" ht="24" customHeight="1" x14ac:dyDescent="0.2">
      <c r="A194" s="42"/>
      <c r="B194" s="40"/>
      <c r="C194" s="768"/>
      <c r="D194" s="765"/>
      <c r="E194" s="767"/>
      <c r="F194" s="1201"/>
      <c r="G194" s="1202"/>
      <c r="H194" s="1203"/>
      <c r="I194" s="1205"/>
      <c r="J194" s="1524"/>
      <c r="K194" s="935"/>
      <c r="L194" s="935"/>
      <c r="M194" s="936"/>
    </row>
    <row r="195" spans="1:13" s="164" customFormat="1" ht="18" customHeight="1" x14ac:dyDescent="0.2">
      <c r="A195" s="42"/>
      <c r="B195" s="40"/>
      <c r="C195" s="768"/>
      <c r="D195" s="765"/>
      <c r="E195" s="767"/>
      <c r="F195" s="1201"/>
      <c r="G195" s="1202"/>
      <c r="H195" s="1203"/>
      <c r="I195" s="1204"/>
      <c r="J195" s="1468" t="s">
        <v>321</v>
      </c>
      <c r="K195" s="933">
        <v>20</v>
      </c>
      <c r="L195" s="933">
        <v>50</v>
      </c>
      <c r="M195" s="934">
        <v>100</v>
      </c>
    </row>
    <row r="196" spans="1:13" s="164" customFormat="1" ht="13.5" customHeight="1" x14ac:dyDescent="0.2">
      <c r="A196" s="42"/>
      <c r="B196" s="40"/>
      <c r="C196" s="768"/>
      <c r="D196" s="765"/>
      <c r="E196" s="767"/>
      <c r="F196" s="1201"/>
      <c r="G196" s="1202"/>
      <c r="H196" s="1203"/>
      <c r="I196" s="1205"/>
      <c r="J196" s="1524"/>
      <c r="K196" s="935"/>
      <c r="L196" s="935"/>
      <c r="M196" s="936"/>
    </row>
    <row r="197" spans="1:13" s="164" customFormat="1" ht="18" customHeight="1" x14ac:dyDescent="0.2">
      <c r="A197" s="42"/>
      <c r="B197" s="40"/>
      <c r="C197" s="768"/>
      <c r="D197" s="765"/>
      <c r="E197" s="767"/>
      <c r="F197" s="1201"/>
      <c r="G197" s="1202"/>
      <c r="H197" s="1203"/>
      <c r="I197" s="1204"/>
      <c r="J197" s="1468" t="s">
        <v>322</v>
      </c>
      <c r="K197" s="933">
        <v>5</v>
      </c>
      <c r="L197" s="933">
        <v>50</v>
      </c>
      <c r="M197" s="934">
        <v>100</v>
      </c>
    </row>
    <row r="198" spans="1:13" s="164" customFormat="1" ht="12.75" customHeight="1" x14ac:dyDescent="0.2">
      <c r="A198" s="42"/>
      <c r="B198" s="40"/>
      <c r="C198" s="768"/>
      <c r="D198" s="765"/>
      <c r="E198" s="767"/>
      <c r="F198" s="1201"/>
      <c r="G198" s="1202"/>
      <c r="H198" s="1203"/>
      <c r="I198" s="1204"/>
      <c r="J198" s="1524"/>
      <c r="K198" s="937"/>
      <c r="L198" s="935"/>
      <c r="M198" s="936"/>
    </row>
    <row r="199" spans="1:13" s="164" customFormat="1" ht="28.35" customHeight="1" x14ac:dyDescent="0.2">
      <c r="A199" s="42"/>
      <c r="B199" s="40"/>
      <c r="C199" s="768"/>
      <c r="D199" s="765"/>
      <c r="E199" s="767"/>
      <c r="F199" s="1201"/>
      <c r="G199" s="1202"/>
      <c r="H199" s="1203"/>
      <c r="I199" s="1205"/>
      <c r="J199" s="986" t="s">
        <v>323</v>
      </c>
      <c r="K199" s="938"/>
      <c r="L199" s="933">
        <v>50</v>
      </c>
      <c r="M199" s="934">
        <v>100</v>
      </c>
    </row>
    <row r="200" spans="1:13" s="164" customFormat="1" ht="28.35" customHeight="1" x14ac:dyDescent="0.2">
      <c r="A200" s="42"/>
      <c r="B200" s="40"/>
      <c r="C200" s="768"/>
      <c r="D200" s="765"/>
      <c r="E200" s="767"/>
      <c r="F200" s="1201"/>
      <c r="G200" s="1202"/>
      <c r="H200" s="1206"/>
      <c r="I200" s="1207"/>
      <c r="J200" s="986" t="s">
        <v>324</v>
      </c>
      <c r="K200" s="938"/>
      <c r="L200" s="933"/>
      <c r="M200" s="934">
        <v>50</v>
      </c>
    </row>
    <row r="201" spans="1:13" ht="20.25" customHeight="1" x14ac:dyDescent="0.2">
      <c r="A201" s="42"/>
      <c r="B201" s="40"/>
      <c r="C201" s="768"/>
      <c r="D201" s="1452" t="s">
        <v>117</v>
      </c>
      <c r="E201" s="767"/>
      <c r="F201" s="1208" t="s">
        <v>334</v>
      </c>
      <c r="G201" s="1209">
        <v>215</v>
      </c>
      <c r="H201" s="1210"/>
      <c r="I201" s="1211"/>
      <c r="J201" s="224" t="s">
        <v>308</v>
      </c>
      <c r="K201" s="778">
        <v>4</v>
      </c>
      <c r="L201" s="939">
        <v>13</v>
      </c>
      <c r="M201" s="940">
        <v>12</v>
      </c>
    </row>
    <row r="202" spans="1:13" ht="18.75" customHeight="1" x14ac:dyDescent="0.2">
      <c r="A202" s="42"/>
      <c r="B202" s="40"/>
      <c r="C202" s="716"/>
      <c r="D202" s="1414"/>
      <c r="E202" s="715"/>
      <c r="F202" s="1212" t="s">
        <v>335</v>
      </c>
      <c r="G202" s="1213"/>
      <c r="H202" s="1210">
        <v>1040</v>
      </c>
      <c r="I202" s="1211">
        <v>881</v>
      </c>
      <c r="J202" s="946" t="s">
        <v>278</v>
      </c>
      <c r="K202" s="260"/>
      <c r="L202" s="264"/>
      <c r="M202" s="111">
        <v>7</v>
      </c>
    </row>
    <row r="203" spans="1:13" ht="15" customHeight="1" x14ac:dyDescent="0.2">
      <c r="A203" s="759"/>
      <c r="B203" s="762"/>
      <c r="C203" s="760"/>
      <c r="D203" s="1412" t="s">
        <v>280</v>
      </c>
      <c r="E203" s="834" t="s">
        <v>159</v>
      </c>
      <c r="F203" s="1214" t="s">
        <v>335</v>
      </c>
      <c r="G203" s="1215">
        <v>13.5</v>
      </c>
      <c r="H203" s="1216">
        <v>180</v>
      </c>
      <c r="I203" s="1217"/>
      <c r="J203" s="627" t="s">
        <v>216</v>
      </c>
      <c r="K203" s="779">
        <v>1</v>
      </c>
      <c r="L203" s="780"/>
      <c r="M203" s="824"/>
    </row>
    <row r="204" spans="1:13" ht="15" customHeight="1" x14ac:dyDescent="0.2">
      <c r="A204" s="987"/>
      <c r="B204" s="989"/>
      <c r="C204" s="988"/>
      <c r="D204" s="1413"/>
      <c r="E204" s="990"/>
      <c r="F204" s="1218" t="s">
        <v>342</v>
      </c>
      <c r="G204" s="1202">
        <v>1.5</v>
      </c>
      <c r="H204" s="1219">
        <v>20</v>
      </c>
      <c r="I204" s="1220"/>
      <c r="J204" s="224" t="s">
        <v>225</v>
      </c>
      <c r="K204" s="430"/>
      <c r="L204" s="564">
        <v>100</v>
      </c>
      <c r="M204" s="562"/>
    </row>
    <row r="205" spans="1:13" ht="15" customHeight="1" x14ac:dyDescent="0.2">
      <c r="A205" s="833"/>
      <c r="B205" s="836"/>
      <c r="C205" s="837"/>
      <c r="D205" s="1413"/>
      <c r="E205" s="835" t="s">
        <v>137</v>
      </c>
      <c r="F205" s="1218" t="s">
        <v>335</v>
      </c>
      <c r="G205" s="1221"/>
      <c r="H205" s="1203">
        <v>90</v>
      </c>
      <c r="I205" s="1196">
        <v>270</v>
      </c>
      <c r="J205" s="224" t="s">
        <v>216</v>
      </c>
      <c r="K205" s="430"/>
      <c r="L205" s="991">
        <v>1</v>
      </c>
      <c r="M205" s="993"/>
    </row>
    <row r="206" spans="1:13" ht="15" customHeight="1" x14ac:dyDescent="0.2">
      <c r="A206" s="759"/>
      <c r="B206" s="762"/>
      <c r="C206" s="760"/>
      <c r="D206" s="1414"/>
      <c r="E206" s="838" t="s">
        <v>212</v>
      </c>
      <c r="F206" s="1222" t="s">
        <v>342</v>
      </c>
      <c r="G206" s="1223"/>
      <c r="H206" s="1224">
        <v>10</v>
      </c>
      <c r="I206" s="1225">
        <v>30</v>
      </c>
      <c r="J206" s="157" t="s">
        <v>225</v>
      </c>
      <c r="K206" s="822"/>
      <c r="L206" s="346">
        <v>30</v>
      </c>
      <c r="M206" s="992">
        <v>100</v>
      </c>
    </row>
    <row r="207" spans="1:13" ht="24.75" customHeight="1" x14ac:dyDescent="0.2">
      <c r="A207" s="1434"/>
      <c r="B207" s="1443"/>
      <c r="C207" s="1528"/>
      <c r="D207" s="1531" t="s">
        <v>82</v>
      </c>
      <c r="E207" s="1533" t="s">
        <v>204</v>
      </c>
      <c r="F207" s="1226" t="s">
        <v>335</v>
      </c>
      <c r="G207" s="1202">
        <v>2</v>
      </c>
      <c r="H207" s="1227">
        <v>2</v>
      </c>
      <c r="I207" s="1205">
        <v>2</v>
      </c>
      <c r="J207" s="741" t="s">
        <v>88</v>
      </c>
      <c r="K207" s="256">
        <v>1</v>
      </c>
      <c r="L207" s="261">
        <v>1</v>
      </c>
      <c r="M207" s="66">
        <v>1</v>
      </c>
    </row>
    <row r="208" spans="1:13" ht="16.5" customHeight="1" x14ac:dyDescent="0.2">
      <c r="A208" s="1434"/>
      <c r="B208" s="1443"/>
      <c r="C208" s="1528"/>
      <c r="D208" s="1532"/>
      <c r="E208" s="1534"/>
      <c r="F208" s="1228"/>
      <c r="G208" s="1202"/>
      <c r="H208" s="1203"/>
      <c r="I208" s="1229"/>
      <c r="J208" s="741"/>
      <c r="K208" s="257"/>
      <c r="L208" s="262"/>
      <c r="M208" s="69"/>
    </row>
    <row r="209" spans="1:18" ht="14.85" customHeight="1" x14ac:dyDescent="0.2">
      <c r="A209" s="706"/>
      <c r="B209" s="711"/>
      <c r="C209" s="47"/>
      <c r="D209" s="1412" t="s">
        <v>292</v>
      </c>
      <c r="E209" s="718" t="s">
        <v>204</v>
      </c>
      <c r="F209" s="1193" t="s">
        <v>335</v>
      </c>
      <c r="G209" s="1230">
        <f>135-24</f>
        <v>111</v>
      </c>
      <c r="H209" s="1227">
        <v>120.9</v>
      </c>
      <c r="I209" s="1195">
        <v>128.30000000000001</v>
      </c>
      <c r="J209" s="1631" t="s">
        <v>363</v>
      </c>
      <c r="K209" s="296">
        <v>45</v>
      </c>
      <c r="L209" s="302">
        <v>49</v>
      </c>
      <c r="M209" s="239">
        <v>52</v>
      </c>
    </row>
    <row r="210" spans="1:18" ht="16.5" customHeight="1" x14ac:dyDescent="0.2">
      <c r="A210" s="706"/>
      <c r="B210" s="711"/>
      <c r="C210" s="47"/>
      <c r="D210" s="1413"/>
      <c r="E210" s="120" t="s">
        <v>159</v>
      </c>
      <c r="F210" s="1231"/>
      <c r="G210" s="1232"/>
      <c r="H210" s="1233"/>
      <c r="I210" s="1234"/>
      <c r="J210" s="1469"/>
      <c r="K210" s="290"/>
      <c r="L210" s="303"/>
      <c r="M210" s="240"/>
    </row>
    <row r="211" spans="1:18" ht="17.850000000000001" customHeight="1" x14ac:dyDescent="0.2">
      <c r="A211" s="706"/>
      <c r="B211" s="711"/>
      <c r="C211" s="47"/>
      <c r="D211" s="1413"/>
      <c r="E211" s="709"/>
      <c r="F211" s="1235" t="s">
        <v>335</v>
      </c>
      <c r="G211" s="1221">
        <v>7</v>
      </c>
      <c r="H211" s="1203">
        <v>7</v>
      </c>
      <c r="I211" s="1196">
        <v>7</v>
      </c>
      <c r="J211" s="742" t="s">
        <v>227</v>
      </c>
      <c r="K211" s="298">
        <v>100</v>
      </c>
      <c r="L211" s="304">
        <v>100</v>
      </c>
      <c r="M211" s="76">
        <v>100</v>
      </c>
    </row>
    <row r="212" spans="1:18" ht="25.5" customHeight="1" x14ac:dyDescent="0.2">
      <c r="A212" s="14"/>
      <c r="B212" s="710"/>
      <c r="C212" s="47"/>
      <c r="D212" s="1413"/>
      <c r="E212" s="123"/>
      <c r="F212" s="1208" t="s">
        <v>335</v>
      </c>
      <c r="G212" s="1202">
        <f>135-35</f>
        <v>100</v>
      </c>
      <c r="H212" s="1219">
        <v>135</v>
      </c>
      <c r="I212" s="1196">
        <v>135</v>
      </c>
      <c r="J212" s="738" t="s">
        <v>364</v>
      </c>
      <c r="K212" s="276">
        <v>2</v>
      </c>
      <c r="L212" s="277">
        <v>3</v>
      </c>
      <c r="M212" s="75">
        <v>3</v>
      </c>
    </row>
    <row r="213" spans="1:18" ht="42" customHeight="1" x14ac:dyDescent="0.2">
      <c r="A213" s="14"/>
      <c r="B213" s="710"/>
      <c r="C213" s="47"/>
      <c r="D213" s="1413"/>
      <c r="E213" s="123"/>
      <c r="F213" s="1236" t="s">
        <v>335</v>
      </c>
      <c r="G213" s="1198">
        <v>30</v>
      </c>
      <c r="H213" s="1237">
        <v>30</v>
      </c>
      <c r="I213" s="1196">
        <v>30</v>
      </c>
      <c r="J213" s="738" t="s">
        <v>229</v>
      </c>
      <c r="K213" s="1007">
        <v>2</v>
      </c>
      <c r="L213" s="305">
        <v>2</v>
      </c>
      <c r="M213" s="77">
        <v>2</v>
      </c>
    </row>
    <row r="214" spans="1:18" ht="13.5" customHeight="1" x14ac:dyDescent="0.2">
      <c r="A214" s="891"/>
      <c r="B214" s="894"/>
      <c r="C214" s="892"/>
      <c r="D214" s="1548" t="s">
        <v>92</v>
      </c>
      <c r="E214" s="895" t="s">
        <v>39</v>
      </c>
      <c r="F214" s="1238" t="s">
        <v>334</v>
      </c>
      <c r="G214" s="1230">
        <v>282.2</v>
      </c>
      <c r="H214" s="1203"/>
      <c r="I214" s="1239"/>
      <c r="J214" s="739" t="s">
        <v>222</v>
      </c>
      <c r="K214" s="256">
        <v>100</v>
      </c>
      <c r="L214" s="250"/>
      <c r="M214" s="70"/>
    </row>
    <row r="215" spans="1:18" ht="15.75" customHeight="1" x14ac:dyDescent="0.2">
      <c r="A215" s="891"/>
      <c r="B215" s="894"/>
      <c r="C215" s="892"/>
      <c r="D215" s="1549"/>
      <c r="E215" s="896" t="s">
        <v>159</v>
      </c>
      <c r="F215" s="1240" t="s">
        <v>339</v>
      </c>
      <c r="G215" s="1198">
        <v>44.2</v>
      </c>
      <c r="H215" s="1241"/>
      <c r="I215" s="1242"/>
      <c r="J215" s="1101"/>
      <c r="K215" s="1098"/>
      <c r="L215" s="1092"/>
      <c r="M215" s="1122"/>
    </row>
    <row r="216" spans="1:18" ht="15" customHeight="1" x14ac:dyDescent="0.2">
      <c r="A216" s="891"/>
      <c r="B216" s="894"/>
      <c r="C216" s="892"/>
      <c r="D216" s="1550"/>
      <c r="E216" s="896" t="s">
        <v>137</v>
      </c>
      <c r="F216" s="1240" t="s">
        <v>343</v>
      </c>
      <c r="G216" s="1198">
        <v>501</v>
      </c>
      <c r="H216" s="1241"/>
      <c r="I216" s="1243"/>
      <c r="J216" s="1524"/>
      <c r="K216" s="431"/>
      <c r="L216" s="564"/>
      <c r="M216" s="562"/>
    </row>
    <row r="217" spans="1:18" ht="15" customHeight="1" x14ac:dyDescent="0.2">
      <c r="A217" s="891"/>
      <c r="B217" s="894"/>
      <c r="C217" s="892"/>
      <c r="D217" s="888"/>
      <c r="E217" s="896" t="s">
        <v>204</v>
      </c>
      <c r="F217" s="1244"/>
      <c r="G217" s="1245"/>
      <c r="H217" s="1246"/>
      <c r="I217" s="1229"/>
      <c r="J217" s="1623"/>
      <c r="K217" s="247"/>
      <c r="L217" s="251"/>
      <c r="M217" s="71"/>
    </row>
    <row r="218" spans="1:18" ht="15.75" customHeight="1" thickBot="1" x14ac:dyDescent="0.25">
      <c r="A218" s="15"/>
      <c r="B218" s="68"/>
      <c r="C218" s="46"/>
      <c r="D218" s="137"/>
      <c r="E218" s="141"/>
      <c r="F218" s="12" t="s">
        <v>4</v>
      </c>
      <c r="G218" s="196">
        <f>+G183+G184+G185+G186+G187+G188</f>
        <v>3258.3</v>
      </c>
      <c r="H218" s="202">
        <f t="shared" ref="H218:I218" si="21">+H183+H184+H185+H186+H187+H188</f>
        <v>4313.6000000000004</v>
      </c>
      <c r="I218" s="206">
        <f t="shared" si="21"/>
        <v>5563.4</v>
      </c>
      <c r="J218" s="231"/>
      <c r="K218" s="476"/>
      <c r="L218" s="204"/>
      <c r="M218" s="909"/>
    </row>
    <row r="219" spans="1:18" ht="33" customHeight="1" x14ac:dyDescent="0.2">
      <c r="A219" s="18" t="s">
        <v>3</v>
      </c>
      <c r="B219" s="37" t="s">
        <v>21</v>
      </c>
      <c r="C219" s="49" t="s">
        <v>5</v>
      </c>
      <c r="D219" s="863" t="s">
        <v>330</v>
      </c>
      <c r="E219" s="714" t="s">
        <v>316</v>
      </c>
      <c r="F219" s="130" t="s">
        <v>19</v>
      </c>
      <c r="G219" s="199">
        <f>63.7-15.2</f>
        <v>48.5</v>
      </c>
      <c r="H219" s="185">
        <f>51.5+15.2-6</f>
        <v>60.7</v>
      </c>
      <c r="I219" s="864">
        <v>39.5</v>
      </c>
      <c r="J219" s="889" t="s">
        <v>313</v>
      </c>
      <c r="K219" s="309">
        <v>7</v>
      </c>
      <c r="L219" s="1006">
        <v>9</v>
      </c>
      <c r="M219" s="92">
        <v>4</v>
      </c>
    </row>
    <row r="220" spans="1:18" ht="16.5" customHeight="1" thickBot="1" x14ac:dyDescent="0.25">
      <c r="A220" s="67"/>
      <c r="B220" s="41"/>
      <c r="C220" s="134"/>
      <c r="D220" s="137"/>
      <c r="E220" s="443"/>
      <c r="F220" s="118" t="s">
        <v>4</v>
      </c>
      <c r="G220" s="196">
        <f>SUM(G219:G219)</f>
        <v>48.5</v>
      </c>
      <c r="H220" s="206">
        <f>SUM(H219:H219)</f>
        <v>60.7</v>
      </c>
      <c r="I220" s="197">
        <f>SUM(I219:I219)</f>
        <v>39.5</v>
      </c>
      <c r="J220" s="626"/>
      <c r="K220" s="271"/>
      <c r="L220" s="287"/>
      <c r="M220" s="139"/>
    </row>
    <row r="221" spans="1:18" ht="15.6" customHeight="1" thickBot="1" x14ac:dyDescent="0.25">
      <c r="A221" s="16" t="s">
        <v>3</v>
      </c>
      <c r="B221" s="4" t="s">
        <v>21</v>
      </c>
      <c r="C221" s="1496" t="s">
        <v>6</v>
      </c>
      <c r="D221" s="1497"/>
      <c r="E221" s="1497"/>
      <c r="F221" s="1545"/>
      <c r="G221" s="160">
        <f>G220+G218</f>
        <v>3306.8</v>
      </c>
      <c r="H221" s="207">
        <f>H220+H218</f>
        <v>4374.3</v>
      </c>
      <c r="I221" s="205">
        <f>I220+I218</f>
        <v>5602.9</v>
      </c>
      <c r="J221" s="1024"/>
      <c r="K221" s="553"/>
      <c r="L221" s="553"/>
      <c r="M221" s="554"/>
      <c r="N221" s="488"/>
    </row>
    <row r="222" spans="1:18" ht="15.6" customHeight="1" thickBot="1" x14ac:dyDescent="0.25">
      <c r="A222" s="16" t="s">
        <v>3</v>
      </c>
      <c r="B222" s="4" t="s">
        <v>28</v>
      </c>
      <c r="C222" s="1518" t="s">
        <v>37</v>
      </c>
      <c r="D222" s="1519"/>
      <c r="E222" s="1519"/>
      <c r="F222" s="1519"/>
      <c r="G222" s="1637"/>
      <c r="H222" s="615"/>
      <c r="I222" s="672"/>
      <c r="J222" s="1013"/>
      <c r="K222" s="553"/>
      <c r="L222" s="553"/>
      <c r="M222" s="515"/>
    </row>
    <row r="223" spans="1:18" ht="15" customHeight="1" x14ac:dyDescent="0.2">
      <c r="A223" s="18" t="s">
        <v>3</v>
      </c>
      <c r="B223" s="37" t="s">
        <v>28</v>
      </c>
      <c r="C223" s="49" t="s">
        <v>3</v>
      </c>
      <c r="D223" s="1556" t="s">
        <v>147</v>
      </c>
      <c r="E223" s="714"/>
      <c r="F223" s="422" t="s">
        <v>19</v>
      </c>
      <c r="G223" s="448">
        <v>8</v>
      </c>
      <c r="H223" s="185">
        <v>1004.9</v>
      </c>
      <c r="I223" s="864">
        <v>1238</v>
      </c>
      <c r="J223" s="723"/>
      <c r="K223" s="309"/>
      <c r="L223" s="312"/>
      <c r="M223" s="92"/>
      <c r="O223" s="1188" t="s">
        <v>19</v>
      </c>
      <c r="P223" s="1189">
        <f>+G226+G228+G230+G235</f>
        <v>8</v>
      </c>
      <c r="Q223" s="1189">
        <f t="shared" ref="Q223:R223" si="22">+H226+H228+H230+H235</f>
        <v>1004.9</v>
      </c>
      <c r="R223" s="1189">
        <f t="shared" si="22"/>
        <v>1238</v>
      </c>
    </row>
    <row r="224" spans="1:18" ht="15" customHeight="1" x14ac:dyDescent="0.2">
      <c r="A224" s="60"/>
      <c r="B224" s="40"/>
      <c r="C224" s="61"/>
      <c r="D224" s="1424"/>
      <c r="E224" s="1017"/>
      <c r="F224" s="371" t="s">
        <v>177</v>
      </c>
      <c r="G224" s="193">
        <v>700</v>
      </c>
      <c r="H224" s="363">
        <v>700</v>
      </c>
      <c r="I224" s="407">
        <v>700</v>
      </c>
      <c r="J224" s="1051"/>
      <c r="K224" s="258"/>
      <c r="L224" s="263"/>
      <c r="M224" s="64"/>
      <c r="O224" s="1190" t="s">
        <v>177</v>
      </c>
      <c r="P224" s="1191">
        <f>+G233</f>
        <v>700</v>
      </c>
      <c r="Q224" s="1191">
        <f t="shared" ref="Q224:R224" si="23">+H233</f>
        <v>700</v>
      </c>
      <c r="R224" s="1191">
        <f t="shared" si="23"/>
        <v>700</v>
      </c>
    </row>
    <row r="225" spans="1:37" ht="15" customHeight="1" x14ac:dyDescent="0.2">
      <c r="A225" s="60"/>
      <c r="B225" s="40"/>
      <c r="C225" s="61"/>
      <c r="D225" s="1557"/>
      <c r="E225" s="715"/>
      <c r="F225" s="110" t="s">
        <v>44</v>
      </c>
      <c r="G225" s="386">
        <v>1206</v>
      </c>
      <c r="H225" s="186"/>
      <c r="I225" s="397"/>
      <c r="J225" s="703"/>
      <c r="K225" s="257"/>
      <c r="L225" s="262"/>
      <c r="M225" s="69"/>
      <c r="O225" s="1190" t="s">
        <v>44</v>
      </c>
      <c r="P225" s="1191">
        <f>+G227+G234</f>
        <v>1206</v>
      </c>
      <c r="Q225" s="1191">
        <f t="shared" ref="Q225:R225" si="24">+H227+H234</f>
        <v>0</v>
      </c>
      <c r="R225" s="1191">
        <f t="shared" si="24"/>
        <v>0</v>
      </c>
    </row>
    <row r="226" spans="1:37" s="21" customFormat="1" ht="20.85" customHeight="1" x14ac:dyDescent="0.2">
      <c r="A226" s="1558"/>
      <c r="B226" s="1560"/>
      <c r="C226" s="1562"/>
      <c r="D226" s="1564" t="s">
        <v>106</v>
      </c>
      <c r="E226" s="168" t="s">
        <v>204</v>
      </c>
      <c r="F226" s="1154" t="s">
        <v>335</v>
      </c>
      <c r="G226" s="1155"/>
      <c r="H226" s="1156">
        <v>300</v>
      </c>
      <c r="I226" s="1157">
        <v>300</v>
      </c>
      <c r="J226" s="1566" t="s">
        <v>105</v>
      </c>
      <c r="K226" s="444">
        <v>285</v>
      </c>
      <c r="L226" s="457">
        <v>300</v>
      </c>
      <c r="M226" s="114">
        <v>300</v>
      </c>
      <c r="O226" s="1192"/>
      <c r="P226" s="1189">
        <f>SUM(P223:P225)</f>
        <v>1914</v>
      </c>
      <c r="Q226" s="1189">
        <f t="shared" ref="Q226:R226" si="25">SUM(Q223:Q225)</f>
        <v>1704.9</v>
      </c>
      <c r="R226" s="1189">
        <f t="shared" si="25"/>
        <v>1938</v>
      </c>
    </row>
    <row r="227" spans="1:37" s="21" customFormat="1" ht="19.350000000000001" customHeight="1" x14ac:dyDescent="0.2">
      <c r="A227" s="1559"/>
      <c r="B227" s="1561"/>
      <c r="C227" s="1563"/>
      <c r="D227" s="1565"/>
      <c r="E227" s="715" t="s">
        <v>159</v>
      </c>
      <c r="F227" s="1158" t="s">
        <v>334</v>
      </c>
      <c r="G227" s="1159">
        <f>786-190</f>
        <v>596</v>
      </c>
      <c r="H227" s="1160"/>
      <c r="I227" s="1161"/>
      <c r="J227" s="1567"/>
      <c r="K227" s="310"/>
      <c r="L227" s="313"/>
      <c r="M227" s="242"/>
      <c r="O227" s="1192"/>
      <c r="P227" s="1189">
        <f>+P226-G236</f>
        <v>0</v>
      </c>
      <c r="Q227" s="1189">
        <f t="shared" ref="Q227:R227" si="26">+Q226-H236</f>
        <v>0</v>
      </c>
      <c r="R227" s="1189">
        <f t="shared" si="26"/>
        <v>0</v>
      </c>
    </row>
    <row r="228" spans="1:37" ht="17.25" customHeight="1" x14ac:dyDescent="0.2">
      <c r="A228" s="706"/>
      <c r="B228" s="711"/>
      <c r="C228" s="47"/>
      <c r="D228" s="1453" t="s">
        <v>250</v>
      </c>
      <c r="E228" s="718" t="s">
        <v>204</v>
      </c>
      <c r="F228" s="1162" t="s">
        <v>335</v>
      </c>
      <c r="G228" s="1163">
        <v>8</v>
      </c>
      <c r="H228" s="1156">
        <v>8</v>
      </c>
      <c r="I228" s="1164">
        <v>8</v>
      </c>
      <c r="J228" s="1578" t="s">
        <v>134</v>
      </c>
      <c r="K228" s="311">
        <v>8</v>
      </c>
      <c r="L228" s="314">
        <v>8</v>
      </c>
      <c r="M228" s="93">
        <v>8</v>
      </c>
    </row>
    <row r="229" spans="1:37" ht="37.5" customHeight="1" x14ac:dyDescent="0.2">
      <c r="A229" s="14"/>
      <c r="B229" s="711"/>
      <c r="C229" s="48"/>
      <c r="D229" s="1479"/>
      <c r="E229" s="715" t="s">
        <v>159</v>
      </c>
      <c r="F229" s="1165"/>
      <c r="G229" s="1166"/>
      <c r="H229" s="1167"/>
      <c r="I229" s="1168"/>
      <c r="J229" s="1579"/>
      <c r="K229" s="310"/>
      <c r="L229" s="313"/>
      <c r="M229" s="242"/>
    </row>
    <row r="230" spans="1:37" ht="15" customHeight="1" x14ac:dyDescent="0.2">
      <c r="A230" s="706"/>
      <c r="B230" s="711"/>
      <c r="C230" s="47"/>
      <c r="D230" s="1454" t="s">
        <v>78</v>
      </c>
      <c r="E230" s="719" t="s">
        <v>159</v>
      </c>
      <c r="F230" s="1169" t="s">
        <v>335</v>
      </c>
      <c r="G230" s="1170"/>
      <c r="H230" s="1171">
        <v>25.9</v>
      </c>
      <c r="I230" s="1172">
        <v>200</v>
      </c>
      <c r="J230" s="713" t="s">
        <v>65</v>
      </c>
      <c r="K230" s="256"/>
      <c r="L230" s="261">
        <v>1</v>
      </c>
      <c r="M230" s="328"/>
    </row>
    <row r="231" spans="1:37" ht="15" customHeight="1" x14ac:dyDescent="0.2">
      <c r="A231" s="14"/>
      <c r="B231" s="711"/>
      <c r="C231" s="48"/>
      <c r="D231" s="1454"/>
      <c r="E231" s="719" t="s">
        <v>39</v>
      </c>
      <c r="F231" s="1173"/>
      <c r="G231" s="1163"/>
      <c r="H231" s="1174"/>
      <c r="I231" s="1175"/>
      <c r="J231" s="717" t="s">
        <v>224</v>
      </c>
      <c r="K231" s="299"/>
      <c r="L231" s="305"/>
      <c r="M231" s="64">
        <v>15</v>
      </c>
    </row>
    <row r="232" spans="1:37" ht="15.6" customHeight="1" x14ac:dyDescent="0.2">
      <c r="A232" s="14"/>
      <c r="B232" s="711"/>
      <c r="C232" s="48"/>
      <c r="D232" s="1454"/>
      <c r="E232" s="1123" t="s">
        <v>204</v>
      </c>
      <c r="F232" s="1176"/>
      <c r="G232" s="1177"/>
      <c r="H232" s="1178"/>
      <c r="I232" s="1179"/>
      <c r="J232" s="157"/>
      <c r="K232" s="840"/>
      <c r="L232" s="839"/>
      <c r="M232" s="847"/>
    </row>
    <row r="233" spans="1:37" ht="67.5" customHeight="1" x14ac:dyDescent="0.2">
      <c r="A233" s="706"/>
      <c r="B233" s="711"/>
      <c r="C233" s="47"/>
      <c r="D233" s="1046" t="s">
        <v>178</v>
      </c>
      <c r="E233" s="718" t="s">
        <v>204</v>
      </c>
      <c r="F233" s="1162" t="s">
        <v>344</v>
      </c>
      <c r="G233" s="1180">
        <v>700</v>
      </c>
      <c r="H233" s="1181">
        <v>700</v>
      </c>
      <c r="I233" s="1182">
        <v>700</v>
      </c>
      <c r="J233" s="1020" t="s">
        <v>179</v>
      </c>
      <c r="K233" s="256">
        <v>100</v>
      </c>
      <c r="L233" s="308">
        <v>100</v>
      </c>
      <c r="M233" s="456">
        <v>100</v>
      </c>
    </row>
    <row r="234" spans="1:37" ht="15.6" customHeight="1" x14ac:dyDescent="0.2">
      <c r="A234" s="14"/>
      <c r="B234" s="711"/>
      <c r="C234" s="707"/>
      <c r="D234" s="1412" t="s">
        <v>256</v>
      </c>
      <c r="E234" s="1112" t="s">
        <v>204</v>
      </c>
      <c r="F234" s="1183" t="s">
        <v>334</v>
      </c>
      <c r="G234" s="1184">
        <v>610</v>
      </c>
      <c r="H234" s="1185"/>
      <c r="I234" s="1186"/>
      <c r="J234" s="1472" t="s">
        <v>255</v>
      </c>
      <c r="K234" s="256">
        <v>570</v>
      </c>
      <c r="L234" s="263">
        <v>630</v>
      </c>
      <c r="M234" s="64">
        <v>700</v>
      </c>
    </row>
    <row r="235" spans="1:37" ht="15.6" customHeight="1" x14ac:dyDescent="0.2">
      <c r="A235" s="14"/>
      <c r="B235" s="711"/>
      <c r="C235" s="511"/>
      <c r="D235" s="1414"/>
      <c r="E235" s="510"/>
      <c r="F235" s="1187" t="s">
        <v>335</v>
      </c>
      <c r="G235" s="1163"/>
      <c r="H235" s="1160">
        <v>671</v>
      </c>
      <c r="I235" s="1161">
        <v>730</v>
      </c>
      <c r="J235" s="1432"/>
      <c r="K235" s="257"/>
      <c r="L235" s="262"/>
      <c r="M235" s="69"/>
    </row>
    <row r="236" spans="1:37" ht="15" customHeight="1" thickBot="1" x14ac:dyDescent="0.25">
      <c r="A236" s="67" t="s">
        <v>3</v>
      </c>
      <c r="B236" s="697" t="s">
        <v>28</v>
      </c>
      <c r="C236" s="1568" t="s">
        <v>6</v>
      </c>
      <c r="D236" s="1569"/>
      <c r="E236" s="1569"/>
      <c r="F236" s="1570"/>
      <c r="G236" s="208">
        <f>+G223+G224+G225</f>
        <v>1914</v>
      </c>
      <c r="H236" s="1153">
        <f t="shared" ref="H236:I236" si="27">+H223+H224+H225</f>
        <v>1704.9</v>
      </c>
      <c r="I236" s="1152">
        <f t="shared" si="27"/>
        <v>1938</v>
      </c>
      <c r="J236" s="1050"/>
      <c r="K236" s="519"/>
      <c r="L236" s="519"/>
      <c r="M236" s="555"/>
    </row>
    <row r="237" spans="1:37" ht="15" customHeight="1" thickBot="1" x14ac:dyDescent="0.25">
      <c r="A237" s="17" t="s">
        <v>3</v>
      </c>
      <c r="B237" s="1573" t="s">
        <v>7</v>
      </c>
      <c r="C237" s="1574"/>
      <c r="D237" s="1574"/>
      <c r="E237" s="1574"/>
      <c r="F237" s="1575"/>
      <c r="G237" s="662">
        <f>G236+G221+G181+G159</f>
        <v>21444</v>
      </c>
      <c r="H237" s="211">
        <f>H236+H221+H181+H159</f>
        <v>27294.3</v>
      </c>
      <c r="I237" s="663">
        <f>I236+I221+I181+I159</f>
        <v>31009.200000000001</v>
      </c>
      <c r="J237" s="1044"/>
      <c r="K237" s="670"/>
      <c r="L237" s="556"/>
      <c r="M237" s="952"/>
      <c r="N237" s="488"/>
    </row>
    <row r="238" spans="1:37" ht="15" customHeight="1" thickBot="1" x14ac:dyDescent="0.25">
      <c r="A238" s="11" t="s">
        <v>30</v>
      </c>
      <c r="B238" s="1593" t="s">
        <v>42</v>
      </c>
      <c r="C238" s="1594"/>
      <c r="D238" s="1594"/>
      <c r="E238" s="1594"/>
      <c r="F238" s="1595"/>
      <c r="G238" s="665">
        <f t="shared" ref="G238:I238" si="28">SUM(G237)</f>
        <v>21444</v>
      </c>
      <c r="H238" s="212">
        <f t="shared" si="28"/>
        <v>27294.3</v>
      </c>
      <c r="I238" s="664">
        <f t="shared" si="28"/>
        <v>31009.200000000001</v>
      </c>
      <c r="J238" s="1045"/>
      <c r="K238" s="557"/>
      <c r="L238" s="557"/>
      <c r="M238" s="558"/>
      <c r="N238" s="488"/>
    </row>
    <row r="239" spans="1:37" s="6" customFormat="1" ht="17.25" customHeight="1" x14ac:dyDescent="0.2">
      <c r="A239" s="1603" t="s">
        <v>365</v>
      </c>
      <c r="B239" s="1603"/>
      <c r="C239" s="1603"/>
      <c r="D239" s="1603"/>
      <c r="E239" s="1603"/>
      <c r="F239" s="1603"/>
      <c r="G239" s="1603"/>
      <c r="H239" s="1603"/>
      <c r="I239" s="1603"/>
      <c r="J239" s="1603"/>
      <c r="K239" s="2"/>
      <c r="L239" s="2"/>
      <c r="M239" s="2"/>
      <c r="N239" s="2"/>
      <c r="O239" s="2"/>
      <c r="P239" s="2"/>
      <c r="Q239" s="2"/>
      <c r="R239" s="2"/>
      <c r="S239" s="2"/>
      <c r="T239" s="2"/>
      <c r="U239" s="2"/>
      <c r="V239" s="2"/>
      <c r="W239" s="2"/>
      <c r="X239" s="2"/>
      <c r="Y239" s="2"/>
      <c r="Z239" s="2"/>
      <c r="AA239" s="2"/>
      <c r="AB239" s="2"/>
      <c r="AC239" s="2"/>
      <c r="AD239" s="2"/>
      <c r="AE239" s="2"/>
      <c r="AF239" s="2"/>
      <c r="AG239" s="2"/>
      <c r="AH239" s="2"/>
      <c r="AI239" s="2"/>
      <c r="AJ239" s="2"/>
      <c r="AK239" s="2"/>
    </row>
    <row r="240" spans="1:37" s="5" customFormat="1" ht="14.85" customHeight="1" x14ac:dyDescent="0.2">
      <c r="A240" s="720"/>
      <c r="B240" s="59"/>
      <c r="C240" s="59"/>
      <c r="D240" s="59"/>
      <c r="E240" s="59"/>
      <c r="F240" s="59"/>
      <c r="G240" s="90"/>
      <c r="H240" s="90"/>
      <c r="I240" s="90"/>
      <c r="J240" s="90"/>
      <c r="K240" s="2"/>
      <c r="L240" s="2"/>
      <c r="M240" s="2"/>
      <c r="N240" s="2"/>
      <c r="O240" s="2"/>
      <c r="P240" s="2"/>
      <c r="Q240" s="2"/>
      <c r="R240" s="2"/>
      <c r="S240" s="2"/>
      <c r="T240" s="2"/>
      <c r="U240" s="2"/>
      <c r="V240" s="2"/>
      <c r="W240" s="2"/>
      <c r="X240" s="2"/>
    </row>
    <row r="241" spans="1:24" s="6" customFormat="1" ht="16.350000000000001" customHeight="1" thickBot="1" x14ac:dyDescent="0.25">
      <c r="A241" s="1599" t="s">
        <v>11</v>
      </c>
      <c r="B241" s="1599"/>
      <c r="C241" s="1599"/>
      <c r="D241" s="1599"/>
      <c r="E241" s="1599"/>
      <c r="F241" s="1599"/>
      <c r="G241" s="95"/>
      <c r="H241" s="95"/>
      <c r="I241" s="95"/>
      <c r="J241" s="95"/>
      <c r="K241" s="2"/>
      <c r="L241" s="2"/>
      <c r="M241" s="2"/>
      <c r="N241" s="2"/>
      <c r="O241" s="2"/>
      <c r="P241" s="2"/>
      <c r="Q241" s="2"/>
      <c r="R241" s="2"/>
      <c r="S241" s="2"/>
      <c r="T241" s="2"/>
      <c r="U241" s="2"/>
      <c r="V241" s="2"/>
      <c r="W241" s="2"/>
      <c r="X241" s="2"/>
    </row>
    <row r="242" spans="1:24" ht="90.75" customHeight="1" thickBot="1" x14ac:dyDescent="0.25">
      <c r="A242" s="1600" t="s">
        <v>8</v>
      </c>
      <c r="B242" s="1601"/>
      <c r="C242" s="1601"/>
      <c r="D242" s="1601"/>
      <c r="E242" s="1601"/>
      <c r="F242" s="1602"/>
      <c r="G242" s="318" t="s">
        <v>357</v>
      </c>
      <c r="H242" s="319" t="s">
        <v>191</v>
      </c>
      <c r="I242" s="320" t="s">
        <v>263</v>
      </c>
      <c r="J242" s="1"/>
      <c r="K242" s="2"/>
      <c r="L242" s="2"/>
      <c r="M242" s="2"/>
    </row>
    <row r="243" spans="1:24" ht="14.25" customHeight="1" x14ac:dyDescent="0.2">
      <c r="A243" s="1580" t="s">
        <v>12</v>
      </c>
      <c r="B243" s="1581"/>
      <c r="C243" s="1581"/>
      <c r="D243" s="1581"/>
      <c r="E243" s="1581"/>
      <c r="F243" s="1582"/>
      <c r="G243" s="677">
        <f>G244+G253</f>
        <v>21442.5</v>
      </c>
      <c r="H243" s="694">
        <f>H244+H253</f>
        <v>27264.3</v>
      </c>
      <c r="I243" s="678">
        <f>I244+I253</f>
        <v>30745.8</v>
      </c>
      <c r="J243" s="849"/>
      <c r="K243" s="2"/>
      <c r="L243" s="2"/>
      <c r="M243" s="2"/>
    </row>
    <row r="244" spans="1:24" ht="14.25" customHeight="1" x14ac:dyDescent="0.2">
      <c r="A244" s="1583" t="s">
        <v>61</v>
      </c>
      <c r="B244" s="1584"/>
      <c r="C244" s="1584"/>
      <c r="D244" s="1584"/>
      <c r="E244" s="1584"/>
      <c r="F244" s="1585"/>
      <c r="G244" s="675">
        <f t="shared" ref="G244:I244" si="29">SUM(G245:G252)</f>
        <v>14565.2</v>
      </c>
      <c r="H244" s="693">
        <f t="shared" si="29"/>
        <v>27264.3</v>
      </c>
      <c r="I244" s="676">
        <f t="shared" si="29"/>
        <v>30745.8</v>
      </c>
      <c r="J244" s="10"/>
      <c r="K244" s="2"/>
      <c r="L244" s="2"/>
      <c r="M244" s="2"/>
    </row>
    <row r="245" spans="1:24" ht="14.25" customHeight="1" x14ac:dyDescent="0.2">
      <c r="A245" s="1473" t="s">
        <v>16</v>
      </c>
      <c r="B245" s="1471"/>
      <c r="C245" s="1471"/>
      <c r="D245" s="1471"/>
      <c r="E245" s="1471"/>
      <c r="F245" s="1586"/>
      <c r="G245" s="679">
        <f>SUMIF(F16:F238,"SB",G16:G238)</f>
        <v>12607.4</v>
      </c>
      <c r="H245" s="531">
        <f>SUMIF(F16:F238,"SB",H16:H238)</f>
        <v>25466</v>
      </c>
      <c r="I245" s="329">
        <f>SUMIF(F16:F238,"SB",I16:I238)</f>
        <v>25645.200000000001</v>
      </c>
      <c r="J245" s="113"/>
      <c r="K245" s="2"/>
      <c r="L245" s="2"/>
      <c r="M245" s="2"/>
    </row>
    <row r="246" spans="1:24" ht="14.25" customHeight="1" x14ac:dyDescent="0.2">
      <c r="A246" s="1587" t="s">
        <v>306</v>
      </c>
      <c r="B246" s="1588"/>
      <c r="C246" s="1588"/>
      <c r="D246" s="1588"/>
      <c r="E246" s="1588"/>
      <c r="F246" s="1589"/>
      <c r="G246" s="680">
        <f>SUMIF(F16:F238,"SB(P)",G16:G238)</f>
        <v>0</v>
      </c>
      <c r="H246" s="692">
        <f>SUMIF(F16:F238,"SB(P)",H16:H238)</f>
        <v>0</v>
      </c>
      <c r="I246" s="681">
        <f>SUMIF(F16:F238,"SB(P)",I16:I238)</f>
        <v>2964.9</v>
      </c>
      <c r="J246" s="113"/>
      <c r="K246" s="2"/>
      <c r="L246" s="2"/>
      <c r="M246" s="2"/>
    </row>
    <row r="247" spans="1:24" ht="14.25" customHeight="1" x14ac:dyDescent="0.2">
      <c r="A247" s="1587" t="s">
        <v>50</v>
      </c>
      <c r="B247" s="1588"/>
      <c r="C247" s="1588"/>
      <c r="D247" s="1588"/>
      <c r="E247" s="1588"/>
      <c r="F247" s="1589"/>
      <c r="G247" s="680">
        <f>SUMIF(F16:F238,"SB(VR)",G16:G238)</f>
        <v>0</v>
      </c>
      <c r="H247" s="692">
        <f>SUMIF(F16:F238,"SB(VR)",H16:H238)</f>
        <v>662.6</v>
      </c>
      <c r="I247" s="681">
        <f>SUMIF(F16:F238,"SB(VR)",I16:I238)</f>
        <v>1000</v>
      </c>
      <c r="J247" s="113"/>
      <c r="K247" s="2"/>
      <c r="L247" s="2"/>
      <c r="M247" s="2"/>
    </row>
    <row r="248" spans="1:24" ht="27.6" customHeight="1" x14ac:dyDescent="0.2">
      <c r="A248" s="1590" t="s">
        <v>17</v>
      </c>
      <c r="B248" s="1591"/>
      <c r="C248" s="1591"/>
      <c r="D248" s="1591"/>
      <c r="E248" s="1591"/>
      <c r="F248" s="1592"/>
      <c r="G248" s="680">
        <f>SUMIF(F16:F238,"SB(SP)",G16:G238)</f>
        <v>35.700000000000003</v>
      </c>
      <c r="H248" s="692">
        <f>SUMIF(F16:F238,"SB(SP)",H16:H238)</f>
        <v>35.700000000000003</v>
      </c>
      <c r="I248" s="681">
        <f>SUMIF(F16:F238,"SB(SP)",I16:I238)</f>
        <v>35.700000000000003</v>
      </c>
      <c r="J248" s="10"/>
      <c r="K248" s="2"/>
      <c r="L248" s="2"/>
      <c r="M248" s="2"/>
    </row>
    <row r="249" spans="1:24" ht="14.25" customHeight="1" x14ac:dyDescent="0.2">
      <c r="A249" s="1587" t="s">
        <v>180</v>
      </c>
      <c r="B249" s="1588"/>
      <c r="C249" s="1588"/>
      <c r="D249" s="1588"/>
      <c r="E249" s="1588"/>
      <c r="F249" s="1589"/>
      <c r="G249" s="679">
        <f>SUMIF(F16:F238,"SB(SPI)",G16:G238)</f>
        <v>700</v>
      </c>
      <c r="H249" s="531">
        <f>SUMIF(F16:F238,"SB(SPI)",H16:H238)</f>
        <v>700</v>
      </c>
      <c r="I249" s="329">
        <f>SUMIF(F16:F238,"SB(SPI)",I16:I238)</f>
        <v>700</v>
      </c>
      <c r="J249" s="10"/>
      <c r="K249" s="2"/>
      <c r="L249" s="2"/>
      <c r="M249" s="2"/>
    </row>
    <row r="250" spans="1:24" x14ac:dyDescent="0.2">
      <c r="A250" s="1590" t="s">
        <v>63</v>
      </c>
      <c r="B250" s="1591"/>
      <c r="C250" s="1591"/>
      <c r="D250" s="1591"/>
      <c r="E250" s="1591"/>
      <c r="F250" s="1592"/>
      <c r="G250" s="680">
        <f>SUMIF(F16:F238,"SB(VB)",G16:G238)</f>
        <v>68.7</v>
      </c>
      <c r="H250" s="691">
        <f>SUMIF(F16:F238,"SB(VB)",H16:H238)</f>
        <v>0</v>
      </c>
      <c r="I250" s="321">
        <f>SUMIF(F16:F238,"SB(VB)",I16:I238)</f>
        <v>0</v>
      </c>
      <c r="J250" s="10"/>
      <c r="K250" s="2"/>
      <c r="L250" s="2"/>
      <c r="M250" s="2"/>
    </row>
    <row r="251" spans="1:24" x14ac:dyDescent="0.2">
      <c r="A251" s="1587" t="s">
        <v>97</v>
      </c>
      <c r="B251" s="1588"/>
      <c r="C251" s="1588"/>
      <c r="D251" s="1588"/>
      <c r="E251" s="1588"/>
      <c r="F251" s="1589"/>
      <c r="G251" s="682">
        <f>SUMIF(F16:F238,"SB(KPP)",G16:G238)</f>
        <v>652.4</v>
      </c>
      <c r="H251" s="689">
        <f>SUMIF(F16:F238,"SB(KPP)",H16:H238)</f>
        <v>400</v>
      </c>
      <c r="I251" s="681">
        <f>SUMIF(F16:F238,"SB(KPP)",I16:I238)</f>
        <v>400</v>
      </c>
      <c r="J251" s="96"/>
      <c r="K251" s="2"/>
      <c r="L251" s="2"/>
      <c r="M251" s="2"/>
    </row>
    <row r="252" spans="1:24" ht="26.45" customHeight="1" x14ac:dyDescent="0.2">
      <c r="A252" s="1616" t="s">
        <v>175</v>
      </c>
      <c r="B252" s="1617"/>
      <c r="C252" s="1617"/>
      <c r="D252" s="1617"/>
      <c r="E252" s="1617"/>
      <c r="F252" s="1618"/>
      <c r="G252" s="682">
        <f>SUMIF(F16:F238,"SB(ES)",G16:G238)</f>
        <v>501</v>
      </c>
      <c r="H252" s="691">
        <f>SUMIF(F16:F238,"SB(ES)",H16:H238)</f>
        <v>0</v>
      </c>
      <c r="I252" s="321">
        <f>SUMIF(F16:F238,"SB(ES)",I16:I238)</f>
        <v>0</v>
      </c>
      <c r="J252" s="10"/>
      <c r="K252" s="2"/>
      <c r="L252" s="2"/>
      <c r="M252" s="2"/>
    </row>
    <row r="253" spans="1:24" ht="14.25" customHeight="1" x14ac:dyDescent="0.2">
      <c r="A253" s="1607" t="s">
        <v>45</v>
      </c>
      <c r="B253" s="1608"/>
      <c r="C253" s="1608"/>
      <c r="D253" s="1608"/>
      <c r="E253" s="1608"/>
      <c r="F253" s="1609"/>
      <c r="G253" s="683">
        <f>SUMIF(F16:F238,"SB(L)",G16:G238)</f>
        <v>6877.3</v>
      </c>
      <c r="H253" s="605">
        <f>SUMIF(F16:F238,"SB(L)",H16:H238)</f>
        <v>0</v>
      </c>
      <c r="I253" s="322">
        <f>SUMIF(F16:F238,"SB(L)",I16:I238)</f>
        <v>0</v>
      </c>
      <c r="J253" s="10"/>
      <c r="K253" s="2"/>
      <c r="L253" s="2"/>
      <c r="M253" s="2"/>
    </row>
    <row r="254" spans="1:24" x14ac:dyDescent="0.2">
      <c r="A254" s="1610" t="s">
        <v>13</v>
      </c>
      <c r="B254" s="1611"/>
      <c r="C254" s="1611"/>
      <c r="D254" s="1611"/>
      <c r="E254" s="1611"/>
      <c r="F254" s="1612"/>
      <c r="G254" s="684">
        <f>SUM(G255:G256)</f>
        <v>1.5</v>
      </c>
      <c r="H254" s="690">
        <f>SUM(H255:H256)</f>
        <v>30</v>
      </c>
      <c r="I254" s="685">
        <f>SUM(I255:I256)</f>
        <v>263.39999999999998</v>
      </c>
      <c r="J254" s="10"/>
      <c r="K254" s="2"/>
      <c r="L254" s="2"/>
      <c r="M254" s="2"/>
    </row>
    <row r="255" spans="1:24" x14ac:dyDescent="0.2">
      <c r="A255" s="1613" t="s">
        <v>305</v>
      </c>
      <c r="B255" s="1614"/>
      <c r="C255" s="1614"/>
      <c r="D255" s="1614"/>
      <c r="E255" s="1614"/>
      <c r="F255" s="1615"/>
      <c r="G255" s="682">
        <f>SUMIF(F16:F238,"ES",G16:G238)</f>
        <v>0</v>
      </c>
      <c r="H255" s="689">
        <f>SUMIF(F16:F238,"ES",H16:H238)</f>
        <v>0</v>
      </c>
      <c r="I255" s="681">
        <f>SUMIF(F16:F238,"ES",I16:I238)</f>
        <v>233.4</v>
      </c>
      <c r="J255" s="10"/>
      <c r="K255" s="2"/>
      <c r="L255" s="2"/>
      <c r="M255" s="2"/>
    </row>
    <row r="256" spans="1:24" ht="15.75" customHeight="1" x14ac:dyDescent="0.2">
      <c r="A256" s="1590" t="s">
        <v>18</v>
      </c>
      <c r="B256" s="1591"/>
      <c r="C256" s="1591"/>
      <c r="D256" s="1591"/>
      <c r="E256" s="1591"/>
      <c r="F256" s="1592"/>
      <c r="G256" s="682">
        <f>SUMIF(F16:F238,"Kt",G16:G238)</f>
        <v>1.5</v>
      </c>
      <c r="H256" s="689">
        <f>SUMIF(F16:F238,"Kt",H16:H238)</f>
        <v>30</v>
      </c>
      <c r="I256" s="681">
        <f>SUMIF(F16:F238,"Kt",I16:I238)</f>
        <v>30</v>
      </c>
      <c r="J256" s="10"/>
      <c r="K256" s="2"/>
      <c r="L256" s="2"/>
      <c r="M256" s="2"/>
    </row>
    <row r="257" spans="1:44" ht="15" customHeight="1" thickBot="1" x14ac:dyDescent="0.25">
      <c r="A257" s="1604" t="s">
        <v>14</v>
      </c>
      <c r="B257" s="1605"/>
      <c r="C257" s="1605"/>
      <c r="D257" s="1605"/>
      <c r="E257" s="1605"/>
      <c r="F257" s="1606"/>
      <c r="G257" s="686">
        <f>SUM(G243,G254)</f>
        <v>21444</v>
      </c>
      <c r="H257" s="688">
        <f>SUM(H243,H254)</f>
        <v>27294.3</v>
      </c>
      <c r="I257" s="687">
        <f>SUM(I243,I254)</f>
        <v>31009.200000000001</v>
      </c>
      <c r="J257" s="97"/>
      <c r="K257" s="2"/>
      <c r="L257" s="2"/>
      <c r="M257" s="2"/>
    </row>
    <row r="258" spans="1:44" x14ac:dyDescent="0.2">
      <c r="F258" s="162"/>
      <c r="G258" s="1125"/>
      <c r="H258" s="1125"/>
      <c r="I258" s="1124"/>
      <c r="J258" s="1"/>
      <c r="K258" s="2"/>
      <c r="L258" s="2"/>
      <c r="M258" s="2"/>
    </row>
    <row r="259" spans="1:44" x14ac:dyDescent="0.2">
      <c r="G259" s="772"/>
      <c r="H259" s="98"/>
      <c r="I259" s="1126"/>
      <c r="J259" s="850"/>
      <c r="K259" s="2"/>
      <c r="L259" s="2"/>
      <c r="M259" s="2"/>
    </row>
    <row r="260" spans="1:44" x14ac:dyDescent="0.2">
      <c r="G260" s="10"/>
      <c r="H260" s="10"/>
      <c r="I260" s="10"/>
      <c r="J260" s="825"/>
      <c r="K260" s="784"/>
      <c r="L260" s="784"/>
      <c r="M260" s="2"/>
    </row>
    <row r="261" spans="1:44" x14ac:dyDescent="0.2">
      <c r="G261" s="9"/>
      <c r="H261" s="9"/>
      <c r="I261" s="9"/>
      <c r="J261" s="825"/>
      <c r="K261" s="2"/>
      <c r="L261" s="2"/>
      <c r="M261" s="2"/>
    </row>
    <row r="262" spans="1:44" s="10" customFormat="1" x14ac:dyDescent="0.2">
      <c r="A262" s="3"/>
      <c r="B262" s="3"/>
      <c r="C262" s="3"/>
      <c r="D262" s="3"/>
      <c r="E262" s="8"/>
      <c r="G262" s="9"/>
      <c r="H262" s="9"/>
      <c r="I262" s="9"/>
      <c r="K262" s="783"/>
      <c r="L262" s="783"/>
      <c r="M262" s="2"/>
      <c r="N262" s="2"/>
      <c r="O262" s="2"/>
      <c r="P262" s="2"/>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row>
    <row r="263" spans="1:44" s="10" customFormat="1" x14ac:dyDescent="0.2">
      <c r="A263" s="3"/>
      <c r="B263" s="3"/>
      <c r="C263" s="3"/>
      <c r="D263" s="3"/>
      <c r="E263" s="8"/>
      <c r="G263" s="9"/>
      <c r="H263" s="9"/>
      <c r="I263" s="9"/>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row>
    <row r="264" spans="1:44" s="10" customFormat="1" x14ac:dyDescent="0.2">
      <c r="A264" s="3"/>
      <c r="B264" s="3"/>
      <c r="C264" s="3"/>
      <c r="D264" s="3"/>
      <c r="E264" s="8"/>
      <c r="G264" s="9"/>
      <c r="H264" s="9"/>
      <c r="I264" s="9"/>
      <c r="J264" s="825"/>
      <c r="K264" s="783"/>
      <c r="L264" s="2"/>
      <c r="M264" s="2"/>
      <c r="N264" s="2"/>
      <c r="O264" s="2"/>
      <c r="P264" s="2"/>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row>
    <row r="265" spans="1:44" x14ac:dyDescent="0.2">
      <c r="G265" s="792"/>
      <c r="H265" s="792"/>
      <c r="I265" s="792"/>
      <c r="J265" s="10"/>
      <c r="K265" s="2"/>
      <c r="L265" s="2"/>
      <c r="M265" s="2"/>
    </row>
    <row r="266" spans="1:44" x14ac:dyDescent="0.2">
      <c r="G266" s="10"/>
      <c r="H266" s="10"/>
      <c r="I266" s="10"/>
      <c r="J266" s="10"/>
      <c r="K266" s="2"/>
      <c r="L266" s="2"/>
      <c r="M266" s="2"/>
    </row>
    <row r="267" spans="1:44" x14ac:dyDescent="0.2">
      <c r="G267" s="10"/>
      <c r="H267" s="10"/>
      <c r="I267" s="10"/>
      <c r="J267" s="10"/>
      <c r="K267" s="2"/>
      <c r="L267" s="2"/>
      <c r="M267" s="2"/>
    </row>
    <row r="268" spans="1:44" x14ac:dyDescent="0.2">
      <c r="G268" s="10"/>
      <c r="H268" s="10"/>
      <c r="I268" s="10"/>
      <c r="J268" s="10"/>
      <c r="K268" s="2"/>
      <c r="L268" s="2"/>
      <c r="M268" s="2"/>
    </row>
    <row r="269" spans="1:44" x14ac:dyDescent="0.2">
      <c r="G269" s="10"/>
      <c r="H269" s="10"/>
      <c r="I269" s="10"/>
      <c r="J269" s="10"/>
      <c r="K269" s="2"/>
      <c r="L269" s="2"/>
      <c r="M269" s="2"/>
    </row>
    <row r="270" spans="1:44" x14ac:dyDescent="0.2">
      <c r="G270" s="10"/>
      <c r="H270" s="10"/>
      <c r="I270" s="10"/>
      <c r="J270" s="10"/>
      <c r="K270" s="2"/>
      <c r="L270" s="2"/>
      <c r="M270" s="2"/>
    </row>
    <row r="271" spans="1:44" x14ac:dyDescent="0.2">
      <c r="G271" s="10"/>
      <c r="H271" s="10"/>
      <c r="I271" s="10"/>
      <c r="J271" s="10"/>
      <c r="K271" s="2"/>
      <c r="L271" s="2"/>
      <c r="M271" s="2"/>
    </row>
    <row r="272" spans="1:44" x14ac:dyDescent="0.2">
      <c r="G272" s="10"/>
      <c r="H272" s="10"/>
      <c r="I272" s="10"/>
      <c r="J272" s="10"/>
      <c r="K272" s="2"/>
      <c r="L272" s="2"/>
      <c r="M272" s="2"/>
    </row>
    <row r="273" spans="7:13" x14ac:dyDescent="0.2">
      <c r="G273" s="10"/>
      <c r="H273" s="10"/>
      <c r="I273" s="10"/>
      <c r="J273" s="10"/>
      <c r="K273" s="2"/>
      <c r="L273" s="2"/>
      <c r="M273" s="2"/>
    </row>
    <row r="274" spans="7:13" x14ac:dyDescent="0.2">
      <c r="G274" s="10"/>
      <c r="H274" s="10"/>
      <c r="I274" s="10"/>
      <c r="J274" s="10"/>
      <c r="K274" s="2"/>
      <c r="L274" s="2"/>
      <c r="M274" s="2"/>
    </row>
    <row r="275" spans="7:13" x14ac:dyDescent="0.2">
      <c r="G275" s="10"/>
      <c r="H275" s="10"/>
      <c r="I275" s="10"/>
      <c r="J275" s="10"/>
      <c r="K275" s="2"/>
      <c r="L275" s="2"/>
      <c r="M275" s="2"/>
    </row>
    <row r="276" spans="7:13" x14ac:dyDescent="0.2">
      <c r="G276" s="2"/>
      <c r="H276" s="2"/>
      <c r="I276" s="2"/>
    </row>
    <row r="277" spans="7:13" x14ac:dyDescent="0.2">
      <c r="G277" s="695"/>
      <c r="H277" s="695"/>
      <c r="I277" s="695"/>
    </row>
    <row r="278" spans="7:13" x14ac:dyDescent="0.2">
      <c r="G278" s="9"/>
      <c r="H278" s="9"/>
      <c r="I278" s="9"/>
    </row>
    <row r="279" spans="7:13" x14ac:dyDescent="0.2">
      <c r="G279" s="9"/>
      <c r="H279" s="9"/>
      <c r="I279" s="9"/>
    </row>
    <row r="280" spans="7:13" x14ac:dyDescent="0.2">
      <c r="G280" s="9"/>
      <c r="H280" s="9"/>
      <c r="I280" s="9"/>
    </row>
    <row r="282" spans="7:13" x14ac:dyDescent="0.2">
      <c r="G282" s="9"/>
      <c r="H282" s="9"/>
      <c r="I282" s="9"/>
    </row>
  </sheetData>
  <mergeCells count="167">
    <mergeCell ref="K48:K49"/>
    <mergeCell ref="L48:L49"/>
    <mergeCell ref="M48:M49"/>
    <mergeCell ref="A239:J239"/>
    <mergeCell ref="J226:J227"/>
    <mergeCell ref="B226:B227"/>
    <mergeCell ref="C226:C227"/>
    <mergeCell ref="A245:F245"/>
    <mergeCell ref="A241:F241"/>
    <mergeCell ref="A242:F242"/>
    <mergeCell ref="A243:F243"/>
    <mergeCell ref="C207:C208"/>
    <mergeCell ref="D207:D208"/>
    <mergeCell ref="E207:E208"/>
    <mergeCell ref="D226:D227"/>
    <mergeCell ref="A226:A227"/>
    <mergeCell ref="C221:F221"/>
    <mergeCell ref="D203:D206"/>
    <mergeCell ref="J197:J198"/>
    <mergeCell ref="D209:D213"/>
    <mergeCell ref="J209:J210"/>
    <mergeCell ref="A207:A208"/>
    <mergeCell ref="D201:D202"/>
    <mergeCell ref="J193:J194"/>
    <mergeCell ref="J195:J196"/>
    <mergeCell ref="D223:D225"/>
    <mergeCell ref="C222:G222"/>
    <mergeCell ref="B207:B208"/>
    <mergeCell ref="D214:D216"/>
    <mergeCell ref="J216:J217"/>
    <mergeCell ref="A257:F257"/>
    <mergeCell ref="B237:F237"/>
    <mergeCell ref="B238:F238"/>
    <mergeCell ref="D228:D229"/>
    <mergeCell ref="J228:J229"/>
    <mergeCell ref="D230:D232"/>
    <mergeCell ref="A255:F255"/>
    <mergeCell ref="J234:J235"/>
    <mergeCell ref="D234:D235"/>
    <mergeCell ref="A254:F254"/>
    <mergeCell ref="A250:F250"/>
    <mergeCell ref="A251:F251"/>
    <mergeCell ref="C236:F236"/>
    <mergeCell ref="A256:F256"/>
    <mergeCell ref="A252:F252"/>
    <mergeCell ref="A253:F253"/>
    <mergeCell ref="A248:F248"/>
    <mergeCell ref="A249:F249"/>
    <mergeCell ref="A247:F247"/>
    <mergeCell ref="A246:F246"/>
    <mergeCell ref="A244:F244"/>
    <mergeCell ref="A122:A124"/>
    <mergeCell ref="B122:B124"/>
    <mergeCell ref="C122:C124"/>
    <mergeCell ref="D122:D124"/>
    <mergeCell ref="D166:D169"/>
    <mergeCell ref="J166:J167"/>
    <mergeCell ref="J168:J169"/>
    <mergeCell ref="C159:F159"/>
    <mergeCell ref="C160:J160"/>
    <mergeCell ref="D163:D165"/>
    <mergeCell ref="D134:D135"/>
    <mergeCell ref="D136:D137"/>
    <mergeCell ref="D138:D140"/>
    <mergeCell ref="A147:A148"/>
    <mergeCell ref="B147:B148"/>
    <mergeCell ref="C147:C148"/>
    <mergeCell ref="D147:D148"/>
    <mergeCell ref="A149:A150"/>
    <mergeCell ref="B149:B150"/>
    <mergeCell ref="C149:C150"/>
    <mergeCell ref="D149:D150"/>
    <mergeCell ref="D90:D91"/>
    <mergeCell ref="A76:A80"/>
    <mergeCell ref="B76:B80"/>
    <mergeCell ref="C76:C80"/>
    <mergeCell ref="D76:D80"/>
    <mergeCell ref="A118:A120"/>
    <mergeCell ref="B118:B120"/>
    <mergeCell ref="C118:C120"/>
    <mergeCell ref="D118:D120"/>
    <mergeCell ref="D114:D115"/>
    <mergeCell ref="D116:D117"/>
    <mergeCell ref="A109:A111"/>
    <mergeCell ref="B109:B111"/>
    <mergeCell ref="D109:D111"/>
    <mergeCell ref="D112:D113"/>
    <mergeCell ref="J191:J192"/>
    <mergeCell ref="J136:J137"/>
    <mergeCell ref="C182:J182"/>
    <mergeCell ref="E147:E148"/>
    <mergeCell ref="K147:K148"/>
    <mergeCell ref="L147:L148"/>
    <mergeCell ref="J141:J145"/>
    <mergeCell ref="D177:D179"/>
    <mergeCell ref="D190:D191"/>
    <mergeCell ref="D183:D188"/>
    <mergeCell ref="D155:D156"/>
    <mergeCell ref="D161:D162"/>
    <mergeCell ref="B9:B11"/>
    <mergeCell ref="A13:J13"/>
    <mergeCell ref="A48:A50"/>
    <mergeCell ref="B48:B50"/>
    <mergeCell ref="C48:C50"/>
    <mergeCell ref="D48:D50"/>
    <mergeCell ref="J23:J24"/>
    <mergeCell ref="J25:J26"/>
    <mergeCell ref="B14:J14"/>
    <mergeCell ref="C15:J15"/>
    <mergeCell ref="D16:D22"/>
    <mergeCell ref="J16:J22"/>
    <mergeCell ref="D23:D27"/>
    <mergeCell ref="D28:D32"/>
    <mergeCell ref="J37:J40"/>
    <mergeCell ref="D41:D42"/>
    <mergeCell ref="D45:D47"/>
    <mergeCell ref="D33:D36"/>
    <mergeCell ref="J30:J32"/>
    <mergeCell ref="J48:J49"/>
    <mergeCell ref="M147:M148"/>
    <mergeCell ref="K181:L181"/>
    <mergeCell ref="K178:K179"/>
    <mergeCell ref="D132:D133"/>
    <mergeCell ref="J170:J171"/>
    <mergeCell ref="C181:F181"/>
    <mergeCell ref="J147:J148"/>
    <mergeCell ref="D151:D154"/>
    <mergeCell ref="A12:J12"/>
    <mergeCell ref="D60:D63"/>
    <mergeCell ref="E62:E66"/>
    <mergeCell ref="A56:A59"/>
    <mergeCell ref="A51:A53"/>
    <mergeCell ref="B56:B59"/>
    <mergeCell ref="C56:C59"/>
    <mergeCell ref="D56:D59"/>
    <mergeCell ref="B51:B53"/>
    <mergeCell ref="C51:C53"/>
    <mergeCell ref="D51:D53"/>
    <mergeCell ref="D92:D93"/>
    <mergeCell ref="D105:D108"/>
    <mergeCell ref="A85:A89"/>
    <mergeCell ref="B85:B89"/>
    <mergeCell ref="C85:C89"/>
    <mergeCell ref="J92:J93"/>
    <mergeCell ref="D94:D99"/>
    <mergeCell ref="J99:J100"/>
    <mergeCell ref="D81:D84"/>
    <mergeCell ref="D54:D55"/>
    <mergeCell ref="D141:D145"/>
    <mergeCell ref="J1:M1"/>
    <mergeCell ref="A4:M4"/>
    <mergeCell ref="A5:M5"/>
    <mergeCell ref="A6:M6"/>
    <mergeCell ref="J9:M9"/>
    <mergeCell ref="K10:M10"/>
    <mergeCell ref="G9:G11"/>
    <mergeCell ref="H9:H11"/>
    <mergeCell ref="I9:I11"/>
    <mergeCell ref="J8:M8"/>
    <mergeCell ref="A7:J7"/>
    <mergeCell ref="A9:A11"/>
    <mergeCell ref="C9:C11"/>
    <mergeCell ref="D9:D11"/>
    <mergeCell ref="E9:E11"/>
    <mergeCell ref="F9:F11"/>
    <mergeCell ref="J10:J11"/>
    <mergeCell ref="J2:M2"/>
  </mergeCells>
  <printOptions horizontalCentered="1"/>
  <pageMargins left="0.78740157480314965" right="0.39370078740157483" top="0.39370078740157483" bottom="0.39370078740157483" header="0" footer="0"/>
  <pageSetup paperSize="9" scale="63" fitToHeight="0" orientation="portrait" r:id="rId1"/>
  <rowBreaks count="4" manualBreakCount="4">
    <brk id="67" max="12" man="1"/>
    <brk id="117" max="12" man="1"/>
    <brk id="165" max="12" man="1"/>
    <brk id="221" max="12"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Įvardinti diapazonai</vt:lpstr>
      </vt:variant>
      <vt:variant>
        <vt:i4>4</vt:i4>
      </vt:variant>
    </vt:vector>
  </HeadingPairs>
  <TitlesOfParts>
    <vt:vector size="6" baseType="lpstr">
      <vt:lpstr>Aiškinamoji lentelė</vt:lpstr>
      <vt:lpstr>7 programa </vt:lpstr>
      <vt:lpstr>'7 programa '!Print_Area</vt:lpstr>
      <vt:lpstr>'Aiškinamoji lentelė'!Print_Area</vt:lpstr>
      <vt:lpstr>'7 programa '!Print_Titles</vt:lpstr>
      <vt:lpstr>'Aiškinamoji lentelė'!Print_Titles</vt:lpstr>
    </vt:vector>
  </TitlesOfParts>
  <Company>valdyba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A.Cepiene</dc:creator>
  <cp:lastModifiedBy>Inga Mikalauskienė</cp:lastModifiedBy>
  <cp:lastPrinted>2023-01-04T08:46:47Z</cp:lastPrinted>
  <dcterms:created xsi:type="dcterms:W3CDTF">2007-07-27T10:32:34Z</dcterms:created>
  <dcterms:modified xsi:type="dcterms:W3CDTF">2023-01-25T12:41:52Z</dcterms:modified>
</cp:coreProperties>
</file>