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O PROJEKTAS\"/>
    </mc:Choice>
  </mc:AlternateContent>
  <bookViews>
    <workbookView xWindow="0" yWindow="0" windowWidth="27405" windowHeight="15135" firstSheet="1" activeTab="1"/>
  </bookViews>
  <sheets>
    <sheet name="Lyginamasis" sheetId="10" state="hidden" r:id="rId1"/>
    <sheet name="IP sarasas" sheetId="11" r:id="rId2"/>
  </sheets>
  <definedNames>
    <definedName name="_xlnm.Print_Area" localSheetId="1">'IP sarasas'!$A$1:$K$139</definedName>
    <definedName name="_xlnm.Print_Area" localSheetId="0">Lyginamasis!$A$1:$X$125</definedName>
    <definedName name="_xlnm.Print_Titles" localSheetId="0">Lyginamasis!$4:$6</definedName>
  </definedNames>
  <calcPr calcId="191029" concurrentCalc="0"/>
</workbook>
</file>

<file path=xl/calcChain.xml><?xml version="1.0" encoding="utf-8"?>
<calcChain xmlns="http://schemas.openxmlformats.org/spreadsheetml/2006/main">
  <c r="F88" i="11" l="1"/>
  <c r="F87" i="11"/>
  <c r="G75" i="11"/>
  <c r="G136" i="11"/>
  <c r="I126" i="11"/>
  <c r="G126" i="11"/>
  <c r="G100" i="11"/>
  <c r="K21" i="11"/>
  <c r="H21" i="11"/>
  <c r="G21" i="11"/>
  <c r="F20" i="11"/>
  <c r="F17" i="11"/>
  <c r="F18" i="11"/>
  <c r="K100" i="11"/>
  <c r="I119" i="11"/>
  <c r="F135" i="11"/>
  <c r="F107" i="11"/>
  <c r="F102" i="11"/>
  <c r="F103" i="11"/>
  <c r="F134" i="11"/>
  <c r="F125" i="11"/>
  <c r="F118" i="11"/>
  <c r="F117" i="11"/>
  <c r="K103" i="11"/>
  <c r="J103" i="11"/>
  <c r="I103" i="11"/>
  <c r="H103" i="11"/>
  <c r="G103" i="11"/>
  <c r="F95" i="11"/>
  <c r="F96" i="11"/>
  <c r="F99" i="11"/>
  <c r="F74" i="11"/>
  <c r="F73" i="11"/>
  <c r="F72" i="11"/>
  <c r="F71" i="11"/>
  <c r="F70" i="11"/>
  <c r="F69" i="11"/>
  <c r="F68" i="11"/>
  <c r="F62" i="11"/>
  <c r="F57" i="11"/>
  <c r="F51" i="11"/>
  <c r="F50" i="11"/>
  <c r="G67" i="11"/>
  <c r="F65" i="11"/>
  <c r="F64" i="11"/>
  <c r="J48" i="11"/>
  <c r="H45" i="11"/>
  <c r="I44" i="11"/>
  <c r="H42" i="11"/>
  <c r="K42" i="11"/>
  <c r="J42" i="11"/>
  <c r="I42" i="11"/>
  <c r="F41" i="11"/>
  <c r="F38" i="11"/>
  <c r="F37" i="11"/>
  <c r="F36" i="11"/>
  <c r="F35" i="11"/>
  <c r="F34" i="11"/>
  <c r="F33" i="11"/>
  <c r="F32" i="11"/>
  <c r="F31" i="11"/>
  <c r="F30" i="11"/>
  <c r="K9" i="11"/>
  <c r="J9" i="11"/>
  <c r="I9" i="11"/>
  <c r="H9" i="11"/>
  <c r="G9" i="11"/>
  <c r="F8" i="11"/>
  <c r="G108" i="11"/>
  <c r="F108" i="11"/>
  <c r="K92" i="11"/>
  <c r="J92" i="11"/>
  <c r="I92" i="11"/>
  <c r="H92" i="11"/>
  <c r="G91" i="11"/>
  <c r="F91" i="11"/>
  <c r="G90" i="11"/>
  <c r="F90" i="11"/>
  <c r="G85" i="11"/>
  <c r="F85" i="11"/>
  <c r="G83" i="11"/>
  <c r="G63" i="11"/>
  <c r="G55" i="11"/>
  <c r="G53" i="11"/>
  <c r="G26" i="11"/>
  <c r="H11" i="11"/>
  <c r="H15" i="11"/>
  <c r="G11" i="11"/>
  <c r="G15" i="11"/>
  <c r="H112" i="11"/>
  <c r="H119" i="11"/>
  <c r="H130" i="11"/>
  <c r="H136" i="11"/>
  <c r="G106" i="11"/>
  <c r="G119" i="11"/>
  <c r="I21" i="11"/>
  <c r="G79" i="11"/>
  <c r="F79" i="11"/>
  <c r="G54" i="11"/>
  <c r="F54" i="11"/>
  <c r="G46" i="11"/>
  <c r="G40" i="11"/>
  <c r="F40" i="11"/>
  <c r="J57" i="10"/>
  <c r="G57" i="10"/>
  <c r="J96" i="10"/>
  <c r="J95" i="10"/>
  <c r="J80" i="10"/>
  <c r="J79" i="10"/>
  <c r="F112" i="11"/>
  <c r="J78" i="10"/>
  <c r="H94" i="11"/>
  <c r="H100" i="11"/>
  <c r="J56" i="10"/>
  <c r="J52" i="10"/>
  <c r="J28" i="10"/>
  <c r="J83" i="10"/>
  <c r="J81" i="10"/>
  <c r="J75" i="10"/>
  <c r="J73" i="10"/>
  <c r="J51" i="10"/>
  <c r="S48" i="10"/>
  <c r="J48" i="10"/>
  <c r="J46" i="10"/>
  <c r="J45" i="10"/>
  <c r="P44" i="10"/>
  <c r="J44" i="10"/>
  <c r="J41" i="10"/>
  <c r="V12" i="10"/>
  <c r="U12" i="10"/>
  <c r="J12" i="10"/>
  <c r="J104" i="10"/>
  <c r="G104" i="10"/>
  <c r="J101" i="10"/>
  <c r="J94" i="10"/>
  <c r="G105" i="10"/>
  <c r="G106" i="10"/>
  <c r="G98" i="10"/>
  <c r="G99" i="10"/>
  <c r="G100" i="10"/>
  <c r="G101" i="10"/>
  <c r="G102" i="10"/>
  <c r="G103" i="10"/>
  <c r="G94" i="10"/>
  <c r="G96" i="10"/>
  <c r="G97" i="10"/>
  <c r="G93" i="10"/>
  <c r="W105" i="10"/>
  <c r="W106" i="10"/>
  <c r="W99" i="10"/>
  <c r="W100" i="10"/>
  <c r="W101" i="10"/>
  <c r="W102" i="10"/>
  <c r="W103" i="10"/>
  <c r="W104" i="10"/>
  <c r="W94" i="10"/>
  <c r="W95" i="10"/>
  <c r="W96" i="10"/>
  <c r="W97" i="10"/>
  <c r="W98" i="10"/>
  <c r="W93" i="10"/>
  <c r="T105" i="10"/>
  <c r="T106" i="10"/>
  <c r="T98" i="10"/>
  <c r="T99" i="10"/>
  <c r="T100" i="10"/>
  <c r="T101" i="10"/>
  <c r="T102" i="10"/>
  <c r="T103" i="10"/>
  <c r="T104" i="10"/>
  <c r="T94" i="10"/>
  <c r="T95" i="10"/>
  <c r="T96" i="10"/>
  <c r="T97" i="10"/>
  <c r="T93" i="10"/>
  <c r="T107" i="10"/>
  <c r="Q105" i="10"/>
  <c r="Q106" i="10"/>
  <c r="Q98" i="10"/>
  <c r="Q100" i="10"/>
  <c r="Q101" i="10"/>
  <c r="Q102" i="10"/>
  <c r="Q103" i="10"/>
  <c r="Q104" i="10"/>
  <c r="Q94" i="10"/>
  <c r="Q95" i="10"/>
  <c r="Q96" i="10"/>
  <c r="Q97" i="10"/>
  <c r="Q93" i="10"/>
  <c r="N105" i="10"/>
  <c r="N106" i="10"/>
  <c r="N100" i="10"/>
  <c r="N101" i="10"/>
  <c r="N102" i="10"/>
  <c r="N103" i="10"/>
  <c r="N104" i="10"/>
  <c r="N94" i="10"/>
  <c r="N95" i="10"/>
  <c r="N96" i="10"/>
  <c r="N97" i="10"/>
  <c r="N107" i="10"/>
  <c r="N98" i="10"/>
  <c r="N99" i="10"/>
  <c r="N93" i="10"/>
  <c r="K94" i="10"/>
  <c r="H94" i="10"/>
  <c r="K96" i="10"/>
  <c r="K97" i="10"/>
  <c r="K98" i="10"/>
  <c r="H98" i="10"/>
  <c r="K99" i="10"/>
  <c r="K100" i="10"/>
  <c r="K101" i="10"/>
  <c r="K102" i="10"/>
  <c r="H102" i="10"/>
  <c r="K103" i="10"/>
  <c r="K105" i="10"/>
  <c r="H105" i="10"/>
  <c r="K106" i="10"/>
  <c r="H106" i="10"/>
  <c r="K93" i="10"/>
  <c r="P99" i="10"/>
  <c r="G116" i="10"/>
  <c r="G117" i="10"/>
  <c r="G118" i="10"/>
  <c r="G119" i="10"/>
  <c r="G120" i="10"/>
  <c r="G115" i="10"/>
  <c r="G121" i="10"/>
  <c r="W116" i="10"/>
  <c r="W117" i="10"/>
  <c r="W118" i="10"/>
  <c r="W119" i="10"/>
  <c r="W120" i="10"/>
  <c r="W115" i="10"/>
  <c r="T116" i="10"/>
  <c r="T117" i="10"/>
  <c r="T118" i="10"/>
  <c r="T119" i="10"/>
  <c r="T120" i="10"/>
  <c r="T115" i="10"/>
  <c r="Q116" i="10"/>
  <c r="Q117" i="10"/>
  <c r="Q118" i="10"/>
  <c r="Q119" i="10"/>
  <c r="Q120" i="10"/>
  <c r="Q115" i="10"/>
  <c r="N116" i="10"/>
  <c r="H116" i="10"/>
  <c r="N117" i="10"/>
  <c r="N118" i="10"/>
  <c r="N119" i="10"/>
  <c r="N120" i="10"/>
  <c r="H120" i="10"/>
  <c r="N115" i="10"/>
  <c r="K116" i="10"/>
  <c r="K117" i="10"/>
  <c r="K118" i="10"/>
  <c r="K119" i="10"/>
  <c r="H119" i="10"/>
  <c r="K120" i="10"/>
  <c r="K115" i="10"/>
  <c r="G110" i="10"/>
  <c r="G111" i="10"/>
  <c r="G112" i="10"/>
  <c r="G109" i="10"/>
  <c r="W110" i="10"/>
  <c r="W111" i="10"/>
  <c r="W112" i="10"/>
  <c r="W109" i="10"/>
  <c r="T110" i="10"/>
  <c r="T111" i="10"/>
  <c r="T112" i="10"/>
  <c r="T109" i="10"/>
  <c r="Q110" i="10"/>
  <c r="Q111" i="10"/>
  <c r="Q112" i="10"/>
  <c r="Q109" i="10"/>
  <c r="N110" i="10"/>
  <c r="N111" i="10"/>
  <c r="N112" i="10"/>
  <c r="N109" i="10"/>
  <c r="K110" i="10"/>
  <c r="H110" i="10"/>
  <c r="K111" i="10"/>
  <c r="K113" i="10"/>
  <c r="K112" i="10"/>
  <c r="K109" i="10"/>
  <c r="H109" i="10"/>
  <c r="M86" i="10"/>
  <c r="N86" i="10"/>
  <c r="G87" i="10"/>
  <c r="G88" i="10"/>
  <c r="G89" i="10"/>
  <c r="G90" i="10"/>
  <c r="W87" i="10"/>
  <c r="W88" i="10"/>
  <c r="W89" i="10"/>
  <c r="W90" i="10"/>
  <c r="W86" i="10"/>
  <c r="T87" i="10"/>
  <c r="T88" i="10"/>
  <c r="T89" i="10"/>
  <c r="T90" i="10"/>
  <c r="T86" i="10"/>
  <c r="Q87" i="10"/>
  <c r="Q88" i="10"/>
  <c r="H88" i="10"/>
  <c r="Q89" i="10"/>
  <c r="Q90" i="10"/>
  <c r="Q86" i="10"/>
  <c r="N87" i="10"/>
  <c r="N88" i="10"/>
  <c r="N89" i="10"/>
  <c r="N90" i="10"/>
  <c r="K87" i="10"/>
  <c r="K88" i="10"/>
  <c r="K89" i="10"/>
  <c r="K90" i="10"/>
  <c r="K86" i="10"/>
  <c r="G23" i="10"/>
  <c r="G24" i="10"/>
  <c r="G19" i="10"/>
  <c r="G20" i="10"/>
  <c r="G18" i="10"/>
  <c r="T23" i="10"/>
  <c r="T24" i="10"/>
  <c r="T19" i="10"/>
  <c r="T20" i="10"/>
  <c r="T21" i="10"/>
  <c r="T25" i="10"/>
  <c r="T22" i="10"/>
  <c r="T18" i="10"/>
  <c r="W23" i="10"/>
  <c r="W24" i="10"/>
  <c r="W21" i="10"/>
  <c r="W22" i="10"/>
  <c r="W19" i="10"/>
  <c r="W20" i="10"/>
  <c r="W18" i="10"/>
  <c r="Q18" i="10"/>
  <c r="Q24" i="10"/>
  <c r="H24" i="10"/>
  <c r="Q23" i="10"/>
  <c r="Q22" i="10"/>
  <c r="Q21" i="10"/>
  <c r="Q20" i="10"/>
  <c r="Q19" i="10"/>
  <c r="K20" i="10"/>
  <c r="N20" i="10"/>
  <c r="N19" i="10"/>
  <c r="N18" i="10"/>
  <c r="N24" i="10"/>
  <c r="N23" i="10"/>
  <c r="N22" i="10"/>
  <c r="N21" i="10"/>
  <c r="K24" i="10"/>
  <c r="K23" i="10"/>
  <c r="K18" i="10"/>
  <c r="J22" i="10"/>
  <c r="G22" i="10"/>
  <c r="J21" i="10"/>
  <c r="J19" i="10"/>
  <c r="A137" i="11"/>
  <c r="K136" i="11"/>
  <c r="J136" i="11"/>
  <c r="I136" i="11"/>
  <c r="F133" i="11"/>
  <c r="F132" i="11"/>
  <c r="F131" i="11"/>
  <c r="F130" i="11"/>
  <c r="F129" i="11"/>
  <c r="F128" i="11"/>
  <c r="K126" i="11"/>
  <c r="J126" i="11"/>
  <c r="H126" i="11"/>
  <c r="F124" i="11"/>
  <c r="F123" i="11"/>
  <c r="F122" i="11"/>
  <c r="F121" i="11"/>
  <c r="K119" i="11"/>
  <c r="J119" i="11"/>
  <c r="F116" i="11"/>
  <c r="F115" i="11"/>
  <c r="F114" i="11"/>
  <c r="F113" i="11"/>
  <c r="F111" i="11"/>
  <c r="F109" i="11"/>
  <c r="F106" i="11"/>
  <c r="F105" i="11"/>
  <c r="J100" i="11"/>
  <c r="I100" i="11"/>
  <c r="F98" i="11"/>
  <c r="F97" i="11"/>
  <c r="F89" i="11"/>
  <c r="G86" i="11"/>
  <c r="F86" i="11"/>
  <c r="G92" i="11"/>
  <c r="F84" i="11"/>
  <c r="F83" i="11"/>
  <c r="F82" i="11"/>
  <c r="F81" i="11"/>
  <c r="F80" i="11"/>
  <c r="F78" i="11"/>
  <c r="K76" i="11"/>
  <c r="I76" i="11"/>
  <c r="F75" i="11"/>
  <c r="F67" i="11"/>
  <c r="F66" i="11"/>
  <c r="F63" i="11"/>
  <c r="F61" i="11"/>
  <c r="F60" i="11"/>
  <c r="F59" i="11"/>
  <c r="F58" i="11"/>
  <c r="F56" i="11"/>
  <c r="F55" i="11"/>
  <c r="F53" i="11"/>
  <c r="F52" i="11"/>
  <c r="F49" i="11"/>
  <c r="F48" i="11"/>
  <c r="G76" i="11"/>
  <c r="F46" i="11"/>
  <c r="H76" i="11"/>
  <c r="F44" i="11"/>
  <c r="F39" i="11"/>
  <c r="F29" i="11"/>
  <c r="F28" i="11"/>
  <c r="F27" i="11"/>
  <c r="F26" i="11"/>
  <c r="F25" i="11"/>
  <c r="F24" i="11"/>
  <c r="F23" i="11"/>
  <c r="J21" i="11"/>
  <c r="F19" i="11"/>
  <c r="K15" i="11"/>
  <c r="J15" i="11"/>
  <c r="I15" i="11"/>
  <c r="F14" i="11"/>
  <c r="F13" i="11"/>
  <c r="F12" i="11"/>
  <c r="F9" i="11"/>
  <c r="F94" i="11"/>
  <c r="I137" i="11"/>
  <c r="K137" i="11"/>
  <c r="F47" i="11"/>
  <c r="F110" i="11"/>
  <c r="F45" i="11"/>
  <c r="F76" i="11"/>
  <c r="J76" i="11"/>
  <c r="J137" i="11"/>
  <c r="V121" i="10"/>
  <c r="T121" i="10"/>
  <c r="S121" i="10"/>
  <c r="Q121" i="10"/>
  <c r="P121" i="10"/>
  <c r="N121" i="10"/>
  <c r="M121" i="10"/>
  <c r="J121" i="10"/>
  <c r="W113" i="10"/>
  <c r="V113" i="10"/>
  <c r="T113" i="10"/>
  <c r="S113" i="10"/>
  <c r="P113" i="10"/>
  <c r="N113" i="10"/>
  <c r="M113" i="10"/>
  <c r="J113" i="10"/>
  <c r="G113" i="10"/>
  <c r="V107" i="10"/>
  <c r="S107" i="10"/>
  <c r="R107" i="10"/>
  <c r="P107" i="10"/>
  <c r="M107" i="10"/>
  <c r="J107" i="10"/>
  <c r="W91" i="10"/>
  <c r="V91" i="10"/>
  <c r="U91" i="10"/>
  <c r="S91" i="10"/>
  <c r="R91" i="10"/>
  <c r="P91" i="10"/>
  <c r="O91" i="10"/>
  <c r="O122" i="10"/>
  <c r="M91" i="10"/>
  <c r="J91" i="10"/>
  <c r="W25" i="10"/>
  <c r="U25" i="10"/>
  <c r="V25" i="10"/>
  <c r="S25" i="10"/>
  <c r="R25" i="10"/>
  <c r="Q25" i="10"/>
  <c r="P25" i="10"/>
  <c r="O25" i="10"/>
  <c r="N25" i="10"/>
  <c r="M25" i="10"/>
  <c r="L25" i="10"/>
  <c r="T83" i="10"/>
  <c r="W81" i="10"/>
  <c r="W82" i="10"/>
  <c r="W83" i="10"/>
  <c r="T81" i="10"/>
  <c r="T82" i="10"/>
  <c r="Q80" i="10"/>
  <c r="Q81" i="10"/>
  <c r="Q82" i="10"/>
  <c r="Q83" i="10"/>
  <c r="N80" i="10"/>
  <c r="N81" i="10"/>
  <c r="N82" i="10"/>
  <c r="N83" i="10"/>
  <c r="K80" i="10"/>
  <c r="K81" i="10"/>
  <c r="K83" i="10"/>
  <c r="W73" i="10"/>
  <c r="W74" i="10"/>
  <c r="W75" i="10"/>
  <c r="W76" i="10"/>
  <c r="W77" i="10"/>
  <c r="W78" i="10"/>
  <c r="W79" i="10"/>
  <c r="W80" i="10"/>
  <c r="W72" i="10"/>
  <c r="W84" i="10"/>
  <c r="T73" i="10"/>
  <c r="T74" i="10"/>
  <c r="T75" i="10"/>
  <c r="T76" i="10"/>
  <c r="T77" i="10"/>
  <c r="H77" i="10"/>
  <c r="T78" i="10"/>
  <c r="T79" i="10"/>
  <c r="T80" i="10"/>
  <c r="T72" i="10"/>
  <c r="T84" i="10"/>
  <c r="Q73" i="10"/>
  <c r="Q74" i="10"/>
  <c r="Q75" i="10"/>
  <c r="Q76" i="10"/>
  <c r="Q77" i="10"/>
  <c r="Q78" i="10"/>
  <c r="Q79" i="10"/>
  <c r="Q72" i="10"/>
  <c r="N73" i="10"/>
  <c r="N74" i="10"/>
  <c r="N75" i="10"/>
  <c r="N76" i="10"/>
  <c r="N77" i="10"/>
  <c r="N78" i="10"/>
  <c r="N79" i="10"/>
  <c r="N72" i="10"/>
  <c r="N84" i="10"/>
  <c r="K73" i="10"/>
  <c r="K74" i="10"/>
  <c r="K75" i="10"/>
  <c r="H75" i="10"/>
  <c r="K76" i="10"/>
  <c r="K77" i="10"/>
  <c r="K78" i="10"/>
  <c r="K79" i="10"/>
  <c r="H79" i="10"/>
  <c r="K72" i="10"/>
  <c r="H72" i="10"/>
  <c r="J82" i="10"/>
  <c r="J84" i="10"/>
  <c r="V84" i="10"/>
  <c r="S84" i="10"/>
  <c r="P84" i="10"/>
  <c r="M84" i="10"/>
  <c r="G83" i="10"/>
  <c r="G81" i="10"/>
  <c r="G80" i="10"/>
  <c r="G79" i="10"/>
  <c r="G78" i="10"/>
  <c r="G77" i="10"/>
  <c r="G76" i="10"/>
  <c r="G75" i="10"/>
  <c r="G74" i="10"/>
  <c r="G73" i="10"/>
  <c r="G72" i="10"/>
  <c r="T15" i="10"/>
  <c r="W15" i="10"/>
  <c r="W13" i="10"/>
  <c r="W14" i="10"/>
  <c r="T12" i="10"/>
  <c r="T13" i="10"/>
  <c r="T16" i="10"/>
  <c r="T14" i="10"/>
  <c r="T11" i="10"/>
  <c r="Q12" i="10"/>
  <c r="Q13" i="10"/>
  <c r="Q14" i="10"/>
  <c r="Q15" i="10"/>
  <c r="Q11" i="10"/>
  <c r="T34" i="10"/>
  <c r="T35" i="10"/>
  <c r="T36" i="10"/>
  <c r="T37" i="10"/>
  <c r="T38" i="10"/>
  <c r="T39" i="10"/>
  <c r="T40" i="10"/>
  <c r="T41" i="10"/>
  <c r="T28" i="10"/>
  <c r="T29" i="10"/>
  <c r="T30" i="10"/>
  <c r="T31" i="10"/>
  <c r="T32" i="10"/>
  <c r="T33" i="10"/>
  <c r="T27" i="10"/>
  <c r="W38" i="10"/>
  <c r="W39" i="10"/>
  <c r="W40" i="10"/>
  <c r="H40" i="10"/>
  <c r="W41" i="10"/>
  <c r="W34" i="10"/>
  <c r="W35" i="10"/>
  <c r="W36" i="10"/>
  <c r="W37" i="10"/>
  <c r="W44" i="10"/>
  <c r="W45" i="10"/>
  <c r="W46" i="10"/>
  <c r="W28" i="10"/>
  <c r="W29" i="10"/>
  <c r="W30" i="10"/>
  <c r="W31" i="10"/>
  <c r="W32" i="10"/>
  <c r="W33" i="10"/>
  <c r="W27" i="10"/>
  <c r="W68" i="10"/>
  <c r="W69" i="10"/>
  <c r="W65" i="10"/>
  <c r="W66" i="10"/>
  <c r="W67" i="10"/>
  <c r="W55" i="10"/>
  <c r="W56" i="10"/>
  <c r="W57" i="10"/>
  <c r="W58" i="10"/>
  <c r="H58" i="10"/>
  <c r="W59" i="10"/>
  <c r="W60" i="10"/>
  <c r="W61" i="10"/>
  <c r="W62" i="10"/>
  <c r="W63" i="10"/>
  <c r="W64" i="10"/>
  <c r="T69" i="10"/>
  <c r="T68" i="10"/>
  <c r="T60" i="10"/>
  <c r="T61" i="10"/>
  <c r="T62" i="10"/>
  <c r="T63" i="10"/>
  <c r="T64" i="10"/>
  <c r="T65" i="10"/>
  <c r="T66" i="10"/>
  <c r="T67" i="10"/>
  <c r="Q66" i="10"/>
  <c r="Q67" i="10"/>
  <c r="Q68" i="10"/>
  <c r="Q69" i="10"/>
  <c r="N65" i="10"/>
  <c r="N66" i="10"/>
  <c r="N67" i="10"/>
  <c r="N68" i="10"/>
  <c r="H68" i="10"/>
  <c r="N69" i="10"/>
  <c r="K65" i="10"/>
  <c r="K66" i="10"/>
  <c r="K67" i="10"/>
  <c r="K68" i="10"/>
  <c r="K69" i="10"/>
  <c r="N60" i="10"/>
  <c r="N61" i="10"/>
  <c r="N62" i="10"/>
  <c r="N63" i="10"/>
  <c r="N64" i="10"/>
  <c r="Q65" i="10"/>
  <c r="Q59" i="10"/>
  <c r="Q60" i="10"/>
  <c r="Q61" i="10"/>
  <c r="Q62" i="10"/>
  <c r="Q63" i="10"/>
  <c r="Q64" i="10"/>
  <c r="K60" i="10"/>
  <c r="K61" i="10"/>
  <c r="H61" i="10"/>
  <c r="K62" i="10"/>
  <c r="K63" i="10"/>
  <c r="K64" i="10"/>
  <c r="H64" i="10"/>
  <c r="W47" i="10"/>
  <c r="W48" i="10"/>
  <c r="W49" i="10"/>
  <c r="W50" i="10"/>
  <c r="W51" i="10"/>
  <c r="W52" i="10"/>
  <c r="W53" i="10"/>
  <c r="W54" i="10"/>
  <c r="T52" i="10"/>
  <c r="T53" i="10"/>
  <c r="T54" i="10"/>
  <c r="T55" i="10"/>
  <c r="T56" i="10"/>
  <c r="T57" i="10"/>
  <c r="T58" i="10"/>
  <c r="T59" i="10"/>
  <c r="Q51" i="10"/>
  <c r="Q52" i="10"/>
  <c r="Q53" i="10"/>
  <c r="Q54" i="10"/>
  <c r="Q55" i="10"/>
  <c r="Q56" i="10"/>
  <c r="Q57" i="10"/>
  <c r="Q58" i="10"/>
  <c r="N52" i="10"/>
  <c r="N53" i="10"/>
  <c r="N54" i="10"/>
  <c r="N55" i="10"/>
  <c r="N56" i="10"/>
  <c r="H56" i="10"/>
  <c r="N57" i="10"/>
  <c r="N58" i="10"/>
  <c r="N59" i="10"/>
  <c r="K52" i="10"/>
  <c r="K53" i="10"/>
  <c r="H53" i="10"/>
  <c r="K54" i="10"/>
  <c r="K55" i="10"/>
  <c r="H55" i="10"/>
  <c r="K56" i="10"/>
  <c r="K58" i="10"/>
  <c r="K59" i="10"/>
  <c r="H59" i="10"/>
  <c r="Q45" i="10"/>
  <c r="Q70" i="10"/>
  <c r="Q46" i="10"/>
  <c r="Q47" i="10"/>
  <c r="Q48" i="10"/>
  <c r="Q49" i="10"/>
  <c r="Q50" i="10"/>
  <c r="T46" i="10"/>
  <c r="T49" i="10"/>
  <c r="T50" i="10"/>
  <c r="T51" i="10"/>
  <c r="Q44" i="10"/>
  <c r="P70" i="10"/>
  <c r="N46" i="10"/>
  <c r="N47" i="10"/>
  <c r="N48" i="10"/>
  <c r="N49" i="10"/>
  <c r="N50" i="10"/>
  <c r="N51" i="10"/>
  <c r="N44" i="10"/>
  <c r="K46" i="10"/>
  <c r="K48" i="10"/>
  <c r="K49" i="10"/>
  <c r="K50" i="10"/>
  <c r="K51" i="10"/>
  <c r="K44" i="10"/>
  <c r="V70" i="10"/>
  <c r="S47" i="10"/>
  <c r="S45" i="10"/>
  <c r="S44" i="10"/>
  <c r="S70" i="10"/>
  <c r="M45" i="10"/>
  <c r="J47" i="10"/>
  <c r="G47" i="10"/>
  <c r="G69" i="10"/>
  <c r="G68" i="10"/>
  <c r="G67" i="10"/>
  <c r="G66" i="10"/>
  <c r="G65" i="10"/>
  <c r="G64" i="10"/>
  <c r="G63" i="10"/>
  <c r="G62" i="10"/>
  <c r="G61" i="10"/>
  <c r="G60" i="10"/>
  <c r="G59" i="10"/>
  <c r="G58" i="10"/>
  <c r="G56" i="10"/>
  <c r="G55" i="10"/>
  <c r="G54" i="10"/>
  <c r="G53" i="10"/>
  <c r="G52" i="10"/>
  <c r="G51" i="10"/>
  <c r="G50" i="10"/>
  <c r="G49" i="10"/>
  <c r="G48" i="10"/>
  <c r="G46" i="10"/>
  <c r="Q28" i="10"/>
  <c r="Q29" i="10"/>
  <c r="Q30" i="10"/>
  <c r="Q31" i="10"/>
  <c r="Q32" i="10"/>
  <c r="Q33" i="10"/>
  <c r="Q34" i="10"/>
  <c r="Q35" i="10"/>
  <c r="Q36" i="10"/>
  <c r="Q37" i="10"/>
  <c r="Q38" i="10"/>
  <c r="Q39" i="10"/>
  <c r="Q40" i="10"/>
  <c r="Q41" i="10"/>
  <c r="Q27" i="10"/>
  <c r="N35" i="10"/>
  <c r="N36" i="10"/>
  <c r="N37" i="10"/>
  <c r="N38" i="10"/>
  <c r="N39" i="10"/>
  <c r="N40" i="10"/>
  <c r="N41" i="10"/>
  <c r="N28" i="10"/>
  <c r="H28" i="10"/>
  <c r="N29" i="10"/>
  <c r="N30" i="10"/>
  <c r="N31" i="10"/>
  <c r="N32" i="10"/>
  <c r="N33" i="10"/>
  <c r="N34" i="10"/>
  <c r="N27" i="10"/>
  <c r="K35" i="10"/>
  <c r="H35" i="10"/>
  <c r="K36" i="10"/>
  <c r="H36" i="10"/>
  <c r="K37" i="10"/>
  <c r="K38" i="10"/>
  <c r="K39" i="10"/>
  <c r="H39" i="10"/>
  <c r="K40" i="10"/>
  <c r="K28" i="10"/>
  <c r="K29" i="10"/>
  <c r="K30" i="10"/>
  <c r="H30" i="10"/>
  <c r="K31" i="10"/>
  <c r="K32" i="10"/>
  <c r="K33" i="10"/>
  <c r="H33" i="10"/>
  <c r="K27" i="10"/>
  <c r="S42" i="10"/>
  <c r="V42" i="10"/>
  <c r="P42" i="10"/>
  <c r="M42" i="10"/>
  <c r="G41" i="10"/>
  <c r="J34" i="10"/>
  <c r="J42" i="10"/>
  <c r="G40" i="10"/>
  <c r="G39" i="10"/>
  <c r="G38" i="10"/>
  <c r="G37" i="10"/>
  <c r="G36" i="10"/>
  <c r="G35" i="10"/>
  <c r="G33" i="10"/>
  <c r="G32" i="10"/>
  <c r="G31" i="10"/>
  <c r="G30" i="10"/>
  <c r="G29" i="10"/>
  <c r="G28" i="10"/>
  <c r="G27" i="10"/>
  <c r="W12" i="10"/>
  <c r="W11" i="10"/>
  <c r="N12" i="10"/>
  <c r="N13" i="10"/>
  <c r="N14" i="10"/>
  <c r="N15" i="10"/>
  <c r="H15" i="10"/>
  <c r="N11" i="10"/>
  <c r="N16" i="10"/>
  <c r="K12" i="10"/>
  <c r="K13" i="10"/>
  <c r="K14" i="10"/>
  <c r="H14" i="10"/>
  <c r="K15" i="10"/>
  <c r="K11" i="10"/>
  <c r="V16" i="10"/>
  <c r="S16" i="10"/>
  <c r="P16" i="10"/>
  <c r="M16" i="10"/>
  <c r="J16" i="10"/>
  <c r="G11" i="10"/>
  <c r="P9" i="10"/>
  <c r="G15" i="10"/>
  <c r="G14" i="10"/>
  <c r="G13" i="10"/>
  <c r="G12" i="10"/>
  <c r="W8" i="10"/>
  <c r="W9" i="10"/>
  <c r="T8" i="10"/>
  <c r="T9" i="10"/>
  <c r="Q8" i="10"/>
  <c r="Q9" i="10"/>
  <c r="N8" i="10"/>
  <c r="N9" i="10"/>
  <c r="K8" i="10"/>
  <c r="H8" i="10"/>
  <c r="H9" i="10"/>
  <c r="G8" i="10"/>
  <c r="G9" i="10"/>
  <c r="V9" i="10"/>
  <c r="S9" i="10"/>
  <c r="M9" i="10"/>
  <c r="J9" i="10"/>
  <c r="Q84" i="10"/>
  <c r="H46" i="10"/>
  <c r="H83" i="10"/>
  <c r="G82" i="10"/>
  <c r="G84" i="10"/>
  <c r="H69" i="10"/>
  <c r="H27" i="10"/>
  <c r="A122" i="10"/>
  <c r="U121" i="10"/>
  <c r="R121" i="10"/>
  <c r="O121" i="10"/>
  <c r="L121" i="10"/>
  <c r="I121" i="10"/>
  <c r="F120" i="10"/>
  <c r="F119" i="10"/>
  <c r="F118" i="10"/>
  <c r="F117" i="10"/>
  <c r="F116" i="10"/>
  <c r="F115" i="10"/>
  <c r="U113" i="10"/>
  <c r="R113" i="10"/>
  <c r="O113" i="10"/>
  <c r="L113" i="10"/>
  <c r="I113" i="10"/>
  <c r="F112" i="10"/>
  <c r="F111" i="10"/>
  <c r="F110" i="10"/>
  <c r="F109" i="10"/>
  <c r="U107" i="10"/>
  <c r="L107" i="10"/>
  <c r="F106" i="10"/>
  <c r="F105" i="10"/>
  <c r="F104" i="10"/>
  <c r="F103" i="10"/>
  <c r="F102" i="10"/>
  <c r="F101" i="10"/>
  <c r="F100" i="10"/>
  <c r="O99" i="10"/>
  <c r="O107" i="10"/>
  <c r="F98" i="10"/>
  <c r="F97" i="10"/>
  <c r="F96" i="10"/>
  <c r="I95" i="10"/>
  <c r="I107" i="10"/>
  <c r="F94" i="10"/>
  <c r="F93" i="10"/>
  <c r="L91" i="10"/>
  <c r="I91" i="10"/>
  <c r="F90" i="10"/>
  <c r="F89" i="10"/>
  <c r="F88" i="10"/>
  <c r="F87" i="10"/>
  <c r="F86" i="10"/>
  <c r="U84" i="10"/>
  <c r="R84" i="10"/>
  <c r="O84" i="10"/>
  <c r="L84" i="10"/>
  <c r="F83" i="10"/>
  <c r="I82" i="10"/>
  <c r="F82" i="10"/>
  <c r="F81" i="10"/>
  <c r="F80" i="10"/>
  <c r="F79" i="10"/>
  <c r="F78" i="10"/>
  <c r="F77" i="10"/>
  <c r="F76" i="10"/>
  <c r="F75" i="10"/>
  <c r="F74" i="10"/>
  <c r="F73" i="10"/>
  <c r="F72" i="10"/>
  <c r="U70" i="10"/>
  <c r="O70" i="10"/>
  <c r="F69" i="10"/>
  <c r="F68" i="10"/>
  <c r="F67" i="10"/>
  <c r="F66" i="10"/>
  <c r="F65" i="10"/>
  <c r="F64" i="10"/>
  <c r="F63" i="10"/>
  <c r="F62" i="10"/>
  <c r="F61" i="10"/>
  <c r="F60" i="10"/>
  <c r="F59" i="10"/>
  <c r="F58" i="10"/>
  <c r="I57" i="10"/>
  <c r="F56" i="10"/>
  <c r="F55" i="10"/>
  <c r="F54" i="10"/>
  <c r="F53" i="10"/>
  <c r="F52" i="10"/>
  <c r="F51" i="10"/>
  <c r="F50" i="10"/>
  <c r="F49" i="10"/>
  <c r="R48" i="10"/>
  <c r="F48" i="10"/>
  <c r="R47" i="10"/>
  <c r="F47" i="10"/>
  <c r="I47" i="10"/>
  <c r="F46" i="10"/>
  <c r="R45" i="10"/>
  <c r="T45" i="10"/>
  <c r="L45" i="10"/>
  <c r="I45" i="10"/>
  <c r="I70" i="10"/>
  <c r="R44" i="10"/>
  <c r="U42" i="10"/>
  <c r="R42" i="10"/>
  <c r="O42" i="10"/>
  <c r="L42" i="10"/>
  <c r="L122" i="10"/>
  <c r="I41" i="10"/>
  <c r="K41" i="10"/>
  <c r="H41" i="10"/>
  <c r="F40" i="10"/>
  <c r="F39" i="10"/>
  <c r="F38" i="10"/>
  <c r="F37" i="10"/>
  <c r="F36" i="10"/>
  <c r="F35" i="10"/>
  <c r="I34" i="10"/>
  <c r="F34" i="10"/>
  <c r="F33" i="10"/>
  <c r="F32" i="10"/>
  <c r="F31" i="10"/>
  <c r="F30" i="10"/>
  <c r="F29" i="10"/>
  <c r="F28" i="10"/>
  <c r="F27" i="10"/>
  <c r="F24" i="10"/>
  <c r="F23" i="10"/>
  <c r="I22" i="10"/>
  <c r="I21" i="10"/>
  <c r="F21" i="10"/>
  <c r="F20" i="10"/>
  <c r="I19" i="10"/>
  <c r="K19" i="10"/>
  <c r="F18" i="10"/>
  <c r="U16" i="10"/>
  <c r="R16" i="10"/>
  <c r="O16" i="10"/>
  <c r="L16" i="10"/>
  <c r="I16" i="10"/>
  <c r="F15" i="10"/>
  <c r="F14" i="10"/>
  <c r="F13" i="10"/>
  <c r="F12" i="10"/>
  <c r="F11" i="10"/>
  <c r="F16" i="10"/>
  <c r="U9" i="10"/>
  <c r="R9" i="10"/>
  <c r="O9" i="10"/>
  <c r="L9" i="10"/>
  <c r="I9" i="10"/>
  <c r="F8" i="10"/>
  <c r="F9" i="10"/>
  <c r="K21" i="10"/>
  <c r="H21" i="10"/>
  <c r="F22" i="10"/>
  <c r="K22" i="10"/>
  <c r="H22" i="10"/>
  <c r="T48" i="10"/>
  <c r="T44" i="10"/>
  <c r="F57" i="10"/>
  <c r="K57" i="10"/>
  <c r="L70" i="10"/>
  <c r="K47" i="10"/>
  <c r="F44" i="10"/>
  <c r="F99" i="10"/>
  <c r="H44" i="10"/>
  <c r="T70" i="10"/>
  <c r="W70" i="10"/>
  <c r="H80" i="10"/>
  <c r="F41" i="10"/>
  <c r="G44" i="10"/>
  <c r="H13" i="10"/>
  <c r="H38" i="10"/>
  <c r="N42" i="10"/>
  <c r="H51" i="10"/>
  <c r="H60" i="10"/>
  <c r="H67" i="10"/>
  <c r="T42" i="10"/>
  <c r="H76" i="10"/>
  <c r="I42" i="10"/>
  <c r="T47" i="10"/>
  <c r="F84" i="10"/>
  <c r="F91" i="10"/>
  <c r="F121" i="10"/>
  <c r="K9" i="10"/>
  <c r="J70" i="10"/>
  <c r="G42" i="10"/>
  <c r="G45" i="10"/>
  <c r="H49" i="10"/>
  <c r="H52" i="10"/>
  <c r="H63" i="10"/>
  <c r="H62" i="10"/>
  <c r="H66" i="10"/>
  <c r="W42" i="10"/>
  <c r="H73" i="10"/>
  <c r="H81" i="10"/>
  <c r="Q91" i="10"/>
  <c r="H18" i="10"/>
  <c r="H25" i="10"/>
  <c r="H23" i="10"/>
  <c r="H90" i="10"/>
  <c r="H89" i="10"/>
  <c r="H101" i="10"/>
  <c r="H97" i="10"/>
  <c r="T91" i="10"/>
  <c r="Q113" i="10"/>
  <c r="H115" i="10"/>
  <c r="H117" i="10"/>
  <c r="W121" i="10"/>
  <c r="Q99" i="10"/>
  <c r="Q107" i="10"/>
  <c r="K104" i="10"/>
  <c r="H104" i="10"/>
  <c r="H100" i="10"/>
  <c r="H96" i="10"/>
  <c r="W107" i="10"/>
  <c r="J25" i="10"/>
  <c r="H20" i="10"/>
  <c r="H112" i="10"/>
  <c r="K121" i="10"/>
  <c r="H118" i="10"/>
  <c r="H93" i="10"/>
  <c r="H103" i="10"/>
  <c r="K95" i="10"/>
  <c r="H47" i="10"/>
  <c r="W16" i="10"/>
  <c r="H32" i="10"/>
  <c r="H29" i="10"/>
  <c r="U122" i="10"/>
  <c r="H57" i="10"/>
  <c r="F113" i="10"/>
  <c r="H11" i="10"/>
  <c r="K16" i="10"/>
  <c r="G34" i="10"/>
  <c r="H31" i="10"/>
  <c r="H37" i="10"/>
  <c r="Q42" i="10"/>
  <c r="M70" i="10"/>
  <c r="H50" i="10"/>
  <c r="H48" i="10"/>
  <c r="H54" i="10"/>
  <c r="H65" i="10"/>
  <c r="Q16" i="10"/>
  <c r="H78" i="10"/>
  <c r="H74" i="10"/>
  <c r="K91" i="10"/>
  <c r="H111" i="10"/>
  <c r="H113" i="10"/>
  <c r="F42" i="11"/>
  <c r="F136" i="11"/>
  <c r="F100" i="11"/>
  <c r="F126" i="11"/>
  <c r="F92" i="11"/>
  <c r="H137" i="11"/>
  <c r="F119" i="11"/>
  <c r="G42" i="11"/>
  <c r="G137" i="11"/>
  <c r="F21" i="11"/>
  <c r="K25" i="10"/>
  <c r="H19" i="10"/>
  <c r="F42" i="10"/>
  <c r="F70" i="10"/>
  <c r="G70" i="10"/>
  <c r="H99" i="10"/>
  <c r="H84" i="10"/>
  <c r="N91" i="10"/>
  <c r="H86" i="10"/>
  <c r="K107" i="10"/>
  <c r="H95" i="10"/>
  <c r="H107" i="10"/>
  <c r="I25" i="10"/>
  <c r="F11" i="11"/>
  <c r="F15" i="11"/>
  <c r="F137" i="11"/>
  <c r="G86" i="10"/>
  <c r="G91" i="10"/>
  <c r="G95" i="10"/>
  <c r="G107" i="10"/>
  <c r="G21" i="10"/>
  <c r="G25" i="10"/>
  <c r="K82" i="10"/>
  <c r="H82" i="10"/>
  <c r="I84" i="10"/>
  <c r="R70" i="10"/>
  <c r="R122" i="10"/>
  <c r="F45" i="10"/>
  <c r="F95" i="10"/>
  <c r="F107" i="10"/>
  <c r="N45" i="10"/>
  <c r="N70" i="10"/>
  <c r="K34" i="10"/>
  <c r="H34" i="10"/>
  <c r="H42" i="10"/>
  <c r="K45" i="10"/>
  <c r="H87" i="10"/>
  <c r="G16" i="10"/>
  <c r="H12" i="10"/>
  <c r="H16" i="10"/>
  <c r="F19" i="10"/>
  <c r="F25" i="10"/>
  <c r="F122" i="10"/>
  <c r="H122" i="10"/>
  <c r="K42" i="10"/>
  <c r="M122" i="10"/>
  <c r="H45" i="10"/>
  <c r="H70" i="10"/>
  <c r="I122" i="10"/>
  <c r="H121" i="10"/>
  <c r="Q122" i="10"/>
  <c r="K70" i="10"/>
  <c r="P122" i="10"/>
  <c r="T122" i="10"/>
  <c r="V122" i="10"/>
  <c r="G122" i="10"/>
  <c r="S122" i="10"/>
  <c r="N122" i="10"/>
  <c r="J122" i="10"/>
  <c r="W122" i="10"/>
  <c r="K122" i="10"/>
  <c r="H91" i="10"/>
  <c r="K84" i="10"/>
</calcChain>
</file>

<file path=xl/comments1.xml><?xml version="1.0" encoding="utf-8"?>
<comments xmlns="http://schemas.openxmlformats.org/spreadsheetml/2006/main">
  <authors>
    <author>Snieguole Kacerauskaite</author>
    <author>Audra Cepiene</author>
    <author>Saulina Paulauskiene</author>
    <author>Asta Česnauskienė</author>
  </authors>
  <commentList>
    <comment ref="B14" authorId="0" shapeId="0">
      <text>
        <r>
          <rPr>
            <sz val="9"/>
            <color indexed="81"/>
            <rFont val="Tahoma"/>
            <family val="2"/>
            <charset val="186"/>
          </rPr>
          <t xml:space="preserve">Bus rengiamas projektas ir atliekami rangos darbai (rekonstrukcija)
</t>
        </r>
      </text>
    </comment>
    <comment ref="B28" authorId="1" shapeId="0">
      <text>
        <r>
          <rPr>
            <sz val="9"/>
            <color indexed="81"/>
            <rFont val="Tahoma"/>
            <family val="2"/>
            <charset val="186"/>
          </rPr>
          <t>Techninis projektas parengtas 2019 m., Parengimo kaina neįtraukta į projekto vertę</t>
        </r>
      </text>
    </comment>
    <comment ref="B62" authorId="0" shapeId="0">
      <text>
        <r>
          <rPr>
            <sz val="9"/>
            <color indexed="81"/>
            <rFont val="Tahoma"/>
            <family val="2"/>
            <charset val="186"/>
          </rPr>
          <t>parengus TP darbų kaina ir terminai bus tikslinami</t>
        </r>
      </text>
    </comment>
    <comment ref="B67" authorId="0" shapeId="0">
      <text>
        <r>
          <rPr>
            <sz val="9"/>
            <color indexed="81"/>
            <rFont val="Tahoma"/>
            <family val="2"/>
            <charset val="186"/>
          </rPr>
          <t xml:space="preserve">parengus TP darbų kaina ir terminai bus tikslinami
</t>
        </r>
      </text>
    </comment>
    <comment ref="B81" authorId="1" shapeId="0">
      <text>
        <r>
          <rPr>
            <sz val="9"/>
            <color indexed="81"/>
            <rFont val="Tahoma"/>
            <family val="2"/>
            <charset val="186"/>
          </rPr>
          <t xml:space="preserve">Techninis projektas parengtas 2019 m., Parengimo kaina neįtraukta prie projekto vertės
</t>
        </r>
      </text>
    </comment>
    <comment ref="I82" authorId="2" shapeId="0">
      <text>
        <r>
          <rPr>
            <sz val="9"/>
            <color indexed="81"/>
            <rFont val="Tahoma"/>
            <family val="2"/>
            <charset val="186"/>
          </rPr>
          <t>Projektas 14,5 tūkst. Eur parengtas 2020 m.</t>
        </r>
      </text>
    </comment>
    <comment ref="J82" authorId="2" shapeId="0">
      <text>
        <r>
          <rPr>
            <sz val="9"/>
            <color indexed="81"/>
            <rFont val="Tahoma"/>
            <family val="2"/>
            <charset val="186"/>
          </rPr>
          <t>Projektas 14,5 tūkst. Eur parengtas 2020 m.</t>
        </r>
      </text>
    </comment>
    <comment ref="F90" authorId="0" shapeId="0">
      <text>
        <r>
          <rPr>
            <sz val="9"/>
            <color indexed="81"/>
            <rFont val="Tahoma"/>
            <family val="2"/>
            <charset val="186"/>
          </rPr>
          <t>Pagal įvykusį architektūrinį konkursą, I vietos laimėtoją projektas padalintas etapais ir jų bendra vertė 48490 tūkst. € (I et. 6650, II et. 5670, III et. 36170). Vertinimo komisijos viena iš išvadų - nesudarinėti sutarčių su projektuotojais.</t>
        </r>
      </text>
    </comment>
    <comment ref="B111" authorId="3" shapeId="0">
      <text>
        <r>
          <rPr>
            <sz val="9"/>
            <color indexed="81"/>
            <rFont val="Tahoma"/>
            <family val="2"/>
            <charset val="186"/>
          </rPr>
          <t>2023-2024 m. bus rengiamas techninis projektas (jo parengimui numatyta 50,0 tūkst. Eur), po jo parengimo paaiškės tikslesnė pastato renovacijos suma</t>
        </r>
        <r>
          <rPr>
            <sz val="9"/>
            <color indexed="81"/>
            <rFont val="Tahoma"/>
            <family val="2"/>
            <charset val="186"/>
          </rPr>
          <t xml:space="preserve">
</t>
        </r>
      </text>
    </comment>
  </commentList>
</comments>
</file>

<file path=xl/comments2.xml><?xml version="1.0" encoding="utf-8"?>
<comments xmlns="http://schemas.openxmlformats.org/spreadsheetml/2006/main">
  <authors>
    <author>Inga Mikalauskienė</author>
    <author>Snieguole Kacerauskaite</author>
    <author>Audra Cepiene</author>
    <author>Rima Ališauskė</author>
    <author>Saulina Paulauskiene</author>
    <author>Asta Česnauskienė</author>
  </authors>
  <commentList>
    <comment ref="B12" authorId="0" shapeId="0">
      <text>
        <r>
          <rPr>
            <sz val="9"/>
            <color indexed="81"/>
            <rFont val="Tahoma"/>
            <family val="2"/>
            <charset val="186"/>
          </rPr>
          <t>Įtrauktas į sąrašą projektų, kurie finansuojami iš 2021-2027 m. laikotarpio  ES lėšų, skirtų Klaipėdos regionui</t>
        </r>
      </text>
    </comment>
    <comment ref="B13" authorId="1" shapeId="0">
      <text>
        <r>
          <rPr>
            <sz val="9"/>
            <color indexed="81"/>
            <rFont val="Tahoma"/>
            <family val="2"/>
            <charset val="186"/>
          </rPr>
          <t xml:space="preserve">Bus rengiamas projektas ir atliekami rangos darbai (rekonstrukcija)
</t>
        </r>
      </text>
    </comment>
    <comment ref="B24" authorId="2" shapeId="0">
      <text>
        <r>
          <rPr>
            <sz val="9"/>
            <color indexed="81"/>
            <rFont val="Tahoma"/>
            <family val="2"/>
            <charset val="186"/>
          </rPr>
          <t>Techninis projektas parengtas 2019 m., Parengimo kaina neįtraukta į projekto vertę</t>
        </r>
      </text>
    </comment>
    <comment ref="B35" authorId="0" shapeId="0">
      <text>
        <r>
          <rPr>
            <sz val="9"/>
            <color indexed="81"/>
            <rFont val="Tahoma"/>
            <family val="2"/>
            <charset val="186"/>
          </rPr>
          <t xml:space="preserve">Įtrauktas į sąrašą projektų, kurie finansuojami iš 2021-2027 m. laikotarpio  ES lėšų, skirtų Klaipėdos regionui
</t>
        </r>
      </text>
    </comment>
    <comment ref="B36" authorId="0" shapeId="0">
      <text>
        <r>
          <rPr>
            <sz val="9"/>
            <color indexed="81"/>
            <rFont val="Tahoma"/>
            <family val="2"/>
            <charset val="186"/>
          </rPr>
          <t xml:space="preserve">Įtrauktas į sąrašą projektų, kurie finansuojami iš 2021-2027 m. laikotarpio  ES lėšų, skirtų Klaipėdos regionui
</t>
        </r>
      </text>
    </comment>
    <comment ref="B37" authorId="0" shapeId="0">
      <text>
        <r>
          <rPr>
            <sz val="9"/>
            <color indexed="81"/>
            <rFont val="Tahoma"/>
            <family val="2"/>
            <charset val="186"/>
          </rPr>
          <t>Įtrauktas į sąrašą projektų, kurie finansuojami iš 2021-2027 m. laikotarpio  ES lėšų, skirtų Klaipėdos regionui</t>
        </r>
      </text>
    </comment>
    <comment ref="B38" authorId="0" shapeId="0">
      <text>
        <r>
          <rPr>
            <sz val="9"/>
            <color indexed="81"/>
            <rFont val="Tahoma"/>
            <family val="2"/>
            <charset val="186"/>
          </rPr>
          <t>Įtrauktas į sąrašą projektų, kurie finansuojami iš 2021-2027 m. laikotarpio  ES lėšų, skirtų Klaipėdos regionui</t>
        </r>
      </text>
    </comment>
    <comment ref="B41" authorId="0" shapeId="0">
      <text>
        <r>
          <rPr>
            <sz val="9"/>
            <color indexed="81"/>
            <rFont val="Tahoma"/>
            <family val="2"/>
            <charset val="186"/>
          </rPr>
          <t>Architektūriniam konkursui</t>
        </r>
      </text>
    </comment>
    <comment ref="B69" authorId="3" shapeId="0">
      <text>
        <r>
          <rPr>
            <b/>
            <sz val="9"/>
            <color indexed="81"/>
            <rFont val="Tahoma"/>
            <family val="2"/>
            <charset val="186"/>
          </rPr>
          <t>Rima Ališauskė:</t>
        </r>
        <r>
          <rPr>
            <sz val="9"/>
            <color indexed="81"/>
            <rFont val="Tahoma"/>
            <family val="2"/>
            <charset val="186"/>
          </rPr>
          <t xml:space="preserve">
techninio projekto rengimas</t>
        </r>
      </text>
    </comment>
    <comment ref="B74" authorId="0" shapeId="0">
      <text>
        <r>
          <rPr>
            <sz val="9"/>
            <color indexed="81"/>
            <rFont val="Tahoma"/>
            <family val="2"/>
            <charset val="186"/>
          </rPr>
          <t>Įtrauktas į sąrašą projektų, kurie finansuojami iš 2021-2027 m. laikotarpio  ES lėšų, skirtų Klaipėdos regionui</t>
        </r>
      </text>
    </comment>
    <comment ref="B75" authorId="0" shapeId="0">
      <text>
        <r>
          <rPr>
            <sz val="9"/>
            <color indexed="81"/>
            <rFont val="Tahoma"/>
            <family val="2"/>
            <charset val="186"/>
          </rPr>
          <t>Įtrauktas į sąrašą projektų, kurie finansuojami iš 2021-2027 m. laikotarpio  ES lėšų, skirtų Klaipėdos regionui</t>
        </r>
      </text>
    </comment>
    <comment ref="B85" authorId="2" shapeId="0">
      <text>
        <r>
          <rPr>
            <sz val="9"/>
            <color indexed="81"/>
            <rFont val="Tahoma"/>
            <family val="2"/>
            <charset val="186"/>
          </rPr>
          <t xml:space="preserve">Techninis projektas parengtas 2019 m., Parengimo kaina neįtraukta prie projekto vertės
</t>
        </r>
      </text>
    </comment>
    <comment ref="G86" authorId="4" shapeId="0">
      <text>
        <r>
          <rPr>
            <sz val="9"/>
            <color indexed="81"/>
            <rFont val="Tahoma"/>
            <family val="2"/>
            <charset val="186"/>
          </rPr>
          <t>Projektas 14,5 tūkst. Eur parengtas 2020 m.</t>
        </r>
      </text>
    </comment>
    <comment ref="B87" authorId="3" shapeId="0">
      <text>
        <r>
          <rPr>
            <sz val="9"/>
            <color indexed="81"/>
            <rFont val="Tahoma"/>
            <family val="2"/>
            <charset val="186"/>
          </rPr>
          <t>Architektūriniam konkursui</t>
        </r>
      </text>
    </comment>
    <comment ref="B88" authorId="0" shapeId="0">
      <text>
        <r>
          <rPr>
            <sz val="9"/>
            <color indexed="81"/>
            <rFont val="Tahoma"/>
            <family val="2"/>
            <charset val="186"/>
          </rPr>
          <t>Įtrauktas į sąrašą projektų, kurie finansuojami iš 2021-2027 m. laikotarpio  ES lėšų, skirtų Klaipėdos regionui</t>
        </r>
      </text>
    </comment>
    <comment ref="B123" authorId="5" shapeId="0">
      <text>
        <r>
          <rPr>
            <sz val="9"/>
            <color indexed="81"/>
            <rFont val="Tahoma"/>
            <family val="2"/>
            <charset val="186"/>
          </rPr>
          <t>2023-2024 m. bus rengiamas techninis projektas (jo parengimui numatyta 50,0 tūkst. Eur), po jo parengimo paaiškės pastato renovacijos suma</t>
        </r>
        <r>
          <rPr>
            <sz val="9"/>
            <color indexed="81"/>
            <rFont val="Tahoma"/>
            <family val="2"/>
            <charset val="186"/>
          </rPr>
          <t xml:space="preserve">
</t>
        </r>
      </text>
    </comment>
  </commentList>
</comments>
</file>

<file path=xl/sharedStrings.xml><?xml version="1.0" encoding="utf-8"?>
<sst xmlns="http://schemas.openxmlformats.org/spreadsheetml/2006/main" count="846" uniqueCount="266">
  <si>
    <t>Lyginamasis variantas</t>
  </si>
  <si>
    <t>INVESTICIJŲ  PROJEKTŲ SĄRAŠAS</t>
  </si>
  <si>
    <t>tūkst. Eur</t>
  </si>
  <si>
    <t>Eil. Nr.</t>
  </si>
  <si>
    <t>Investicijų projekto pavadinimas</t>
  </si>
  <si>
    <t>Atsakingas asmuo</t>
  </si>
  <si>
    <t>Įgyvendinimo terminai</t>
  </si>
  <si>
    <t>Bendra projekto vertė</t>
  </si>
  <si>
    <t>Siūlomas keisti lėšų planas</t>
  </si>
  <si>
    <t>Skirtumas</t>
  </si>
  <si>
    <t>Savivaldybės biudžeto lėšų poreikis</t>
  </si>
  <si>
    <t>Europos Sąjungos ir kita tarptautinė finansinė parama</t>
  </si>
  <si>
    <t>Lietuvos Respublikos valstybės biudžeto lėšų poreikis</t>
  </si>
  <si>
    <t>Kelių priežiūros ir plėtros programos lėšos</t>
  </si>
  <si>
    <t>Kitos lėšos</t>
  </si>
  <si>
    <t>Paaiškinimai</t>
  </si>
  <si>
    <t>pradžia</t>
  </si>
  <si>
    <t>pabaiga</t>
  </si>
  <si>
    <t>Iš viso:</t>
  </si>
  <si>
    <t>SB</t>
  </si>
  <si>
    <t>ES</t>
  </si>
  <si>
    <t xml:space="preserve">VB </t>
  </si>
  <si>
    <t>KPPP</t>
  </si>
  <si>
    <t>Kt</t>
  </si>
  <si>
    <t>01 programa. Miesto urbanistinio planavimo programa</t>
  </si>
  <si>
    <t>1</t>
  </si>
  <si>
    <t>Šv. Jono bažnyčios atstatymas Klaipėdoje</t>
  </si>
  <si>
    <t>R. Zulcas</t>
  </si>
  <si>
    <t>2022</t>
  </si>
  <si>
    <t>projektas</t>
  </si>
  <si>
    <t>02 programa. Ekonominės plėtros programa</t>
  </si>
  <si>
    <t>Savivaldybes jungiančių turizmo trasų ir turizmo maršrutų informacinės infrastruktūros plėtra</t>
  </si>
  <si>
    <t>J. Jasilionienė</t>
  </si>
  <si>
    <t>2018</t>
  </si>
  <si>
    <t>Klaipėdos pilies ir bastionų komplekso restauravimas ir atgaivinimas (II etapas – pilies didžiojo bokšto atkūrimas)</t>
  </si>
  <si>
    <t>D. Stankevičienė</t>
  </si>
  <si>
    <t>2019</t>
  </si>
  <si>
    <t>2026</t>
  </si>
  <si>
    <t xml:space="preserve">Siūloma didinti projekto vertę iki 2 406,6 tūkst. Eur, nes viešųjų pirkimų metu mažiausia tiekėjų siūloma kaina siekė 2.284.207,45 Eur, o suplanuota - 1.750.000,00 Eur, viršijima 534 207,45 Eur. </t>
  </si>
  <si>
    <t>Klaipėdos pilies ir bastionų komplekso restauravimas ir atgaivinimas III etapas – vakarinės kurtinos atkūrimas ir įveiklinimas</t>
  </si>
  <si>
    <t>2023</t>
  </si>
  <si>
    <t>Istorinių krantinių sutvarkymas</t>
  </si>
  <si>
    <t>Ekologinio kempingo įrengimas Smiltynėje</t>
  </si>
  <si>
    <t>2025</t>
  </si>
  <si>
    <t>projektai</t>
  </si>
  <si>
    <t>04 programa. Sveikatos apsaugos programa</t>
  </si>
  <si>
    <t xml:space="preserve">Administracinės paskirties pastato J. Karoso g. 12 rekonstravimas į gydymo paskirties pastatą </t>
  </si>
  <si>
    <t>D. Šakinienė</t>
  </si>
  <si>
    <t>2</t>
  </si>
  <si>
    <t xml:space="preserve">VšĮ Klaipėdos universitetinės ligoninės dalies pastato Liepojos g. 39 rekonstravimas </t>
  </si>
  <si>
    <t>R. Dekėrytė</t>
  </si>
  <si>
    <t>3</t>
  </si>
  <si>
    <t>Pastato Taikos pr. 76 modernizavimas (pastato lauko sienų apšiltinimas, laiptinių remontas)</t>
  </si>
  <si>
    <t>4</t>
  </si>
  <si>
    <t xml:space="preserve">VšĮ Jūrininkų sveikatos priežiūros centro infrastruktūros plėtra (naujo pastato statyba) </t>
  </si>
  <si>
    <t>I. Gustaitienė</t>
  </si>
  <si>
    <t>2024</t>
  </si>
  <si>
    <t>Klaipėdos sutrikusio vystymosi kūdikių namų trumpalaikės socialinės globos atokvėpio paslaugos prieinamumo didinimas (lifto įrengimas)</t>
  </si>
  <si>
    <t>A. Kabalinienė</t>
  </si>
  <si>
    <t>2020</t>
  </si>
  <si>
    <t>Projekto „Paslaugų vaikams su negalia ir jų šeimoms plėtra Klaipėdos regione“ įgyvendinimas</t>
  </si>
  <si>
    <t>R. Perminienė</t>
  </si>
  <si>
    <t>2021</t>
  </si>
  <si>
    <t xml:space="preserve">VšĮ Klaipėdos universitetinės ligoninės modernizavimas </t>
  </si>
  <si>
    <t>S. Tamašauskienė</t>
  </si>
  <si>
    <t>05 programa. Aplinkos apsaugos programa</t>
  </si>
  <si>
    <t>Komunalinių atliekų tvarkymo infrastruktūros plėtra Klaipėdos miesto, Skuodo ir Kretingos rajonų bei Neringos savivaldybėse</t>
  </si>
  <si>
    <t>Sakurų parko įrengimas teritorijoje tarp Žvejų rūmų, Taikos pr., Naikupės g. ir įvažiuojamojo kelio į Žvejų rūmus</t>
  </si>
  <si>
    <t>M. Enciūtė</t>
  </si>
  <si>
    <t xml:space="preserve">Siūloma didinti finansavimo apimtį 289,6 tūkst. Eur, nes kasant tranšėjas paaiškėjo, jog gruntas blogesnis nei buvo galvojama, ir po takais reikia įrengti papildomą drenažą. Todėl buvo suprojektuota papildoma drenažo sistema. Įvertinus šiai dienai žinomus darbus, bei įvertintus dėl naujo projekto parengimo reikalingus pasirašyti papildomus susitarimus reikalingas papildomų lėšų poreikis. </t>
  </si>
  <si>
    <t>Melnragės parko rytinės dalies įrengimas (techninio projekto korektūra)</t>
  </si>
  <si>
    <t>Ąžuolyno giraitės sutvarkymas, gerinant gamtinę aplinką ir skatinant aktyvų laisvalaikį ir lankytojų srautus</t>
  </si>
  <si>
    <t>V. Varnaitė</t>
  </si>
  <si>
    <t>2016</t>
  </si>
  <si>
    <t>Malūno parko teritorijos sutvarkymas, gerinant gamtinę aplinką ir skatinant lankytojų srautus (I ir II etapai)</t>
  </si>
  <si>
    <t>I. Kubilienė</t>
  </si>
  <si>
    <t xml:space="preserve">Dviračių ir pėsčiųjų tako Danės upės slėnio teritorijoje nuo Klaipėdos g. tilto iki miesto ribos įrengimas </t>
  </si>
  <si>
    <t>G. Dovidaitis</t>
  </si>
  <si>
    <t xml:space="preserve">Pėsčiųjų ir dviračių takų ties Minijos g., Pilies g., Baltijos pr., Šilutės pl., Varpų g., Dubysos g., Liubeko g. kapitalinis remontas, siekiant didinti rišlumą </t>
  </si>
  <si>
    <t>L. Karalienė
I. Rakauskienė</t>
  </si>
  <si>
    <t xml:space="preserve">Projekto „Miško parkas“ pėsčiųjų ir dviračių takų įrengimas Smiltynėje (techninis projektas) </t>
  </si>
  <si>
    <t>Dviračių ir pėsčiųjų tilto per Danės upę, jungiančio naująją mokyklą šiaurinėje miesto dalyje su Tauralaukio kvartalu,  statyba (techninis projektas)</t>
  </si>
  <si>
    <t>Urbanistikos ir Architektūros skyrius</t>
  </si>
  <si>
    <t>Dviračių ir pėsčiųjų tako įrengimas nuo Sausio 15-osios g. ir Tilžės g. sankryžos iki Taikos pr. ir Sausio 15-osios sankryžos (techninis projektas)</t>
  </si>
  <si>
    <t>L. Karalienė</t>
  </si>
  <si>
    <t>Dviračių ir pėsčiųjų tako įrengimas Giruliuose (Stoties g., Turistų g., Šlaito g.) (techninis projektas)</t>
  </si>
  <si>
    <t>J. Liubinskienė</t>
  </si>
  <si>
    <t>Dviračių ir pėsčiųjų takų remontas Prano Lideikio g. nuo Liepojos g. iki Molo g.</t>
  </si>
  <si>
    <t>Dviračių ir pėsčiųjų takų remontas H. Manto g. ties Dariaus ir Girėno g. viaduku</t>
  </si>
  <si>
    <t>Triukšmo mažinimo priemonių geležinkeliuose įrengimas Klaipėdos miesto savivaldybėje. II etapas (projektą įgyvendina AB „Lietuvos geležinkeliai“)</t>
  </si>
  <si>
    <t>E. Čerbienė</t>
  </si>
  <si>
    <t>Lietaus nuotekų tinklų įrengimas Turistų gatvėje</t>
  </si>
  <si>
    <t>I. Anoškinė</t>
  </si>
  <si>
    <t xml:space="preserve">Siūloma didinti finansavimo apimtį papildomiems rangos darbams atlikti: AB “Klaipėdos vanduo“ atlikus buitinių nuotekų tinklų diagnostiką, paaiškėjo, kad Turistų g. esančių buitinių nuotekų tinklų būklė labai bloga, vamzdžiai seni ir susidėvėję, būtina keisti buitinių nuotekų šulinius (6 vnt.). Tinklų nuosavybė nenustatyta, todėl vykdant lietaus nuotekų tinklų statybos rangos darbus, iki atstatant asfalto dangą, Savivaldybei būtina pakeisti ir senus buitinių nuotekų tinklus. Turistų g. ypatingai aukštas gruntinio vandens lygis, todėl papildomai atliekami žemės darbai (tranšėjų tvirtinimo darbai, grunto kasimo darbai, reikalingas papildomas adatinių filtrų kiekis), taip pat prieš atstatant asfalto dangą, būtina įrengti kelio pagrindus bei pakeisti senus buitinių nuotekų bei vandentiekio šulinių dangčius. </t>
  </si>
  <si>
    <t>projektų</t>
  </si>
  <si>
    <t>06 programa. Susisiekimo sistemos priežiūros ir plėtros programa</t>
  </si>
  <si>
    <t xml:space="preserve">Baltijos pr. ir Šilutės pl. žiedinės sankryžos rekonstravimas             </t>
  </si>
  <si>
    <t>V. Švedas
V. Tkačik</t>
  </si>
  <si>
    <t>Siūloma didinti finansavimo apimtį 7955,8 tūkst. Eur (SB), nes LR vyriausybės 2022 m. gegužės 18 d. nutarime Nr. 521 rekonstrukcijai numatytas finansavimas 5455,8 tūkst. Eur mažesnis, nei planuota (14208,0 tūkst. Eur). Taip pat siūlome  didinti  projekto vertę iki 47 mln. Eur, didinant 2023 m. rezervą 2,5 mln. Eur dėl neišvengiamai brangstančių resursų.</t>
  </si>
  <si>
    <t>Darnaus judumo priemonių diegimas Klaipėdos mieste (sujungti „Senamiesčio g. rekonstravimas“ ir „Keleivinio transporto stotelių su įvažomis Klaipėdos miesto gatvėse projektavimas ir įrengimas“)</t>
  </si>
  <si>
    <t>I. Dulkytė</t>
  </si>
  <si>
    <t>Siūloma didinti projekto vertę, nes papildomos lėšos reikalingos sutarčių kainų indeksavimui dėl statybinių medžiagų kainų esminių pokyčių rinkoje.</t>
  </si>
  <si>
    <t>Teatro ir Sukilėlių g. rekonstravimas</t>
  </si>
  <si>
    <t>Siūloma didinti projekto vertę, nes papildomos lėšos reikalingos sutarčių  kainų indeksavimui dėl statybinių medžiagų kainų esminių pokyčių rinkoje.</t>
  </si>
  <si>
    <t>Pajūrio g. rekonstravimas</t>
  </si>
  <si>
    <t>V. Švedas</t>
  </si>
  <si>
    <t>2013</t>
  </si>
  <si>
    <t xml:space="preserve">Tauralaukio gyvenvietės gatvių rekonstravimas </t>
  </si>
  <si>
    <t>E. Gudavičius</t>
  </si>
  <si>
    <t>2015</t>
  </si>
  <si>
    <t>Siūloma didinti projekto vertę, nes papildomos lėšos reikalingos sutarčių kainų indeksavimui. Rangovas pateikė informaciją dėl kainų indeksavimo (16,46%) 2021-03-17 pasirašytos viešojo pirkimo sutarties likusiems darbams bei ESO tinklų perkėlimui.</t>
  </si>
  <si>
    <t>Danės g. rekonstravimas</t>
  </si>
  <si>
    <t>2027</t>
  </si>
  <si>
    <t xml:space="preserve">Klemiškės g. rekonstravimas                       </t>
  </si>
  <si>
    <t>Žvejybos produktų iškrovimo vietos prie jūros Klaipėdos miesto teritorijoje įrengimas</t>
  </si>
  <si>
    <t xml:space="preserve">E. Čerbienė 
</t>
  </si>
  <si>
    <t xml:space="preserve">Siūloma didinti projekto vertę. Papildomas lėšų poreikis 2023 m., atsižvelgiant į parengto projekto skaičiuojamąją vertę, 287,3 tūkst. Eur su rezervu. Papildomai reiktų 72,9 tūkst. Eur, nes  rangos darbams atlikti suplanuota tik 214,4 tūkst. Eur. </t>
  </si>
  <si>
    <t>Žvejybos produktų iškrovimo vietos prie Pilies tilto Klaipėdoje įrengimas</t>
  </si>
  <si>
    <t>BĮ Klaipėdos paplūdimiai</t>
  </si>
  <si>
    <t>Siūloma didinti finansavimo apimtį 92,2 tūkst. Eur (ES), nes pateikta paraiška ES lėšoms gauti balandžio 21 d., kuri bus išnagrinėta per tris mėnesius. Bendra projekto vertė didėja nuo 97,1 tūkst. Eur (rangovų pasiūlyta kaina rugsėjo mėn.) iki 145,2 tūkst. Eur dėl didėjančių kainų. Siūloma mažinti finansavimo apimtį 44,1 tūkst. Eur (SB), nes lieka nepanaudotos lėšos.</t>
  </si>
  <si>
    <t>Daugiaaukštės automobilių stovėjimo aikštelės teritorijoje  Bangų g., Klaipėdoje, įrengimas</t>
  </si>
  <si>
    <t>J. Vorobjova</t>
  </si>
  <si>
    <t>Vilniaus dailės akademijos Klaipėdos fakulteto teritorijos sutvarkymas</t>
  </si>
  <si>
    <t>N. Vedeikienė</t>
  </si>
  <si>
    <t>S. Daukanto g. nuo Šaulių g. iki J. Zauerveino g. kapitalinis remontas</t>
  </si>
  <si>
    <t>K. Šakarnis</t>
  </si>
  <si>
    <t>Infrastruktūros įrengimas, reikalingas BRT sistemai funkcionuoti</t>
  </si>
  <si>
    <t>R. Mockus</t>
  </si>
  <si>
    <t>Papildomos lėšos reikalingos projekto paveldosaugos (specialiosios) ekspertizės paslaugų pirkimui.</t>
  </si>
  <si>
    <t xml:space="preserve">Transporto (eismo) valdymo sistemos diegimas </t>
  </si>
  <si>
    <t>V. Paliakas
E. Jurkevičienė
I. Rakauskienė</t>
  </si>
  <si>
    <t xml:space="preserve">Siūloma didinti projekto vertę papildomiems darbams, šalia keičiamų dangų sankryžose yra atsivėrusių daug duobių ir sunkiasvorių automobilių išvažinėtos vėžės. Siūloma naujai asfaltuoti sankryžas: Minijos g.-Aguonos g.-Varnėnų g. 4095, m2; Minijos g.-Lakštčių g. 462 m2; Minijos g.-Rūtų g. 1918 m2; Minijos g.-Bijūnų g. 682 m2; Dariaus ir Girėno g.-Sportininkų g.-J. Janonio g. 3363 m2. </t>
  </si>
  <si>
    <r>
      <t xml:space="preserve">Elektra varomo viešojo transporto naujų galimybių plėtra (DEPO), ELENA </t>
    </r>
    <r>
      <rPr>
        <i/>
        <sz val="10"/>
        <rFont val="Times New Roman"/>
        <family val="1"/>
        <charset val="186"/>
      </rPr>
      <t>(dokumentacijos parengimas</t>
    </r>
    <r>
      <rPr>
        <sz val="10"/>
        <rFont val="Times New Roman"/>
        <family val="1"/>
        <charset val="186"/>
      </rPr>
      <t>)</t>
    </r>
  </si>
  <si>
    <t>2017</t>
  </si>
  <si>
    <t>Dubliuojančios gatvės nuo Šiltnamių g. iki Klaipėdos g. su pėsčiųjų ir dviračių taku ir įvažomis į Liepojos g. įrengimas</t>
  </si>
  <si>
    <t>Mokyklos g. ir Laukų g. žiedinės sankryžos įrengimas</t>
  </si>
  <si>
    <t>Aukštosios g. rekonstrukcija</t>
  </si>
  <si>
    <t>Paryžiaus Komunos g. rekonstravimas (nuo Šilutės pl. iki Taikos pr.)</t>
  </si>
  <si>
    <t>V. Tkačik</t>
  </si>
  <si>
    <t>Jaunystės g. ir privažiuojamojo kelio sankryžos, Rūko g. kapitalinis remontas</t>
  </si>
  <si>
    <t xml:space="preserve">Pastato Pilies g. 2A nugriovimas ir automobilių stovėjimo aikštelės įrengimas </t>
  </si>
  <si>
    <t>R. Stasiulis</t>
  </si>
  <si>
    <t>Esamo melioracinio griovio iškėlimas iš investicinių sklypų Verslo g. ir Metalo g. Klaipėdos laisvosios ekonominės zonos teritorijoje</t>
  </si>
  <si>
    <t>A. Orentienė</t>
  </si>
  <si>
    <t>Žaliosios energijos infrastruktūros įrengimas</t>
  </si>
  <si>
    <t>Smiltynės g. ir krantinės rekonstravimas nuo Jūrų muziejaus iki Senosios Smiltynės perkėlos</t>
  </si>
  <si>
    <t>Klaipėdos miesto viešojo transporto priemonių parko atnaujinimas (naujų autobusų įsigijimas)</t>
  </si>
  <si>
    <t>Eismo reguliavimo įrangos (šviesoforų) modernizavimas žaliosios bangos principu Taikos prospekte</t>
  </si>
  <si>
    <t>V. Paliakas</t>
  </si>
  <si>
    <t>07 programa. Miesto infrastruktūros objektų priežiūros ir modernizavimo programa</t>
  </si>
  <si>
    <t xml:space="preserve">Atgimimo aikštės sutvarkymas, didinant patrauklumą investicijoms, skatinant lankytojų srautus </t>
  </si>
  <si>
    <t>M. Lygnugarienė
K. Macijauskas</t>
  </si>
  <si>
    <t>Danės upės krantinių rekonstrukcija ir prieigų (Danės skveras su fontanais) sutvarkymas</t>
  </si>
  <si>
    <t>M. Lygnugarienė
G. Dovidaitis</t>
  </si>
  <si>
    <t>Siūloma didinti finansavimo apimtį 30,0 tūkst. Eur papildomų dangų įrengimui vietoje numatyto žolyno šalia vaikų žaidimo aikštelės.</t>
  </si>
  <si>
    <t>Turgaus aikštės su prieigomis sutvarkymas, pritaikant verslo, bendruomenės poreikiams (I , II ir III etapai)</t>
  </si>
  <si>
    <t xml:space="preserve">Laivų nuleidimo prieplaukos ir saugojimo aikštelės sklype šalia Liepų g. tilto įrengimas </t>
  </si>
  <si>
    <t xml:space="preserve">Siūloma didinti projekto vertę. Pagal pateiktą bendrosios ekspertizės aktą  paskaičiuota projekto vertė sudaro 431,6 tūkst. Eur, t.y. 93,5 tūkst. Eur daugiau nei pagal techninį projektą. </t>
  </si>
  <si>
    <t>47,4 ha Medelyno gyvenamojo rajono infrastruktūros išvystymas. I etapas</t>
  </si>
  <si>
    <t xml:space="preserve">Muzikinio teatro pastato Danės g. 19 aplinkos tvarkybos darbai už sklypo ribos </t>
  </si>
  <si>
    <t>Skvero Bokštų gatvėje sutvarkymas</t>
  </si>
  <si>
    <t>Dėl klaidos nebuvo numatyta lėšų  apmokėti 2021 m. birželio mėnesio sąskaitą už techninio projekto korekciją.</t>
  </si>
  <si>
    <t xml:space="preserve">Vingio mikrorajono aikštės atnaujinimas </t>
  </si>
  <si>
    <t>Siūloma didinti finansavimo apimtį, nes lėšos reikalingos atsiradusiems papildomiems, nenumatytiems darbams (pastato sutvirtinimui, sienučių betonavimui, lietaus nuotekų rekonstrukcijai).</t>
  </si>
  <si>
    <t>Klaipėdos miesto savivaldybės kultūros centro Žvejų rūmų teritorijos sutvarkymas</t>
  </si>
  <si>
    <t>A. Čepienė</t>
  </si>
  <si>
    <t>Sutaupytos lėšos įvykdžius viešųjų pirkimų procedūras.</t>
  </si>
  <si>
    <t xml:space="preserve">Skulptūrų parko sutvarkymas </t>
  </si>
  <si>
    <t>N. Vedeikienė
V. Švedas</t>
  </si>
  <si>
    <t>Siūloma didinti projekto vertę. Lėšų poreikis reikalingas papildomiems darbams dėl darbo projekto koregavimo (trinkelių keitimo, stulpų dažymo, papildomų įrenginių apšvietimui) ir darbo užmokesčio indeksavimui.</t>
  </si>
  <si>
    <t xml:space="preserve">Skvero ties prekybos centru „Maxima“  (Šilutės pl. 40A) ir pėsčiųjų ir dviračių tako nuo Šilutės pl. iki Taikos pr. atnaujinimas </t>
  </si>
  <si>
    <t>Kompleksinis tikslinės teritorijos daugiabučių namų kiemų tvarkymas</t>
  </si>
  <si>
    <t>M. Lygnugarienė</t>
  </si>
  <si>
    <t xml:space="preserve">08 programa. Kultūros plėtros programa </t>
  </si>
  <si>
    <t>Projekto „Klaipėdos miesto savivaldybės viešosios bibliotekos „Kauno atžalyno“ filialas – naujos galimybės mažiems ir dideliems“ įgyvendinimas</t>
  </si>
  <si>
    <t xml:space="preserve">D. Šakinienė          V. Tkačik </t>
  </si>
  <si>
    <t>Didinama finansavimo apimtis 60,7 tūkst. Eur. Centrinė projektų valdymo agentūra, įvertinusi Savivaldybės pateiktą mokėjimo prašymą, pripažino tinkamomis finansuoti išlaidas, patirtas 2020 m. už įsigytą įrangą, ir pervedė Savivaldybei lėšas. Lėšos planuojamos panaudoti papildomos įrangos pirkimui.</t>
  </si>
  <si>
    <t>Bendruomenės centro-bibliotekos (Molo g. 60) pastato kapitalinis remontas</t>
  </si>
  <si>
    <t xml:space="preserve">Modernaus bendruomenės centro-bibliotekos statyba pietinėje miesto dalyje  </t>
  </si>
  <si>
    <t>Lifto įrengimas Klaipėdos miesto Mažosios Lietuvos istorijos muziejuje</t>
  </si>
  <si>
    <t>Vasaros koncertų estrados modernizavimas</t>
  </si>
  <si>
    <t>R. Zulcas               V. Varnaitė</t>
  </si>
  <si>
    <t>10 programa. Ugdymo proceso užtikrinimo programa</t>
  </si>
  <si>
    <t xml:space="preserve">Modernių ugdymosi erdvių sukūrimas Klaipėdos miesto progimnazijose ir gimnazijose („Smeltės“, Liudviko Stulpino, Sendvario, Gedminų, „Verdenės“ progimnazijose ir  „Vėtrungės“, „Varpo“ gimnazijose) </t>
  </si>
  <si>
    <t>Bendrojo ugdymo mokyklos pastato statyba šiaurinėje miesto dalyje</t>
  </si>
  <si>
    <t>Didinama finansavimo apimtis 1070,0 tūkst. Eur: 370,0 tūkst. Eur  - dėl techninio projekto pakeitimų (dėl papildomo rūsio po mokomuoju korpusu kasimo, dėl jungiamosios galerijos sprendinių pakeitimo ir kt.); 700,0 tūkst. Eur suma reikalinga papildomiems rangos darbams (mokomojo korpuso mūro keitimas į gipso kartoną, procesų valdymas ir automatizavimas ir kt.).</t>
  </si>
  <si>
    <t>Sporto aikštynų atnaujinimas (modernizavimas) (2022 m. – Vitės, M. Gorkio ir „Smeltės“ progimnazijų, „Vėtrungės“ ir „Žaliakalnio“ gimnazijų, 2023 m. – „Gilijos“ pradinės mokyklos,  „Smeltės“ progimnazijos, 2024 m. – Baltijos gimnazijos, „Saulėtekio“ progimnazijos)</t>
  </si>
  <si>
    <t>D. Gerasimovienė</t>
  </si>
  <si>
    <t>Didinama finansavimo apimtis 60,0 tūkst. Eur. M. Gorkio progimnazijos sporto aikštelių įrengimo pirkimas vykdomas iš naujo, nes negauta pasiūlymų.  Įvertinus medžiagų kainų kilimą ir žodinę rangovų apklausą, preliminariai šiems darbams gali trūkti apie 80,0 tūkst. Eur (papildomai reikia 60,0 tūkst. Eur, 20,0 tūkst. Eur yra likutis priemonėje).</t>
  </si>
  <si>
    <t xml:space="preserve">Klaipėdos „Saulėtekio“ progimnazijos pastato inžinerinių sistemų, vidaus patalpų ir pastato išorės remontas </t>
  </si>
  <si>
    <t>Mažinama finansavimo apimtis 60,0 tūkst. Eur, nes sutaupyta po viešųjų pirkimų procedūrų.</t>
  </si>
  <si>
    <t>„Gilijos“ pradinės mokyklos (Taikos pr. 68) pastato energinio efektyvumo didinimas</t>
  </si>
  <si>
    <t xml:space="preserve">Klaipėdos Prano Mašioto progimnazijos pastato Varpų g. 3 rekonstravimas </t>
  </si>
  <si>
    <t xml:space="preserve">Klaipėdos „Ąžuolyno“ gimnazijos modernizavimas </t>
  </si>
  <si>
    <t>Klaipėdos Tauralaukio progimnazijos pastato (Klaipėdos g. 31) rekonstravimas į ikimokyklinio ir priešmokyklinio ugdymo įstaigą</t>
  </si>
  <si>
    <t>Ikimokyklinio ir priešmokyklinio prieinamumo didinimas Klaipėdos mieste (lopšelio-darželio „Svirpliukas“ modernizavimas)</t>
  </si>
  <si>
    <t>Didinama finansavimo apimtis 253,0 tūkst. Eur. Papildomos lėšos reikalingos dėl rangos darbų kainos indeksavimo.</t>
  </si>
  <si>
    <t>Klaipėdos lopšelio-darželio „Žiogelis“ pastato Kauno g. 27 modernizavimas</t>
  </si>
  <si>
    <t xml:space="preserve">Klaipėdos karalienės Luizės jaunimo centro (Puodžių g.) modernizavimas, plėtojant neformaliojo ugdymosi galimybes </t>
  </si>
  <si>
    <t>Energinio efektyvumo didinimas ikimokyklinio ugdymo įstaigose: pastatų atnaujinimas m.-d. „Saulutė“, l.-d. „Vėrinėlis“, l.-d. „Pingvinukas“, l.-d. „Putinėlis“, l.-d. „Kregždutė“, l.-d. „Radastėlė“, l.-d. „Traukinukas“ skyriuje „Boružėlė“, l.-d. „Alksniukas“  ir l.-d. „Želmenėlis“</t>
  </si>
  <si>
    <t>Projektų skyrius, Statybos ir infrastruktūros plėtros skyrius</t>
  </si>
  <si>
    <t>Klaipėdos „Pajūrio“ progimnazijos fasado apšiltinimo darbai</t>
  </si>
  <si>
    <t>Projektų skyrius</t>
  </si>
  <si>
    <t>Klaipėdos Hermano Zudermano gimmnazijos pastato rekonstrukcija</t>
  </si>
  <si>
    <t>V. Švedas           D. Šakinienė</t>
  </si>
  <si>
    <t>11 programa. Kūno kultūros ir sporto plėtros programa</t>
  </si>
  <si>
    <t>Naujos sporto salės statyba (Kretingos g. / Šviesos g.)</t>
  </si>
  <si>
    <t>Klaipėdos sunkiosios atletikos centro statyba</t>
  </si>
  <si>
    <t xml:space="preserve">BĮ Klaipėdos lengvosios atletikos mokyklos pastato (maniežo) renovacija </t>
  </si>
  <si>
    <t>Dengto futbolo maniežo statyba</t>
  </si>
  <si>
    <t>12 programa. Socialinės atskirties mažinimo programa</t>
  </si>
  <si>
    <t xml:space="preserve">Senyvo amžiaus asmenų globos paslaugų plėtra rekonstruojant pastatą, esantį Melnragės gyvenamajame rajone, Vaivos g. 23 </t>
  </si>
  <si>
    <t>L. Katinienė</t>
  </si>
  <si>
    <t>Savivaldybės socialinio būsto fondo gyvenamųjų namų statyba žemės sklype Akmenų g. 1B (projektavimas)</t>
  </si>
  <si>
    <t>L. Katinienė      V. Švedas</t>
  </si>
  <si>
    <t xml:space="preserve">Klaipėdos vaikų globos namų „Smiltelė“ patalpų ir infrastruktūros pritaikymas vaikų dienos centro veiklai </t>
  </si>
  <si>
    <t>Projekto „Bendruomeninių vaikų globos namų steigimas Klaipėdos mieste“ įgyvendinimas</t>
  </si>
  <si>
    <t>Grupinio gyvenimo namų steigimo neįgaliems jaunuoliams, išeinantiems iš vaikų globos namų, inicijavimas</t>
  </si>
  <si>
    <t>Socialinių būstų pirkimas</t>
  </si>
  <si>
    <t>E. Simokaitis</t>
  </si>
  <si>
    <t>6</t>
  </si>
  <si>
    <t>__________________________________</t>
  </si>
  <si>
    <t xml:space="preserve">Klaipėdos miesto savivaldybės 2023–2025 metų 
strateginio veiklos plano
1 priedas
</t>
  </si>
  <si>
    <t>Projekto „Koordinuota šviesoforų valdymo sistema Taikos pr. (integruojant BRT projekto sprendinius, apimant dviračių takų, apšvietimo ir dangų sutvarkymą)“ įgyvendinimas</t>
  </si>
  <si>
    <t>Atraminių apsauginių įėjimo į paplūdimį sienučių remontas (Girulių ir Smiltynės)</t>
  </si>
  <si>
    <t>Smiltynės gelbėjimo stoties rekonstrukcija ir prieigų sutvarkymas</t>
  </si>
  <si>
    <t>Antrojo pasaulinio karo Sovietų Sąjungos karių palaidojimo vietos, esančios S. Daukanto gatvėje, pertvarkymas</t>
  </si>
  <si>
    <r>
      <t xml:space="preserve"> Miško parko įrengimas Smiltynėje  </t>
    </r>
    <r>
      <rPr>
        <strike/>
        <sz val="10"/>
        <rFont val="Times New Roman"/>
        <family val="1"/>
        <charset val="186"/>
      </rPr>
      <t xml:space="preserve"> </t>
    </r>
  </si>
  <si>
    <t>Atliekų tvarkymo sistemos plėtra Klaipėdos miesto savivaldybės teritorijoje</t>
  </si>
  <si>
    <t>Taršos matavimo, mažinimo ir prevencijos priemonių diegimas</t>
  </si>
  <si>
    <t>Žaliosios miesto erdvės urbanizuotoje teritorijoje palei Šilutės pl. nuo Smiltelės g. iki Jūrininkų pr. sutvarkymas, įrengiant parką</t>
  </si>
  <si>
    <t>Dviračių ir pėsčiųjų tako įrengimas Smiltelės g. nuo Šilutės pl. iki Minijos g.</t>
  </si>
  <si>
    <t>Dviračių ir pėsčiųjų tilto per Danės upę, jungiančio naująją mokyklą šiaurinėje miesto dalyje su Tauralaukio kvartalu, statyba</t>
  </si>
  <si>
    <t>Mėgėjų sodų teritorijoje savivaldybių institucijų valdomų kelių remontas</t>
  </si>
  <si>
    <t>Privažiuojamojo kelio prie pastato Debreceno g. 48  įrengimas ir pastato aplinkos sutvarkymas</t>
  </si>
  <si>
    <t>Klaipėdos miesto žvyruotų gatvių remontas</t>
  </si>
  <si>
    <t>Keleivinio transporto stotelių su įvažomis Klaipėdos miesto gatvėse projektavimas ir įrengimas</t>
  </si>
  <si>
    <t>Baltijos pr. ir Taikos pr. žiedinės sankryžos rekonstravimo projektavimas</t>
  </si>
  <si>
    <t>Savanorių g. rekonstrukcija</t>
  </si>
  <si>
    <t>Geležinkelio pervažos Giruliuose rekonstravimas</t>
  </si>
  <si>
    <t>Joniškės g. saugumo pagerinimo priemonių, autobusų sustojimo įvažos, pėsčiųjų ir dviračio tako jungties su Žemaičių g. įrengimas</t>
  </si>
  <si>
    <t xml:space="preserve"> Koordinuotos šviesoforų valdymo sistemos  diegimas Šilutės pl.  </t>
  </si>
  <si>
    <t>Pastato Taikos pr. 76 modernizavimas, sudarant geresnes sąlygas teikti kokybiškas sveikatingumo ir socialines paslaugas</t>
  </si>
  <si>
    <t>2028</t>
  </si>
  <si>
    <t>9 programa. Jaunimo ir bendruomenių politikos plėtros programa</t>
  </si>
  <si>
    <t>Atvirų jaunimo erdvių, skirtų mažiau galimybių turintiems jaunuoliams, steigimas (šiaurinėje miesto dalyje)</t>
  </si>
  <si>
    <t>Socialinio būsto plėtra Klaipėdos miesto savivaldybėje</t>
  </si>
  <si>
    <t>Grupinio gyvenimo namų steigimas Klaipėdos mieste</t>
  </si>
  <si>
    <t>Globos namų paslaugų plėtra, teikiant laikino atokvėpio paslaugą (Debreceno g. 48)</t>
  </si>
  <si>
    <t>Ugdymo paslaugų prieinamumo didinimas, modernizuojant Klaipėdos lopšelio-darželio „Traukinukas“ skyriaus „Boružėlė“ pastatą</t>
  </si>
  <si>
    <t>Kultūros centro Žvejų rūmų modernizavimas</t>
  </si>
  <si>
    <t>Regioninio futbolo stadiono statyba</t>
  </si>
  <si>
    <t>Paryžiaus Komunos g. kapitalinis remontas (nuo Šilutės pl. iki Taikos pr.)</t>
  </si>
  <si>
    <t xml:space="preserve">AB „Klaipėdos energija“ teritorijos Danės g. 8, Klaipėdoje, konversija             </t>
  </si>
  <si>
    <t>Sporto aikštynų atnaujinimas (modernizavimas) (2023 m. – „Gilijos“ pradinės mokyklos ir M. Gorkio progimnazijos, 2024 m. – „Gilijos“ pradinės mokyklos, „Aukuro“ gimnazijos ir „Saulėtekio“ progimnazijos, 2025 m. – „Pajūrio“ ir Sendvario progimnazijų, Baltijos gimnazijos)</t>
  </si>
  <si>
    <t>Dalininko įnašo perdavimas VšĮ Klaipėdos vaikų ligoninei pastato (K. Donelaičio g. 7) šlaitinio stogo konstrukcijų kapitaliniam remontui atlikti</t>
  </si>
  <si>
    <t>Pėsčiųjų ir dviračių takų ties Baltijos pr., Šilutės pl., Varpų g., Dubysos g., Liubeko g., Naująja Uosto g. kapitalinis remontas, siekiant didinti rišlumą</t>
  </si>
  <si>
    <t>Pėsčiųjų ir dviračių takų Minijos g. nuo Baltijos pr. iki Priešpilio g.  kapitalinis remontas</t>
  </si>
  <si>
    <t>Melioracijos statinių rekonstravimas žemės sklype, adresu: Verslo g. 10, 12, 14, Klaipėdoje (Klaipėdos LEZ teritorija)</t>
  </si>
  <si>
    <t>Žaliosios energijos infrastruktūros įrengimas žemės sklype, adresu: Pramonės g. 31, Klaipėdoje</t>
  </si>
  <si>
    <t>Šilutės pl. ruožo (nuo Rimkų geležinkelio iki Smiltelės g.) Klaipėdoje ir aikštelės ties Jūrininkų pr. kapitalinis remontas</t>
  </si>
  <si>
    <t xml:space="preserve">Danės teritorijos prieigų sutvarkymas Šiauriniame rage  </t>
  </si>
  <si>
    <t>Klaipėdos Jeronimo Kačinsko muzikos mokyklos (Statybininkų pr. 5) pastato energinio efektyvumo didinimas</t>
  </si>
  <si>
    <t>Savarankiško gyvenimo namų ir apsaugoto būsto įkūrimas Klaipėdos mieste</t>
  </si>
  <si>
    <t>Klaipėdos miesto gatvių rekonstravimas bendromis savivaldybės ir privačių asmenų lėšomis</t>
  </si>
  <si>
    <t>Energinio efektyvumo didinimas ikimokyklinio ugdymo įstaigose:   mokyklos-darželio „Saulutė“, lopšelių-darželių „Vėrinėlis“, „Pingvinukas“, „Putinėlis“, „Kregždutė“ ir „Radastėlė“ pastatų atnaujinimas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</si>
</sst>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11"/>
      <color theme="1"/>
      <name val="Calibri"/>
      <family val="2"/>
      <charset val="186"/>
      <scheme val="minor"/>
    </font>
    <font>
      <sz val="10"/>
      <name val="Times New Roman"/>
      <family val="1"/>
      <charset val="186"/>
    </font>
    <font>
      <i/>
      <sz val="10"/>
      <name val="Times New Roman"/>
      <family val="1"/>
      <charset val="186"/>
    </font>
    <font>
      <sz val="9"/>
      <color indexed="81"/>
      <name val="Tahoma"/>
      <family val="2"/>
      <charset val="186"/>
    </font>
    <font>
      <b/>
      <sz val="10"/>
      <name val="Times New Roman"/>
      <family val="1"/>
      <charset val="186"/>
    </font>
    <font>
      <sz val="11"/>
      <name val="Times New Roman"/>
      <family val="1"/>
      <charset val="186"/>
    </font>
    <font>
      <b/>
      <sz val="12"/>
      <name val="Times New Roman"/>
      <family val="1"/>
      <charset val="186"/>
    </font>
    <font>
      <b/>
      <sz val="11"/>
      <name val="Times New Roman"/>
      <family val="1"/>
      <charset val="186"/>
    </font>
    <font>
      <sz val="10"/>
      <color rgb="FFFF0000"/>
      <name val="Times New Roman"/>
      <family val="1"/>
      <charset val="186"/>
    </font>
    <font>
      <b/>
      <sz val="10"/>
      <color rgb="FFFF0000"/>
      <name val="Times New Roman"/>
      <family val="1"/>
      <charset val="186"/>
    </font>
    <font>
      <sz val="10"/>
      <color rgb="FF000000"/>
      <name val="Times New Roman"/>
      <family val="1"/>
      <charset val="186"/>
    </font>
    <font>
      <sz val="8"/>
      <name val="Times New Roman"/>
      <family val="1"/>
      <charset val="186"/>
    </font>
    <font>
      <strike/>
      <sz val="10"/>
      <name val="Times New Roman"/>
      <family val="1"/>
      <charset val="186"/>
    </font>
    <font>
      <sz val="8"/>
      <color theme="1"/>
      <name val="Times New Roman"/>
      <family val="1"/>
      <charset val="186"/>
    </font>
    <font>
      <b/>
      <sz val="9"/>
      <color indexed="81"/>
      <name val="Tahoma"/>
      <family val="2"/>
      <charset val="186"/>
    </font>
    <font>
      <sz val="10"/>
      <color theme="1"/>
      <name val="Times New Roman"/>
      <family val="1"/>
      <charset val="186"/>
    </font>
    <font>
      <sz val="9"/>
      <name val="Times New Roman"/>
      <family val="1"/>
      <charset val="186"/>
    </font>
    <font>
      <b/>
      <sz val="10"/>
      <color theme="1"/>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17">
    <xf numFmtId="0" fontId="0" fillId="0" borderId="0" xfId="0"/>
    <xf numFmtId="49" fontId="1" fillId="0" borderId="4" xfId="0" applyNumberFormat="1" applyFont="1" applyBorder="1" applyAlignment="1">
      <alignment horizontal="center" vertical="top" wrapText="1"/>
    </xf>
    <xf numFmtId="49" fontId="1" fillId="2" borderId="2" xfId="0" applyNumberFormat="1" applyFont="1" applyFill="1" applyBorder="1" applyAlignment="1">
      <alignment horizontal="center" vertical="top"/>
    </xf>
    <xf numFmtId="49" fontId="1" fillId="2" borderId="1" xfId="0" applyNumberFormat="1" applyFont="1" applyFill="1" applyBorder="1" applyAlignment="1">
      <alignment horizontal="center" vertical="top"/>
    </xf>
    <xf numFmtId="49" fontId="1" fillId="2" borderId="5" xfId="0" applyNumberFormat="1" applyFont="1" applyFill="1" applyBorder="1" applyAlignment="1">
      <alignment horizontal="center" vertical="top" wrapText="1"/>
    </xf>
    <xf numFmtId="49" fontId="1" fillId="0" borderId="1" xfId="0" applyNumberFormat="1" applyFont="1" applyBorder="1" applyAlignment="1">
      <alignment horizontal="center" vertical="top" wrapText="1"/>
    </xf>
    <xf numFmtId="49" fontId="1" fillId="2" borderId="5" xfId="0" applyNumberFormat="1" applyFont="1" applyFill="1" applyBorder="1" applyAlignment="1">
      <alignment horizontal="center" vertical="top"/>
    </xf>
    <xf numFmtId="49" fontId="1" fillId="2" borderId="1" xfId="0" applyNumberFormat="1" applyFont="1" applyFill="1" applyBorder="1" applyAlignment="1">
      <alignment horizontal="center" vertical="top" wrapText="1"/>
    </xf>
    <xf numFmtId="49" fontId="1" fillId="2" borderId="6" xfId="0" applyNumberFormat="1" applyFont="1" applyFill="1" applyBorder="1" applyAlignment="1">
      <alignment horizontal="center" vertical="top" wrapText="1"/>
    </xf>
    <xf numFmtId="49" fontId="1" fillId="2" borderId="4" xfId="0" applyNumberFormat="1" applyFont="1" applyFill="1" applyBorder="1" applyAlignment="1">
      <alignment horizontal="center" vertical="top" wrapText="1"/>
    </xf>
    <xf numFmtId="49" fontId="1" fillId="2" borderId="1" xfId="0" applyNumberFormat="1" applyFont="1" applyFill="1" applyBorder="1" applyAlignment="1">
      <alignment horizontal="center" vertical="top" wrapText="1" readingOrder="1"/>
    </xf>
    <xf numFmtId="49" fontId="1" fillId="2" borderId="3" xfId="0" applyNumberFormat="1" applyFont="1" applyFill="1" applyBorder="1" applyAlignment="1">
      <alignment horizontal="center" vertical="top" wrapText="1" readingOrder="1"/>
    </xf>
    <xf numFmtId="49" fontId="1" fillId="2" borderId="7"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top"/>
    </xf>
    <xf numFmtId="49" fontId="1" fillId="2" borderId="0" xfId="0" applyNumberFormat="1" applyFont="1" applyFill="1" applyAlignment="1">
      <alignment horizontal="center" vertical="top" wrapText="1"/>
    </xf>
    <xf numFmtId="49" fontId="1" fillId="0" borderId="0" xfId="0" applyNumberFormat="1" applyFont="1"/>
    <xf numFmtId="49" fontId="1" fillId="2" borderId="2" xfId="0" applyNumberFormat="1" applyFont="1" applyFill="1" applyBorder="1" applyAlignment="1">
      <alignment horizontal="center" vertical="top" wrapText="1"/>
    </xf>
    <xf numFmtId="164" fontId="1" fillId="0" borderId="0" xfId="0" applyNumberFormat="1" applyFont="1"/>
    <xf numFmtId="164" fontId="1" fillId="0" borderId="0" xfId="0" applyNumberFormat="1" applyFont="1" applyAlignment="1">
      <alignment horizontal="center"/>
    </xf>
    <xf numFmtId="164" fontId="1" fillId="2" borderId="6" xfId="0" applyNumberFormat="1"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64" fontId="1" fillId="0" borderId="1" xfId="0" applyNumberFormat="1" applyFont="1" applyBorder="1" applyAlignment="1">
      <alignment horizontal="left" vertical="top" wrapText="1"/>
    </xf>
    <xf numFmtId="164" fontId="1" fillId="2" borderId="1" xfId="0" applyNumberFormat="1" applyFont="1" applyFill="1" applyBorder="1" applyAlignment="1">
      <alignment horizontal="center" vertical="top"/>
    </xf>
    <xf numFmtId="164" fontId="1" fillId="0" borderId="1" xfId="0" applyNumberFormat="1" applyFont="1" applyBorder="1" applyAlignment="1">
      <alignment vertical="top" wrapText="1"/>
    </xf>
    <xf numFmtId="164" fontId="1" fillId="0" borderId="6" xfId="0" applyNumberFormat="1" applyFont="1" applyBorder="1" applyAlignment="1">
      <alignment vertical="top" wrapText="1"/>
    </xf>
    <xf numFmtId="164" fontId="1" fillId="0" borderId="5" xfId="0" applyNumberFormat="1" applyFont="1" applyBorder="1" applyAlignment="1">
      <alignment vertical="top" wrapText="1"/>
    </xf>
    <xf numFmtId="164" fontId="1" fillId="2" borderId="5" xfId="0" applyNumberFormat="1" applyFont="1" applyFill="1" applyBorder="1" applyAlignment="1">
      <alignment horizontal="center" vertical="top"/>
    </xf>
    <xf numFmtId="164" fontId="1" fillId="2" borderId="3" xfId="0" applyNumberFormat="1" applyFont="1" applyFill="1" applyBorder="1" applyAlignment="1">
      <alignment horizontal="center" vertical="top"/>
    </xf>
    <xf numFmtId="164" fontId="1" fillId="2" borderId="1" xfId="0" applyNumberFormat="1" applyFont="1" applyFill="1" applyBorder="1" applyAlignment="1">
      <alignment vertical="top" wrapText="1"/>
    </xf>
    <xf numFmtId="164" fontId="5" fillId="0" borderId="0" xfId="0" applyNumberFormat="1" applyFont="1" applyAlignment="1">
      <alignment vertical="top"/>
    </xf>
    <xf numFmtId="164" fontId="1" fillId="2" borderId="1" xfId="0" applyNumberFormat="1" applyFont="1" applyFill="1" applyBorder="1" applyAlignment="1">
      <alignment horizontal="center" vertical="top" wrapText="1" readingOrder="1"/>
    </xf>
    <xf numFmtId="164" fontId="1" fillId="0" borderId="2" xfId="0" applyNumberFormat="1" applyFont="1" applyBorder="1" applyAlignment="1">
      <alignment horizontal="left" vertical="top" wrapText="1"/>
    </xf>
    <xf numFmtId="164" fontId="1" fillId="2" borderId="3" xfId="0" applyNumberFormat="1" applyFont="1" applyFill="1" applyBorder="1" applyAlignment="1">
      <alignment horizontal="center" vertical="top" wrapText="1"/>
    </xf>
    <xf numFmtId="164" fontId="1" fillId="2" borderId="4" xfId="0" applyNumberFormat="1" applyFont="1" applyFill="1" applyBorder="1" applyAlignment="1">
      <alignment horizontal="center" vertical="top"/>
    </xf>
    <xf numFmtId="164" fontId="1" fillId="0" borderId="0" xfId="0" applyNumberFormat="1" applyFont="1" applyAlignment="1">
      <alignment horizontal="right"/>
    </xf>
    <xf numFmtId="49" fontId="1" fillId="0" borderId="1" xfId="0" applyNumberFormat="1" applyFont="1" applyBorder="1" applyAlignment="1">
      <alignment horizontal="center" vertical="top"/>
    </xf>
    <xf numFmtId="49" fontId="1" fillId="0" borderId="5" xfId="0" applyNumberFormat="1" applyFont="1" applyBorder="1" applyAlignment="1">
      <alignment horizontal="center" vertical="top"/>
    </xf>
    <xf numFmtId="164" fontId="1" fillId="2" borderId="7" xfId="0" applyNumberFormat="1" applyFont="1" applyFill="1" applyBorder="1" applyAlignment="1">
      <alignment horizontal="center" vertical="top"/>
    </xf>
    <xf numFmtId="49" fontId="1" fillId="2" borderId="4" xfId="0" applyNumberFormat="1" applyFont="1" applyFill="1" applyBorder="1" applyAlignment="1">
      <alignment horizontal="center" vertical="top"/>
    </xf>
    <xf numFmtId="164" fontId="1" fillId="2" borderId="4" xfId="0" applyNumberFormat="1" applyFont="1" applyFill="1" applyBorder="1" applyAlignment="1">
      <alignment vertical="top" wrapText="1"/>
    </xf>
    <xf numFmtId="164" fontId="1" fillId="2" borderId="5" xfId="0" applyNumberFormat="1" applyFont="1" applyFill="1" applyBorder="1" applyAlignment="1">
      <alignment vertical="top" wrapText="1"/>
    </xf>
    <xf numFmtId="164" fontId="1" fillId="2" borderId="1" xfId="0" applyNumberFormat="1" applyFont="1" applyFill="1" applyBorder="1" applyAlignment="1">
      <alignment horizontal="left" vertical="top" wrapText="1"/>
    </xf>
    <xf numFmtId="164" fontId="1" fillId="2" borderId="10" xfId="0" applyNumberFormat="1" applyFont="1" applyFill="1" applyBorder="1" applyAlignment="1">
      <alignment horizontal="center" vertical="top"/>
    </xf>
    <xf numFmtId="164" fontId="1" fillId="2" borderId="2"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49" fontId="1" fillId="0" borderId="5" xfId="0" applyNumberFormat="1" applyFont="1" applyBorder="1" applyAlignment="1">
      <alignment horizontal="center" vertical="top" wrapText="1"/>
    </xf>
    <xf numFmtId="49" fontId="7" fillId="6" borderId="3" xfId="0" applyNumberFormat="1" applyFont="1" applyFill="1" applyBorder="1" applyAlignment="1">
      <alignment horizontal="right" vertical="top" wrapText="1"/>
    </xf>
    <xf numFmtId="164" fontId="7" fillId="6" borderId="1"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top" wrapText="1"/>
    </xf>
    <xf numFmtId="1" fontId="1" fillId="0" borderId="0" xfId="0" applyNumberFormat="1" applyFont="1" applyAlignment="1">
      <alignment horizontal="center"/>
    </xf>
    <xf numFmtId="164" fontId="4" fillId="0" borderId="0" xfId="0" applyNumberFormat="1" applyFont="1" applyAlignment="1">
      <alignment horizontal="center"/>
    </xf>
    <xf numFmtId="164" fontId="4" fillId="2" borderId="1" xfId="0" applyNumberFormat="1" applyFont="1" applyFill="1" applyBorder="1" applyAlignment="1">
      <alignment horizontal="center" vertical="top" wrapText="1"/>
    </xf>
    <xf numFmtId="164" fontId="4" fillId="2" borderId="5" xfId="0" applyNumberFormat="1" applyFont="1" applyFill="1" applyBorder="1" applyAlignment="1">
      <alignment horizontal="center" vertical="top" wrapText="1"/>
    </xf>
    <xf numFmtId="164" fontId="4" fillId="0" borderId="5" xfId="0" applyNumberFormat="1" applyFont="1" applyBorder="1" applyAlignment="1">
      <alignment horizontal="center" vertical="top" wrapText="1"/>
    </xf>
    <xf numFmtId="164" fontId="4" fillId="2" borderId="4"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1" fontId="1" fillId="0" borderId="1" xfId="0" applyNumberFormat="1" applyFont="1" applyBorder="1" applyAlignment="1">
      <alignment horizontal="center" vertical="top" wrapText="1"/>
    </xf>
    <xf numFmtId="1" fontId="7" fillId="6" borderId="10" xfId="0" applyNumberFormat="1" applyFont="1" applyFill="1" applyBorder="1" applyAlignment="1">
      <alignment horizontal="center" vertical="top" wrapText="1"/>
    </xf>
    <xf numFmtId="1" fontId="1" fillId="2" borderId="12"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wrapText="1"/>
    </xf>
    <xf numFmtId="164" fontId="7" fillId="3" borderId="5" xfId="0" applyNumberFormat="1" applyFont="1" applyFill="1" applyBorder="1" applyAlignment="1">
      <alignment horizontal="center" vertical="center" wrapText="1"/>
    </xf>
    <xf numFmtId="1" fontId="7" fillId="3" borderId="11" xfId="0" applyNumberFormat="1" applyFont="1" applyFill="1" applyBorder="1" applyAlignment="1">
      <alignment horizontal="center" vertical="top"/>
    </xf>
    <xf numFmtId="1" fontId="1" fillId="2" borderId="5" xfId="0" applyNumberFormat="1" applyFont="1" applyFill="1" applyBorder="1" applyAlignment="1">
      <alignment horizontal="center" vertical="center" wrapText="1"/>
    </xf>
    <xf numFmtId="164" fontId="4" fillId="2" borderId="10" xfId="0" applyNumberFormat="1" applyFont="1" applyFill="1" applyBorder="1" applyAlignment="1">
      <alignment horizontal="center" vertical="top" wrapText="1"/>
    </xf>
    <xf numFmtId="164" fontId="4" fillId="2" borderId="7" xfId="0" applyNumberFormat="1" applyFont="1" applyFill="1" applyBorder="1" applyAlignment="1">
      <alignment horizontal="center" vertical="top" wrapText="1"/>
    </xf>
    <xf numFmtId="1" fontId="1" fillId="2" borderId="11" xfId="0" applyNumberFormat="1" applyFont="1" applyFill="1" applyBorder="1" applyAlignment="1">
      <alignment horizontal="center" vertical="top" wrapText="1"/>
    </xf>
    <xf numFmtId="164" fontId="4" fillId="2" borderId="6" xfId="0" applyNumberFormat="1" applyFont="1" applyFill="1" applyBorder="1" applyAlignment="1">
      <alignment horizontal="center" vertical="top" wrapText="1"/>
    </xf>
    <xf numFmtId="164" fontId="4" fillId="2" borderId="3" xfId="0" applyNumberFormat="1" applyFont="1" applyFill="1" applyBorder="1" applyAlignment="1">
      <alignment horizontal="center" vertical="top" wrapText="1"/>
    </xf>
    <xf numFmtId="164" fontId="7" fillId="6" borderId="13" xfId="0" applyNumberFormat="1" applyFont="1" applyFill="1" applyBorder="1" applyAlignment="1">
      <alignment horizontal="left" vertical="top" wrapText="1"/>
    </xf>
    <xf numFmtId="49" fontId="7" fillId="6" borderId="9" xfId="0" applyNumberFormat="1" applyFont="1" applyFill="1" applyBorder="1" applyAlignment="1">
      <alignment horizontal="right" vertical="top" wrapText="1"/>
    </xf>
    <xf numFmtId="49" fontId="7" fillId="6" borderId="13" xfId="0" applyNumberFormat="1" applyFont="1" applyFill="1" applyBorder="1" applyAlignment="1">
      <alignment horizontal="right" vertical="top" wrapText="1"/>
    </xf>
    <xf numFmtId="0" fontId="1" fillId="0" borderId="1" xfId="0" applyFont="1" applyBorder="1" applyAlignment="1">
      <alignment horizontal="center" vertical="top" wrapText="1"/>
    </xf>
    <xf numFmtId="164" fontId="7" fillId="7" borderId="1" xfId="0" applyNumberFormat="1" applyFont="1" applyFill="1" applyBorder="1" applyAlignment="1">
      <alignment horizontal="center" vertical="top" wrapText="1"/>
    </xf>
    <xf numFmtId="0" fontId="1" fillId="0" borderId="1" xfId="0" applyFont="1" applyBorder="1" applyAlignment="1">
      <alignment vertical="top" wrapText="1"/>
    </xf>
    <xf numFmtId="0" fontId="1" fillId="4" borderId="1" xfId="0" applyFont="1" applyFill="1" applyBorder="1" applyAlignment="1">
      <alignment horizontal="center" vertical="top" wrapText="1"/>
    </xf>
    <xf numFmtId="49" fontId="1" fillId="2" borderId="15" xfId="0" applyNumberFormat="1" applyFont="1" applyFill="1" applyBorder="1" applyAlignment="1">
      <alignment horizontal="center" vertical="top" wrapText="1"/>
    </xf>
    <xf numFmtId="164" fontId="1" fillId="2" borderId="15" xfId="0" applyNumberFormat="1" applyFont="1" applyFill="1" applyBorder="1" applyAlignment="1">
      <alignment horizontal="center" vertical="top" wrapText="1"/>
    </xf>
    <xf numFmtId="164" fontId="1" fillId="2" borderId="8" xfId="0" applyNumberFormat="1" applyFont="1" applyFill="1" applyBorder="1" applyAlignment="1">
      <alignment horizontal="center" vertical="top" wrapText="1"/>
    </xf>
    <xf numFmtId="164" fontId="1" fillId="2" borderId="1" xfId="0" applyNumberFormat="1" applyFont="1" applyFill="1" applyBorder="1"/>
    <xf numFmtId="164" fontId="1" fillId="0" borderId="10" xfId="0" applyNumberFormat="1" applyFont="1" applyBorder="1" applyAlignment="1">
      <alignment horizontal="left" vertical="top" wrapText="1"/>
    </xf>
    <xf numFmtId="164" fontId="7" fillId="6" borderId="3" xfId="0" applyNumberFormat="1" applyFont="1" applyFill="1" applyBorder="1" applyAlignment="1">
      <alignment horizontal="left" vertical="top" wrapText="1"/>
    </xf>
    <xf numFmtId="164" fontId="1" fillId="2" borderId="5" xfId="0" applyNumberFormat="1" applyFont="1" applyFill="1" applyBorder="1" applyAlignment="1">
      <alignment horizontal="left" vertical="top" wrapText="1"/>
    </xf>
    <xf numFmtId="164" fontId="7" fillId="5" borderId="14" xfId="0" applyNumberFormat="1" applyFont="1" applyFill="1" applyBorder="1" applyAlignment="1">
      <alignment horizontal="left" vertical="center" wrapText="1"/>
    </xf>
    <xf numFmtId="164" fontId="7" fillId="5" borderId="14" xfId="0" applyNumberFormat="1" applyFont="1" applyFill="1" applyBorder="1" applyAlignment="1">
      <alignment horizontal="left" vertical="top" wrapText="1"/>
    </xf>
    <xf numFmtId="0" fontId="1" fillId="0" borderId="0" xfId="0" applyFont="1" applyAlignment="1">
      <alignment vertical="top" wrapText="1"/>
    </xf>
    <xf numFmtId="49" fontId="1" fillId="2" borderId="13" xfId="0" applyNumberFormat="1" applyFont="1" applyFill="1" applyBorder="1" applyAlignment="1">
      <alignment horizontal="center" vertical="top" wrapText="1"/>
    </xf>
    <xf numFmtId="164" fontId="1" fillId="0" borderId="1" xfId="0" applyNumberFormat="1" applyFont="1" applyBorder="1" applyAlignment="1">
      <alignment horizontal="center" vertical="top"/>
    </xf>
    <xf numFmtId="164" fontId="4" fillId="2" borderId="15"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3" xfId="0" applyFont="1" applyFill="1" applyBorder="1" applyAlignment="1">
      <alignment horizontal="center" vertical="top" wrapText="1"/>
    </xf>
    <xf numFmtId="164" fontId="5" fillId="0" borderId="0" xfId="0" applyNumberFormat="1" applyFont="1" applyAlignment="1">
      <alignment vertical="top" wrapText="1"/>
    </xf>
    <xf numFmtId="164" fontId="7" fillId="5" borderId="0" xfId="0" applyNumberFormat="1" applyFont="1" applyFill="1" applyAlignment="1">
      <alignment horizontal="left" vertical="center" wrapText="1"/>
    </xf>
    <xf numFmtId="164" fontId="7" fillId="5" borderId="0" xfId="0" applyNumberFormat="1" applyFont="1" applyFill="1" applyAlignment="1">
      <alignment horizontal="left" vertical="top" wrapText="1"/>
    </xf>
    <xf numFmtId="0" fontId="1" fillId="2" borderId="1" xfId="0" applyFont="1" applyFill="1" applyBorder="1" applyAlignment="1">
      <alignment vertical="top" wrapText="1"/>
    </xf>
    <xf numFmtId="164" fontId="1" fillId="2" borderId="0" xfId="0" applyNumberFormat="1" applyFont="1" applyFill="1"/>
    <xf numFmtId="164" fontId="1" fillId="2" borderId="4" xfId="0" applyNumberFormat="1" applyFont="1" applyFill="1" applyBorder="1" applyAlignment="1">
      <alignment horizontal="center" vertical="top" wrapText="1"/>
    </xf>
    <xf numFmtId="164" fontId="1" fillId="2" borderId="7" xfId="0" applyNumberFormat="1" applyFont="1" applyFill="1" applyBorder="1" applyAlignment="1">
      <alignment horizontal="center" vertical="top" wrapText="1"/>
    </xf>
    <xf numFmtId="164" fontId="1" fillId="2" borderId="5" xfId="0" applyNumberFormat="1" applyFont="1" applyFill="1" applyBorder="1" applyAlignment="1">
      <alignment horizontal="center" vertical="top" wrapText="1"/>
    </xf>
    <xf numFmtId="164" fontId="1" fillId="2" borderId="16" xfId="0" applyNumberFormat="1" applyFont="1" applyFill="1" applyBorder="1" applyAlignment="1">
      <alignment horizontal="center" vertical="top" wrapText="1"/>
    </xf>
    <xf numFmtId="164" fontId="4" fillId="2" borderId="0" xfId="0" applyNumberFormat="1" applyFont="1" applyFill="1" applyAlignment="1">
      <alignment horizontal="center"/>
    </xf>
    <xf numFmtId="164" fontId="1" fillId="2" borderId="0" xfId="0" applyNumberFormat="1" applyFont="1" applyFill="1" applyAlignment="1">
      <alignment horizontal="center"/>
    </xf>
    <xf numFmtId="164" fontId="1" fillId="2" borderId="2" xfId="0" applyNumberFormat="1" applyFont="1" applyFill="1" applyBorder="1" applyAlignment="1">
      <alignment horizontal="left" vertical="top" wrapText="1"/>
    </xf>
    <xf numFmtId="164" fontId="1" fillId="2" borderId="9" xfId="0" applyNumberFormat="1" applyFont="1" applyFill="1" applyBorder="1" applyAlignment="1">
      <alignment horizontal="center" vertical="top" wrapText="1"/>
    </xf>
    <xf numFmtId="164" fontId="5" fillId="6" borderId="2" xfId="0" applyNumberFormat="1" applyFont="1" applyFill="1" applyBorder="1" applyAlignment="1">
      <alignment horizontal="right" vertical="top" wrapText="1"/>
    </xf>
    <xf numFmtId="164" fontId="5" fillId="6" borderId="1" xfId="0" applyNumberFormat="1" applyFont="1" applyFill="1" applyBorder="1" applyAlignment="1">
      <alignment horizontal="right" vertical="top" wrapText="1"/>
    </xf>
    <xf numFmtId="49" fontId="7" fillId="6" borderId="1" xfId="0" applyNumberFormat="1" applyFont="1" applyFill="1" applyBorder="1" applyAlignment="1">
      <alignment horizontal="right" vertical="top" wrapText="1"/>
    </xf>
    <xf numFmtId="49" fontId="7" fillId="6" borderId="1" xfId="0" applyNumberFormat="1" applyFont="1" applyFill="1" applyBorder="1" applyAlignment="1">
      <alignment horizontal="center" vertical="top" wrapText="1"/>
    </xf>
    <xf numFmtId="165" fontId="7" fillId="6" borderId="1" xfId="0" applyNumberFormat="1" applyFont="1" applyFill="1" applyBorder="1" applyAlignment="1">
      <alignment horizontal="center" vertical="top" wrapText="1"/>
    </xf>
    <xf numFmtId="1" fontId="4" fillId="6" borderId="10" xfId="0" applyNumberFormat="1" applyFont="1" applyFill="1" applyBorder="1" applyAlignment="1">
      <alignment horizontal="center" vertical="top" wrapText="1"/>
    </xf>
    <xf numFmtId="164" fontId="7" fillId="6" borderId="1" xfId="0" applyNumberFormat="1" applyFont="1" applyFill="1" applyBorder="1" applyAlignment="1">
      <alignment horizontal="left" vertical="top" wrapText="1"/>
    </xf>
    <xf numFmtId="49" fontId="7" fillId="6" borderId="10" xfId="0" applyNumberFormat="1" applyFont="1" applyFill="1" applyBorder="1" applyAlignment="1">
      <alignment horizontal="right" vertical="top" wrapText="1"/>
    </xf>
    <xf numFmtId="1" fontId="7" fillId="6" borderId="11" xfId="0" applyNumberFormat="1" applyFont="1" applyFill="1" applyBorder="1" applyAlignment="1">
      <alignment horizontal="center" vertical="top" wrapText="1"/>
    </xf>
    <xf numFmtId="164" fontId="7" fillId="5" borderId="14" xfId="0" applyNumberFormat="1" applyFont="1" applyFill="1" applyBorder="1" applyAlignment="1">
      <alignment horizontal="left" vertical="top"/>
    </xf>
    <xf numFmtId="0" fontId="1" fillId="0" borderId="13" xfId="0" applyFont="1" applyBorder="1" applyAlignment="1">
      <alignment horizontal="center" vertical="top" wrapText="1"/>
    </xf>
    <xf numFmtId="49" fontId="1" fillId="2" borderId="10" xfId="0" applyNumberFormat="1" applyFont="1" applyFill="1" applyBorder="1" applyAlignment="1">
      <alignment horizontal="center" vertical="top" wrapText="1"/>
    </xf>
    <xf numFmtId="0" fontId="1" fillId="2" borderId="13" xfId="0" applyFont="1" applyFill="1" applyBorder="1" applyAlignment="1">
      <alignment vertical="top" wrapText="1"/>
    </xf>
    <xf numFmtId="0" fontId="1" fillId="2" borderId="3" xfId="0" applyFont="1" applyFill="1" applyBorder="1" applyAlignment="1">
      <alignment horizontal="center" vertical="top" wrapText="1"/>
    </xf>
    <xf numFmtId="164" fontId="1" fillId="2" borderId="7" xfId="0" applyNumberFormat="1" applyFont="1" applyFill="1" applyBorder="1" applyAlignment="1">
      <alignment horizontal="left" vertical="top" wrapText="1"/>
    </xf>
    <xf numFmtId="164" fontId="1" fillId="2" borderId="11" xfId="0" applyNumberFormat="1" applyFont="1" applyFill="1" applyBorder="1" applyAlignment="1">
      <alignment horizontal="center" vertical="top" wrapText="1"/>
    </xf>
    <xf numFmtId="164" fontId="4" fillId="2" borderId="11" xfId="0" applyNumberFormat="1" applyFont="1" applyFill="1" applyBorder="1" applyAlignment="1">
      <alignment horizontal="center" vertical="top" wrapText="1"/>
    </xf>
    <xf numFmtId="164" fontId="1" fillId="2" borderId="13" xfId="0" applyNumberFormat="1" applyFont="1" applyFill="1" applyBorder="1" applyAlignment="1">
      <alignment horizontal="center" vertical="top" wrapText="1"/>
    </xf>
    <xf numFmtId="164" fontId="7" fillId="5" borderId="2" xfId="0" applyNumberFormat="1" applyFont="1" applyFill="1" applyBorder="1" applyAlignment="1">
      <alignment horizontal="left" vertical="center" wrapText="1"/>
    </xf>
    <xf numFmtId="164" fontId="7" fillId="5" borderId="3" xfId="0" applyNumberFormat="1" applyFont="1" applyFill="1" applyBorder="1" applyAlignment="1">
      <alignment horizontal="left" vertical="center" wrapText="1"/>
    </xf>
    <xf numFmtId="164" fontId="7" fillId="5" borderId="2" xfId="0" applyNumberFormat="1" applyFont="1" applyFill="1" applyBorder="1" applyAlignment="1">
      <alignment horizontal="left" vertical="top" wrapText="1"/>
    </xf>
    <xf numFmtId="164" fontId="5" fillId="0" borderId="0" xfId="0" applyNumberFormat="1" applyFont="1" applyAlignment="1">
      <alignment horizontal="left" vertical="top" wrapText="1"/>
    </xf>
    <xf numFmtId="164" fontId="4" fillId="2" borderId="1" xfId="0" applyNumberFormat="1" applyFont="1" applyFill="1" applyBorder="1" applyAlignment="1">
      <alignment horizontal="center" vertical="center" wrapText="1"/>
    </xf>
    <xf numFmtId="164" fontId="6" fillId="0" borderId="0" xfId="0" applyNumberFormat="1" applyFont="1" applyAlignment="1">
      <alignment horizontal="center" vertical="center" wrapText="1"/>
    </xf>
    <xf numFmtId="164" fontId="1" fillId="0" borderId="5" xfId="0" applyNumberFormat="1" applyFont="1" applyBorder="1" applyAlignment="1">
      <alignment horizontal="center" vertical="top" wrapText="1"/>
    </xf>
    <xf numFmtId="164" fontId="1" fillId="0" borderId="5" xfId="0" applyNumberFormat="1" applyFont="1" applyBorder="1" applyAlignment="1">
      <alignment horizontal="left" vertical="top" wrapText="1"/>
    </xf>
    <xf numFmtId="1" fontId="1" fillId="2" borderId="4" xfId="0" applyNumberFormat="1" applyFont="1" applyFill="1" applyBorder="1" applyAlignment="1">
      <alignment horizontal="center" vertical="top" wrapText="1"/>
    </xf>
    <xf numFmtId="1" fontId="1" fillId="2" borderId="7" xfId="0" applyNumberFormat="1" applyFont="1" applyFill="1" applyBorder="1" applyAlignment="1">
      <alignment horizontal="center" vertical="top" wrapText="1"/>
    </xf>
    <xf numFmtId="1" fontId="1" fillId="2" borderId="5" xfId="0" applyNumberFormat="1" applyFont="1" applyFill="1" applyBorder="1" applyAlignment="1">
      <alignment horizontal="center" vertical="top" wrapText="1"/>
    </xf>
    <xf numFmtId="164" fontId="1" fillId="2" borderId="12" xfId="0" applyNumberFormat="1" applyFont="1" applyFill="1" applyBorder="1" applyAlignment="1">
      <alignment horizontal="center" vertical="top" wrapText="1"/>
    </xf>
    <xf numFmtId="164" fontId="7" fillId="5" borderId="0" xfId="0" applyNumberFormat="1" applyFont="1" applyFill="1" applyAlignment="1">
      <alignment horizontal="left" vertical="top"/>
    </xf>
    <xf numFmtId="164" fontId="1" fillId="0" borderId="12" xfId="0" applyNumberFormat="1" applyFont="1" applyBorder="1"/>
    <xf numFmtId="164" fontId="5" fillId="0" borderId="12" xfId="0" applyNumberFormat="1" applyFont="1" applyBorder="1" applyAlignment="1">
      <alignment vertical="top"/>
    </xf>
    <xf numFmtId="164" fontId="7" fillId="5" borderId="1" xfId="0" applyNumberFormat="1" applyFont="1" applyFill="1" applyBorder="1" applyAlignment="1">
      <alignment horizontal="left" vertical="center" wrapText="1"/>
    </xf>
    <xf numFmtId="164" fontId="5" fillId="0" borderId="0" xfId="0" applyNumberFormat="1" applyFont="1" applyAlignment="1">
      <alignment horizontal="center" vertical="top"/>
    </xf>
    <xf numFmtId="164" fontId="8"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wrapText="1"/>
    </xf>
    <xf numFmtId="164" fontId="8" fillId="2" borderId="6" xfId="0" applyNumberFormat="1" applyFont="1" applyFill="1" applyBorder="1" applyAlignment="1">
      <alignment horizontal="center" vertical="top" wrapText="1"/>
    </xf>
    <xf numFmtId="164" fontId="9" fillId="2" borderId="4" xfId="0" applyNumberFormat="1" applyFont="1" applyFill="1" applyBorder="1" applyAlignment="1">
      <alignment horizontal="center" vertical="top" wrapText="1"/>
    </xf>
    <xf numFmtId="164" fontId="9" fillId="2" borderId="5" xfId="0" applyNumberFormat="1" applyFont="1" applyFill="1" applyBorder="1" applyAlignment="1">
      <alignment horizontal="center" vertical="top" wrapText="1"/>
    </xf>
    <xf numFmtId="164" fontId="8" fillId="0" borderId="5" xfId="0" applyNumberFormat="1" applyFont="1" applyBorder="1" applyAlignment="1">
      <alignment horizontal="center" vertical="top" wrapText="1"/>
    </xf>
    <xf numFmtId="164" fontId="8" fillId="2" borderId="5"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xf>
    <xf numFmtId="164" fontId="9" fillId="2" borderId="3"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xf>
    <xf numFmtId="164" fontId="9" fillId="2" borderId="7" xfId="0" applyNumberFormat="1" applyFont="1" applyFill="1" applyBorder="1" applyAlignment="1">
      <alignment horizontal="center" vertical="top" wrapText="1"/>
    </xf>
    <xf numFmtId="164" fontId="8" fillId="2" borderId="5" xfId="0" applyNumberFormat="1" applyFont="1" applyFill="1" applyBorder="1" applyAlignment="1">
      <alignment horizontal="center" vertical="top"/>
    </xf>
    <xf numFmtId="164" fontId="8" fillId="2" borderId="1" xfId="0" applyNumberFormat="1" applyFont="1" applyFill="1" applyBorder="1" applyAlignment="1">
      <alignment horizontal="center" vertical="top"/>
    </xf>
    <xf numFmtId="164" fontId="10" fillId="2" borderId="1" xfId="0" applyNumberFormat="1" applyFont="1" applyFill="1" applyBorder="1" applyAlignment="1">
      <alignment horizontal="left" vertical="top" wrapText="1"/>
    </xf>
    <xf numFmtId="164" fontId="10" fillId="2" borderId="4" xfId="0" applyNumberFormat="1" applyFont="1" applyFill="1" applyBorder="1" applyAlignment="1">
      <alignment horizontal="left" vertical="top" wrapText="1"/>
    </xf>
    <xf numFmtId="164" fontId="8" fillId="2" borderId="7" xfId="0" applyNumberFormat="1" applyFont="1" applyFill="1" applyBorder="1" applyAlignment="1">
      <alignment horizontal="center" vertical="top"/>
    </xf>
    <xf numFmtId="164" fontId="1" fillId="2" borderId="16" xfId="0" applyNumberFormat="1" applyFont="1" applyFill="1" applyBorder="1" applyAlignment="1">
      <alignment horizontal="left" vertical="top" wrapText="1"/>
    </xf>
    <xf numFmtId="164" fontId="1" fillId="4" borderId="4" xfId="0" applyNumberFormat="1" applyFont="1" applyFill="1" applyBorder="1" applyAlignment="1">
      <alignment horizontal="left" vertical="top" wrapText="1"/>
    </xf>
    <xf numFmtId="164" fontId="1" fillId="4" borderId="5" xfId="0" applyNumberFormat="1" applyFont="1" applyFill="1" applyBorder="1" applyAlignment="1">
      <alignment horizontal="left" vertical="top" wrapText="1"/>
    </xf>
    <xf numFmtId="164" fontId="1" fillId="4" borderId="3" xfId="0" applyNumberFormat="1" applyFont="1" applyFill="1" applyBorder="1" applyAlignment="1">
      <alignment horizontal="left" vertical="top" wrapText="1"/>
    </xf>
    <xf numFmtId="164" fontId="8" fillId="4" borderId="4" xfId="0" applyNumberFormat="1" applyFont="1" applyFill="1" applyBorder="1" applyAlignment="1">
      <alignment horizontal="center" vertical="top"/>
    </xf>
    <xf numFmtId="164" fontId="1" fillId="4" borderId="1" xfId="0" applyNumberFormat="1" applyFont="1" applyFill="1" applyBorder="1" applyAlignment="1">
      <alignment horizontal="left" vertical="top" wrapText="1"/>
    </xf>
    <xf numFmtId="164" fontId="7" fillId="6" borderId="1" xfId="0" applyNumberFormat="1" applyFont="1" applyFill="1" applyBorder="1" applyAlignment="1">
      <alignment horizontal="left" vertical="center" wrapText="1"/>
    </xf>
    <xf numFmtId="1" fontId="1" fillId="2" borderId="17" xfId="0" applyNumberFormat="1" applyFont="1" applyFill="1" applyBorder="1" applyAlignment="1">
      <alignment horizontal="center" vertical="top" wrapText="1"/>
    </xf>
    <xf numFmtId="49" fontId="1" fillId="2" borderId="3" xfId="0" applyNumberFormat="1" applyFont="1" applyFill="1" applyBorder="1" applyAlignment="1">
      <alignment horizontal="center" vertical="top"/>
    </xf>
    <xf numFmtId="164" fontId="11" fillId="0" borderId="0" xfId="0" applyNumberFormat="1" applyFont="1" applyAlignment="1">
      <alignment wrapText="1"/>
    </xf>
    <xf numFmtId="164" fontId="11" fillId="0" borderId="0" xfId="0" applyNumberFormat="1" applyFont="1"/>
    <xf numFmtId="0" fontId="1" fillId="0" borderId="3" xfId="0" applyFont="1" applyBorder="1" applyAlignment="1">
      <alignment vertical="top" wrapText="1"/>
    </xf>
    <xf numFmtId="0" fontId="13" fillId="0" borderId="0" xfId="0" applyFont="1" applyAlignment="1">
      <alignment wrapText="1"/>
    </xf>
    <xf numFmtId="164" fontId="1" fillId="0" borderId="0" xfId="0" applyNumberFormat="1" applyFont="1" applyAlignment="1">
      <alignment vertical="top"/>
    </xf>
    <xf numFmtId="164" fontId="1" fillId="0" borderId="0" xfId="0" applyNumberFormat="1" applyFont="1" applyAlignment="1">
      <alignment vertical="top" wrapText="1"/>
    </xf>
    <xf numFmtId="0" fontId="15" fillId="0" borderId="0" xfId="0" applyFont="1" applyAlignment="1">
      <alignment horizontal="left" vertical="top" wrapText="1"/>
    </xf>
    <xf numFmtId="0" fontId="1" fillId="4" borderId="3" xfId="0" applyFont="1" applyFill="1" applyBorder="1" applyAlignment="1">
      <alignment horizontal="center" vertical="top" wrapText="1"/>
    </xf>
    <xf numFmtId="0" fontId="1" fillId="4" borderId="13" xfId="0" applyFont="1" applyFill="1" applyBorder="1" applyAlignment="1">
      <alignment horizontal="center" vertical="top" wrapText="1"/>
    </xf>
    <xf numFmtId="164" fontId="16" fillId="0" borderId="0" xfId="0" applyNumberFormat="1" applyFont="1" applyAlignment="1">
      <alignment wrapText="1"/>
    </xf>
    <xf numFmtId="164" fontId="1" fillId="2" borderId="2" xfId="0" applyNumberFormat="1" applyFont="1" applyFill="1" applyBorder="1" applyAlignment="1">
      <alignment horizontal="center" vertical="top" wrapText="1" readingOrder="1"/>
    </xf>
    <xf numFmtId="49" fontId="1" fillId="2" borderId="10" xfId="0" applyNumberFormat="1" applyFont="1" applyFill="1" applyBorder="1" applyAlignment="1">
      <alignment horizontal="center" vertical="top" wrapText="1" readingOrder="1"/>
    </xf>
    <xf numFmtId="0" fontId="1" fillId="0" borderId="10" xfId="0" applyFont="1" applyBorder="1" applyAlignment="1">
      <alignment vertical="top" wrapText="1"/>
    </xf>
    <xf numFmtId="164" fontId="7" fillId="6" borderId="2" xfId="0" applyNumberFormat="1" applyFont="1" applyFill="1" applyBorder="1" applyAlignment="1">
      <alignment horizontal="left" vertical="top" wrapText="1"/>
    </xf>
    <xf numFmtId="1" fontId="1" fillId="2" borderId="0" xfId="0" applyNumberFormat="1" applyFont="1" applyFill="1" applyBorder="1" applyAlignment="1">
      <alignment horizontal="center" vertical="top" wrapText="1"/>
    </xf>
    <xf numFmtId="0" fontId="15" fillId="0" borderId="11" xfId="0" applyFont="1" applyBorder="1" applyAlignment="1">
      <alignment vertical="top" wrapText="1"/>
    </xf>
    <xf numFmtId="0" fontId="15" fillId="0" borderId="11" xfId="0" applyFont="1" applyBorder="1" applyAlignment="1">
      <alignment horizontal="center" vertical="top"/>
    </xf>
    <xf numFmtId="0" fontId="15" fillId="0" borderId="5" xfId="0" applyFont="1" applyBorder="1" applyAlignment="1">
      <alignment horizontal="center" vertical="top"/>
    </xf>
    <xf numFmtId="165" fontId="17" fillId="0" borderId="5" xfId="0" applyNumberFormat="1" applyFont="1" applyBorder="1" applyAlignment="1">
      <alignment horizontal="center" vertical="top"/>
    </xf>
    <xf numFmtId="164" fontId="16" fillId="0" borderId="0" xfId="0" applyNumberFormat="1" applyFont="1" applyAlignment="1">
      <alignment vertical="top" wrapText="1"/>
    </xf>
    <xf numFmtId="164" fontId="1" fillId="0" borderId="1" xfId="0" applyNumberFormat="1" applyFont="1" applyFill="1" applyBorder="1" applyAlignment="1">
      <alignment vertical="top" wrapText="1"/>
    </xf>
    <xf numFmtId="164" fontId="1" fillId="0" borderId="1" xfId="0" applyNumberFormat="1" applyFont="1" applyFill="1" applyBorder="1" applyAlignment="1">
      <alignment horizontal="left" vertical="top" wrapText="1"/>
    </xf>
    <xf numFmtId="0" fontId="1" fillId="0" borderId="1" xfId="0" applyFont="1" applyFill="1" applyBorder="1" applyAlignment="1">
      <alignment vertical="top" wrapText="1"/>
    </xf>
    <xf numFmtId="164" fontId="1" fillId="2" borderId="1"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7" fillId="5" borderId="10" xfId="0" applyNumberFormat="1" applyFont="1" applyFill="1" applyBorder="1" applyAlignment="1">
      <alignment horizontal="left" vertical="top" wrapText="1"/>
    </xf>
    <xf numFmtId="164" fontId="7" fillId="5" borderId="2" xfId="0" applyNumberFormat="1" applyFont="1" applyFill="1" applyBorder="1" applyAlignment="1">
      <alignment horizontal="left" vertical="top" wrapText="1"/>
    </xf>
    <xf numFmtId="164" fontId="7" fillId="3" borderId="11" xfId="0" applyNumberFormat="1" applyFont="1" applyFill="1" applyBorder="1" applyAlignment="1">
      <alignment vertical="top" wrapText="1"/>
    </xf>
    <xf numFmtId="164" fontId="7" fillId="3" borderId="9" xfId="0" applyNumberFormat="1" applyFont="1" applyFill="1" applyBorder="1" applyAlignment="1">
      <alignment vertical="top" wrapText="1"/>
    </xf>
    <xf numFmtId="164" fontId="7" fillId="3" borderId="13" xfId="0" applyNumberFormat="1" applyFont="1" applyFill="1" applyBorder="1" applyAlignment="1">
      <alignment vertical="top" wrapText="1"/>
    </xf>
    <xf numFmtId="1" fontId="1" fillId="0" borderId="0" xfId="0" applyNumberFormat="1" applyFont="1" applyAlignment="1">
      <alignment horizontal="center"/>
    </xf>
    <xf numFmtId="164" fontId="7" fillId="5" borderId="10" xfId="0" applyNumberFormat="1" applyFont="1" applyFill="1" applyBorder="1" applyAlignment="1">
      <alignment horizontal="left" vertical="center" wrapText="1"/>
    </xf>
    <xf numFmtId="164" fontId="7" fillId="5" borderId="2" xfId="0" applyNumberFormat="1" applyFont="1" applyFill="1" applyBorder="1" applyAlignment="1">
      <alignment horizontal="left" vertical="center" wrapText="1"/>
    </xf>
    <xf numFmtId="164" fontId="7" fillId="5" borderId="3" xfId="0" applyNumberFormat="1" applyFont="1" applyFill="1" applyBorder="1" applyAlignment="1">
      <alignment horizontal="left" vertical="center" wrapText="1"/>
    </xf>
    <xf numFmtId="164" fontId="7" fillId="5" borderId="10" xfId="0" applyNumberFormat="1" applyFont="1" applyFill="1" applyBorder="1" applyAlignment="1">
      <alignment horizontal="left" vertical="top"/>
    </xf>
    <xf numFmtId="164" fontId="7" fillId="5" borderId="2" xfId="0" applyNumberFormat="1" applyFont="1" applyFill="1" applyBorder="1" applyAlignment="1">
      <alignment horizontal="left" vertical="top"/>
    </xf>
    <xf numFmtId="164" fontId="7" fillId="5" borderId="11" xfId="0" applyNumberFormat="1" applyFont="1" applyFill="1" applyBorder="1" applyAlignment="1">
      <alignment horizontal="left" vertical="top" wrapText="1"/>
    </xf>
    <xf numFmtId="164" fontId="7" fillId="5" borderId="9" xfId="0" applyNumberFormat="1" applyFont="1" applyFill="1" applyBorder="1" applyAlignment="1">
      <alignment horizontal="left" vertical="top" wrapText="1"/>
    </xf>
    <xf numFmtId="164" fontId="5" fillId="0" borderId="0" xfId="0" applyNumberFormat="1" applyFont="1" applyAlignment="1">
      <alignment horizontal="right" vertical="top"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164" fontId="6" fillId="0" borderId="0" xfId="0" applyNumberFormat="1" applyFont="1" applyAlignment="1">
      <alignment horizontal="center" vertical="center" wrapText="1"/>
    </xf>
    <xf numFmtId="1" fontId="1" fillId="2" borderId="4" xfId="0" applyNumberFormat="1"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1" fontId="7" fillId="5" borderId="10" xfId="0" applyNumberFormat="1" applyFont="1" applyFill="1" applyBorder="1" applyAlignment="1">
      <alignment horizontal="left" vertical="top" wrapText="1"/>
    </xf>
    <xf numFmtId="1" fontId="7" fillId="5" borderId="2" xfId="0" applyNumberFormat="1" applyFont="1" applyFill="1" applyBorder="1" applyAlignment="1">
      <alignment horizontal="left" vertical="top" wrapText="1"/>
    </xf>
    <xf numFmtId="1" fontId="7" fillId="5" borderId="3" xfId="0" applyNumberFormat="1" applyFont="1" applyFill="1" applyBorder="1" applyAlignment="1">
      <alignment horizontal="left" vertical="top" wrapText="1"/>
    </xf>
    <xf numFmtId="164" fontId="5" fillId="0" borderId="0" xfId="0" applyNumberFormat="1" applyFont="1" applyAlignment="1">
      <alignment horizontal="left" vertical="top" wrapText="1"/>
    </xf>
  </cellXfs>
  <cellStyles count="1">
    <cellStyle name="Įprastas" xfId="0" builtinId="0"/>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73"/>
  <sheetViews>
    <sheetView zoomScaleNormal="100" workbookViewId="0">
      <pane ySplit="1" topLeftCell="A2" activePane="bottomLeft" state="frozen"/>
      <selection pane="bottomLeft" activeCell="N81" sqref="N81"/>
    </sheetView>
  </sheetViews>
  <sheetFormatPr defaultColWidth="9.140625" defaultRowHeight="12.75" x14ac:dyDescent="0.2"/>
  <cols>
    <col min="1" max="1" width="4.42578125" style="49" customWidth="1"/>
    <col min="2" max="2" width="32.42578125" style="17" customWidth="1"/>
    <col min="3" max="3" width="13.5703125" style="94" hidden="1" customWidth="1"/>
    <col min="4" max="5" width="8.42578125" style="15" customWidth="1"/>
    <col min="6" max="6" width="11.42578125" style="99" customWidth="1"/>
    <col min="7" max="7" width="9.42578125" style="100" customWidth="1"/>
    <col min="8" max="8" width="8.85546875" style="100" customWidth="1"/>
    <col min="9" max="9" width="11.42578125" style="100" customWidth="1"/>
    <col min="10" max="10" width="9.5703125" style="100" customWidth="1"/>
    <col min="11" max="11" width="8.42578125" style="100" customWidth="1"/>
    <col min="12" max="12" width="10.140625" style="100" customWidth="1"/>
    <col min="13" max="14" width="8.5703125" style="100" customWidth="1"/>
    <col min="15" max="15" width="11.42578125" style="100" customWidth="1"/>
    <col min="16" max="16" width="9" style="100" customWidth="1"/>
    <col min="17" max="17" width="8.42578125" style="100" customWidth="1"/>
    <col min="18" max="18" width="9.85546875" style="100" customWidth="1"/>
    <col min="19" max="19" width="9.42578125" style="100" customWidth="1"/>
    <col min="20" max="20" width="8.42578125" style="100" customWidth="1"/>
    <col min="21" max="21" width="9.5703125" style="100" customWidth="1"/>
    <col min="22" max="22" width="8.140625" style="100" customWidth="1"/>
    <col min="23" max="23" width="8.42578125" style="100" customWidth="1"/>
    <col min="24" max="24" width="26.85546875" style="100" customWidth="1"/>
    <col min="25" max="16384" width="9.140625" style="17"/>
  </cols>
  <sheetData>
    <row r="1" spans="1:25" ht="18" customHeight="1" x14ac:dyDescent="0.2">
      <c r="F1" s="50"/>
      <c r="G1" s="18"/>
      <c r="H1" s="18"/>
      <c r="I1" s="18"/>
      <c r="J1" s="18"/>
      <c r="K1" s="18"/>
      <c r="L1" s="90"/>
      <c r="M1" s="90"/>
      <c r="N1" s="90"/>
      <c r="O1" s="90"/>
      <c r="P1" s="90"/>
      <c r="Q1" s="90"/>
      <c r="R1" s="90"/>
      <c r="S1" s="90"/>
      <c r="T1" s="90"/>
      <c r="U1" s="90"/>
      <c r="V1" s="124"/>
      <c r="W1" s="207" t="s">
        <v>0</v>
      </c>
      <c r="X1" s="207"/>
    </row>
    <row r="2" spans="1:25" ht="23.85" customHeight="1" x14ac:dyDescent="0.2">
      <c r="A2" s="210" t="s">
        <v>1</v>
      </c>
      <c r="B2" s="210"/>
      <c r="C2" s="210"/>
      <c r="D2" s="210"/>
      <c r="E2" s="210"/>
      <c r="F2" s="210"/>
      <c r="G2" s="210"/>
      <c r="H2" s="210"/>
      <c r="I2" s="210"/>
      <c r="J2" s="210"/>
      <c r="K2" s="210"/>
      <c r="L2" s="210"/>
      <c r="M2" s="210"/>
      <c r="N2" s="210"/>
      <c r="O2" s="210"/>
      <c r="P2" s="210"/>
      <c r="Q2" s="210"/>
      <c r="R2" s="210"/>
      <c r="S2" s="210"/>
      <c r="T2" s="210"/>
      <c r="U2" s="210"/>
      <c r="V2" s="126"/>
      <c r="W2" s="126"/>
      <c r="X2" s="126"/>
    </row>
    <row r="3" spans="1:25" ht="12" customHeight="1" x14ac:dyDescent="0.2">
      <c r="E3" s="17"/>
      <c r="F3" s="15"/>
      <c r="G3" s="17"/>
      <c r="H3" s="17"/>
      <c r="I3" s="17"/>
      <c r="J3" s="17"/>
      <c r="K3" s="17"/>
      <c r="L3" s="15"/>
      <c r="M3" s="17"/>
      <c r="N3" s="17"/>
      <c r="O3" s="17"/>
      <c r="P3" s="17"/>
      <c r="Q3" s="17"/>
      <c r="R3" s="15"/>
      <c r="S3" s="17"/>
      <c r="T3" s="17"/>
      <c r="U3" s="34"/>
      <c r="V3" s="17"/>
      <c r="W3" s="17"/>
      <c r="X3" s="34" t="s">
        <v>2</v>
      </c>
    </row>
    <row r="4" spans="1:25" ht="44.1" customHeight="1" x14ac:dyDescent="0.2">
      <c r="A4" s="211" t="s">
        <v>3</v>
      </c>
      <c r="B4" s="189" t="s">
        <v>4</v>
      </c>
      <c r="C4" s="189" t="s">
        <v>5</v>
      </c>
      <c r="D4" s="192" t="s">
        <v>6</v>
      </c>
      <c r="E4" s="192"/>
      <c r="F4" s="193" t="s">
        <v>7</v>
      </c>
      <c r="G4" s="189" t="s">
        <v>8</v>
      </c>
      <c r="H4" s="189" t="s">
        <v>9</v>
      </c>
      <c r="I4" s="188" t="s">
        <v>10</v>
      </c>
      <c r="J4" s="189" t="s">
        <v>8</v>
      </c>
      <c r="K4" s="189" t="s">
        <v>9</v>
      </c>
      <c r="L4" s="188" t="s">
        <v>11</v>
      </c>
      <c r="M4" s="189" t="s">
        <v>8</v>
      </c>
      <c r="N4" s="189" t="s">
        <v>9</v>
      </c>
      <c r="O4" s="188" t="s">
        <v>12</v>
      </c>
      <c r="P4" s="189" t="s">
        <v>8</v>
      </c>
      <c r="Q4" s="189" t="s">
        <v>9</v>
      </c>
      <c r="R4" s="188" t="s">
        <v>13</v>
      </c>
      <c r="S4" s="189" t="s">
        <v>8</v>
      </c>
      <c r="T4" s="189" t="s">
        <v>9</v>
      </c>
      <c r="U4" s="188" t="s">
        <v>14</v>
      </c>
      <c r="V4" s="189" t="s">
        <v>8</v>
      </c>
      <c r="W4" s="189" t="s">
        <v>9</v>
      </c>
      <c r="X4" s="189" t="s">
        <v>15</v>
      </c>
    </row>
    <row r="5" spans="1:25" ht="35.85" customHeight="1" x14ac:dyDescent="0.2">
      <c r="A5" s="212"/>
      <c r="B5" s="190"/>
      <c r="C5" s="190"/>
      <c r="D5" s="208" t="s">
        <v>16</v>
      </c>
      <c r="E5" s="208" t="s">
        <v>17</v>
      </c>
      <c r="F5" s="193"/>
      <c r="G5" s="191"/>
      <c r="H5" s="191"/>
      <c r="I5" s="188"/>
      <c r="J5" s="191"/>
      <c r="K5" s="191"/>
      <c r="L5" s="188"/>
      <c r="M5" s="191"/>
      <c r="N5" s="191"/>
      <c r="O5" s="188"/>
      <c r="P5" s="191"/>
      <c r="Q5" s="191"/>
      <c r="R5" s="188"/>
      <c r="S5" s="191"/>
      <c r="T5" s="191"/>
      <c r="U5" s="188"/>
      <c r="V5" s="191"/>
      <c r="W5" s="191"/>
      <c r="X5" s="191"/>
    </row>
    <row r="6" spans="1:25" ht="15.75" customHeight="1" x14ac:dyDescent="0.2">
      <c r="A6" s="62"/>
      <c r="B6" s="191"/>
      <c r="C6" s="191"/>
      <c r="D6" s="209"/>
      <c r="E6" s="209"/>
      <c r="F6" s="125" t="s">
        <v>18</v>
      </c>
      <c r="G6" s="125"/>
      <c r="H6" s="125"/>
      <c r="I6" s="125" t="s">
        <v>19</v>
      </c>
      <c r="J6" s="125"/>
      <c r="K6" s="125"/>
      <c r="L6" s="125" t="s">
        <v>20</v>
      </c>
      <c r="M6" s="125"/>
      <c r="N6" s="125"/>
      <c r="O6" s="125" t="s">
        <v>21</v>
      </c>
      <c r="P6" s="125"/>
      <c r="Q6" s="125"/>
      <c r="R6" s="125" t="s">
        <v>22</v>
      </c>
      <c r="S6" s="125"/>
      <c r="T6" s="125"/>
      <c r="U6" s="125" t="s">
        <v>23</v>
      </c>
      <c r="V6" s="125"/>
      <c r="W6" s="125"/>
      <c r="X6" s="125"/>
    </row>
    <row r="7" spans="1:25" ht="17.100000000000001" customHeight="1" x14ac:dyDescent="0.2">
      <c r="A7" s="200" t="s">
        <v>24</v>
      </c>
      <c r="B7" s="201"/>
      <c r="C7" s="201"/>
      <c r="D7" s="201"/>
      <c r="E7" s="201"/>
      <c r="F7" s="201"/>
      <c r="G7" s="201"/>
      <c r="H7" s="201"/>
      <c r="I7" s="201"/>
      <c r="J7" s="201"/>
      <c r="K7" s="201"/>
      <c r="L7" s="201"/>
      <c r="M7" s="201"/>
      <c r="N7" s="201"/>
      <c r="O7" s="201"/>
      <c r="P7" s="201"/>
      <c r="Q7" s="201"/>
      <c r="R7" s="201"/>
      <c r="S7" s="201"/>
      <c r="T7" s="201"/>
      <c r="U7" s="202"/>
      <c r="V7" s="91"/>
      <c r="W7" s="91"/>
      <c r="X7" s="91"/>
      <c r="Y7" s="134"/>
    </row>
    <row r="8" spans="1:25" ht="24.95" customHeight="1" x14ac:dyDescent="0.2">
      <c r="A8" s="55" t="s">
        <v>25</v>
      </c>
      <c r="B8" s="23" t="s">
        <v>26</v>
      </c>
      <c r="C8" s="95" t="s">
        <v>27</v>
      </c>
      <c r="D8" s="7" t="s">
        <v>28</v>
      </c>
      <c r="E8" s="7"/>
      <c r="F8" s="66">
        <f>+I8+L8+O8+R8+U8</f>
        <v>3170</v>
      </c>
      <c r="G8" s="66">
        <f>+J8+M8+P8+S8+V8</f>
        <v>3170</v>
      </c>
      <c r="H8" s="66">
        <f>+K8+N8+Q8+T8+W8</f>
        <v>0</v>
      </c>
      <c r="I8" s="19">
        <v>170</v>
      </c>
      <c r="J8" s="19">
        <v>170</v>
      </c>
      <c r="K8" s="19">
        <f>+J8-I8</f>
        <v>0</v>
      </c>
      <c r="L8" s="19"/>
      <c r="M8" s="19"/>
      <c r="N8" s="19">
        <f>+M8-L8</f>
        <v>0</v>
      </c>
      <c r="O8" s="19"/>
      <c r="P8" s="19"/>
      <c r="Q8" s="19">
        <f>+P8-O8</f>
        <v>0</v>
      </c>
      <c r="R8" s="19"/>
      <c r="S8" s="19"/>
      <c r="T8" s="19">
        <f>+S8-R8</f>
        <v>0</v>
      </c>
      <c r="U8" s="19">
        <v>3000</v>
      </c>
      <c r="V8" s="19">
        <v>3000</v>
      </c>
      <c r="W8" s="19">
        <f>+V8-U8</f>
        <v>0</v>
      </c>
      <c r="X8" s="19"/>
    </row>
    <row r="9" spans="1:25" ht="16.350000000000001" customHeight="1" x14ac:dyDescent="0.2">
      <c r="A9" s="57">
        <v>1</v>
      </c>
      <c r="B9" s="68" t="s">
        <v>29</v>
      </c>
      <c r="C9" s="104"/>
      <c r="D9" s="69"/>
      <c r="E9" s="105" t="s">
        <v>18</v>
      </c>
      <c r="F9" s="107">
        <f>+F8</f>
        <v>3170</v>
      </c>
      <c r="G9" s="107">
        <f>+G8</f>
        <v>3170</v>
      </c>
      <c r="H9" s="107">
        <f>+H8</f>
        <v>0</v>
      </c>
      <c r="I9" s="107">
        <f>SUM(I8:I8)</f>
        <v>170</v>
      </c>
      <c r="J9" s="107">
        <f>SUM(J8:J8)</f>
        <v>170</v>
      </c>
      <c r="K9" s="107">
        <f>SUM(K8:K8)</f>
        <v>0</v>
      </c>
      <c r="L9" s="107">
        <f t="shared" ref="L9:U9" si="0">SUM(L8:L8)</f>
        <v>0</v>
      </c>
      <c r="M9" s="107">
        <f t="shared" ref="M9:N9" si="1">SUM(M8:M8)</f>
        <v>0</v>
      </c>
      <c r="N9" s="107">
        <f t="shared" si="1"/>
        <v>0</v>
      </c>
      <c r="O9" s="107">
        <f t="shared" si="0"/>
        <v>0</v>
      </c>
      <c r="P9" s="107">
        <f t="shared" si="0"/>
        <v>0</v>
      </c>
      <c r="Q9" s="107">
        <f t="shared" si="0"/>
        <v>0</v>
      </c>
      <c r="R9" s="107">
        <f t="shared" si="0"/>
        <v>0</v>
      </c>
      <c r="S9" s="107">
        <f t="shared" ref="S9:T9" si="2">SUM(S8:S8)</f>
        <v>0</v>
      </c>
      <c r="T9" s="107">
        <f t="shared" si="2"/>
        <v>0</v>
      </c>
      <c r="U9" s="107">
        <f t="shared" si="0"/>
        <v>3000</v>
      </c>
      <c r="V9" s="107">
        <f t="shared" ref="V9:W9" si="3">SUM(V8:V8)</f>
        <v>3000</v>
      </c>
      <c r="W9" s="107">
        <f t="shared" si="3"/>
        <v>0</v>
      </c>
      <c r="X9" s="107"/>
    </row>
    <row r="10" spans="1:25" ht="17.850000000000001" customHeight="1" x14ac:dyDescent="0.2">
      <c r="A10" s="200" t="s">
        <v>30</v>
      </c>
      <c r="B10" s="201"/>
      <c r="C10" s="201"/>
      <c r="D10" s="201"/>
      <c r="E10" s="201"/>
      <c r="F10" s="201"/>
      <c r="G10" s="201"/>
      <c r="H10" s="201"/>
      <c r="I10" s="201"/>
      <c r="J10" s="201"/>
      <c r="K10" s="201"/>
      <c r="L10" s="201"/>
      <c r="M10" s="201"/>
      <c r="N10" s="201"/>
      <c r="O10" s="201"/>
      <c r="P10" s="201"/>
      <c r="Q10" s="201"/>
      <c r="R10" s="201"/>
      <c r="S10" s="201"/>
      <c r="T10" s="201"/>
      <c r="U10" s="202"/>
      <c r="V10" s="91"/>
      <c r="W10" s="91"/>
      <c r="X10" s="91"/>
      <c r="Y10" s="134"/>
    </row>
    <row r="11" spans="1:25" ht="40.5" customHeight="1" x14ac:dyDescent="0.2">
      <c r="A11" s="55" t="s">
        <v>25</v>
      </c>
      <c r="B11" s="23" t="s">
        <v>31</v>
      </c>
      <c r="C11" s="95" t="s">
        <v>32</v>
      </c>
      <c r="D11" s="7" t="s">
        <v>33</v>
      </c>
      <c r="E11" s="7" t="s">
        <v>28</v>
      </c>
      <c r="F11" s="66">
        <f>+I11+L11+O11+R11+U11</f>
        <v>654.1</v>
      </c>
      <c r="G11" s="66">
        <f>+J11+M11+P11+S11+V11</f>
        <v>654.1</v>
      </c>
      <c r="H11" s="66">
        <f>+K11+N11+Q11+T11+W11</f>
        <v>0</v>
      </c>
      <c r="I11" s="19">
        <v>32</v>
      </c>
      <c r="J11" s="19">
        <v>32</v>
      </c>
      <c r="K11" s="19">
        <f>+J11-I11</f>
        <v>0</v>
      </c>
      <c r="L11" s="19">
        <v>555.6</v>
      </c>
      <c r="M11" s="19">
        <v>555.6</v>
      </c>
      <c r="N11" s="19">
        <f>+M11-L11</f>
        <v>0</v>
      </c>
      <c r="O11" s="19"/>
      <c r="P11" s="19"/>
      <c r="Q11" s="19">
        <f>+P11-O11</f>
        <v>0</v>
      </c>
      <c r="R11" s="19"/>
      <c r="S11" s="19"/>
      <c r="T11" s="19">
        <f>+S11-R11</f>
        <v>0</v>
      </c>
      <c r="U11" s="19">
        <v>66.5</v>
      </c>
      <c r="V11" s="19">
        <v>66.5</v>
      </c>
      <c r="W11" s="19">
        <f>+V11-U11</f>
        <v>0</v>
      </c>
      <c r="X11" s="19"/>
    </row>
    <row r="12" spans="1:25" ht="77.25" customHeight="1" x14ac:dyDescent="0.2">
      <c r="A12" s="130">
        <v>2</v>
      </c>
      <c r="B12" s="24" t="s">
        <v>34</v>
      </c>
      <c r="C12" s="95" t="s">
        <v>35</v>
      </c>
      <c r="D12" s="12" t="s">
        <v>36</v>
      </c>
      <c r="E12" s="8" t="s">
        <v>37</v>
      </c>
      <c r="F12" s="143">
        <f t="shared" ref="F12:G15" si="4">+I12+L12+O12+R12+U12</f>
        <v>1872.4</v>
      </c>
      <c r="G12" s="143">
        <f t="shared" si="4"/>
        <v>2406.6</v>
      </c>
      <c r="H12" s="143">
        <f t="shared" ref="H12:H14" si="5">+K12+N12+Q12+T12+W12</f>
        <v>534.19999999999982</v>
      </c>
      <c r="I12" s="140">
        <v>1372.4</v>
      </c>
      <c r="J12" s="140">
        <f>1372.4-781.6</f>
        <v>590.80000000000007</v>
      </c>
      <c r="K12" s="140">
        <f t="shared" ref="K12:K15" si="6">+J12-I12</f>
        <v>-781.6</v>
      </c>
      <c r="L12" s="95"/>
      <c r="M12" s="140">
        <v>1815.8</v>
      </c>
      <c r="N12" s="142">
        <f t="shared" ref="N12:N15" si="7">+M12-L12</f>
        <v>1815.8</v>
      </c>
      <c r="O12" s="19"/>
      <c r="P12" s="19"/>
      <c r="Q12" s="19">
        <f t="shared" ref="Q12:Q15" si="8">+P12-O12</f>
        <v>0</v>
      </c>
      <c r="R12" s="95"/>
      <c r="S12" s="95"/>
      <c r="T12" s="19">
        <f t="shared" ref="T12:T15" si="9">+S12-R12</f>
        <v>0</v>
      </c>
      <c r="U12" s="142">
        <f>500</f>
        <v>500</v>
      </c>
      <c r="V12" s="142">
        <f>500-500</f>
        <v>0</v>
      </c>
      <c r="W12" s="142">
        <f>+V12-U12</f>
        <v>-500</v>
      </c>
      <c r="X12" s="157" t="s">
        <v>38</v>
      </c>
    </row>
    <row r="13" spans="1:25" ht="51.75" customHeight="1" x14ac:dyDescent="0.2">
      <c r="A13" s="131"/>
      <c r="B13" s="40" t="s">
        <v>39</v>
      </c>
      <c r="C13" s="76" t="s">
        <v>35</v>
      </c>
      <c r="D13" s="75" t="s">
        <v>40</v>
      </c>
      <c r="E13" s="85"/>
      <c r="F13" s="87">
        <f t="shared" si="4"/>
        <v>5200</v>
      </c>
      <c r="G13" s="87">
        <f t="shared" si="4"/>
        <v>5200</v>
      </c>
      <c r="H13" s="87">
        <f t="shared" si="5"/>
        <v>0</v>
      </c>
      <c r="I13" s="76">
        <v>950</v>
      </c>
      <c r="J13" s="76">
        <v>950</v>
      </c>
      <c r="K13" s="76">
        <f t="shared" si="6"/>
        <v>0</v>
      </c>
      <c r="L13" s="76">
        <v>4250</v>
      </c>
      <c r="M13" s="76">
        <v>4250</v>
      </c>
      <c r="N13" s="77">
        <f t="shared" si="7"/>
        <v>0</v>
      </c>
      <c r="O13" s="97"/>
      <c r="P13" s="97"/>
      <c r="Q13" s="77">
        <f t="shared" si="8"/>
        <v>0</v>
      </c>
      <c r="R13" s="76"/>
      <c r="S13" s="76"/>
      <c r="T13" s="77">
        <f t="shared" si="9"/>
        <v>0</v>
      </c>
      <c r="U13" s="97"/>
      <c r="V13" s="97"/>
      <c r="W13" s="77">
        <f t="shared" ref="W13:W14" si="10">+V13-U13</f>
        <v>0</v>
      </c>
      <c r="X13" s="76"/>
    </row>
    <row r="14" spans="1:25" ht="27.6" customHeight="1" x14ac:dyDescent="0.2">
      <c r="A14" s="58">
        <v>3</v>
      </c>
      <c r="B14" s="40" t="s">
        <v>41</v>
      </c>
      <c r="C14" s="76" t="s">
        <v>35</v>
      </c>
      <c r="D14" s="4" t="s">
        <v>40</v>
      </c>
      <c r="E14" s="85" t="s">
        <v>37</v>
      </c>
      <c r="F14" s="64">
        <f t="shared" si="4"/>
        <v>688</v>
      </c>
      <c r="G14" s="64">
        <f t="shared" si="4"/>
        <v>688</v>
      </c>
      <c r="H14" s="66">
        <f t="shared" si="5"/>
        <v>0</v>
      </c>
      <c r="I14" s="97">
        <v>688</v>
      </c>
      <c r="J14" s="97">
        <v>688</v>
      </c>
      <c r="K14" s="19">
        <f t="shared" si="6"/>
        <v>0</v>
      </c>
      <c r="L14" s="97"/>
      <c r="M14" s="97"/>
      <c r="N14" s="19">
        <f t="shared" si="7"/>
        <v>0</v>
      </c>
      <c r="O14" s="96"/>
      <c r="P14" s="96"/>
      <c r="Q14" s="19">
        <f t="shared" si="8"/>
        <v>0</v>
      </c>
      <c r="R14" s="96"/>
      <c r="S14" s="96"/>
      <c r="T14" s="19">
        <f t="shared" si="9"/>
        <v>0</v>
      </c>
      <c r="U14" s="96"/>
      <c r="V14" s="96"/>
      <c r="W14" s="19">
        <f t="shared" si="10"/>
        <v>0</v>
      </c>
      <c r="X14" s="97"/>
    </row>
    <row r="15" spans="1:25" ht="25.5" customHeight="1" x14ac:dyDescent="0.2">
      <c r="A15" s="59">
        <v>4</v>
      </c>
      <c r="B15" s="73" t="s">
        <v>42</v>
      </c>
      <c r="C15" s="88" t="s">
        <v>27</v>
      </c>
      <c r="D15" s="74">
        <v>2022</v>
      </c>
      <c r="E15" s="44" t="s">
        <v>43</v>
      </c>
      <c r="F15" s="54">
        <f t="shared" si="4"/>
        <v>1562</v>
      </c>
      <c r="G15" s="54">
        <f t="shared" si="4"/>
        <v>1562</v>
      </c>
      <c r="H15" s="66">
        <f>+K15+N15+Q15+T15+W15</f>
        <v>0</v>
      </c>
      <c r="I15" s="20">
        <v>372</v>
      </c>
      <c r="J15" s="20">
        <v>372</v>
      </c>
      <c r="K15" s="19">
        <f t="shared" si="6"/>
        <v>0</v>
      </c>
      <c r="L15" s="20">
        <v>1190</v>
      </c>
      <c r="M15" s="20">
        <v>1190</v>
      </c>
      <c r="N15" s="19">
        <f t="shared" si="7"/>
        <v>0</v>
      </c>
      <c r="O15" s="95"/>
      <c r="P15" s="95"/>
      <c r="Q15" s="19">
        <f t="shared" si="8"/>
        <v>0</v>
      </c>
      <c r="R15" s="95"/>
      <c r="S15" s="95"/>
      <c r="T15" s="19">
        <f t="shared" si="9"/>
        <v>0</v>
      </c>
      <c r="U15" s="95"/>
      <c r="V15" s="95"/>
      <c r="W15" s="19">
        <f>+V15-U15</f>
        <v>0</v>
      </c>
      <c r="X15" s="20"/>
    </row>
    <row r="16" spans="1:25" ht="16.5" customHeight="1" x14ac:dyDescent="0.2">
      <c r="A16" s="57">
        <v>4</v>
      </c>
      <c r="B16" s="68" t="s">
        <v>44</v>
      </c>
      <c r="C16" s="104"/>
      <c r="D16" s="69"/>
      <c r="E16" s="105" t="s">
        <v>18</v>
      </c>
      <c r="F16" s="107">
        <f>SUM(F11:F15)</f>
        <v>9976.5</v>
      </c>
      <c r="G16" s="107">
        <f>SUM(G11:G15)</f>
        <v>10510.7</v>
      </c>
      <c r="H16" s="107">
        <f>SUM(H11:H15)</f>
        <v>534.19999999999982</v>
      </c>
      <c r="I16" s="107">
        <f t="shared" ref="I16:K16" si="11">SUM(I11:I15)</f>
        <v>3414.4</v>
      </c>
      <c r="J16" s="107">
        <f t="shared" si="11"/>
        <v>2632.8</v>
      </c>
      <c r="K16" s="107">
        <f t="shared" si="11"/>
        <v>-781.6</v>
      </c>
      <c r="L16" s="106">
        <f t="shared" ref="L16:U16" si="12">SUM(L11:L15)</f>
        <v>5995.6</v>
      </c>
      <c r="M16" s="106">
        <f t="shared" ref="M16" si="13">SUM(M11:M15)</f>
        <v>7811.4</v>
      </c>
      <c r="N16" s="107">
        <f>SUM(N11:N15)</f>
        <v>1815.8</v>
      </c>
      <c r="O16" s="107">
        <f t="shared" si="12"/>
        <v>0</v>
      </c>
      <c r="P16" s="107">
        <f t="shared" ref="P16:Q16" si="14">SUM(P11:P15)</f>
        <v>0</v>
      </c>
      <c r="Q16" s="107">
        <f t="shared" si="14"/>
        <v>0</v>
      </c>
      <c r="R16" s="107">
        <f t="shared" si="12"/>
        <v>0</v>
      </c>
      <c r="S16" s="107">
        <f t="shared" ref="S16:T16" si="15">SUM(S11:S15)</f>
        <v>0</v>
      </c>
      <c r="T16" s="107">
        <f t="shared" si="15"/>
        <v>0</v>
      </c>
      <c r="U16" s="107">
        <f t="shared" si="12"/>
        <v>566.5</v>
      </c>
      <c r="V16" s="107">
        <f t="shared" ref="V16:W16" si="16">SUM(V11:V15)</f>
        <v>66.5</v>
      </c>
      <c r="W16" s="107">
        <f t="shared" si="16"/>
        <v>-500</v>
      </c>
      <c r="X16" s="107"/>
    </row>
    <row r="17" spans="1:25" s="29" customFormat="1" ht="16.5" customHeight="1" x14ac:dyDescent="0.25">
      <c r="A17" s="200" t="s">
        <v>45</v>
      </c>
      <c r="B17" s="201"/>
      <c r="C17" s="201"/>
      <c r="D17" s="201"/>
      <c r="E17" s="201"/>
      <c r="F17" s="201"/>
      <c r="G17" s="201"/>
      <c r="H17" s="201"/>
      <c r="I17" s="201"/>
      <c r="J17" s="201"/>
      <c r="K17" s="201"/>
      <c r="L17" s="201"/>
      <c r="M17" s="201"/>
      <c r="N17" s="201"/>
      <c r="O17" s="201"/>
      <c r="P17" s="201"/>
      <c r="Q17" s="201"/>
      <c r="R17" s="201"/>
      <c r="S17" s="201"/>
      <c r="T17" s="201"/>
      <c r="U17" s="202"/>
      <c r="V17" s="91"/>
      <c r="W17" s="91"/>
      <c r="X17" s="122"/>
    </row>
    <row r="18" spans="1:25" s="29" customFormat="1" ht="41.25" customHeight="1" x14ac:dyDescent="0.25">
      <c r="A18" s="55" t="s">
        <v>25</v>
      </c>
      <c r="B18" s="21" t="s">
        <v>46</v>
      </c>
      <c r="C18" s="20" t="s">
        <v>47</v>
      </c>
      <c r="D18" s="7">
        <v>2017</v>
      </c>
      <c r="E18" s="7" t="s">
        <v>28</v>
      </c>
      <c r="F18" s="51">
        <f t="shared" ref="F18:F24" si="17">+I18+L18+O18+R18+U18</f>
        <v>2428.1999999999998</v>
      </c>
      <c r="G18" s="51">
        <f>J18+M18+P18+S18+V18</f>
        <v>2428.1999999999998</v>
      </c>
      <c r="H18" s="51">
        <f>K18+N18+Q18+T18+W18</f>
        <v>0</v>
      </c>
      <c r="I18" s="20">
        <v>843.2</v>
      </c>
      <c r="J18" s="20">
        <v>843.2</v>
      </c>
      <c r="K18" s="20">
        <f>+J18-I18</f>
        <v>0</v>
      </c>
      <c r="L18" s="20"/>
      <c r="M18" s="20"/>
      <c r="N18" s="20">
        <f t="shared" ref="N18:N24" si="18">M18-L18</f>
        <v>0</v>
      </c>
      <c r="O18" s="20"/>
      <c r="P18" s="20"/>
      <c r="Q18" s="137">
        <f>P18-O18</f>
        <v>0</v>
      </c>
      <c r="R18" s="20"/>
      <c r="S18" s="20"/>
      <c r="T18" s="20">
        <f>+S18-R18</f>
        <v>0</v>
      </c>
      <c r="U18" s="20">
        <v>1585</v>
      </c>
      <c r="V18" s="20">
        <v>1585</v>
      </c>
      <c r="W18" s="20">
        <f>V18-U18</f>
        <v>0</v>
      </c>
      <c r="X18" s="20"/>
    </row>
    <row r="19" spans="1:25" s="29" customFormat="1" ht="42" customHeight="1" x14ac:dyDescent="0.25">
      <c r="A19" s="55" t="s">
        <v>48</v>
      </c>
      <c r="B19" s="21" t="s">
        <v>49</v>
      </c>
      <c r="C19" s="20" t="s">
        <v>50</v>
      </c>
      <c r="D19" s="7">
        <v>2017</v>
      </c>
      <c r="E19" s="7" t="s">
        <v>28</v>
      </c>
      <c r="F19" s="51">
        <f t="shared" si="17"/>
        <v>1265.2</v>
      </c>
      <c r="G19" s="51">
        <f t="shared" ref="G19:G24" si="19">J19+M19+P19+S19+V19</f>
        <v>1265.2</v>
      </c>
      <c r="H19" s="51">
        <f t="shared" ref="H19:H24" si="20">K19+N19+Q19+T19+W19</f>
        <v>0</v>
      </c>
      <c r="I19" s="20">
        <f>1150+59.2+56</f>
        <v>1265.2</v>
      </c>
      <c r="J19" s="20">
        <f>1150+59.2+56</f>
        <v>1265.2</v>
      </c>
      <c r="K19" s="20">
        <f>+J19-I19</f>
        <v>0</v>
      </c>
      <c r="L19" s="20"/>
      <c r="M19" s="20"/>
      <c r="N19" s="20">
        <f t="shared" si="18"/>
        <v>0</v>
      </c>
      <c r="O19" s="20"/>
      <c r="P19" s="20"/>
      <c r="Q19" s="20">
        <f t="shared" ref="Q19:Q24" si="21">P18-O18</f>
        <v>0</v>
      </c>
      <c r="R19" s="20"/>
      <c r="S19" s="20"/>
      <c r="T19" s="20">
        <f t="shared" ref="T19:T24" si="22">+S19-R19</f>
        <v>0</v>
      </c>
      <c r="U19" s="20"/>
      <c r="V19" s="20"/>
      <c r="W19" s="20">
        <f t="shared" ref="W19:W24" si="23">V19-U19</f>
        <v>0</v>
      </c>
      <c r="X19" s="20"/>
    </row>
    <row r="20" spans="1:25" s="29" customFormat="1" ht="42" customHeight="1" x14ac:dyDescent="0.25">
      <c r="A20" s="55" t="s">
        <v>51</v>
      </c>
      <c r="B20" s="21" t="s">
        <v>52</v>
      </c>
      <c r="C20" s="20" t="s">
        <v>47</v>
      </c>
      <c r="D20" s="7">
        <v>2017</v>
      </c>
      <c r="E20" s="7" t="s">
        <v>40</v>
      </c>
      <c r="F20" s="51">
        <f t="shared" si="17"/>
        <v>595</v>
      </c>
      <c r="G20" s="51">
        <f t="shared" si="19"/>
        <v>595</v>
      </c>
      <c r="H20" s="51">
        <f t="shared" si="20"/>
        <v>0</v>
      </c>
      <c r="I20" s="22"/>
      <c r="J20" s="22"/>
      <c r="K20" s="20">
        <f>+J20-I20</f>
        <v>0</v>
      </c>
      <c r="L20" s="22"/>
      <c r="M20" s="22"/>
      <c r="N20" s="20">
        <f t="shared" si="18"/>
        <v>0</v>
      </c>
      <c r="O20" s="22"/>
      <c r="P20" s="22"/>
      <c r="Q20" s="20">
        <f t="shared" si="21"/>
        <v>0</v>
      </c>
      <c r="R20" s="22"/>
      <c r="S20" s="22"/>
      <c r="T20" s="20">
        <f t="shared" si="22"/>
        <v>0</v>
      </c>
      <c r="U20" s="22">
        <v>595</v>
      </c>
      <c r="V20" s="22">
        <v>595</v>
      </c>
      <c r="W20" s="20">
        <f t="shared" si="23"/>
        <v>0</v>
      </c>
      <c r="X20" s="22"/>
    </row>
    <row r="21" spans="1:25" s="29" customFormat="1" ht="39" customHeight="1" x14ac:dyDescent="0.25">
      <c r="A21" s="55" t="s">
        <v>53</v>
      </c>
      <c r="B21" s="21" t="s">
        <v>54</v>
      </c>
      <c r="C21" s="20" t="s">
        <v>55</v>
      </c>
      <c r="D21" s="7">
        <v>2018</v>
      </c>
      <c r="E21" s="7" t="s">
        <v>56</v>
      </c>
      <c r="F21" s="54">
        <f t="shared" si="17"/>
        <v>10000</v>
      </c>
      <c r="G21" s="51">
        <f t="shared" si="19"/>
        <v>10000</v>
      </c>
      <c r="H21" s="51">
        <f t="shared" si="20"/>
        <v>0</v>
      </c>
      <c r="I21" s="33">
        <f>4401.7-2769</f>
        <v>1632.6999999999998</v>
      </c>
      <c r="J21" s="33">
        <f>4401.7-2769</f>
        <v>1632.6999999999998</v>
      </c>
      <c r="K21" s="33">
        <f>J21-I21</f>
        <v>0</v>
      </c>
      <c r="L21" s="33">
        <v>8367.2999999999993</v>
      </c>
      <c r="M21" s="33">
        <v>8367.2999999999993</v>
      </c>
      <c r="N21" s="33">
        <f t="shared" si="18"/>
        <v>0</v>
      </c>
      <c r="O21" s="33"/>
      <c r="P21" s="33"/>
      <c r="Q21" s="20">
        <f t="shared" si="21"/>
        <v>0</v>
      </c>
      <c r="R21" s="33"/>
      <c r="S21" s="33"/>
      <c r="T21" s="20">
        <f t="shared" si="22"/>
        <v>0</v>
      </c>
      <c r="U21" s="33"/>
      <c r="V21" s="33"/>
      <c r="W21" s="20">
        <f>V21-U21</f>
        <v>0</v>
      </c>
      <c r="X21" s="33"/>
    </row>
    <row r="22" spans="1:25" s="29" customFormat="1" ht="57" customHeight="1" x14ac:dyDescent="0.25">
      <c r="A22" s="59">
        <v>5</v>
      </c>
      <c r="B22" s="41" t="s">
        <v>57</v>
      </c>
      <c r="C22" s="20" t="s">
        <v>58</v>
      </c>
      <c r="D22" s="7" t="s">
        <v>59</v>
      </c>
      <c r="E22" s="7" t="s">
        <v>28</v>
      </c>
      <c r="F22" s="54">
        <f>+I22+L22+O22+R22+U22</f>
        <v>219.3</v>
      </c>
      <c r="G22" s="51">
        <f t="shared" si="19"/>
        <v>219.3</v>
      </c>
      <c r="H22" s="51">
        <f t="shared" si="20"/>
        <v>0</v>
      </c>
      <c r="I22" s="33">
        <f>164.3+26+29</f>
        <v>219.3</v>
      </c>
      <c r="J22" s="33">
        <f>164.3+26+29</f>
        <v>219.3</v>
      </c>
      <c r="K22" s="33">
        <f>J22-I22</f>
        <v>0</v>
      </c>
      <c r="L22" s="33"/>
      <c r="M22" s="33"/>
      <c r="N22" s="33">
        <f t="shared" si="18"/>
        <v>0</v>
      </c>
      <c r="O22" s="33"/>
      <c r="P22" s="33"/>
      <c r="Q22" s="20">
        <f t="shared" si="21"/>
        <v>0</v>
      </c>
      <c r="R22" s="33"/>
      <c r="S22" s="33"/>
      <c r="T22" s="20">
        <f t="shared" si="22"/>
        <v>0</v>
      </c>
      <c r="U22" s="33"/>
      <c r="V22" s="33"/>
      <c r="W22" s="20">
        <f t="shared" si="23"/>
        <v>0</v>
      </c>
      <c r="X22" s="33"/>
    </row>
    <row r="23" spans="1:25" s="29" customFormat="1" ht="46.35" customHeight="1" x14ac:dyDescent="0.25">
      <c r="A23" s="59">
        <v>6</v>
      </c>
      <c r="B23" s="21" t="s">
        <v>60</v>
      </c>
      <c r="C23" s="20" t="s">
        <v>61</v>
      </c>
      <c r="D23" s="7" t="s">
        <v>62</v>
      </c>
      <c r="E23" s="7" t="s">
        <v>40</v>
      </c>
      <c r="F23" s="54">
        <f t="shared" si="17"/>
        <v>3938.3</v>
      </c>
      <c r="G23" s="51">
        <f t="shared" si="19"/>
        <v>3938.3</v>
      </c>
      <c r="H23" s="51">
        <f t="shared" si="20"/>
        <v>0</v>
      </c>
      <c r="I23" s="33">
        <v>360</v>
      </c>
      <c r="J23" s="33">
        <v>360</v>
      </c>
      <c r="K23" s="33">
        <f>J23-I23</f>
        <v>0</v>
      </c>
      <c r="L23" s="33">
        <v>3500</v>
      </c>
      <c r="M23" s="33">
        <v>3500</v>
      </c>
      <c r="N23" s="33">
        <f t="shared" si="18"/>
        <v>0</v>
      </c>
      <c r="O23" s="33"/>
      <c r="P23" s="33"/>
      <c r="Q23" s="20">
        <f t="shared" si="21"/>
        <v>0</v>
      </c>
      <c r="R23" s="33"/>
      <c r="S23" s="33"/>
      <c r="T23" s="20">
        <f t="shared" si="22"/>
        <v>0</v>
      </c>
      <c r="U23" s="33">
        <v>78.3</v>
      </c>
      <c r="V23" s="33">
        <v>78.3</v>
      </c>
      <c r="W23" s="20">
        <f>V23-U23</f>
        <v>0</v>
      </c>
      <c r="X23" s="33"/>
    </row>
    <row r="24" spans="1:25" s="29" customFormat="1" ht="32.25" customHeight="1" x14ac:dyDescent="0.25">
      <c r="A24" s="59">
        <v>7</v>
      </c>
      <c r="B24" s="41" t="s">
        <v>63</v>
      </c>
      <c r="C24" s="43" t="s">
        <v>64</v>
      </c>
      <c r="D24" s="114" t="s">
        <v>40</v>
      </c>
      <c r="E24" s="7" t="s">
        <v>37</v>
      </c>
      <c r="F24" s="54">
        <f t="shared" si="17"/>
        <v>11658</v>
      </c>
      <c r="G24" s="51">
        <f t="shared" si="19"/>
        <v>11658</v>
      </c>
      <c r="H24" s="51">
        <f t="shared" si="20"/>
        <v>0</v>
      </c>
      <c r="I24" s="33">
        <v>5884</v>
      </c>
      <c r="J24" s="33">
        <v>5884</v>
      </c>
      <c r="K24" s="33">
        <f>J24-I24</f>
        <v>0</v>
      </c>
      <c r="L24" s="33"/>
      <c r="M24" s="33"/>
      <c r="N24" s="33">
        <f t="shared" si="18"/>
        <v>0</v>
      </c>
      <c r="O24" s="33"/>
      <c r="P24" s="33"/>
      <c r="Q24" s="20">
        <f t="shared" si="21"/>
        <v>0</v>
      </c>
      <c r="R24" s="33"/>
      <c r="S24" s="33"/>
      <c r="T24" s="20">
        <f t="shared" si="22"/>
        <v>0</v>
      </c>
      <c r="U24" s="33">
        <v>5774</v>
      </c>
      <c r="V24" s="33">
        <v>5774</v>
      </c>
      <c r="W24" s="20">
        <f t="shared" si="23"/>
        <v>0</v>
      </c>
      <c r="X24" s="33"/>
    </row>
    <row r="25" spans="1:25" s="29" customFormat="1" ht="18.75" customHeight="1" x14ac:dyDescent="0.25">
      <c r="A25" s="108">
        <v>7</v>
      </c>
      <c r="B25" s="109" t="s">
        <v>44</v>
      </c>
      <c r="C25" s="103"/>
      <c r="D25" s="110"/>
      <c r="E25" s="105" t="s">
        <v>18</v>
      </c>
      <c r="F25" s="48">
        <f t="shared" ref="F25:W25" si="24">SUM(F18:F24)</f>
        <v>30104</v>
      </c>
      <c r="G25" s="48">
        <f t="shared" si="24"/>
        <v>30104</v>
      </c>
      <c r="H25" s="48">
        <f>SUM(H18:H24)</f>
        <v>0</v>
      </c>
      <c r="I25" s="48">
        <f t="shared" si="24"/>
        <v>10204.4</v>
      </c>
      <c r="J25" s="48">
        <f t="shared" si="24"/>
        <v>10204.4</v>
      </c>
      <c r="K25" s="48">
        <f t="shared" si="24"/>
        <v>0</v>
      </c>
      <c r="L25" s="48">
        <f t="shared" si="24"/>
        <v>11867.3</v>
      </c>
      <c r="M25" s="48">
        <f t="shared" si="24"/>
        <v>11867.3</v>
      </c>
      <c r="N25" s="48">
        <f t="shared" si="24"/>
        <v>0</v>
      </c>
      <c r="O25" s="48">
        <f t="shared" si="24"/>
        <v>0</v>
      </c>
      <c r="P25" s="48">
        <f t="shared" si="24"/>
        <v>0</v>
      </c>
      <c r="Q25" s="48">
        <f>SUM(Q19:Q24)</f>
        <v>0</v>
      </c>
      <c r="R25" s="48">
        <f t="shared" si="24"/>
        <v>0</v>
      </c>
      <c r="S25" s="48">
        <f t="shared" si="24"/>
        <v>0</v>
      </c>
      <c r="T25" s="48">
        <f t="shared" si="24"/>
        <v>0</v>
      </c>
      <c r="U25" s="48">
        <f t="shared" si="24"/>
        <v>8032.3</v>
      </c>
      <c r="V25" s="48">
        <f t="shared" si="24"/>
        <v>8032.3</v>
      </c>
      <c r="W25" s="48">
        <f t="shared" si="24"/>
        <v>0</v>
      </c>
      <c r="X25" s="48"/>
    </row>
    <row r="26" spans="1:25" ht="17.25" customHeight="1" x14ac:dyDescent="0.2">
      <c r="A26" s="200" t="s">
        <v>65</v>
      </c>
      <c r="B26" s="201"/>
      <c r="C26" s="201"/>
      <c r="D26" s="201"/>
      <c r="E26" s="201"/>
      <c r="F26" s="201"/>
      <c r="G26" s="201"/>
      <c r="H26" s="201"/>
      <c r="I26" s="201"/>
      <c r="J26" s="201"/>
      <c r="K26" s="201"/>
      <c r="L26" s="201"/>
      <c r="M26" s="201"/>
      <c r="N26" s="201"/>
      <c r="O26" s="201"/>
      <c r="P26" s="201"/>
      <c r="Q26" s="201"/>
      <c r="R26" s="201"/>
      <c r="S26" s="201"/>
      <c r="T26" s="201"/>
      <c r="U26" s="201"/>
      <c r="V26" s="121"/>
      <c r="W26" s="122"/>
      <c r="X26" s="136"/>
      <c r="Y26" s="134"/>
    </row>
    <row r="27" spans="1:25" ht="54" customHeight="1" x14ac:dyDescent="0.2">
      <c r="A27" s="131" t="s">
        <v>25</v>
      </c>
      <c r="B27" s="128" t="s">
        <v>66</v>
      </c>
      <c r="C27" s="96" t="s">
        <v>35</v>
      </c>
      <c r="D27" s="4">
        <v>2016</v>
      </c>
      <c r="E27" s="4" t="s">
        <v>40</v>
      </c>
      <c r="F27" s="52">
        <f t="shared" ref="F27:H41" si="25">+I27+L27+O27+R27+U27</f>
        <v>741.6</v>
      </c>
      <c r="G27" s="52">
        <f t="shared" si="25"/>
        <v>741.6</v>
      </c>
      <c r="H27" s="52">
        <f>+K27+N27+Q27+T27+W27</f>
        <v>0</v>
      </c>
      <c r="I27" s="97">
        <v>741.6</v>
      </c>
      <c r="J27" s="97">
        <v>741.6</v>
      </c>
      <c r="K27" s="97">
        <f>+J27-I27</f>
        <v>0</v>
      </c>
      <c r="L27" s="97"/>
      <c r="M27" s="97"/>
      <c r="N27" s="97">
        <f>+M27-L27</f>
        <v>0</v>
      </c>
      <c r="O27" s="97"/>
      <c r="P27" s="97"/>
      <c r="Q27" s="97">
        <f>+P27-O27</f>
        <v>0</v>
      </c>
      <c r="R27" s="97"/>
      <c r="S27" s="97"/>
      <c r="T27" s="97">
        <f>+R27</f>
        <v>0</v>
      </c>
      <c r="U27" s="97"/>
      <c r="V27" s="20"/>
      <c r="W27" s="97">
        <f>+V27-U27</f>
        <v>0</v>
      </c>
      <c r="X27" s="97"/>
    </row>
    <row r="28" spans="1:25" ht="174.75" customHeight="1" x14ac:dyDescent="0.2">
      <c r="A28" s="55" t="s">
        <v>48</v>
      </c>
      <c r="B28" s="41" t="s">
        <v>67</v>
      </c>
      <c r="C28" s="20" t="s">
        <v>68</v>
      </c>
      <c r="D28" s="3" t="s">
        <v>59</v>
      </c>
      <c r="E28" s="3" t="s">
        <v>40</v>
      </c>
      <c r="F28" s="139">
        <f t="shared" si="25"/>
        <v>1012.3000000000001</v>
      </c>
      <c r="G28" s="139">
        <f t="shared" si="25"/>
        <v>1301.9000000000001</v>
      </c>
      <c r="H28" s="139">
        <f t="shared" si="25"/>
        <v>289.60000000000014</v>
      </c>
      <c r="I28" s="152">
        <v>835.7</v>
      </c>
      <c r="J28" s="152">
        <f>835.7+289.6</f>
        <v>1125.3000000000002</v>
      </c>
      <c r="K28" s="146">
        <f t="shared" ref="K28:K33" si="26">+J28-I28</f>
        <v>289.60000000000014</v>
      </c>
      <c r="L28" s="22"/>
      <c r="M28" s="22"/>
      <c r="N28" s="97">
        <f t="shared" ref="N28:N41" si="27">+M28-L28</f>
        <v>0</v>
      </c>
      <c r="O28" s="22"/>
      <c r="P28" s="22"/>
      <c r="Q28" s="97">
        <f t="shared" ref="Q28:Q41" si="28">+P28-O28</f>
        <v>0</v>
      </c>
      <c r="R28" s="22"/>
      <c r="S28" s="22"/>
      <c r="T28" s="97">
        <f t="shared" ref="T28:T41" si="29">+R28</f>
        <v>0</v>
      </c>
      <c r="U28" s="22">
        <v>176.6</v>
      </c>
      <c r="V28" s="22">
        <v>176.6</v>
      </c>
      <c r="W28" s="97">
        <f t="shared" ref="W28:W41" si="30">+V28-U28</f>
        <v>0</v>
      </c>
      <c r="X28" s="41" t="s">
        <v>69</v>
      </c>
    </row>
    <row r="29" spans="1:25" ht="39.6" customHeight="1" x14ac:dyDescent="0.2">
      <c r="A29" s="131">
        <v>3</v>
      </c>
      <c r="B29" s="128" t="s">
        <v>70</v>
      </c>
      <c r="C29" s="95" t="s">
        <v>35</v>
      </c>
      <c r="D29" s="7" t="s">
        <v>62</v>
      </c>
      <c r="E29" s="7" t="s">
        <v>56</v>
      </c>
      <c r="F29" s="52">
        <f t="shared" si="25"/>
        <v>308</v>
      </c>
      <c r="G29" s="52">
        <f t="shared" si="25"/>
        <v>308</v>
      </c>
      <c r="H29" s="52">
        <f t="shared" si="25"/>
        <v>0</v>
      </c>
      <c r="I29" s="97">
        <v>308</v>
      </c>
      <c r="J29" s="97">
        <v>308</v>
      </c>
      <c r="K29" s="97">
        <f t="shared" si="26"/>
        <v>0</v>
      </c>
      <c r="L29" s="97"/>
      <c r="M29" s="97"/>
      <c r="N29" s="97">
        <f t="shared" si="27"/>
        <v>0</v>
      </c>
      <c r="O29" s="97"/>
      <c r="P29" s="97"/>
      <c r="Q29" s="97">
        <f t="shared" si="28"/>
        <v>0</v>
      </c>
      <c r="R29" s="97"/>
      <c r="S29" s="97"/>
      <c r="T29" s="97">
        <f t="shared" si="29"/>
        <v>0</v>
      </c>
      <c r="U29" s="97"/>
      <c r="V29" s="97"/>
      <c r="W29" s="97">
        <f t="shared" si="30"/>
        <v>0</v>
      </c>
      <c r="X29" s="97"/>
    </row>
    <row r="30" spans="1:25" ht="41.1" customHeight="1" x14ac:dyDescent="0.2">
      <c r="A30" s="131">
        <v>4</v>
      </c>
      <c r="B30" s="21" t="s">
        <v>71</v>
      </c>
      <c r="C30" s="20" t="s">
        <v>72</v>
      </c>
      <c r="D30" s="3" t="s">
        <v>73</v>
      </c>
      <c r="E30" s="3" t="s">
        <v>28</v>
      </c>
      <c r="F30" s="52">
        <f t="shared" si="25"/>
        <v>2807</v>
      </c>
      <c r="G30" s="52">
        <f t="shared" si="25"/>
        <v>2807</v>
      </c>
      <c r="H30" s="52">
        <f t="shared" si="25"/>
        <v>0</v>
      </c>
      <c r="I30" s="22">
        <v>806.5</v>
      </c>
      <c r="J30" s="22">
        <v>806.5</v>
      </c>
      <c r="K30" s="97">
        <f t="shared" si="26"/>
        <v>0</v>
      </c>
      <c r="L30" s="22">
        <v>1838.3</v>
      </c>
      <c r="M30" s="22">
        <v>1838.3</v>
      </c>
      <c r="N30" s="97">
        <f t="shared" si="27"/>
        <v>0</v>
      </c>
      <c r="O30" s="22">
        <v>162.19999999999999</v>
      </c>
      <c r="P30" s="22">
        <v>162.19999999999999</v>
      </c>
      <c r="Q30" s="97">
        <f t="shared" si="28"/>
        <v>0</v>
      </c>
      <c r="R30" s="22"/>
      <c r="S30" s="22"/>
      <c r="T30" s="97">
        <f t="shared" si="29"/>
        <v>0</v>
      </c>
      <c r="U30" s="22"/>
      <c r="V30" s="22"/>
      <c r="W30" s="97">
        <f t="shared" si="30"/>
        <v>0</v>
      </c>
      <c r="X30" s="22"/>
    </row>
    <row r="31" spans="1:25" ht="46.5" customHeight="1" x14ac:dyDescent="0.2">
      <c r="A31" s="131">
        <v>5</v>
      </c>
      <c r="B31" s="21" t="s">
        <v>74</v>
      </c>
      <c r="C31" s="20" t="s">
        <v>75</v>
      </c>
      <c r="D31" s="3" t="s">
        <v>73</v>
      </c>
      <c r="E31" s="3" t="s">
        <v>56</v>
      </c>
      <c r="F31" s="53">
        <f t="shared" si="25"/>
        <v>2946.7</v>
      </c>
      <c r="G31" s="53">
        <f t="shared" si="25"/>
        <v>2946.7</v>
      </c>
      <c r="H31" s="53">
        <f t="shared" si="25"/>
        <v>0</v>
      </c>
      <c r="I31" s="22">
        <v>2035.1</v>
      </c>
      <c r="J31" s="22">
        <v>2035.1</v>
      </c>
      <c r="K31" s="97">
        <f t="shared" si="26"/>
        <v>0</v>
      </c>
      <c r="L31" s="86">
        <v>838.6</v>
      </c>
      <c r="M31" s="86">
        <v>838.6</v>
      </c>
      <c r="N31" s="97">
        <f t="shared" si="27"/>
        <v>0</v>
      </c>
      <c r="O31" s="86">
        <v>73</v>
      </c>
      <c r="P31" s="86">
        <v>73</v>
      </c>
      <c r="Q31" s="97">
        <f t="shared" si="28"/>
        <v>0</v>
      </c>
      <c r="R31" s="22"/>
      <c r="S31" s="22"/>
      <c r="T31" s="97">
        <f t="shared" si="29"/>
        <v>0</v>
      </c>
      <c r="U31" s="22"/>
      <c r="V31" s="22"/>
      <c r="W31" s="97">
        <f t="shared" si="30"/>
        <v>0</v>
      </c>
      <c r="X31" s="22"/>
    </row>
    <row r="32" spans="1:25" ht="41.1" customHeight="1" x14ac:dyDescent="0.2">
      <c r="A32" s="131">
        <v>6</v>
      </c>
      <c r="B32" s="21" t="s">
        <v>76</v>
      </c>
      <c r="C32" s="95" t="s">
        <v>77</v>
      </c>
      <c r="D32" s="7" t="s">
        <v>40</v>
      </c>
      <c r="E32" s="7" t="s">
        <v>43</v>
      </c>
      <c r="F32" s="52">
        <f t="shared" si="25"/>
        <v>1243.2</v>
      </c>
      <c r="G32" s="52">
        <f t="shared" si="25"/>
        <v>1243.2</v>
      </c>
      <c r="H32" s="52">
        <f t="shared" si="25"/>
        <v>0</v>
      </c>
      <c r="I32" s="20">
        <v>1243.2</v>
      </c>
      <c r="J32" s="20">
        <v>1243.2</v>
      </c>
      <c r="K32" s="97">
        <f t="shared" si="26"/>
        <v>0</v>
      </c>
      <c r="L32" s="20"/>
      <c r="M32" s="20"/>
      <c r="N32" s="97">
        <f t="shared" si="27"/>
        <v>0</v>
      </c>
      <c r="O32" s="20"/>
      <c r="P32" s="20"/>
      <c r="Q32" s="97">
        <f t="shared" si="28"/>
        <v>0</v>
      </c>
      <c r="R32" s="20"/>
      <c r="S32" s="20"/>
      <c r="T32" s="97">
        <f t="shared" si="29"/>
        <v>0</v>
      </c>
      <c r="U32" s="20"/>
      <c r="V32" s="20"/>
      <c r="W32" s="97">
        <f t="shared" si="30"/>
        <v>0</v>
      </c>
      <c r="X32" s="20"/>
    </row>
    <row r="33" spans="1:25" ht="51.75" customHeight="1" x14ac:dyDescent="0.2">
      <c r="A33" s="131">
        <v>7</v>
      </c>
      <c r="B33" s="21" t="s">
        <v>78</v>
      </c>
      <c r="C33" s="95" t="s">
        <v>79</v>
      </c>
      <c r="D33" s="7" t="s">
        <v>73</v>
      </c>
      <c r="E33" s="7" t="s">
        <v>43</v>
      </c>
      <c r="F33" s="52">
        <f t="shared" si="25"/>
        <v>2000</v>
      </c>
      <c r="G33" s="52">
        <f t="shared" si="25"/>
        <v>2000</v>
      </c>
      <c r="H33" s="52">
        <f t="shared" si="25"/>
        <v>0</v>
      </c>
      <c r="I33" s="22">
        <v>2000</v>
      </c>
      <c r="J33" s="22">
        <v>2000</v>
      </c>
      <c r="K33" s="97">
        <f t="shared" si="26"/>
        <v>0</v>
      </c>
      <c r="L33" s="20"/>
      <c r="M33" s="20"/>
      <c r="N33" s="97">
        <f t="shared" si="27"/>
        <v>0</v>
      </c>
      <c r="O33" s="20"/>
      <c r="P33" s="20"/>
      <c r="Q33" s="97">
        <f t="shared" si="28"/>
        <v>0</v>
      </c>
      <c r="R33" s="20"/>
      <c r="S33" s="22"/>
      <c r="T33" s="97">
        <f t="shared" si="29"/>
        <v>0</v>
      </c>
      <c r="U33" s="20"/>
      <c r="V33" s="20"/>
      <c r="W33" s="97">
        <f t="shared" si="30"/>
        <v>0</v>
      </c>
      <c r="X33" s="22"/>
    </row>
    <row r="34" spans="1:25" ht="38.25" customHeight="1" x14ac:dyDescent="0.2">
      <c r="A34" s="131">
        <v>8</v>
      </c>
      <c r="B34" s="41" t="s">
        <v>80</v>
      </c>
      <c r="C34" s="95" t="s">
        <v>35</v>
      </c>
      <c r="D34" s="7" t="s">
        <v>59</v>
      </c>
      <c r="E34" s="7" t="s">
        <v>40</v>
      </c>
      <c r="F34" s="52">
        <f t="shared" si="25"/>
        <v>136</v>
      </c>
      <c r="G34" s="52">
        <f t="shared" si="25"/>
        <v>136</v>
      </c>
      <c r="H34" s="52">
        <f t="shared" si="25"/>
        <v>0</v>
      </c>
      <c r="I34" s="20">
        <f>50+86</f>
        <v>136</v>
      </c>
      <c r="J34" s="20">
        <f>50+86</f>
        <v>136</v>
      </c>
      <c r="K34" s="97">
        <f>+J34-I34</f>
        <v>0</v>
      </c>
      <c r="L34" s="20"/>
      <c r="M34" s="20"/>
      <c r="N34" s="97">
        <f t="shared" si="27"/>
        <v>0</v>
      </c>
      <c r="O34" s="20"/>
      <c r="P34" s="20"/>
      <c r="Q34" s="97">
        <f t="shared" si="28"/>
        <v>0</v>
      </c>
      <c r="R34" s="20"/>
      <c r="S34" s="20"/>
      <c r="T34" s="97">
        <f t="shared" si="29"/>
        <v>0</v>
      </c>
      <c r="U34" s="20"/>
      <c r="V34" s="20"/>
      <c r="W34" s="97">
        <f t="shared" si="30"/>
        <v>0</v>
      </c>
      <c r="X34" s="20"/>
    </row>
    <row r="35" spans="1:25" ht="56.1" customHeight="1" x14ac:dyDescent="0.2">
      <c r="A35" s="131">
        <v>9</v>
      </c>
      <c r="B35" s="41" t="s">
        <v>81</v>
      </c>
      <c r="C35" s="20" t="s">
        <v>82</v>
      </c>
      <c r="D35" s="7" t="s">
        <v>40</v>
      </c>
      <c r="E35" s="7"/>
      <c r="F35" s="52">
        <f t="shared" si="25"/>
        <v>23.5</v>
      </c>
      <c r="G35" s="52">
        <f t="shared" si="25"/>
        <v>23.5</v>
      </c>
      <c r="H35" s="52">
        <f t="shared" si="25"/>
        <v>0</v>
      </c>
      <c r="I35" s="20">
        <v>23.5</v>
      </c>
      <c r="J35" s="20">
        <v>23.5</v>
      </c>
      <c r="K35" s="97">
        <f>+J35-I35</f>
        <v>0</v>
      </c>
      <c r="L35" s="20"/>
      <c r="M35" s="20"/>
      <c r="N35" s="97">
        <f>+M35-L35</f>
        <v>0</v>
      </c>
      <c r="O35" s="20"/>
      <c r="P35" s="20"/>
      <c r="Q35" s="97">
        <f t="shared" si="28"/>
        <v>0</v>
      </c>
      <c r="R35" s="20"/>
      <c r="S35" s="20"/>
      <c r="T35" s="97">
        <f t="shared" si="29"/>
        <v>0</v>
      </c>
      <c r="U35" s="20"/>
      <c r="V35" s="20"/>
      <c r="W35" s="97">
        <f t="shared" si="30"/>
        <v>0</v>
      </c>
      <c r="X35" s="20"/>
    </row>
    <row r="36" spans="1:25" ht="56.1" customHeight="1" x14ac:dyDescent="0.2">
      <c r="A36" s="131">
        <v>10</v>
      </c>
      <c r="B36" s="41" t="s">
        <v>83</v>
      </c>
      <c r="C36" s="20" t="s">
        <v>84</v>
      </c>
      <c r="D36" s="7" t="s">
        <v>28</v>
      </c>
      <c r="E36" s="7"/>
      <c r="F36" s="53">
        <f t="shared" si="25"/>
        <v>25</v>
      </c>
      <c r="G36" s="53">
        <f t="shared" si="25"/>
        <v>25</v>
      </c>
      <c r="H36" s="53">
        <f t="shared" si="25"/>
        <v>0</v>
      </c>
      <c r="I36" s="97">
        <v>25</v>
      </c>
      <c r="J36" s="97">
        <v>25</v>
      </c>
      <c r="K36" s="97">
        <f t="shared" ref="K36:K41" si="31">+J36-I36</f>
        <v>0</v>
      </c>
      <c r="L36" s="127"/>
      <c r="M36" s="127"/>
      <c r="N36" s="97">
        <f t="shared" si="27"/>
        <v>0</v>
      </c>
      <c r="O36" s="20"/>
      <c r="P36" s="20"/>
      <c r="Q36" s="97">
        <f t="shared" si="28"/>
        <v>0</v>
      </c>
      <c r="R36" s="20"/>
      <c r="S36" s="97"/>
      <c r="T36" s="97">
        <f t="shared" si="29"/>
        <v>0</v>
      </c>
      <c r="U36" s="20"/>
      <c r="V36" s="20"/>
      <c r="W36" s="97">
        <f t="shared" si="30"/>
        <v>0</v>
      </c>
      <c r="X36" s="97"/>
    </row>
    <row r="37" spans="1:25" ht="42.95" customHeight="1" x14ac:dyDescent="0.2">
      <c r="A37" s="131">
        <v>11</v>
      </c>
      <c r="B37" s="41" t="s">
        <v>85</v>
      </c>
      <c r="C37" s="20" t="s">
        <v>86</v>
      </c>
      <c r="D37" s="7" t="s">
        <v>28</v>
      </c>
      <c r="E37" s="7"/>
      <c r="F37" s="53">
        <f t="shared" si="25"/>
        <v>35</v>
      </c>
      <c r="G37" s="53">
        <f t="shared" si="25"/>
        <v>35</v>
      </c>
      <c r="H37" s="53">
        <f t="shared" si="25"/>
        <v>0</v>
      </c>
      <c r="I37" s="97">
        <v>35</v>
      </c>
      <c r="J37" s="97">
        <v>35</v>
      </c>
      <c r="K37" s="97">
        <f t="shared" si="31"/>
        <v>0</v>
      </c>
      <c r="L37" s="127"/>
      <c r="M37" s="127"/>
      <c r="N37" s="97">
        <f t="shared" si="27"/>
        <v>0</v>
      </c>
      <c r="O37" s="20"/>
      <c r="P37" s="20"/>
      <c r="Q37" s="97">
        <f t="shared" si="28"/>
        <v>0</v>
      </c>
      <c r="R37" s="20"/>
      <c r="S37" s="97"/>
      <c r="T37" s="97">
        <f t="shared" si="29"/>
        <v>0</v>
      </c>
      <c r="U37" s="20"/>
      <c r="V37" s="20"/>
      <c r="W37" s="97">
        <f t="shared" si="30"/>
        <v>0</v>
      </c>
      <c r="X37" s="97"/>
    </row>
    <row r="38" spans="1:25" ht="31.35" customHeight="1" x14ac:dyDescent="0.2">
      <c r="A38" s="131">
        <v>12</v>
      </c>
      <c r="B38" s="41" t="s">
        <v>87</v>
      </c>
      <c r="C38" s="20" t="s">
        <v>86</v>
      </c>
      <c r="D38" s="7" t="s">
        <v>28</v>
      </c>
      <c r="E38" s="7" t="s">
        <v>56</v>
      </c>
      <c r="F38" s="53">
        <f t="shared" si="25"/>
        <v>790</v>
      </c>
      <c r="G38" s="53">
        <f t="shared" si="25"/>
        <v>790</v>
      </c>
      <c r="H38" s="53">
        <f t="shared" si="25"/>
        <v>0</v>
      </c>
      <c r="I38" s="97">
        <v>790</v>
      </c>
      <c r="J38" s="97">
        <v>790</v>
      </c>
      <c r="K38" s="97">
        <f t="shared" si="31"/>
        <v>0</v>
      </c>
      <c r="L38" s="127"/>
      <c r="M38" s="127"/>
      <c r="N38" s="97">
        <f t="shared" si="27"/>
        <v>0</v>
      </c>
      <c r="O38" s="20"/>
      <c r="P38" s="20"/>
      <c r="Q38" s="97">
        <f t="shared" si="28"/>
        <v>0</v>
      </c>
      <c r="R38" s="20"/>
      <c r="S38" s="97"/>
      <c r="T38" s="97">
        <f t="shared" si="29"/>
        <v>0</v>
      </c>
      <c r="U38" s="20"/>
      <c r="V38" s="20"/>
      <c r="W38" s="97">
        <f t="shared" si="30"/>
        <v>0</v>
      </c>
      <c r="X38" s="97"/>
    </row>
    <row r="39" spans="1:25" ht="32.85" customHeight="1" x14ac:dyDescent="0.2">
      <c r="A39" s="131">
        <v>13</v>
      </c>
      <c r="B39" s="41" t="s">
        <v>88</v>
      </c>
      <c r="C39" s="20" t="s">
        <v>86</v>
      </c>
      <c r="D39" s="7" t="s">
        <v>28</v>
      </c>
      <c r="E39" s="7" t="s">
        <v>56</v>
      </c>
      <c r="F39" s="53">
        <f t="shared" si="25"/>
        <v>363</v>
      </c>
      <c r="G39" s="53">
        <f t="shared" si="25"/>
        <v>363</v>
      </c>
      <c r="H39" s="53">
        <f t="shared" si="25"/>
        <v>0</v>
      </c>
      <c r="I39" s="97">
        <v>363</v>
      </c>
      <c r="J39" s="97">
        <v>363</v>
      </c>
      <c r="K39" s="97">
        <f t="shared" si="31"/>
        <v>0</v>
      </c>
      <c r="L39" s="127"/>
      <c r="M39" s="127"/>
      <c r="N39" s="97">
        <f t="shared" si="27"/>
        <v>0</v>
      </c>
      <c r="O39" s="20"/>
      <c r="P39" s="20"/>
      <c r="Q39" s="97">
        <f t="shared" si="28"/>
        <v>0</v>
      </c>
      <c r="R39" s="20"/>
      <c r="S39" s="97"/>
      <c r="T39" s="97">
        <f t="shared" si="29"/>
        <v>0</v>
      </c>
      <c r="U39" s="20"/>
      <c r="V39" s="20"/>
      <c r="W39" s="97">
        <f t="shared" si="30"/>
        <v>0</v>
      </c>
      <c r="X39" s="97"/>
    </row>
    <row r="40" spans="1:25" ht="54.6" customHeight="1" x14ac:dyDescent="0.2">
      <c r="A40" s="131">
        <v>14</v>
      </c>
      <c r="B40" s="21" t="s">
        <v>89</v>
      </c>
      <c r="C40" s="95" t="s">
        <v>90</v>
      </c>
      <c r="D40" s="7" t="s">
        <v>59</v>
      </c>
      <c r="E40" s="7" t="s">
        <v>28</v>
      </c>
      <c r="F40" s="52">
        <f t="shared" si="25"/>
        <v>728.3</v>
      </c>
      <c r="G40" s="52">
        <f t="shared" si="25"/>
        <v>728.3</v>
      </c>
      <c r="H40" s="52">
        <f t="shared" si="25"/>
        <v>0</v>
      </c>
      <c r="I40" s="97">
        <v>728.3</v>
      </c>
      <c r="J40" s="97">
        <v>728.3</v>
      </c>
      <c r="K40" s="97">
        <f t="shared" si="31"/>
        <v>0</v>
      </c>
      <c r="L40" s="97"/>
      <c r="M40" s="97"/>
      <c r="N40" s="97">
        <f t="shared" si="27"/>
        <v>0</v>
      </c>
      <c r="O40" s="20"/>
      <c r="P40" s="20"/>
      <c r="Q40" s="97">
        <f t="shared" si="28"/>
        <v>0</v>
      </c>
      <c r="R40" s="20"/>
      <c r="S40" s="97"/>
      <c r="T40" s="97">
        <f t="shared" si="29"/>
        <v>0</v>
      </c>
      <c r="U40" s="20"/>
      <c r="V40" s="20"/>
      <c r="W40" s="97">
        <f t="shared" si="30"/>
        <v>0</v>
      </c>
      <c r="X40" s="97"/>
    </row>
    <row r="41" spans="1:25" ht="332.25" customHeight="1" x14ac:dyDescent="0.2">
      <c r="A41" s="131">
        <v>15</v>
      </c>
      <c r="B41" s="73" t="s">
        <v>91</v>
      </c>
      <c r="C41" s="20" t="s">
        <v>92</v>
      </c>
      <c r="D41" s="7" t="s">
        <v>62</v>
      </c>
      <c r="E41" s="7" t="s">
        <v>28</v>
      </c>
      <c r="F41" s="144">
        <f t="shared" si="25"/>
        <v>461.6</v>
      </c>
      <c r="G41" s="144">
        <f t="shared" si="25"/>
        <v>584.80000000000007</v>
      </c>
      <c r="H41" s="144">
        <f t="shared" si="25"/>
        <v>123.20000000000005</v>
      </c>
      <c r="I41" s="145">
        <f>320+141.6</f>
        <v>461.6</v>
      </c>
      <c r="J41" s="145">
        <f>320+141.6+123.2</f>
        <v>584.80000000000007</v>
      </c>
      <c r="K41" s="146">
        <f t="shared" si="31"/>
        <v>123.20000000000005</v>
      </c>
      <c r="L41" s="97"/>
      <c r="M41" s="97"/>
      <c r="N41" s="97">
        <f t="shared" si="27"/>
        <v>0</v>
      </c>
      <c r="O41" s="20"/>
      <c r="P41" s="20"/>
      <c r="Q41" s="97">
        <f t="shared" si="28"/>
        <v>0</v>
      </c>
      <c r="R41" s="20"/>
      <c r="S41" s="127"/>
      <c r="T41" s="97">
        <f t="shared" si="29"/>
        <v>0</v>
      </c>
      <c r="U41" s="20"/>
      <c r="V41" s="20"/>
      <c r="W41" s="97">
        <f t="shared" si="30"/>
        <v>0</v>
      </c>
      <c r="X41" s="158" t="s">
        <v>93</v>
      </c>
    </row>
    <row r="42" spans="1:25" ht="15.6" customHeight="1" x14ac:dyDescent="0.2">
      <c r="A42" s="57">
        <v>15</v>
      </c>
      <c r="B42" s="80" t="s">
        <v>94</v>
      </c>
      <c r="C42" s="103"/>
      <c r="D42" s="105"/>
      <c r="E42" s="46" t="s">
        <v>18</v>
      </c>
      <c r="F42" s="47">
        <f t="shared" ref="F42:U42" si="32">SUM(F27:F41)</f>
        <v>13621.199999999999</v>
      </c>
      <c r="G42" s="47">
        <f t="shared" ref="G42:H42" si="33">SUM(G27:G41)</f>
        <v>14033.999999999998</v>
      </c>
      <c r="H42" s="47">
        <f t="shared" si="33"/>
        <v>412.80000000000018</v>
      </c>
      <c r="I42" s="47">
        <f t="shared" si="32"/>
        <v>10532.499999999998</v>
      </c>
      <c r="J42" s="47">
        <f t="shared" ref="J42:K42" si="34">SUM(J27:J41)</f>
        <v>10945.3</v>
      </c>
      <c r="K42" s="47">
        <f t="shared" si="34"/>
        <v>412.80000000000018</v>
      </c>
      <c r="L42" s="47">
        <f t="shared" si="32"/>
        <v>2676.9</v>
      </c>
      <c r="M42" s="47">
        <f t="shared" ref="M42:N42" si="35">SUM(M27:M41)</f>
        <v>2676.9</v>
      </c>
      <c r="N42" s="47">
        <f t="shared" si="35"/>
        <v>0</v>
      </c>
      <c r="O42" s="47">
        <f t="shared" si="32"/>
        <v>235.2</v>
      </c>
      <c r="P42" s="47">
        <f t="shared" ref="P42:Q42" si="36">SUM(P27:P41)</f>
        <v>235.2</v>
      </c>
      <c r="Q42" s="47">
        <f t="shared" si="36"/>
        <v>0</v>
      </c>
      <c r="R42" s="47">
        <f t="shared" si="32"/>
        <v>0</v>
      </c>
      <c r="S42" s="47">
        <f t="shared" si="32"/>
        <v>0</v>
      </c>
      <c r="T42" s="47">
        <f t="shared" si="32"/>
        <v>0</v>
      </c>
      <c r="U42" s="47">
        <f t="shared" si="32"/>
        <v>176.6</v>
      </c>
      <c r="V42" s="47">
        <f t="shared" ref="V42:W42" si="37">SUM(V27:V41)</f>
        <v>176.6</v>
      </c>
      <c r="W42" s="47">
        <f t="shared" si="37"/>
        <v>0</v>
      </c>
      <c r="X42" s="47"/>
    </row>
    <row r="43" spans="1:25" ht="16.5" customHeight="1" x14ac:dyDescent="0.2">
      <c r="A43" s="200" t="s">
        <v>95</v>
      </c>
      <c r="B43" s="201"/>
      <c r="C43" s="201"/>
      <c r="D43" s="201"/>
      <c r="E43" s="201"/>
      <c r="F43" s="201"/>
      <c r="G43" s="201"/>
      <c r="H43" s="201"/>
      <c r="I43" s="201"/>
      <c r="J43" s="201"/>
      <c r="K43" s="201"/>
      <c r="L43" s="201"/>
      <c r="M43" s="201"/>
      <c r="N43" s="201"/>
      <c r="O43" s="201"/>
      <c r="P43" s="201"/>
      <c r="Q43" s="201"/>
      <c r="R43" s="201"/>
      <c r="S43" s="91"/>
      <c r="T43" s="91"/>
      <c r="U43" s="82"/>
      <c r="V43" s="91"/>
      <c r="W43" s="91"/>
      <c r="X43" s="91"/>
      <c r="Y43" s="134"/>
    </row>
    <row r="44" spans="1:25" ht="152.25" customHeight="1" x14ac:dyDescent="0.2">
      <c r="A44" s="129" t="s">
        <v>25</v>
      </c>
      <c r="B44" s="39" t="s">
        <v>96</v>
      </c>
      <c r="C44" s="95" t="s">
        <v>97</v>
      </c>
      <c r="D44" s="38" t="s">
        <v>33</v>
      </c>
      <c r="E44" s="38" t="s">
        <v>56</v>
      </c>
      <c r="F44" s="143">
        <f t="shared" ref="F44:H69" si="38">+I44+L44+O44+R44+U44</f>
        <v>44500</v>
      </c>
      <c r="G44" s="143">
        <f t="shared" si="38"/>
        <v>47000</v>
      </c>
      <c r="H44" s="143">
        <f t="shared" si="38"/>
        <v>2500</v>
      </c>
      <c r="I44" s="147">
        <v>3687.5</v>
      </c>
      <c r="J44" s="147">
        <f>3687.5+7955.8</f>
        <v>11643.3</v>
      </c>
      <c r="K44" s="147">
        <f>+J44-I44</f>
        <v>7955.7999999999993</v>
      </c>
      <c r="L44" s="33"/>
      <c r="M44" s="33"/>
      <c r="N44" s="33">
        <f>+M44-L44</f>
        <v>0</v>
      </c>
      <c r="O44" s="147">
        <v>28001.1</v>
      </c>
      <c r="P44" s="147">
        <f>28001.1-5455.8</f>
        <v>22545.3</v>
      </c>
      <c r="Q44" s="147">
        <f>+P44-O44</f>
        <v>-5455.7999999999993</v>
      </c>
      <c r="R44" s="33">
        <f>15445.7-8634.3</f>
        <v>6811.4000000000015</v>
      </c>
      <c r="S44" s="33">
        <f>15445.7-8634.3</f>
        <v>6811.4000000000015</v>
      </c>
      <c r="T44" s="33">
        <f>+S44-R44</f>
        <v>0</v>
      </c>
      <c r="U44" s="33">
        <v>6000</v>
      </c>
      <c r="V44" s="33">
        <v>6000</v>
      </c>
      <c r="W44" s="33">
        <f>+V44-U44</f>
        <v>0</v>
      </c>
      <c r="X44" s="157" t="s">
        <v>98</v>
      </c>
    </row>
    <row r="45" spans="1:25" ht="75.75" customHeight="1" x14ac:dyDescent="0.2">
      <c r="A45" s="55">
        <v>2</v>
      </c>
      <c r="B45" s="73" t="s">
        <v>99</v>
      </c>
      <c r="C45" s="20" t="s">
        <v>100</v>
      </c>
      <c r="D45" s="7" t="s">
        <v>33</v>
      </c>
      <c r="E45" s="7" t="s">
        <v>40</v>
      </c>
      <c r="F45" s="139">
        <f t="shared" si="38"/>
        <v>3632</v>
      </c>
      <c r="G45" s="139">
        <f t="shared" si="38"/>
        <v>3732</v>
      </c>
      <c r="H45" s="139">
        <f t="shared" si="38"/>
        <v>99.999999999999886</v>
      </c>
      <c r="I45" s="138">
        <f>843.6+100</f>
        <v>943.6</v>
      </c>
      <c r="J45" s="138">
        <f>843.6+100+100</f>
        <v>1043.5999999999999</v>
      </c>
      <c r="K45" s="147">
        <f t="shared" ref="K45:K69" si="39">+J45-I45</f>
        <v>99.999999999999886</v>
      </c>
      <c r="L45" s="20">
        <f>1359.1+60.4</f>
        <v>1419.5</v>
      </c>
      <c r="M45" s="20">
        <f>1359.1+60.4</f>
        <v>1419.5</v>
      </c>
      <c r="N45" s="33">
        <f t="shared" ref="N45:N69" si="40">+M45-L45</f>
        <v>0</v>
      </c>
      <c r="O45" s="20"/>
      <c r="P45" s="20"/>
      <c r="Q45" s="33">
        <f t="shared" ref="Q45:Q69" si="41">+P45-O45</f>
        <v>0</v>
      </c>
      <c r="R45" s="20">
        <f>1349.8-80.9</f>
        <v>1268.8999999999999</v>
      </c>
      <c r="S45" s="20">
        <f>1349.8-80.9</f>
        <v>1268.8999999999999</v>
      </c>
      <c r="T45" s="33">
        <f t="shared" ref="T45:T69" si="42">+S45-R45</f>
        <v>0</v>
      </c>
      <c r="U45" s="20"/>
      <c r="V45" s="20"/>
      <c r="W45" s="33">
        <f t="shared" ref="W45:W69" si="43">+V45-U45</f>
        <v>0</v>
      </c>
      <c r="X45" s="41" t="s">
        <v>101</v>
      </c>
    </row>
    <row r="46" spans="1:25" ht="69" customHeight="1" x14ac:dyDescent="0.2">
      <c r="A46" s="56">
        <v>3</v>
      </c>
      <c r="B46" s="25" t="s">
        <v>102</v>
      </c>
      <c r="C46" s="97" t="s">
        <v>75</v>
      </c>
      <c r="D46" s="45" t="s">
        <v>62</v>
      </c>
      <c r="E46" s="45" t="s">
        <v>40</v>
      </c>
      <c r="F46" s="144">
        <f t="shared" si="38"/>
        <v>1364</v>
      </c>
      <c r="G46" s="144">
        <f t="shared" si="38"/>
        <v>1482.5</v>
      </c>
      <c r="H46" s="144">
        <f t="shared" si="38"/>
        <v>118.5</v>
      </c>
      <c r="I46" s="146">
        <v>864</v>
      </c>
      <c r="J46" s="146">
        <f>864+118.5</f>
        <v>982.5</v>
      </c>
      <c r="K46" s="147">
        <f t="shared" si="39"/>
        <v>118.5</v>
      </c>
      <c r="L46" s="97">
        <v>500</v>
      </c>
      <c r="M46" s="97">
        <v>500</v>
      </c>
      <c r="N46" s="33">
        <f t="shared" si="40"/>
        <v>0</v>
      </c>
      <c r="O46" s="97"/>
      <c r="P46" s="97"/>
      <c r="Q46" s="33">
        <f t="shared" si="41"/>
        <v>0</v>
      </c>
      <c r="R46" s="97"/>
      <c r="S46" s="97"/>
      <c r="T46" s="33">
        <f t="shared" si="42"/>
        <v>0</v>
      </c>
      <c r="U46" s="97"/>
      <c r="V46" s="97"/>
      <c r="W46" s="33">
        <f t="shared" si="43"/>
        <v>0</v>
      </c>
      <c r="X46" s="81" t="s">
        <v>103</v>
      </c>
    </row>
    <row r="47" spans="1:25" ht="19.350000000000001" customHeight="1" x14ac:dyDescent="0.2">
      <c r="A47" s="129">
        <v>4</v>
      </c>
      <c r="B47" s="28" t="s">
        <v>104</v>
      </c>
      <c r="C47" s="20" t="s">
        <v>105</v>
      </c>
      <c r="D47" s="7" t="s">
        <v>106</v>
      </c>
      <c r="E47" s="7" t="s">
        <v>28</v>
      </c>
      <c r="F47" s="51">
        <f t="shared" si="38"/>
        <v>2961</v>
      </c>
      <c r="G47" s="51">
        <f t="shared" si="38"/>
        <v>2961</v>
      </c>
      <c r="H47" s="51">
        <f t="shared" si="38"/>
        <v>0</v>
      </c>
      <c r="I47" s="20">
        <f>2742.6-65</f>
        <v>2677.6</v>
      </c>
      <c r="J47" s="20">
        <f>2742.6-65</f>
        <v>2677.6</v>
      </c>
      <c r="K47" s="33">
        <f t="shared" si="39"/>
        <v>0</v>
      </c>
      <c r="L47" s="20"/>
      <c r="M47" s="20"/>
      <c r="N47" s="33">
        <f t="shared" si="40"/>
        <v>0</v>
      </c>
      <c r="O47" s="20"/>
      <c r="P47" s="20"/>
      <c r="Q47" s="33">
        <f t="shared" si="41"/>
        <v>0</v>
      </c>
      <c r="R47" s="20">
        <f>307.4-24</f>
        <v>283.39999999999998</v>
      </c>
      <c r="S47" s="20">
        <f>307.4-24</f>
        <v>283.39999999999998</v>
      </c>
      <c r="T47" s="33">
        <f t="shared" si="42"/>
        <v>0</v>
      </c>
      <c r="U47" s="20"/>
      <c r="V47" s="20"/>
      <c r="W47" s="33">
        <f t="shared" si="43"/>
        <v>0</v>
      </c>
      <c r="X47" s="20"/>
    </row>
    <row r="48" spans="1:25" ht="111" customHeight="1" x14ac:dyDescent="0.2">
      <c r="A48" s="55">
        <v>5</v>
      </c>
      <c r="B48" s="28" t="s">
        <v>107</v>
      </c>
      <c r="C48" s="20" t="s">
        <v>108</v>
      </c>
      <c r="D48" s="7" t="s">
        <v>109</v>
      </c>
      <c r="E48" s="7" t="s">
        <v>28</v>
      </c>
      <c r="F48" s="148">
        <f t="shared" si="38"/>
        <v>6286.9</v>
      </c>
      <c r="G48" s="148">
        <f t="shared" si="38"/>
        <v>6461.7000000000007</v>
      </c>
      <c r="H48" s="148">
        <f t="shared" si="38"/>
        <v>174.80000000000018</v>
      </c>
      <c r="I48" s="149">
        <v>2725.6</v>
      </c>
      <c r="J48" s="149">
        <f>2725.6+210</f>
        <v>2935.6</v>
      </c>
      <c r="K48" s="147">
        <f t="shared" si="39"/>
        <v>210</v>
      </c>
      <c r="L48" s="20"/>
      <c r="M48" s="20"/>
      <c r="N48" s="33">
        <f t="shared" si="40"/>
        <v>0</v>
      </c>
      <c r="O48" s="20"/>
      <c r="P48" s="20"/>
      <c r="Q48" s="33">
        <f t="shared" si="41"/>
        <v>0</v>
      </c>
      <c r="R48" s="138">
        <f>5349.6-1788.3</f>
        <v>3561.3</v>
      </c>
      <c r="S48" s="138">
        <f>5349.6-1788.3-35.2</f>
        <v>3526.1000000000004</v>
      </c>
      <c r="T48" s="147">
        <f t="shared" si="42"/>
        <v>-35.199999999999818</v>
      </c>
      <c r="U48" s="20"/>
      <c r="V48" s="20"/>
      <c r="W48" s="33">
        <f t="shared" si="43"/>
        <v>0</v>
      </c>
      <c r="X48" s="159" t="s">
        <v>110</v>
      </c>
    </row>
    <row r="49" spans="1:24" ht="17.100000000000001" customHeight="1" x14ac:dyDescent="0.2">
      <c r="A49" s="55">
        <v>6</v>
      </c>
      <c r="B49" s="28" t="s">
        <v>111</v>
      </c>
      <c r="C49" s="20" t="s">
        <v>55</v>
      </c>
      <c r="D49" s="7" t="s">
        <v>73</v>
      </c>
      <c r="E49" s="7" t="s">
        <v>112</v>
      </c>
      <c r="F49" s="51">
        <f t="shared" si="38"/>
        <v>4460</v>
      </c>
      <c r="G49" s="51">
        <f t="shared" si="38"/>
        <v>4460</v>
      </c>
      <c r="H49" s="51">
        <f t="shared" si="38"/>
        <v>0</v>
      </c>
      <c r="I49" s="20">
        <v>403.2</v>
      </c>
      <c r="J49" s="20">
        <v>403.2</v>
      </c>
      <c r="K49" s="33">
        <f t="shared" si="39"/>
        <v>0</v>
      </c>
      <c r="L49" s="20"/>
      <c r="M49" s="20"/>
      <c r="N49" s="33">
        <f t="shared" si="40"/>
        <v>0</v>
      </c>
      <c r="O49" s="20"/>
      <c r="P49" s="20"/>
      <c r="Q49" s="33">
        <f t="shared" si="41"/>
        <v>0</v>
      </c>
      <c r="R49" s="20">
        <v>4056.8</v>
      </c>
      <c r="S49" s="20">
        <v>4056.8</v>
      </c>
      <c r="T49" s="33">
        <f t="shared" si="42"/>
        <v>0</v>
      </c>
      <c r="U49" s="20"/>
      <c r="V49" s="20"/>
      <c r="W49" s="33">
        <f t="shared" si="43"/>
        <v>0</v>
      </c>
      <c r="X49" s="20"/>
    </row>
    <row r="50" spans="1:24" ht="19.350000000000001" customHeight="1" x14ac:dyDescent="0.2">
      <c r="A50" s="55">
        <v>7</v>
      </c>
      <c r="B50" s="28" t="s">
        <v>113</v>
      </c>
      <c r="C50" s="20" t="s">
        <v>108</v>
      </c>
      <c r="D50" s="3" t="s">
        <v>59</v>
      </c>
      <c r="E50" s="3" t="s">
        <v>56</v>
      </c>
      <c r="F50" s="51">
        <f t="shared" si="38"/>
        <v>5665</v>
      </c>
      <c r="G50" s="51">
        <f t="shared" si="38"/>
        <v>5665</v>
      </c>
      <c r="H50" s="51">
        <f t="shared" si="38"/>
        <v>0</v>
      </c>
      <c r="I50" s="22">
        <v>5615</v>
      </c>
      <c r="J50" s="22">
        <v>5615</v>
      </c>
      <c r="K50" s="33">
        <f t="shared" si="39"/>
        <v>0</v>
      </c>
      <c r="L50" s="22"/>
      <c r="M50" s="22"/>
      <c r="N50" s="33">
        <f t="shared" si="40"/>
        <v>0</v>
      </c>
      <c r="O50" s="22"/>
      <c r="P50" s="22"/>
      <c r="Q50" s="33">
        <f t="shared" si="41"/>
        <v>0</v>
      </c>
      <c r="R50" s="22">
        <v>50</v>
      </c>
      <c r="S50" s="22">
        <v>50</v>
      </c>
      <c r="T50" s="33">
        <f t="shared" si="42"/>
        <v>0</v>
      </c>
      <c r="U50" s="22"/>
      <c r="V50" s="22"/>
      <c r="W50" s="33">
        <f t="shared" si="43"/>
        <v>0</v>
      </c>
      <c r="X50" s="22"/>
    </row>
    <row r="51" spans="1:24" ht="100.5" customHeight="1" x14ac:dyDescent="0.2">
      <c r="A51" s="129">
        <v>8</v>
      </c>
      <c r="B51" s="40" t="s">
        <v>114</v>
      </c>
      <c r="C51" s="97" t="s">
        <v>115</v>
      </c>
      <c r="D51" s="4" t="s">
        <v>36</v>
      </c>
      <c r="E51" s="4" t="s">
        <v>40</v>
      </c>
      <c r="F51" s="144">
        <f t="shared" si="38"/>
        <v>226.4</v>
      </c>
      <c r="G51" s="144">
        <f t="shared" si="38"/>
        <v>299.3</v>
      </c>
      <c r="H51" s="144">
        <f t="shared" si="38"/>
        <v>72.900000000000006</v>
      </c>
      <c r="I51" s="146">
        <v>68</v>
      </c>
      <c r="J51" s="146">
        <f>68+72.9</f>
        <v>140.9</v>
      </c>
      <c r="K51" s="147">
        <f t="shared" si="39"/>
        <v>72.900000000000006</v>
      </c>
      <c r="L51" s="97">
        <v>158.4</v>
      </c>
      <c r="M51" s="97">
        <v>158.4</v>
      </c>
      <c r="N51" s="33">
        <f t="shared" si="40"/>
        <v>0</v>
      </c>
      <c r="O51" s="97"/>
      <c r="P51" s="97"/>
      <c r="Q51" s="33">
        <f t="shared" si="41"/>
        <v>0</v>
      </c>
      <c r="R51" s="97"/>
      <c r="S51" s="97"/>
      <c r="T51" s="33">
        <f t="shared" si="42"/>
        <v>0</v>
      </c>
      <c r="U51" s="97"/>
      <c r="V51" s="97"/>
      <c r="W51" s="33">
        <f t="shared" si="43"/>
        <v>0</v>
      </c>
      <c r="X51" s="81" t="s">
        <v>116</v>
      </c>
    </row>
    <row r="52" spans="1:24" ht="150.75" customHeight="1" x14ac:dyDescent="0.2">
      <c r="A52" s="129">
        <v>9</v>
      </c>
      <c r="B52" s="40" t="s">
        <v>117</v>
      </c>
      <c r="C52" s="97" t="s">
        <v>118</v>
      </c>
      <c r="D52" s="4" t="s">
        <v>28</v>
      </c>
      <c r="E52" s="4" t="s">
        <v>28</v>
      </c>
      <c r="F52" s="144">
        <f t="shared" si="38"/>
        <v>97.1</v>
      </c>
      <c r="G52" s="144">
        <f t="shared" si="38"/>
        <v>145.19999999999999</v>
      </c>
      <c r="H52" s="144">
        <f t="shared" si="38"/>
        <v>48.1</v>
      </c>
      <c r="I52" s="146">
        <v>97.1</v>
      </c>
      <c r="J52" s="146">
        <f>97.1-44.1</f>
        <v>52.999999999999993</v>
      </c>
      <c r="K52" s="147">
        <f t="shared" si="39"/>
        <v>-44.1</v>
      </c>
      <c r="L52" s="146"/>
      <c r="M52" s="146">
        <v>92.2</v>
      </c>
      <c r="N52" s="147">
        <f t="shared" si="40"/>
        <v>92.2</v>
      </c>
      <c r="O52" s="97"/>
      <c r="P52" s="97"/>
      <c r="Q52" s="33">
        <f t="shared" si="41"/>
        <v>0</v>
      </c>
      <c r="R52" s="97"/>
      <c r="S52" s="97"/>
      <c r="T52" s="33">
        <f t="shared" si="42"/>
        <v>0</v>
      </c>
      <c r="U52" s="97"/>
      <c r="V52" s="97"/>
      <c r="W52" s="33">
        <f t="shared" si="43"/>
        <v>0</v>
      </c>
      <c r="X52" s="81" t="s">
        <v>119</v>
      </c>
    </row>
    <row r="53" spans="1:24" ht="41.1" customHeight="1" x14ac:dyDescent="0.2">
      <c r="A53" s="129">
        <v>10</v>
      </c>
      <c r="B53" s="40" t="s">
        <v>120</v>
      </c>
      <c r="C53" s="97" t="s">
        <v>121</v>
      </c>
      <c r="D53" s="4" t="s">
        <v>28</v>
      </c>
      <c r="E53" s="4" t="s">
        <v>43</v>
      </c>
      <c r="F53" s="52">
        <f t="shared" si="38"/>
        <v>4000</v>
      </c>
      <c r="G53" s="52">
        <f t="shared" si="38"/>
        <v>4000</v>
      </c>
      <c r="H53" s="52">
        <f t="shared" si="38"/>
        <v>0</v>
      </c>
      <c r="I53" s="97">
        <v>3625.4</v>
      </c>
      <c r="J53" s="97">
        <v>3625.4</v>
      </c>
      <c r="K53" s="33">
        <f t="shared" si="39"/>
        <v>0</v>
      </c>
      <c r="L53" s="97"/>
      <c r="M53" s="97"/>
      <c r="N53" s="33">
        <f t="shared" si="40"/>
        <v>0</v>
      </c>
      <c r="O53" s="97"/>
      <c r="P53" s="97"/>
      <c r="Q53" s="33">
        <f t="shared" si="41"/>
        <v>0</v>
      </c>
      <c r="R53" s="97"/>
      <c r="S53" s="97"/>
      <c r="T53" s="33">
        <f t="shared" si="42"/>
        <v>0</v>
      </c>
      <c r="U53" s="97">
        <v>374.6</v>
      </c>
      <c r="V53" s="97">
        <v>374.6</v>
      </c>
      <c r="W53" s="33">
        <f t="shared" si="43"/>
        <v>0</v>
      </c>
      <c r="X53" s="97"/>
    </row>
    <row r="54" spans="1:24" ht="30" customHeight="1" x14ac:dyDescent="0.2">
      <c r="A54" s="55">
        <v>11</v>
      </c>
      <c r="B54" s="28" t="s">
        <v>122</v>
      </c>
      <c r="C54" s="20" t="s">
        <v>123</v>
      </c>
      <c r="D54" s="3" t="s">
        <v>59</v>
      </c>
      <c r="E54" s="3" t="s">
        <v>28</v>
      </c>
      <c r="F54" s="54">
        <f t="shared" si="38"/>
        <v>278.89999999999998</v>
      </c>
      <c r="G54" s="54">
        <f t="shared" si="38"/>
        <v>278.89999999999998</v>
      </c>
      <c r="H54" s="54">
        <f t="shared" si="38"/>
        <v>0</v>
      </c>
      <c r="I54" s="33">
        <v>278.89999999999998</v>
      </c>
      <c r="J54" s="33">
        <v>278.89999999999998</v>
      </c>
      <c r="K54" s="33">
        <f t="shared" si="39"/>
        <v>0</v>
      </c>
      <c r="L54" s="33"/>
      <c r="M54" s="33"/>
      <c r="N54" s="33">
        <f t="shared" si="40"/>
        <v>0</v>
      </c>
      <c r="O54" s="33"/>
      <c r="P54" s="33"/>
      <c r="Q54" s="33">
        <f t="shared" si="41"/>
        <v>0</v>
      </c>
      <c r="R54" s="33"/>
      <c r="S54" s="33"/>
      <c r="T54" s="33">
        <f t="shared" si="42"/>
        <v>0</v>
      </c>
      <c r="U54" s="33"/>
      <c r="V54" s="33"/>
      <c r="W54" s="33">
        <f t="shared" si="43"/>
        <v>0</v>
      </c>
      <c r="X54" s="33"/>
    </row>
    <row r="55" spans="1:24" ht="33" customHeight="1" x14ac:dyDescent="0.2">
      <c r="A55" s="59">
        <v>12</v>
      </c>
      <c r="B55" s="28" t="s">
        <v>124</v>
      </c>
      <c r="C55" s="20" t="s">
        <v>125</v>
      </c>
      <c r="D55" s="3" t="s">
        <v>59</v>
      </c>
      <c r="E55" s="3" t="s">
        <v>56</v>
      </c>
      <c r="F55" s="51">
        <f t="shared" si="38"/>
        <v>2087.8000000000002</v>
      </c>
      <c r="G55" s="51">
        <f t="shared" si="38"/>
        <v>2087.8000000000002</v>
      </c>
      <c r="H55" s="51">
        <f t="shared" si="38"/>
        <v>0</v>
      </c>
      <c r="I55" s="22"/>
      <c r="J55" s="22"/>
      <c r="K55" s="33">
        <f t="shared" si="39"/>
        <v>0</v>
      </c>
      <c r="L55" s="22"/>
      <c r="M55" s="22"/>
      <c r="N55" s="33">
        <f t="shared" si="40"/>
        <v>0</v>
      </c>
      <c r="O55" s="22"/>
      <c r="P55" s="22"/>
      <c r="Q55" s="33">
        <f t="shared" si="41"/>
        <v>0</v>
      </c>
      <c r="R55" s="22">
        <v>2087.8000000000002</v>
      </c>
      <c r="S55" s="22">
        <v>2087.8000000000002</v>
      </c>
      <c r="T55" s="33">
        <f t="shared" si="42"/>
        <v>0</v>
      </c>
      <c r="U55" s="22"/>
      <c r="V55" s="22"/>
      <c r="W55" s="33">
        <f t="shared" si="43"/>
        <v>0</v>
      </c>
      <c r="X55" s="22"/>
    </row>
    <row r="56" spans="1:24" ht="54.75" customHeight="1" x14ac:dyDescent="0.2">
      <c r="A56" s="65">
        <v>13</v>
      </c>
      <c r="B56" s="40" t="s">
        <v>126</v>
      </c>
      <c r="C56" s="20" t="s">
        <v>127</v>
      </c>
      <c r="D56" s="6" t="s">
        <v>62</v>
      </c>
      <c r="E56" s="4" t="s">
        <v>56</v>
      </c>
      <c r="F56" s="139">
        <f t="shared" si="38"/>
        <v>1059</v>
      </c>
      <c r="G56" s="139">
        <f t="shared" si="38"/>
        <v>1060</v>
      </c>
      <c r="H56" s="139">
        <f t="shared" si="38"/>
        <v>1</v>
      </c>
      <c r="I56" s="152">
        <v>1059</v>
      </c>
      <c r="J56" s="152">
        <f>1059+1</f>
        <v>1060</v>
      </c>
      <c r="K56" s="147">
        <f t="shared" si="39"/>
        <v>1</v>
      </c>
      <c r="L56" s="26"/>
      <c r="M56" s="26"/>
      <c r="N56" s="33">
        <f t="shared" si="40"/>
        <v>0</v>
      </c>
      <c r="O56" s="26"/>
      <c r="P56" s="26"/>
      <c r="Q56" s="33">
        <f t="shared" si="41"/>
        <v>0</v>
      </c>
      <c r="R56" s="26"/>
      <c r="S56" s="26"/>
      <c r="T56" s="33">
        <f t="shared" si="42"/>
        <v>0</v>
      </c>
      <c r="U56" s="26"/>
      <c r="V56" s="26"/>
      <c r="W56" s="33">
        <f t="shared" si="43"/>
        <v>0</v>
      </c>
      <c r="X56" s="81" t="s">
        <v>128</v>
      </c>
    </row>
    <row r="57" spans="1:24" ht="162" customHeight="1" x14ac:dyDescent="0.2">
      <c r="A57" s="131">
        <v>14</v>
      </c>
      <c r="B57" s="40" t="s">
        <v>129</v>
      </c>
      <c r="C57" s="20" t="s">
        <v>130</v>
      </c>
      <c r="D57" s="6" t="s">
        <v>28</v>
      </c>
      <c r="E57" s="6" t="s">
        <v>40</v>
      </c>
      <c r="F57" s="150">
        <f t="shared" si="38"/>
        <v>4997.9000000000005</v>
      </c>
      <c r="G57" s="150">
        <f>+J57+M57+P57+S57+V57</f>
        <v>5247.6</v>
      </c>
      <c r="H57" s="150">
        <f t="shared" si="38"/>
        <v>249.69999999999982</v>
      </c>
      <c r="I57" s="151">
        <f>768.4+2790.8</f>
        <v>3559.2000000000003</v>
      </c>
      <c r="J57" s="151">
        <f>768.4+2790.8+249.7</f>
        <v>3808.9</v>
      </c>
      <c r="K57" s="160">
        <f t="shared" si="39"/>
        <v>249.69999999999982</v>
      </c>
      <c r="L57" s="26"/>
      <c r="M57" s="26"/>
      <c r="N57" s="33">
        <f t="shared" si="40"/>
        <v>0</v>
      </c>
      <c r="O57" s="26"/>
      <c r="P57" s="26"/>
      <c r="Q57" s="33">
        <f t="shared" si="41"/>
        <v>0</v>
      </c>
      <c r="R57" s="26">
        <v>1438.7</v>
      </c>
      <c r="S57" s="26">
        <v>1438.7</v>
      </c>
      <c r="T57" s="33">
        <f t="shared" si="42"/>
        <v>0</v>
      </c>
      <c r="U57" s="26"/>
      <c r="V57" s="26"/>
      <c r="W57" s="33">
        <f t="shared" si="43"/>
        <v>0</v>
      </c>
      <c r="X57" s="158" t="s">
        <v>131</v>
      </c>
    </row>
    <row r="58" spans="1:24" ht="40.5" customHeight="1" x14ac:dyDescent="0.2">
      <c r="A58" s="131">
        <v>15</v>
      </c>
      <c r="B58" s="28" t="s">
        <v>132</v>
      </c>
      <c r="C58" s="20" t="s">
        <v>35</v>
      </c>
      <c r="D58" s="3" t="s">
        <v>133</v>
      </c>
      <c r="E58" s="3" t="s">
        <v>28</v>
      </c>
      <c r="F58" s="51">
        <f t="shared" si="38"/>
        <v>572.4</v>
      </c>
      <c r="G58" s="51">
        <f t="shared" si="38"/>
        <v>572.4</v>
      </c>
      <c r="H58" s="51">
        <f t="shared" si="38"/>
        <v>0</v>
      </c>
      <c r="I58" s="22">
        <v>146.69999999999999</v>
      </c>
      <c r="J58" s="22">
        <v>146.69999999999999</v>
      </c>
      <c r="K58" s="33">
        <f t="shared" si="39"/>
        <v>0</v>
      </c>
      <c r="L58" s="26">
        <v>425.7</v>
      </c>
      <c r="M58" s="26">
        <v>425.7</v>
      </c>
      <c r="N58" s="33">
        <f t="shared" si="40"/>
        <v>0</v>
      </c>
      <c r="O58" s="26"/>
      <c r="P58" s="26"/>
      <c r="Q58" s="33">
        <f t="shared" si="41"/>
        <v>0</v>
      </c>
      <c r="R58" s="26"/>
      <c r="S58" s="26"/>
      <c r="T58" s="33">
        <f t="shared" si="42"/>
        <v>0</v>
      </c>
      <c r="U58" s="26"/>
      <c r="V58" s="26"/>
      <c r="W58" s="33">
        <f t="shared" si="43"/>
        <v>0</v>
      </c>
      <c r="X58" s="26"/>
    </row>
    <row r="59" spans="1:24" ht="44.25" customHeight="1" x14ac:dyDescent="0.2">
      <c r="A59" s="129">
        <v>16</v>
      </c>
      <c r="B59" s="39" t="s">
        <v>134</v>
      </c>
      <c r="C59" s="22" t="s">
        <v>55</v>
      </c>
      <c r="D59" s="38" t="s">
        <v>28</v>
      </c>
      <c r="E59" s="74">
        <v>2023</v>
      </c>
      <c r="F59" s="63">
        <f t="shared" si="38"/>
        <v>1400</v>
      </c>
      <c r="G59" s="63">
        <f t="shared" si="38"/>
        <v>1400</v>
      </c>
      <c r="H59" s="63">
        <f t="shared" si="38"/>
        <v>0</v>
      </c>
      <c r="I59" s="42">
        <v>400</v>
      </c>
      <c r="J59" s="42">
        <v>400</v>
      </c>
      <c r="K59" s="33">
        <f t="shared" si="39"/>
        <v>0</v>
      </c>
      <c r="L59" s="78"/>
      <c r="M59" s="78"/>
      <c r="N59" s="33">
        <f t="shared" si="40"/>
        <v>0</v>
      </c>
      <c r="O59" s="22"/>
      <c r="P59" s="42"/>
      <c r="Q59" s="33">
        <f t="shared" si="41"/>
        <v>0</v>
      </c>
      <c r="R59" s="22">
        <v>1000</v>
      </c>
      <c r="S59" s="22">
        <v>1000</v>
      </c>
      <c r="T59" s="33">
        <f t="shared" si="42"/>
        <v>0</v>
      </c>
      <c r="U59" s="22"/>
      <c r="V59" s="22"/>
      <c r="W59" s="33">
        <f t="shared" si="43"/>
        <v>0</v>
      </c>
      <c r="X59" s="22"/>
    </row>
    <row r="60" spans="1:24" ht="32.1" customHeight="1" x14ac:dyDescent="0.2">
      <c r="A60" s="129">
        <v>17</v>
      </c>
      <c r="B60" s="39" t="s">
        <v>135</v>
      </c>
      <c r="C60" s="20" t="s">
        <v>86</v>
      </c>
      <c r="D60" s="38" t="s">
        <v>28</v>
      </c>
      <c r="E60" s="74">
        <v>2023</v>
      </c>
      <c r="F60" s="63">
        <f t="shared" si="38"/>
        <v>200</v>
      </c>
      <c r="G60" s="63">
        <f t="shared" si="38"/>
        <v>200</v>
      </c>
      <c r="H60" s="63">
        <f t="shared" si="38"/>
        <v>0</v>
      </c>
      <c r="I60" s="42">
        <v>200</v>
      </c>
      <c r="J60" s="42">
        <v>200</v>
      </c>
      <c r="K60" s="33">
        <f t="shared" si="39"/>
        <v>0</v>
      </c>
      <c r="L60" s="78"/>
      <c r="M60" s="78"/>
      <c r="N60" s="33">
        <f t="shared" si="40"/>
        <v>0</v>
      </c>
      <c r="O60" s="22"/>
      <c r="P60" s="42"/>
      <c r="Q60" s="33">
        <f t="shared" si="41"/>
        <v>0</v>
      </c>
      <c r="R60" s="22"/>
      <c r="S60" s="22"/>
      <c r="T60" s="33">
        <f t="shared" si="42"/>
        <v>0</v>
      </c>
      <c r="U60" s="22"/>
      <c r="V60" s="22"/>
      <c r="W60" s="33">
        <f t="shared" si="43"/>
        <v>0</v>
      </c>
      <c r="X60" s="22"/>
    </row>
    <row r="61" spans="1:24" ht="22.35" customHeight="1" x14ac:dyDescent="0.2">
      <c r="A61" s="129">
        <v>18</v>
      </c>
      <c r="B61" s="39" t="s">
        <v>136</v>
      </c>
      <c r="C61" s="20" t="s">
        <v>75</v>
      </c>
      <c r="D61" s="38" t="s">
        <v>56</v>
      </c>
      <c r="E61" s="74"/>
      <c r="F61" s="63">
        <f t="shared" si="38"/>
        <v>359</v>
      </c>
      <c r="G61" s="63">
        <f t="shared" si="38"/>
        <v>359</v>
      </c>
      <c r="H61" s="63">
        <f t="shared" si="38"/>
        <v>0</v>
      </c>
      <c r="I61" s="42">
        <v>359</v>
      </c>
      <c r="J61" s="42">
        <v>359</v>
      </c>
      <c r="K61" s="33">
        <f t="shared" si="39"/>
        <v>0</v>
      </c>
      <c r="L61" s="78"/>
      <c r="M61" s="78"/>
      <c r="N61" s="33">
        <f t="shared" si="40"/>
        <v>0</v>
      </c>
      <c r="O61" s="22"/>
      <c r="P61" s="42"/>
      <c r="Q61" s="33">
        <f t="shared" si="41"/>
        <v>0</v>
      </c>
      <c r="R61" s="22"/>
      <c r="S61" s="22"/>
      <c r="T61" s="33">
        <f t="shared" si="42"/>
        <v>0</v>
      </c>
      <c r="U61" s="22"/>
      <c r="V61" s="22"/>
      <c r="W61" s="33">
        <f t="shared" si="43"/>
        <v>0</v>
      </c>
      <c r="X61" s="22"/>
    </row>
    <row r="62" spans="1:24" ht="31.5" customHeight="1" x14ac:dyDescent="0.2">
      <c r="A62" s="129">
        <v>19</v>
      </c>
      <c r="B62" s="39" t="s">
        <v>137</v>
      </c>
      <c r="C62" s="22" t="s">
        <v>138</v>
      </c>
      <c r="D62" s="38" t="s">
        <v>28</v>
      </c>
      <c r="E62" s="74"/>
      <c r="F62" s="63">
        <f t="shared" si="38"/>
        <v>130</v>
      </c>
      <c r="G62" s="63">
        <f t="shared" si="38"/>
        <v>130</v>
      </c>
      <c r="H62" s="63">
        <f t="shared" si="38"/>
        <v>0</v>
      </c>
      <c r="I62" s="42">
        <v>130</v>
      </c>
      <c r="J62" s="42">
        <v>130</v>
      </c>
      <c r="K62" s="33">
        <f t="shared" si="39"/>
        <v>0</v>
      </c>
      <c r="L62" s="78"/>
      <c r="M62" s="78"/>
      <c r="N62" s="33">
        <f t="shared" si="40"/>
        <v>0</v>
      </c>
      <c r="O62" s="22"/>
      <c r="P62" s="42"/>
      <c r="Q62" s="33">
        <f t="shared" si="41"/>
        <v>0</v>
      </c>
      <c r="R62" s="22"/>
      <c r="S62" s="22"/>
      <c r="T62" s="33">
        <f t="shared" si="42"/>
        <v>0</v>
      </c>
      <c r="U62" s="22"/>
      <c r="V62" s="22"/>
      <c r="W62" s="33">
        <f t="shared" si="43"/>
        <v>0</v>
      </c>
      <c r="X62" s="22"/>
    </row>
    <row r="63" spans="1:24" ht="28.5" customHeight="1" x14ac:dyDescent="0.2">
      <c r="A63" s="55">
        <v>20</v>
      </c>
      <c r="B63" s="73" t="s">
        <v>139</v>
      </c>
      <c r="C63" s="20" t="s">
        <v>92</v>
      </c>
      <c r="D63" s="74">
        <v>2021</v>
      </c>
      <c r="E63" s="74">
        <v>2023</v>
      </c>
      <c r="F63" s="63">
        <f t="shared" si="38"/>
        <v>400</v>
      </c>
      <c r="G63" s="63">
        <f t="shared" si="38"/>
        <v>400</v>
      </c>
      <c r="H63" s="63">
        <f t="shared" si="38"/>
        <v>0</v>
      </c>
      <c r="I63" s="42">
        <v>400</v>
      </c>
      <c r="J63" s="42">
        <v>400</v>
      </c>
      <c r="K63" s="33">
        <f t="shared" si="39"/>
        <v>0</v>
      </c>
      <c r="L63" s="78"/>
      <c r="M63" s="78"/>
      <c r="N63" s="33">
        <f t="shared" si="40"/>
        <v>0</v>
      </c>
      <c r="O63" s="22"/>
      <c r="P63" s="22"/>
      <c r="Q63" s="33">
        <f t="shared" si="41"/>
        <v>0</v>
      </c>
      <c r="R63" s="22"/>
      <c r="S63" s="42"/>
      <c r="T63" s="33">
        <f t="shared" si="42"/>
        <v>0</v>
      </c>
      <c r="U63" s="22"/>
      <c r="V63" s="42"/>
      <c r="W63" s="33">
        <f t="shared" si="43"/>
        <v>0</v>
      </c>
      <c r="X63" s="22"/>
    </row>
    <row r="64" spans="1:24" ht="42" customHeight="1" x14ac:dyDescent="0.2">
      <c r="A64" s="55">
        <v>21</v>
      </c>
      <c r="B64" s="93" t="s">
        <v>140</v>
      </c>
      <c r="C64" s="20" t="s">
        <v>141</v>
      </c>
      <c r="D64" s="88">
        <v>2021</v>
      </c>
      <c r="E64" s="88">
        <v>2022</v>
      </c>
      <c r="F64" s="63">
        <f t="shared" si="38"/>
        <v>360</v>
      </c>
      <c r="G64" s="63">
        <f t="shared" si="38"/>
        <v>360</v>
      </c>
      <c r="H64" s="63">
        <f t="shared" si="38"/>
        <v>0</v>
      </c>
      <c r="I64" s="42">
        <v>360</v>
      </c>
      <c r="J64" s="42">
        <v>360</v>
      </c>
      <c r="K64" s="33">
        <f t="shared" si="39"/>
        <v>0</v>
      </c>
      <c r="L64" s="78"/>
      <c r="M64" s="78"/>
      <c r="N64" s="33">
        <f t="shared" si="40"/>
        <v>0</v>
      </c>
      <c r="O64" s="22"/>
      <c r="P64" s="22"/>
      <c r="Q64" s="33">
        <f t="shared" si="41"/>
        <v>0</v>
      </c>
      <c r="R64" s="22"/>
      <c r="S64" s="42"/>
      <c r="T64" s="33">
        <f t="shared" si="42"/>
        <v>0</v>
      </c>
      <c r="U64" s="22"/>
      <c r="V64" s="42"/>
      <c r="W64" s="33">
        <f t="shared" si="43"/>
        <v>0</v>
      </c>
      <c r="X64" s="22"/>
    </row>
    <row r="65" spans="1:25" ht="55.35" customHeight="1" x14ac:dyDescent="0.2">
      <c r="A65" s="55">
        <v>22</v>
      </c>
      <c r="B65" s="115" t="s">
        <v>142</v>
      </c>
      <c r="C65" s="20" t="s">
        <v>143</v>
      </c>
      <c r="D65" s="116">
        <v>2022</v>
      </c>
      <c r="E65" s="89">
        <v>2023</v>
      </c>
      <c r="F65" s="63">
        <f t="shared" si="38"/>
        <v>432</v>
      </c>
      <c r="G65" s="63">
        <f t="shared" si="38"/>
        <v>432</v>
      </c>
      <c r="H65" s="63">
        <f t="shared" si="38"/>
        <v>0</v>
      </c>
      <c r="I65" s="42"/>
      <c r="J65" s="42"/>
      <c r="K65" s="33">
        <f t="shared" si="39"/>
        <v>0</v>
      </c>
      <c r="L65" s="78"/>
      <c r="M65" s="78"/>
      <c r="N65" s="33">
        <f t="shared" si="40"/>
        <v>0</v>
      </c>
      <c r="O65" s="22">
        <v>432</v>
      </c>
      <c r="P65" s="22">
        <v>432</v>
      </c>
      <c r="Q65" s="33">
        <f t="shared" si="41"/>
        <v>0</v>
      </c>
      <c r="R65" s="22"/>
      <c r="S65" s="42"/>
      <c r="T65" s="33">
        <f t="shared" si="42"/>
        <v>0</v>
      </c>
      <c r="U65" s="22"/>
      <c r="V65" s="42"/>
      <c r="W65" s="33">
        <f t="shared" si="43"/>
        <v>0</v>
      </c>
      <c r="X65" s="22"/>
    </row>
    <row r="66" spans="1:25" ht="32.25" customHeight="1" x14ac:dyDescent="0.2">
      <c r="A66" s="55">
        <v>23</v>
      </c>
      <c r="B66" s="115" t="s">
        <v>144</v>
      </c>
      <c r="C66" s="102" t="s">
        <v>143</v>
      </c>
      <c r="D66" s="88">
        <v>2022</v>
      </c>
      <c r="E66" s="89">
        <v>2023</v>
      </c>
      <c r="F66" s="63">
        <f t="shared" si="38"/>
        <v>912.1</v>
      </c>
      <c r="G66" s="63">
        <f t="shared" si="38"/>
        <v>912.1</v>
      </c>
      <c r="H66" s="63">
        <f t="shared" si="38"/>
        <v>0</v>
      </c>
      <c r="I66" s="42"/>
      <c r="J66" s="42"/>
      <c r="K66" s="33">
        <f t="shared" si="39"/>
        <v>0</v>
      </c>
      <c r="L66" s="78"/>
      <c r="M66" s="78"/>
      <c r="N66" s="33">
        <f t="shared" si="40"/>
        <v>0</v>
      </c>
      <c r="O66" s="22">
        <v>912.1</v>
      </c>
      <c r="P66" s="22">
        <v>912.1</v>
      </c>
      <c r="Q66" s="33">
        <f t="shared" si="41"/>
        <v>0</v>
      </c>
      <c r="R66" s="22"/>
      <c r="S66" s="42"/>
      <c r="T66" s="33">
        <f t="shared" si="42"/>
        <v>0</v>
      </c>
      <c r="U66" s="22"/>
      <c r="V66" s="42"/>
      <c r="W66" s="33">
        <f t="shared" si="43"/>
        <v>0</v>
      </c>
      <c r="X66" s="22"/>
    </row>
    <row r="67" spans="1:25" ht="42.6" customHeight="1" x14ac:dyDescent="0.2">
      <c r="A67" s="55">
        <v>24</v>
      </c>
      <c r="B67" s="115" t="s">
        <v>145</v>
      </c>
      <c r="C67" s="102" t="s">
        <v>92</v>
      </c>
      <c r="D67" s="88">
        <v>2022</v>
      </c>
      <c r="E67" s="89">
        <v>2025</v>
      </c>
      <c r="F67" s="63">
        <f t="shared" si="38"/>
        <v>6625.1</v>
      </c>
      <c r="G67" s="63">
        <f t="shared" si="38"/>
        <v>6625.1</v>
      </c>
      <c r="H67" s="63">
        <f t="shared" si="38"/>
        <v>0</v>
      </c>
      <c r="I67" s="42">
        <v>6625.1</v>
      </c>
      <c r="J67" s="42">
        <v>6625.1</v>
      </c>
      <c r="K67" s="33">
        <f t="shared" si="39"/>
        <v>0</v>
      </c>
      <c r="L67" s="78"/>
      <c r="M67" s="78"/>
      <c r="N67" s="33">
        <f t="shared" si="40"/>
        <v>0</v>
      </c>
      <c r="O67" s="22"/>
      <c r="P67" s="22"/>
      <c r="Q67" s="33">
        <f t="shared" si="41"/>
        <v>0</v>
      </c>
      <c r="R67" s="22"/>
      <c r="S67" s="42"/>
      <c r="T67" s="33">
        <f t="shared" si="42"/>
        <v>0</v>
      </c>
      <c r="U67" s="22"/>
      <c r="V67" s="42"/>
      <c r="W67" s="33">
        <f t="shared" si="43"/>
        <v>0</v>
      </c>
      <c r="X67" s="22"/>
    </row>
    <row r="68" spans="1:25" ht="41.85" customHeight="1" x14ac:dyDescent="0.2">
      <c r="A68" s="55">
        <v>25</v>
      </c>
      <c r="B68" s="115" t="s">
        <v>146</v>
      </c>
      <c r="C68" s="102" t="s">
        <v>35</v>
      </c>
      <c r="D68" s="88">
        <v>2022</v>
      </c>
      <c r="E68" s="89">
        <v>2023</v>
      </c>
      <c r="F68" s="63">
        <f t="shared" si="38"/>
        <v>4117.7</v>
      </c>
      <c r="G68" s="63">
        <f t="shared" si="38"/>
        <v>4117.7</v>
      </c>
      <c r="H68" s="63">
        <f t="shared" si="38"/>
        <v>0</v>
      </c>
      <c r="I68" s="42">
        <v>617.70000000000005</v>
      </c>
      <c r="J68" s="42">
        <v>617.70000000000005</v>
      </c>
      <c r="K68" s="33">
        <f t="shared" si="39"/>
        <v>0</v>
      </c>
      <c r="L68" s="22">
        <v>3500</v>
      </c>
      <c r="M68" s="22">
        <v>3500</v>
      </c>
      <c r="N68" s="33">
        <f t="shared" si="40"/>
        <v>0</v>
      </c>
      <c r="O68" s="22"/>
      <c r="P68" s="22"/>
      <c r="Q68" s="33">
        <f t="shared" si="41"/>
        <v>0</v>
      </c>
      <c r="R68" s="22"/>
      <c r="S68" s="42"/>
      <c r="T68" s="33">
        <f t="shared" si="42"/>
        <v>0</v>
      </c>
      <c r="U68" s="22"/>
      <c r="V68" s="42"/>
      <c r="W68" s="33">
        <f t="shared" si="43"/>
        <v>0</v>
      </c>
      <c r="X68" s="22"/>
    </row>
    <row r="69" spans="1:25" ht="41.25" customHeight="1" x14ac:dyDescent="0.2">
      <c r="A69" s="55">
        <v>26</v>
      </c>
      <c r="B69" s="93" t="s">
        <v>147</v>
      </c>
      <c r="C69" s="20" t="s">
        <v>148</v>
      </c>
      <c r="D69" s="88">
        <v>2022</v>
      </c>
      <c r="E69" s="88">
        <v>2024</v>
      </c>
      <c r="F69" s="63">
        <f t="shared" si="38"/>
        <v>1827.1</v>
      </c>
      <c r="G69" s="63">
        <f t="shared" si="38"/>
        <v>1827.1</v>
      </c>
      <c r="H69" s="63">
        <f t="shared" si="38"/>
        <v>0</v>
      </c>
      <c r="I69" s="42">
        <v>1827.1</v>
      </c>
      <c r="J69" s="42">
        <v>1827.1</v>
      </c>
      <c r="K69" s="33">
        <f t="shared" si="39"/>
        <v>0</v>
      </c>
      <c r="L69" s="78"/>
      <c r="M69" s="78"/>
      <c r="N69" s="33">
        <f t="shared" si="40"/>
        <v>0</v>
      </c>
      <c r="O69" s="22"/>
      <c r="P69" s="22"/>
      <c r="Q69" s="33">
        <f t="shared" si="41"/>
        <v>0</v>
      </c>
      <c r="R69" s="22"/>
      <c r="S69" s="42"/>
      <c r="T69" s="33">
        <f t="shared" si="42"/>
        <v>0</v>
      </c>
      <c r="U69" s="22"/>
      <c r="V69" s="42"/>
      <c r="W69" s="33">
        <f t="shared" si="43"/>
        <v>0</v>
      </c>
      <c r="X69" s="22"/>
    </row>
    <row r="70" spans="1:25" ht="17.850000000000001" customHeight="1" x14ac:dyDescent="0.2">
      <c r="A70" s="111">
        <v>26</v>
      </c>
      <c r="B70" s="68" t="s">
        <v>44</v>
      </c>
      <c r="C70" s="104"/>
      <c r="D70" s="105"/>
      <c r="E70" s="70" t="s">
        <v>18</v>
      </c>
      <c r="F70" s="47">
        <f t="shared" ref="F70:W70" si="44">SUM(F44:F69)</f>
        <v>98951.4</v>
      </c>
      <c r="G70" s="47">
        <f t="shared" ref="G70:H70" si="45">SUM(G44:G69)</f>
        <v>102216.40000000001</v>
      </c>
      <c r="H70" s="47">
        <f t="shared" si="45"/>
        <v>3265</v>
      </c>
      <c r="I70" s="47">
        <f t="shared" si="44"/>
        <v>36669.699999999997</v>
      </c>
      <c r="J70" s="47">
        <f t="shared" ref="J70:K70" si="46">SUM(J44:J69)</f>
        <v>45333.499999999993</v>
      </c>
      <c r="K70" s="47">
        <f t="shared" si="46"/>
        <v>8663.7999999999993</v>
      </c>
      <c r="L70" s="47">
        <f t="shared" si="44"/>
        <v>6003.6</v>
      </c>
      <c r="M70" s="47">
        <f t="shared" ref="M70:N70" si="47">SUM(M44:M69)</f>
        <v>6095.7999999999993</v>
      </c>
      <c r="N70" s="47">
        <f t="shared" si="47"/>
        <v>92.2</v>
      </c>
      <c r="O70" s="47">
        <f t="shared" si="44"/>
        <v>29345.199999999997</v>
      </c>
      <c r="P70" s="47">
        <f t="shared" ref="P70:Q70" si="48">SUM(P44:P69)</f>
        <v>23889.399999999998</v>
      </c>
      <c r="Q70" s="47">
        <f t="shared" si="48"/>
        <v>-5455.7999999999993</v>
      </c>
      <c r="R70" s="47">
        <f t="shared" si="44"/>
        <v>20558.3</v>
      </c>
      <c r="S70" s="47">
        <f>SUM(S44:S69)</f>
        <v>20523.100000000002</v>
      </c>
      <c r="T70" s="47">
        <f>SUM(T44:T69)</f>
        <v>-35.199999999999818</v>
      </c>
      <c r="U70" s="47">
        <f t="shared" si="44"/>
        <v>6374.6</v>
      </c>
      <c r="V70" s="47">
        <f t="shared" si="44"/>
        <v>6374.6</v>
      </c>
      <c r="W70" s="47">
        <f t="shared" si="44"/>
        <v>0</v>
      </c>
      <c r="X70" s="47"/>
    </row>
    <row r="71" spans="1:25" ht="18" customHeight="1" x14ac:dyDescent="0.2">
      <c r="A71" s="203" t="s">
        <v>149</v>
      </c>
      <c r="B71" s="204"/>
      <c r="C71" s="204"/>
      <c r="D71" s="204"/>
      <c r="E71" s="204"/>
      <c r="F71" s="204"/>
      <c r="G71" s="204"/>
      <c r="H71" s="204"/>
      <c r="I71" s="204"/>
      <c r="J71" s="204"/>
      <c r="K71" s="204"/>
      <c r="L71" s="204"/>
      <c r="M71" s="204"/>
      <c r="N71" s="204"/>
      <c r="O71" s="204"/>
      <c r="P71" s="204"/>
      <c r="Q71" s="204"/>
      <c r="R71" s="204"/>
      <c r="S71" s="133"/>
      <c r="T71" s="133"/>
      <c r="U71" s="112"/>
      <c r="V71" s="133"/>
      <c r="W71" s="133"/>
      <c r="X71" s="133"/>
      <c r="Y71" s="134"/>
    </row>
    <row r="72" spans="1:25" ht="41.25" customHeight="1" x14ac:dyDescent="0.2">
      <c r="A72" s="129" t="s">
        <v>25</v>
      </c>
      <c r="B72" s="41" t="s">
        <v>150</v>
      </c>
      <c r="C72" s="20" t="s">
        <v>151</v>
      </c>
      <c r="D72" s="35" t="s">
        <v>133</v>
      </c>
      <c r="E72" s="3" t="s">
        <v>43</v>
      </c>
      <c r="F72" s="67">
        <f t="shared" ref="F72:H83" si="49">+I72+L72+O72+R72+U72</f>
        <v>16532.5</v>
      </c>
      <c r="G72" s="67">
        <f t="shared" si="49"/>
        <v>16532.5</v>
      </c>
      <c r="H72" s="67">
        <f t="shared" si="49"/>
        <v>0</v>
      </c>
      <c r="I72" s="27">
        <v>16532.5</v>
      </c>
      <c r="J72" s="27">
        <v>16532.5</v>
      </c>
      <c r="K72" s="27">
        <f>+J72-I72</f>
        <v>0</v>
      </c>
      <c r="L72" s="22"/>
      <c r="M72" s="22"/>
      <c r="N72" s="27">
        <f>+M72-L72</f>
        <v>0</v>
      </c>
      <c r="O72" s="22"/>
      <c r="P72" s="22"/>
      <c r="Q72" s="27">
        <f>+P72-O72</f>
        <v>0</v>
      </c>
      <c r="R72" s="22"/>
      <c r="S72" s="27"/>
      <c r="T72" s="27">
        <f>+S72-R72</f>
        <v>0</v>
      </c>
      <c r="U72" s="22"/>
      <c r="V72" s="27"/>
      <c r="W72" s="27">
        <f>+V72-U72</f>
        <v>0</v>
      </c>
      <c r="X72" s="27"/>
    </row>
    <row r="73" spans="1:25" ht="64.5" customHeight="1" x14ac:dyDescent="0.2">
      <c r="A73" s="129" t="s">
        <v>48</v>
      </c>
      <c r="B73" s="41" t="s">
        <v>152</v>
      </c>
      <c r="C73" s="20" t="s">
        <v>153</v>
      </c>
      <c r="D73" s="35" t="s">
        <v>33</v>
      </c>
      <c r="E73" s="3" t="s">
        <v>28</v>
      </c>
      <c r="F73" s="139">
        <f t="shared" si="49"/>
        <v>11241.100000000002</v>
      </c>
      <c r="G73" s="139">
        <f t="shared" si="49"/>
        <v>11271.100000000002</v>
      </c>
      <c r="H73" s="139">
        <f t="shared" si="49"/>
        <v>30</v>
      </c>
      <c r="I73" s="152">
        <v>4468.3</v>
      </c>
      <c r="J73" s="152">
        <f>4468.3+30</f>
        <v>4498.3</v>
      </c>
      <c r="K73" s="149">
        <f t="shared" ref="K73:K83" si="50">+J73-I73</f>
        <v>30</v>
      </c>
      <c r="L73" s="22">
        <v>6222.6</v>
      </c>
      <c r="M73" s="22">
        <v>6222.6</v>
      </c>
      <c r="N73" s="27">
        <f t="shared" ref="N73:N83" si="51">+M73-L73</f>
        <v>0</v>
      </c>
      <c r="O73" s="26">
        <v>550.20000000000005</v>
      </c>
      <c r="P73" s="26">
        <v>550.20000000000005</v>
      </c>
      <c r="Q73" s="27">
        <f t="shared" ref="Q73:Q83" si="52">+P73-O73</f>
        <v>0</v>
      </c>
      <c r="R73" s="26"/>
      <c r="S73" s="22"/>
      <c r="T73" s="27">
        <f t="shared" ref="T73:T83" si="53">+S73-R73</f>
        <v>0</v>
      </c>
      <c r="U73" s="26"/>
      <c r="V73" s="22"/>
      <c r="W73" s="27">
        <f t="shared" ref="W73:W83" si="54">+V73-U73</f>
        <v>0</v>
      </c>
      <c r="X73" s="161" t="s">
        <v>154</v>
      </c>
    </row>
    <row r="74" spans="1:25" ht="52.5" customHeight="1" x14ac:dyDescent="0.2">
      <c r="A74" s="129">
        <v>3</v>
      </c>
      <c r="B74" s="81" t="s">
        <v>155</v>
      </c>
      <c r="C74" s="97" t="s">
        <v>75</v>
      </c>
      <c r="D74" s="36" t="s">
        <v>133</v>
      </c>
      <c r="E74" s="6" t="s">
        <v>43</v>
      </c>
      <c r="F74" s="52">
        <f t="shared" si="49"/>
        <v>6088.4</v>
      </c>
      <c r="G74" s="52">
        <f t="shared" si="49"/>
        <v>6088.4</v>
      </c>
      <c r="H74" s="52">
        <f t="shared" si="49"/>
        <v>0</v>
      </c>
      <c r="I74" s="26">
        <v>6088.4</v>
      </c>
      <c r="J74" s="26">
        <v>6088.4</v>
      </c>
      <c r="K74" s="27">
        <f t="shared" si="50"/>
        <v>0</v>
      </c>
      <c r="L74" s="26"/>
      <c r="M74" s="26"/>
      <c r="N74" s="27">
        <f t="shared" si="51"/>
        <v>0</v>
      </c>
      <c r="O74" s="26"/>
      <c r="P74" s="26"/>
      <c r="Q74" s="27">
        <f t="shared" si="52"/>
        <v>0</v>
      </c>
      <c r="R74" s="22"/>
      <c r="S74" s="26"/>
      <c r="T74" s="27">
        <f t="shared" si="53"/>
        <v>0</v>
      </c>
      <c r="U74" s="22"/>
      <c r="V74" s="26"/>
      <c r="W74" s="27">
        <f t="shared" si="54"/>
        <v>0</v>
      </c>
      <c r="X74" s="26"/>
    </row>
    <row r="75" spans="1:25" ht="86.25" customHeight="1" x14ac:dyDescent="0.2">
      <c r="A75" s="129">
        <v>4</v>
      </c>
      <c r="B75" s="41" t="s">
        <v>156</v>
      </c>
      <c r="C75" s="20" t="s">
        <v>32</v>
      </c>
      <c r="D75" s="35" t="s">
        <v>36</v>
      </c>
      <c r="E75" s="3" t="s">
        <v>40</v>
      </c>
      <c r="F75" s="139">
        <f t="shared" si="49"/>
        <v>365.1</v>
      </c>
      <c r="G75" s="139">
        <f t="shared" si="49"/>
        <v>458.6</v>
      </c>
      <c r="H75" s="139">
        <f t="shared" si="49"/>
        <v>93.5</v>
      </c>
      <c r="I75" s="138">
        <v>365.1</v>
      </c>
      <c r="J75" s="138">
        <f>365.1+93.5</f>
        <v>458.6</v>
      </c>
      <c r="K75" s="149">
        <f t="shared" si="50"/>
        <v>93.5</v>
      </c>
      <c r="L75" s="22"/>
      <c r="M75" s="22"/>
      <c r="N75" s="27">
        <f t="shared" si="51"/>
        <v>0</v>
      </c>
      <c r="O75" s="22"/>
      <c r="P75" s="22"/>
      <c r="Q75" s="27">
        <f t="shared" si="52"/>
        <v>0</v>
      </c>
      <c r="R75" s="22"/>
      <c r="S75" s="20"/>
      <c r="T75" s="27">
        <f t="shared" si="53"/>
        <v>0</v>
      </c>
      <c r="U75" s="22"/>
      <c r="V75" s="20"/>
      <c r="W75" s="27">
        <f t="shared" si="54"/>
        <v>0</v>
      </c>
      <c r="X75" s="41" t="s">
        <v>157</v>
      </c>
    </row>
    <row r="76" spans="1:25" ht="29.1" customHeight="1" x14ac:dyDescent="0.2">
      <c r="A76" s="129">
        <v>5</v>
      </c>
      <c r="B76" s="41" t="s">
        <v>158</v>
      </c>
      <c r="C76" s="20" t="s">
        <v>143</v>
      </c>
      <c r="D76" s="3" t="s">
        <v>33</v>
      </c>
      <c r="E76" s="3" t="s">
        <v>43</v>
      </c>
      <c r="F76" s="51">
        <f t="shared" si="49"/>
        <v>1458.8</v>
      </c>
      <c r="G76" s="51">
        <f t="shared" si="49"/>
        <v>1458.8</v>
      </c>
      <c r="H76" s="51">
        <f t="shared" si="49"/>
        <v>0</v>
      </c>
      <c r="I76" s="22">
        <v>1458.8</v>
      </c>
      <c r="J76" s="22">
        <v>1458.8</v>
      </c>
      <c r="K76" s="27">
        <f t="shared" si="50"/>
        <v>0</v>
      </c>
      <c r="L76" s="22"/>
      <c r="M76" s="22"/>
      <c r="N76" s="27">
        <f t="shared" si="51"/>
        <v>0</v>
      </c>
      <c r="O76" s="22"/>
      <c r="P76" s="22"/>
      <c r="Q76" s="27">
        <f t="shared" si="52"/>
        <v>0</v>
      </c>
      <c r="R76" s="22"/>
      <c r="S76" s="22"/>
      <c r="T76" s="27">
        <f t="shared" si="53"/>
        <v>0</v>
      </c>
      <c r="U76" s="22"/>
      <c r="V76" s="22"/>
      <c r="W76" s="27">
        <f t="shared" si="54"/>
        <v>0</v>
      </c>
      <c r="X76" s="22"/>
    </row>
    <row r="77" spans="1:25" ht="37.5" customHeight="1" x14ac:dyDescent="0.2">
      <c r="A77" s="129">
        <v>6</v>
      </c>
      <c r="B77" s="41" t="s">
        <v>159</v>
      </c>
      <c r="C77" s="20" t="s">
        <v>105</v>
      </c>
      <c r="D77" s="3" t="s">
        <v>59</v>
      </c>
      <c r="E77" s="3" t="s">
        <v>40</v>
      </c>
      <c r="F77" s="51">
        <f t="shared" si="49"/>
        <v>165</v>
      </c>
      <c r="G77" s="51">
        <f t="shared" si="49"/>
        <v>165</v>
      </c>
      <c r="H77" s="51">
        <f t="shared" si="49"/>
        <v>0</v>
      </c>
      <c r="I77" s="22">
        <v>165</v>
      </c>
      <c r="J77" s="22">
        <v>165</v>
      </c>
      <c r="K77" s="27">
        <f t="shared" si="50"/>
        <v>0</v>
      </c>
      <c r="L77" s="22"/>
      <c r="M77" s="22"/>
      <c r="N77" s="27">
        <f t="shared" si="51"/>
        <v>0</v>
      </c>
      <c r="O77" s="22"/>
      <c r="P77" s="22"/>
      <c r="Q77" s="27">
        <f t="shared" si="52"/>
        <v>0</v>
      </c>
      <c r="R77" s="22"/>
      <c r="S77" s="22"/>
      <c r="T77" s="27">
        <f t="shared" si="53"/>
        <v>0</v>
      </c>
      <c r="U77" s="22"/>
      <c r="V77" s="22"/>
      <c r="W77" s="27">
        <f t="shared" si="54"/>
        <v>0</v>
      </c>
      <c r="X77" s="22"/>
    </row>
    <row r="78" spans="1:25" s="94" customFormat="1" ht="68.25" customHeight="1" x14ac:dyDescent="0.2">
      <c r="A78" s="129">
        <v>7</v>
      </c>
      <c r="B78" s="117" t="s">
        <v>160</v>
      </c>
      <c r="C78" s="96" t="s">
        <v>123</v>
      </c>
      <c r="D78" s="13" t="s">
        <v>33</v>
      </c>
      <c r="E78" s="13" t="s">
        <v>28</v>
      </c>
      <c r="F78" s="150">
        <f t="shared" si="49"/>
        <v>938.4</v>
      </c>
      <c r="G78" s="150">
        <f t="shared" si="49"/>
        <v>940.4</v>
      </c>
      <c r="H78" s="150">
        <f t="shared" si="49"/>
        <v>2</v>
      </c>
      <c r="I78" s="155">
        <v>915.5</v>
      </c>
      <c r="J78" s="155">
        <f>915.5+2</f>
        <v>917.5</v>
      </c>
      <c r="K78" s="149">
        <f t="shared" si="50"/>
        <v>2</v>
      </c>
      <c r="L78" s="37"/>
      <c r="M78" s="37"/>
      <c r="N78" s="27">
        <f t="shared" si="51"/>
        <v>0</v>
      </c>
      <c r="O78" s="37"/>
      <c r="P78" s="37"/>
      <c r="Q78" s="27">
        <f t="shared" si="52"/>
        <v>0</v>
      </c>
      <c r="R78" s="37"/>
      <c r="S78" s="37"/>
      <c r="T78" s="27">
        <f t="shared" si="53"/>
        <v>0</v>
      </c>
      <c r="U78" s="26">
        <v>22.9</v>
      </c>
      <c r="V78" s="26">
        <v>22.9</v>
      </c>
      <c r="W78" s="27">
        <f t="shared" si="54"/>
        <v>0</v>
      </c>
      <c r="X78" s="117" t="s">
        <v>161</v>
      </c>
    </row>
    <row r="79" spans="1:25" ht="90" customHeight="1" x14ac:dyDescent="0.2">
      <c r="A79" s="129">
        <v>8</v>
      </c>
      <c r="B79" s="41" t="s">
        <v>162</v>
      </c>
      <c r="C79" s="22" t="s">
        <v>125</v>
      </c>
      <c r="D79" s="3" t="s">
        <v>133</v>
      </c>
      <c r="E79" s="3" t="s">
        <v>40</v>
      </c>
      <c r="F79" s="139">
        <f t="shared" si="49"/>
        <v>1006.1</v>
      </c>
      <c r="G79" s="139">
        <f t="shared" si="49"/>
        <v>1365.2</v>
      </c>
      <c r="H79" s="139">
        <f t="shared" si="49"/>
        <v>359.1</v>
      </c>
      <c r="I79" s="152">
        <v>1006.1</v>
      </c>
      <c r="J79" s="152">
        <f>1006.1+359.1</f>
        <v>1365.2</v>
      </c>
      <c r="K79" s="149">
        <f t="shared" si="50"/>
        <v>359.1</v>
      </c>
      <c r="L79" s="22"/>
      <c r="M79" s="22"/>
      <c r="N79" s="27">
        <f t="shared" si="51"/>
        <v>0</v>
      </c>
      <c r="O79" s="22"/>
      <c r="P79" s="22"/>
      <c r="Q79" s="27">
        <f t="shared" si="52"/>
        <v>0</v>
      </c>
      <c r="R79" s="22"/>
      <c r="S79" s="22"/>
      <c r="T79" s="27">
        <f t="shared" si="53"/>
        <v>0</v>
      </c>
      <c r="U79" s="22"/>
      <c r="V79" s="22"/>
      <c r="W79" s="27">
        <f t="shared" si="54"/>
        <v>0</v>
      </c>
      <c r="X79" s="41" t="s">
        <v>163</v>
      </c>
    </row>
    <row r="80" spans="1:25" ht="39" customHeight="1" x14ac:dyDescent="0.2">
      <c r="A80" s="129">
        <v>9</v>
      </c>
      <c r="B80" s="41" t="s">
        <v>164</v>
      </c>
      <c r="C80" s="22" t="s">
        <v>165</v>
      </c>
      <c r="D80" s="3" t="s">
        <v>62</v>
      </c>
      <c r="E80" s="2" t="s">
        <v>28</v>
      </c>
      <c r="F80" s="139">
        <f t="shared" si="49"/>
        <v>316.3</v>
      </c>
      <c r="G80" s="139">
        <f t="shared" si="49"/>
        <v>289.3</v>
      </c>
      <c r="H80" s="139">
        <f t="shared" si="49"/>
        <v>-27</v>
      </c>
      <c r="I80" s="152">
        <v>316.3</v>
      </c>
      <c r="J80" s="152">
        <f>316.3-27</f>
        <v>289.3</v>
      </c>
      <c r="K80" s="149">
        <f t="shared" si="50"/>
        <v>-27</v>
      </c>
      <c r="L80" s="22"/>
      <c r="M80" s="22"/>
      <c r="N80" s="27">
        <f t="shared" si="51"/>
        <v>0</v>
      </c>
      <c r="O80" s="22"/>
      <c r="P80" s="22"/>
      <c r="Q80" s="27">
        <f t="shared" si="52"/>
        <v>0</v>
      </c>
      <c r="R80" s="22"/>
      <c r="S80" s="22"/>
      <c r="T80" s="27">
        <f t="shared" si="53"/>
        <v>0</v>
      </c>
      <c r="U80" s="22"/>
      <c r="V80" s="22"/>
      <c r="W80" s="27">
        <f t="shared" si="54"/>
        <v>0</v>
      </c>
      <c r="X80" s="41" t="s">
        <v>166</v>
      </c>
    </row>
    <row r="81" spans="1:25" ht="102.75" customHeight="1" x14ac:dyDescent="0.2">
      <c r="A81" s="129">
        <v>10</v>
      </c>
      <c r="B81" s="41" t="s">
        <v>167</v>
      </c>
      <c r="C81" s="20" t="s">
        <v>168</v>
      </c>
      <c r="D81" s="12" t="s">
        <v>62</v>
      </c>
      <c r="E81" s="14" t="s">
        <v>43</v>
      </c>
      <c r="F81" s="139">
        <f t="shared" si="49"/>
        <v>3178.3</v>
      </c>
      <c r="G81" s="139">
        <f t="shared" si="49"/>
        <v>3409.3</v>
      </c>
      <c r="H81" s="139">
        <f t="shared" si="49"/>
        <v>231</v>
      </c>
      <c r="I81" s="138">
        <v>3178.3</v>
      </c>
      <c r="J81" s="138">
        <f>3178.3+231</f>
        <v>3409.3</v>
      </c>
      <c r="K81" s="149">
        <f t="shared" si="50"/>
        <v>231</v>
      </c>
      <c r="L81" s="20"/>
      <c r="M81" s="20"/>
      <c r="N81" s="27">
        <f t="shared" si="51"/>
        <v>0</v>
      </c>
      <c r="O81" s="20"/>
      <c r="P81" s="20"/>
      <c r="Q81" s="27">
        <f t="shared" si="52"/>
        <v>0</v>
      </c>
      <c r="R81" s="20"/>
      <c r="S81" s="20"/>
      <c r="T81" s="27">
        <f t="shared" si="53"/>
        <v>0</v>
      </c>
      <c r="U81" s="97"/>
      <c r="V81" s="20"/>
      <c r="W81" s="27">
        <f t="shared" si="54"/>
        <v>0</v>
      </c>
      <c r="X81" s="41" t="s">
        <v>169</v>
      </c>
    </row>
    <row r="82" spans="1:25" ht="38.450000000000003" customHeight="1" x14ac:dyDescent="0.2">
      <c r="A82" s="129">
        <v>11</v>
      </c>
      <c r="B82" s="81" t="s">
        <v>170</v>
      </c>
      <c r="C82" s="118" t="s">
        <v>68</v>
      </c>
      <c r="D82" s="7" t="s">
        <v>59</v>
      </c>
      <c r="E82" s="7" t="s">
        <v>56</v>
      </c>
      <c r="F82" s="119">
        <f t="shared" si="49"/>
        <v>2673.9</v>
      </c>
      <c r="G82" s="119">
        <f t="shared" si="49"/>
        <v>2673.9</v>
      </c>
      <c r="H82" s="119">
        <f t="shared" si="49"/>
        <v>0</v>
      </c>
      <c r="I82" s="118">
        <f>14.5+2659.4</f>
        <v>2673.9</v>
      </c>
      <c r="J82" s="20">
        <f>14.5+2659.4</f>
        <v>2673.9</v>
      </c>
      <c r="K82" s="27">
        <f t="shared" si="50"/>
        <v>0</v>
      </c>
      <c r="L82" s="96"/>
      <c r="M82" s="96"/>
      <c r="N82" s="27">
        <f t="shared" si="51"/>
        <v>0</v>
      </c>
      <c r="O82" s="120"/>
      <c r="P82" s="120"/>
      <c r="Q82" s="27">
        <f t="shared" si="52"/>
        <v>0</v>
      </c>
      <c r="R82" s="120"/>
      <c r="S82" s="20"/>
      <c r="T82" s="27">
        <f t="shared" si="53"/>
        <v>0</v>
      </c>
      <c r="U82" s="97"/>
      <c r="V82" s="132"/>
      <c r="W82" s="22">
        <f t="shared" si="54"/>
        <v>0</v>
      </c>
      <c r="X82" s="132"/>
      <c r="Y82" s="134"/>
    </row>
    <row r="83" spans="1:25" ht="28.35" customHeight="1" x14ac:dyDescent="0.2">
      <c r="A83" s="129">
        <v>12</v>
      </c>
      <c r="B83" s="41" t="s">
        <v>171</v>
      </c>
      <c r="C83" s="20" t="s">
        <v>172</v>
      </c>
      <c r="D83" s="35" t="s">
        <v>133</v>
      </c>
      <c r="E83" s="3" t="s">
        <v>28</v>
      </c>
      <c r="F83" s="139">
        <f t="shared" si="49"/>
        <v>6247.9</v>
      </c>
      <c r="G83" s="139">
        <f t="shared" si="49"/>
        <v>6367.9</v>
      </c>
      <c r="H83" s="139">
        <f t="shared" si="49"/>
        <v>120</v>
      </c>
      <c r="I83" s="152">
        <v>1137.2</v>
      </c>
      <c r="J83" s="152">
        <f>1137.2+120</f>
        <v>1257.2</v>
      </c>
      <c r="K83" s="149">
        <f t="shared" si="50"/>
        <v>120</v>
      </c>
      <c r="L83" s="22">
        <v>4696.3</v>
      </c>
      <c r="M83" s="22">
        <v>4696.3</v>
      </c>
      <c r="N83" s="27">
        <f t="shared" si="51"/>
        <v>0</v>
      </c>
      <c r="O83" s="22">
        <v>414.4</v>
      </c>
      <c r="P83" s="22">
        <v>414.4</v>
      </c>
      <c r="Q83" s="27">
        <f t="shared" si="52"/>
        <v>0</v>
      </c>
      <c r="R83" s="22"/>
      <c r="S83" s="22"/>
      <c r="T83" s="27">
        <f t="shared" si="53"/>
        <v>0</v>
      </c>
      <c r="U83" s="22"/>
      <c r="V83" s="22"/>
      <c r="W83" s="27">
        <f t="shared" si="54"/>
        <v>0</v>
      </c>
      <c r="X83" s="22"/>
    </row>
    <row r="84" spans="1:25" ht="15" customHeight="1" x14ac:dyDescent="0.2">
      <c r="A84" s="57">
        <v>12</v>
      </c>
      <c r="B84" s="68" t="s">
        <v>94</v>
      </c>
      <c r="C84" s="103"/>
      <c r="D84" s="105"/>
      <c r="E84" s="46" t="s">
        <v>18</v>
      </c>
      <c r="F84" s="47">
        <f t="shared" ref="F84:W84" si="55">SUM(F72:F83)</f>
        <v>50211.80000000001</v>
      </c>
      <c r="G84" s="47">
        <f t="shared" ref="G84:H84" si="56">SUM(G72:G83)</f>
        <v>51020.400000000009</v>
      </c>
      <c r="H84" s="47">
        <f t="shared" si="56"/>
        <v>808.6</v>
      </c>
      <c r="I84" s="47">
        <f t="shared" si="55"/>
        <v>38305.399999999994</v>
      </c>
      <c r="J84" s="47">
        <f t="shared" si="55"/>
        <v>39113.999999999993</v>
      </c>
      <c r="K84" s="47">
        <f t="shared" si="55"/>
        <v>808.6</v>
      </c>
      <c r="L84" s="47">
        <f t="shared" si="55"/>
        <v>10918.900000000001</v>
      </c>
      <c r="M84" s="47">
        <f t="shared" si="55"/>
        <v>10918.900000000001</v>
      </c>
      <c r="N84" s="47">
        <f t="shared" si="55"/>
        <v>0</v>
      </c>
      <c r="O84" s="47">
        <f t="shared" si="55"/>
        <v>964.6</v>
      </c>
      <c r="P84" s="47">
        <f t="shared" si="55"/>
        <v>964.6</v>
      </c>
      <c r="Q84" s="47">
        <f t="shared" si="55"/>
        <v>0</v>
      </c>
      <c r="R84" s="47">
        <f t="shared" si="55"/>
        <v>0</v>
      </c>
      <c r="S84" s="47">
        <f t="shared" si="55"/>
        <v>0</v>
      </c>
      <c r="T84" s="47">
        <f t="shared" si="55"/>
        <v>0</v>
      </c>
      <c r="U84" s="47">
        <f t="shared" si="55"/>
        <v>22.9</v>
      </c>
      <c r="V84" s="47">
        <f t="shared" si="55"/>
        <v>22.9</v>
      </c>
      <c r="W84" s="47">
        <f t="shared" si="55"/>
        <v>0</v>
      </c>
      <c r="X84" s="47"/>
    </row>
    <row r="85" spans="1:25" s="29" customFormat="1" ht="15" customHeight="1" x14ac:dyDescent="0.25">
      <c r="A85" s="205" t="s">
        <v>173</v>
      </c>
      <c r="B85" s="206"/>
      <c r="C85" s="206"/>
      <c r="D85" s="206"/>
      <c r="E85" s="206"/>
      <c r="F85" s="206"/>
      <c r="G85" s="206"/>
      <c r="H85" s="206"/>
      <c r="I85" s="206"/>
      <c r="J85" s="206"/>
      <c r="K85" s="206"/>
      <c r="L85" s="206"/>
      <c r="M85" s="206"/>
      <c r="N85" s="206"/>
      <c r="O85" s="206"/>
      <c r="P85" s="206"/>
      <c r="Q85" s="206"/>
      <c r="R85" s="206"/>
      <c r="S85" s="92"/>
      <c r="T85" s="92"/>
      <c r="U85" s="92"/>
      <c r="V85" s="123"/>
      <c r="W85" s="92"/>
      <c r="X85" s="92"/>
      <c r="Y85" s="135"/>
    </row>
    <row r="86" spans="1:25" s="29" customFormat="1" ht="125.25" customHeight="1" x14ac:dyDescent="0.25">
      <c r="A86" s="55" t="s">
        <v>25</v>
      </c>
      <c r="B86" s="79" t="s">
        <v>174</v>
      </c>
      <c r="C86" s="30" t="s">
        <v>175</v>
      </c>
      <c r="D86" s="10" t="s">
        <v>73</v>
      </c>
      <c r="E86" s="10" t="s">
        <v>28</v>
      </c>
      <c r="F86" s="139">
        <f t="shared" ref="F86:F90" si="57">+I86+L86+O86+R86+U86</f>
        <v>1916.4</v>
      </c>
      <c r="G86" s="139">
        <f>J86+M86+P86+S86+V86</f>
        <v>1977.1000000000001</v>
      </c>
      <c r="H86" s="139">
        <f>K86+N86+Q86+T86+W86</f>
        <v>60.700000000000045</v>
      </c>
      <c r="I86" s="20">
        <v>787</v>
      </c>
      <c r="J86" s="20">
        <v>787</v>
      </c>
      <c r="K86" s="20">
        <f>J86-I86</f>
        <v>0</v>
      </c>
      <c r="L86" s="138">
        <v>1129.4000000000001</v>
      </c>
      <c r="M86" s="138">
        <f>1129.4+60.7</f>
        <v>1190.1000000000001</v>
      </c>
      <c r="N86" s="138">
        <f>M86-L86</f>
        <v>60.700000000000045</v>
      </c>
      <c r="O86" s="20"/>
      <c r="P86" s="20"/>
      <c r="Q86" s="20">
        <f>+P86-O86</f>
        <v>0</v>
      </c>
      <c r="R86" s="20"/>
      <c r="S86" s="20"/>
      <c r="T86" s="20">
        <f>S86+R86</f>
        <v>0</v>
      </c>
      <c r="U86" s="20"/>
      <c r="V86" s="20"/>
      <c r="W86" s="20">
        <f>V86-U86</f>
        <v>0</v>
      </c>
      <c r="X86" s="153" t="s">
        <v>176</v>
      </c>
    </row>
    <row r="87" spans="1:25" s="29" customFormat="1" ht="32.1" customHeight="1" x14ac:dyDescent="0.25">
      <c r="A87" s="55">
        <v>2</v>
      </c>
      <c r="B87" s="31" t="s">
        <v>177</v>
      </c>
      <c r="C87" s="30" t="s">
        <v>84</v>
      </c>
      <c r="D87" s="10" t="s">
        <v>33</v>
      </c>
      <c r="E87" s="11" t="s">
        <v>40</v>
      </c>
      <c r="F87" s="51">
        <f t="shared" si="57"/>
        <v>1000</v>
      </c>
      <c r="G87" s="51">
        <f t="shared" ref="G87:G90" si="58">J87+M87+P87+S87+V87</f>
        <v>1000</v>
      </c>
      <c r="H87" s="51">
        <f t="shared" ref="H87:H90" si="59">K87+N87+Q87+T87+W87</f>
        <v>0</v>
      </c>
      <c r="I87" s="20">
        <v>1000</v>
      </c>
      <c r="J87" s="20">
        <v>1000</v>
      </c>
      <c r="K87" s="20">
        <f t="shared" ref="K87:K90" si="60">J87-I87</f>
        <v>0</v>
      </c>
      <c r="L87" s="20"/>
      <c r="M87" s="20"/>
      <c r="N87" s="20">
        <f t="shared" ref="N87:N90" si="61">M87-L87</f>
        <v>0</v>
      </c>
      <c r="O87" s="20"/>
      <c r="P87" s="20"/>
      <c r="Q87" s="20">
        <f t="shared" ref="Q87:Q90" si="62">+P87-O87</f>
        <v>0</v>
      </c>
      <c r="R87" s="20"/>
      <c r="S87" s="20"/>
      <c r="T87" s="20">
        <f t="shared" ref="T87:T90" si="63">S87+R87</f>
        <v>0</v>
      </c>
      <c r="U87" s="20"/>
      <c r="V87" s="20"/>
      <c r="W87" s="20">
        <f t="shared" ref="W87:W90" si="64">V87-U87</f>
        <v>0</v>
      </c>
      <c r="X87" s="20"/>
    </row>
    <row r="88" spans="1:25" s="29" customFormat="1" ht="28.5" customHeight="1" x14ac:dyDescent="0.25">
      <c r="A88" s="55">
        <v>3</v>
      </c>
      <c r="B88" s="101" t="s">
        <v>178</v>
      </c>
      <c r="C88" s="30" t="s">
        <v>100</v>
      </c>
      <c r="D88" s="10" t="s">
        <v>33</v>
      </c>
      <c r="E88" s="11" t="s">
        <v>37</v>
      </c>
      <c r="F88" s="51">
        <f t="shared" si="57"/>
        <v>3900</v>
      </c>
      <c r="G88" s="51">
        <f t="shared" si="58"/>
        <v>3900</v>
      </c>
      <c r="H88" s="51">
        <f t="shared" si="59"/>
        <v>0</v>
      </c>
      <c r="I88" s="20">
        <v>3900</v>
      </c>
      <c r="J88" s="20">
        <v>3900</v>
      </c>
      <c r="K88" s="20">
        <f t="shared" si="60"/>
        <v>0</v>
      </c>
      <c r="L88" s="20"/>
      <c r="M88" s="20"/>
      <c r="N88" s="20">
        <f t="shared" si="61"/>
        <v>0</v>
      </c>
      <c r="O88" s="20"/>
      <c r="P88" s="20"/>
      <c r="Q88" s="20">
        <f t="shared" si="62"/>
        <v>0</v>
      </c>
      <c r="R88" s="20"/>
      <c r="S88" s="20"/>
      <c r="T88" s="20">
        <f t="shared" si="63"/>
        <v>0</v>
      </c>
      <c r="U88" s="20"/>
      <c r="V88" s="20"/>
      <c r="W88" s="20">
        <f t="shared" si="64"/>
        <v>0</v>
      </c>
      <c r="X88" s="20"/>
    </row>
    <row r="89" spans="1:25" s="29" customFormat="1" ht="29.85" customHeight="1" x14ac:dyDescent="0.25">
      <c r="A89" s="55">
        <v>4</v>
      </c>
      <c r="B89" s="79" t="s">
        <v>179</v>
      </c>
      <c r="C89" s="30" t="s">
        <v>55</v>
      </c>
      <c r="D89" s="10" t="s">
        <v>28</v>
      </c>
      <c r="E89" s="11" t="s">
        <v>56</v>
      </c>
      <c r="F89" s="51">
        <f t="shared" si="57"/>
        <v>120</v>
      </c>
      <c r="G89" s="51">
        <f t="shared" si="58"/>
        <v>120</v>
      </c>
      <c r="H89" s="51">
        <f t="shared" si="59"/>
        <v>0</v>
      </c>
      <c r="I89" s="20">
        <v>120</v>
      </c>
      <c r="J89" s="20">
        <v>120</v>
      </c>
      <c r="K89" s="20">
        <f t="shared" si="60"/>
        <v>0</v>
      </c>
      <c r="L89" s="20"/>
      <c r="M89" s="20"/>
      <c r="N89" s="20">
        <f t="shared" si="61"/>
        <v>0</v>
      </c>
      <c r="O89" s="20"/>
      <c r="P89" s="20"/>
      <c r="Q89" s="20">
        <f t="shared" si="62"/>
        <v>0</v>
      </c>
      <c r="R89" s="20"/>
      <c r="S89" s="20"/>
      <c r="T89" s="20">
        <f t="shared" si="63"/>
        <v>0</v>
      </c>
      <c r="U89" s="20"/>
      <c r="V89" s="20"/>
      <c r="W89" s="20">
        <f t="shared" si="64"/>
        <v>0</v>
      </c>
      <c r="X89" s="20"/>
    </row>
    <row r="90" spans="1:25" s="29" customFormat="1" ht="25.5" customHeight="1" x14ac:dyDescent="0.25">
      <c r="A90" s="55">
        <v>5</v>
      </c>
      <c r="B90" s="84" t="s">
        <v>180</v>
      </c>
      <c r="C90" s="30" t="s">
        <v>181</v>
      </c>
      <c r="D90" s="10" t="s">
        <v>36</v>
      </c>
      <c r="E90" s="10" t="s">
        <v>37</v>
      </c>
      <c r="F90" s="51">
        <f t="shared" si="57"/>
        <v>1639.9</v>
      </c>
      <c r="G90" s="51">
        <f t="shared" si="58"/>
        <v>1639.9</v>
      </c>
      <c r="H90" s="51">
        <f t="shared" si="59"/>
        <v>0</v>
      </c>
      <c r="I90" s="20">
        <v>1639.9</v>
      </c>
      <c r="J90" s="20">
        <v>1639.9</v>
      </c>
      <c r="K90" s="20">
        <f t="shared" si="60"/>
        <v>0</v>
      </c>
      <c r="L90" s="20"/>
      <c r="M90" s="20"/>
      <c r="N90" s="20">
        <f t="shared" si="61"/>
        <v>0</v>
      </c>
      <c r="O90" s="20"/>
      <c r="P90" s="20"/>
      <c r="Q90" s="20">
        <f t="shared" si="62"/>
        <v>0</v>
      </c>
      <c r="R90" s="20"/>
      <c r="S90" s="20"/>
      <c r="T90" s="20">
        <f t="shared" si="63"/>
        <v>0</v>
      </c>
      <c r="U90" s="20"/>
      <c r="V90" s="20"/>
      <c r="W90" s="20">
        <f t="shared" si="64"/>
        <v>0</v>
      </c>
      <c r="X90" s="20"/>
    </row>
    <row r="91" spans="1:25" s="29" customFormat="1" ht="15.75" customHeight="1" x14ac:dyDescent="0.25">
      <c r="A91" s="57">
        <v>5</v>
      </c>
      <c r="B91" s="80" t="s">
        <v>44</v>
      </c>
      <c r="C91" s="103"/>
      <c r="D91" s="110"/>
      <c r="E91" s="105" t="s">
        <v>18</v>
      </c>
      <c r="F91" s="48">
        <f t="shared" ref="F91:L91" si="65">SUM(F86:F90)</f>
        <v>8576.2999999999993</v>
      </c>
      <c r="G91" s="48">
        <f>SUM(G86:G90)</f>
        <v>8637</v>
      </c>
      <c r="H91" s="48">
        <f>SUM(H86:H90)</f>
        <v>60.700000000000045</v>
      </c>
      <c r="I91" s="48">
        <f t="shared" si="65"/>
        <v>7446.9</v>
      </c>
      <c r="J91" s="48">
        <f>SUM(J86:J90)</f>
        <v>7446.9</v>
      </c>
      <c r="K91" s="48">
        <f>SUM(K86:K90)</f>
        <v>0</v>
      </c>
      <c r="L91" s="48">
        <f t="shared" si="65"/>
        <v>1129.4000000000001</v>
      </c>
      <c r="M91" s="48">
        <f t="shared" ref="M91:W91" si="66">SUM(M86:M90)</f>
        <v>1190.1000000000001</v>
      </c>
      <c r="N91" s="48">
        <f t="shared" si="66"/>
        <v>60.700000000000045</v>
      </c>
      <c r="O91" s="48">
        <f t="shared" si="66"/>
        <v>0</v>
      </c>
      <c r="P91" s="48">
        <f t="shared" si="66"/>
        <v>0</v>
      </c>
      <c r="Q91" s="48">
        <f t="shared" si="66"/>
        <v>0</v>
      </c>
      <c r="R91" s="48">
        <f t="shared" si="66"/>
        <v>0</v>
      </c>
      <c r="S91" s="48">
        <f t="shared" si="66"/>
        <v>0</v>
      </c>
      <c r="T91" s="48">
        <f t="shared" si="66"/>
        <v>0</v>
      </c>
      <c r="U91" s="48">
        <f t="shared" si="66"/>
        <v>0</v>
      </c>
      <c r="V91" s="48">
        <f t="shared" si="66"/>
        <v>0</v>
      </c>
      <c r="W91" s="48">
        <f t="shared" si="66"/>
        <v>0</v>
      </c>
      <c r="X91" s="48"/>
    </row>
    <row r="92" spans="1:25" s="29" customFormat="1" ht="18" customHeight="1" x14ac:dyDescent="0.25">
      <c r="A92" s="194" t="s">
        <v>182</v>
      </c>
      <c r="B92" s="195"/>
      <c r="C92" s="195"/>
      <c r="D92" s="195"/>
      <c r="E92" s="195"/>
      <c r="F92" s="195"/>
      <c r="G92" s="195"/>
      <c r="H92" s="195"/>
      <c r="I92" s="195"/>
      <c r="J92" s="195"/>
      <c r="K92" s="195"/>
      <c r="L92" s="195"/>
      <c r="M92" s="195"/>
      <c r="N92" s="195"/>
      <c r="O92" s="195"/>
      <c r="P92" s="195"/>
      <c r="Q92" s="195"/>
      <c r="R92" s="195"/>
      <c r="S92" s="92"/>
      <c r="T92" s="92"/>
      <c r="U92" s="83"/>
      <c r="V92" s="92"/>
      <c r="W92" s="92"/>
      <c r="X92" s="92"/>
      <c r="Y92" s="135"/>
    </row>
    <row r="93" spans="1:25" s="29" customFormat="1" ht="83.1" customHeight="1" x14ac:dyDescent="0.25">
      <c r="A93" s="55" t="s">
        <v>25</v>
      </c>
      <c r="B93" s="21" t="s">
        <v>183</v>
      </c>
      <c r="C93" s="30" t="s">
        <v>47</v>
      </c>
      <c r="D93" s="7">
        <v>2017</v>
      </c>
      <c r="E93" s="7" t="s">
        <v>28</v>
      </c>
      <c r="F93" s="51">
        <f t="shared" ref="F93:F106" si="67">+I93+L93+O93+R93+U93</f>
        <v>1056.5</v>
      </c>
      <c r="G93" s="51">
        <f>J93+M93+P93+S93+V93</f>
        <v>1056.5</v>
      </c>
      <c r="H93" s="51">
        <f>K93+N93+Q93+T93+W93</f>
        <v>0</v>
      </c>
      <c r="I93" s="20">
        <v>25.9</v>
      </c>
      <c r="J93" s="20">
        <v>25.9</v>
      </c>
      <c r="K93" s="20">
        <f>J93-I93</f>
        <v>0</v>
      </c>
      <c r="L93" s="20">
        <v>946.7</v>
      </c>
      <c r="M93" s="20">
        <v>946.7</v>
      </c>
      <c r="N93" s="20">
        <f>M93-L93</f>
        <v>0</v>
      </c>
      <c r="O93" s="20">
        <v>83.9</v>
      </c>
      <c r="P93" s="20">
        <v>83.9</v>
      </c>
      <c r="Q93" s="20">
        <f>P93-O93</f>
        <v>0</v>
      </c>
      <c r="R93" s="20"/>
      <c r="S93" s="20"/>
      <c r="T93" s="20">
        <f>S93-R93</f>
        <v>0</v>
      </c>
      <c r="U93" s="20"/>
      <c r="V93" s="20"/>
      <c r="W93" s="20">
        <f>V93-U93</f>
        <v>0</v>
      </c>
      <c r="X93" s="20"/>
    </row>
    <row r="94" spans="1:25" s="29" customFormat="1" ht="160.5" customHeight="1" x14ac:dyDescent="0.25">
      <c r="A94" s="55" t="s">
        <v>48</v>
      </c>
      <c r="B94" s="21" t="s">
        <v>184</v>
      </c>
      <c r="C94" s="20" t="s">
        <v>77</v>
      </c>
      <c r="D94" s="1">
        <v>2017</v>
      </c>
      <c r="E94" s="9" t="s">
        <v>40</v>
      </c>
      <c r="F94" s="139">
        <f t="shared" si="67"/>
        <v>15900</v>
      </c>
      <c r="G94" s="139">
        <f t="shared" ref="G94:G106" si="68">J94+M94+P94+S94+V94</f>
        <v>16970</v>
      </c>
      <c r="H94" s="139">
        <f t="shared" ref="H94:H106" si="69">K94+N94+Q94+T94+W94</f>
        <v>1070</v>
      </c>
      <c r="I94" s="140">
        <v>15900</v>
      </c>
      <c r="J94" s="140">
        <f>15900+1070</f>
        <v>16970</v>
      </c>
      <c r="K94" s="138">
        <f t="shared" ref="K94:K106" si="70">J94-I94</f>
        <v>1070</v>
      </c>
      <c r="L94" s="20"/>
      <c r="M94" s="95"/>
      <c r="N94" s="20">
        <f t="shared" ref="N94:N106" si="71">M94-L94</f>
        <v>0</v>
      </c>
      <c r="O94" s="20"/>
      <c r="P94" s="95"/>
      <c r="Q94" s="20">
        <f t="shared" ref="Q94:Q106" si="72">P94-O94</f>
        <v>0</v>
      </c>
      <c r="R94" s="20"/>
      <c r="S94" s="95"/>
      <c r="T94" s="20">
        <f t="shared" ref="T94:T106" si="73">S94-R94</f>
        <v>0</v>
      </c>
      <c r="U94" s="20"/>
      <c r="V94" s="95"/>
      <c r="W94" s="20">
        <f t="shared" ref="W94:W106" si="74">V94-U94</f>
        <v>0</v>
      </c>
      <c r="X94" s="154" t="s">
        <v>185</v>
      </c>
    </row>
    <row r="95" spans="1:25" s="29" customFormat="1" ht="146.25" customHeight="1" x14ac:dyDescent="0.25">
      <c r="A95" s="55" t="s">
        <v>51</v>
      </c>
      <c r="B95" s="41" t="s">
        <v>186</v>
      </c>
      <c r="C95" s="20" t="s">
        <v>187</v>
      </c>
      <c r="D95" s="7" t="s">
        <v>59</v>
      </c>
      <c r="E95" s="7" t="s">
        <v>37</v>
      </c>
      <c r="F95" s="139">
        <f>+I95+O95+U95</f>
        <v>8608.6</v>
      </c>
      <c r="G95" s="139">
        <f t="shared" si="68"/>
        <v>8668.6</v>
      </c>
      <c r="H95" s="139">
        <f t="shared" si="69"/>
        <v>60</v>
      </c>
      <c r="I95" s="140">
        <f>8125-270.9+205-172.4+400</f>
        <v>8286.7000000000007</v>
      </c>
      <c r="J95" s="140">
        <f>8125-270.9+205-172.4+400+60</f>
        <v>8346.7000000000007</v>
      </c>
      <c r="K95" s="138">
        <f t="shared" si="70"/>
        <v>60</v>
      </c>
      <c r="L95" s="32"/>
      <c r="M95" s="98"/>
      <c r="N95" s="20">
        <f t="shared" si="71"/>
        <v>0</v>
      </c>
      <c r="O95" s="20">
        <v>232</v>
      </c>
      <c r="P95" s="20">
        <v>232</v>
      </c>
      <c r="Q95" s="20">
        <f t="shared" si="72"/>
        <v>0</v>
      </c>
      <c r="R95" s="20"/>
      <c r="S95" s="98"/>
      <c r="T95" s="20">
        <f t="shared" si="73"/>
        <v>0</v>
      </c>
      <c r="U95" s="20">
        <v>89.9</v>
      </c>
      <c r="V95" s="20">
        <v>89.9</v>
      </c>
      <c r="W95" s="20">
        <f t="shared" si="74"/>
        <v>0</v>
      </c>
      <c r="X95" s="156" t="s">
        <v>188</v>
      </c>
    </row>
    <row r="96" spans="1:25" s="29" customFormat="1" ht="39.75" customHeight="1" x14ac:dyDescent="0.25">
      <c r="A96" s="55">
        <v>4</v>
      </c>
      <c r="B96" s="41" t="s">
        <v>189</v>
      </c>
      <c r="C96" s="20" t="s">
        <v>187</v>
      </c>
      <c r="D96" s="4" t="s">
        <v>40</v>
      </c>
      <c r="E96" s="4" t="s">
        <v>40</v>
      </c>
      <c r="F96" s="144">
        <f>I96+L96+O96+R96+U96</f>
        <v>362.4</v>
      </c>
      <c r="G96" s="139">
        <f t="shared" si="68"/>
        <v>302.39999999999998</v>
      </c>
      <c r="H96" s="139">
        <f t="shared" si="69"/>
        <v>-60</v>
      </c>
      <c r="I96" s="138">
        <v>362.4</v>
      </c>
      <c r="J96" s="138">
        <f>362.4-60</f>
        <v>302.39999999999998</v>
      </c>
      <c r="K96" s="138">
        <f t="shared" si="70"/>
        <v>-60</v>
      </c>
      <c r="L96" s="20"/>
      <c r="M96" s="20"/>
      <c r="N96" s="20">
        <f t="shared" si="71"/>
        <v>0</v>
      </c>
      <c r="O96" s="20"/>
      <c r="P96" s="20"/>
      <c r="Q96" s="20">
        <f t="shared" si="72"/>
        <v>0</v>
      </c>
      <c r="R96" s="20"/>
      <c r="S96" s="20"/>
      <c r="T96" s="20">
        <f t="shared" si="73"/>
        <v>0</v>
      </c>
      <c r="U96" s="20"/>
      <c r="V96" s="20"/>
      <c r="W96" s="20">
        <f t="shared" si="74"/>
        <v>0</v>
      </c>
      <c r="X96" s="41" t="s">
        <v>190</v>
      </c>
    </row>
    <row r="97" spans="1:25" s="29" customFormat="1" ht="39.75" customHeight="1" x14ac:dyDescent="0.25">
      <c r="A97" s="55">
        <v>5</v>
      </c>
      <c r="B97" s="41" t="s">
        <v>191</v>
      </c>
      <c r="C97" s="20" t="s">
        <v>47</v>
      </c>
      <c r="D97" s="4" t="s">
        <v>133</v>
      </c>
      <c r="E97" s="4" t="s">
        <v>40</v>
      </c>
      <c r="F97" s="52">
        <f>I97+L97+O97+R97+U97</f>
        <v>895.5</v>
      </c>
      <c r="G97" s="51">
        <f t="shared" si="68"/>
        <v>895.5</v>
      </c>
      <c r="H97" s="51">
        <f t="shared" si="69"/>
        <v>0</v>
      </c>
      <c r="I97" s="20">
        <v>52.5</v>
      </c>
      <c r="J97" s="20">
        <v>52.5</v>
      </c>
      <c r="K97" s="20">
        <f t="shared" si="70"/>
        <v>0</v>
      </c>
      <c r="L97" s="20"/>
      <c r="M97" s="20"/>
      <c r="N97" s="20">
        <f t="shared" si="71"/>
        <v>0</v>
      </c>
      <c r="O97" s="20">
        <v>843</v>
      </c>
      <c r="P97" s="20">
        <v>843</v>
      </c>
      <c r="Q97" s="20">
        <f t="shared" si="72"/>
        <v>0</v>
      </c>
      <c r="R97" s="20"/>
      <c r="S97" s="20"/>
      <c r="T97" s="20">
        <f t="shared" si="73"/>
        <v>0</v>
      </c>
      <c r="U97" s="20"/>
      <c r="V97" s="20"/>
      <c r="W97" s="20">
        <f t="shared" si="74"/>
        <v>0</v>
      </c>
      <c r="X97" s="20"/>
    </row>
    <row r="98" spans="1:25" s="29" customFormat="1" ht="30" customHeight="1" x14ac:dyDescent="0.25">
      <c r="A98" s="55">
        <v>6</v>
      </c>
      <c r="B98" s="21" t="s">
        <v>192</v>
      </c>
      <c r="C98" s="20" t="s">
        <v>47</v>
      </c>
      <c r="D98" s="7">
        <v>2018</v>
      </c>
      <c r="E98" s="7" t="s">
        <v>28</v>
      </c>
      <c r="F98" s="51">
        <f t="shared" si="67"/>
        <v>1256</v>
      </c>
      <c r="G98" s="51">
        <f t="shared" si="68"/>
        <v>1256</v>
      </c>
      <c r="H98" s="51">
        <f t="shared" si="69"/>
        <v>0</v>
      </c>
      <c r="I98" s="20">
        <v>686</v>
      </c>
      <c r="J98" s="20">
        <v>686</v>
      </c>
      <c r="K98" s="20">
        <f t="shared" si="70"/>
        <v>0</v>
      </c>
      <c r="L98" s="20"/>
      <c r="M98" s="20"/>
      <c r="N98" s="20">
        <f t="shared" si="71"/>
        <v>0</v>
      </c>
      <c r="O98" s="20">
        <v>570</v>
      </c>
      <c r="P98" s="20">
        <v>570</v>
      </c>
      <c r="Q98" s="20">
        <f t="shared" si="72"/>
        <v>0</v>
      </c>
      <c r="R98" s="20"/>
      <c r="S98" s="20"/>
      <c r="T98" s="20">
        <f t="shared" si="73"/>
        <v>0</v>
      </c>
      <c r="U98" s="20"/>
      <c r="V98" s="20"/>
      <c r="W98" s="20">
        <f t="shared" si="74"/>
        <v>0</v>
      </c>
      <c r="X98" s="20"/>
    </row>
    <row r="99" spans="1:25" s="29" customFormat="1" ht="27.75" customHeight="1" x14ac:dyDescent="0.25">
      <c r="A99" s="55">
        <v>7</v>
      </c>
      <c r="B99" s="21" t="s">
        <v>193</v>
      </c>
      <c r="C99" s="20" t="s">
        <v>100</v>
      </c>
      <c r="D99" s="7">
        <v>2019</v>
      </c>
      <c r="E99" s="7" t="s">
        <v>43</v>
      </c>
      <c r="F99" s="51">
        <f t="shared" si="67"/>
        <v>1839.1</v>
      </c>
      <c r="G99" s="51">
        <f t="shared" si="68"/>
        <v>1839.1</v>
      </c>
      <c r="H99" s="51">
        <f t="shared" si="69"/>
        <v>0</v>
      </c>
      <c r="I99" s="20">
        <v>1639.1</v>
      </c>
      <c r="J99" s="20">
        <v>1639.1</v>
      </c>
      <c r="K99" s="20">
        <f t="shared" si="70"/>
        <v>0</v>
      </c>
      <c r="L99" s="20"/>
      <c r="M99" s="20"/>
      <c r="N99" s="20">
        <f t="shared" si="71"/>
        <v>0</v>
      </c>
      <c r="O99" s="20">
        <f>300-100</f>
        <v>200</v>
      </c>
      <c r="P99" s="20">
        <f>300-100</f>
        <v>200</v>
      </c>
      <c r="Q99" s="20">
        <f t="shared" si="72"/>
        <v>0</v>
      </c>
      <c r="R99" s="20"/>
      <c r="S99" s="20"/>
      <c r="T99" s="20">
        <f t="shared" si="73"/>
        <v>0</v>
      </c>
      <c r="U99" s="20"/>
      <c r="V99" s="20"/>
      <c r="W99" s="20">
        <f t="shared" si="74"/>
        <v>0</v>
      </c>
      <c r="X99" s="20"/>
    </row>
    <row r="100" spans="1:25" s="29" customFormat="1" ht="53.85" customHeight="1" x14ac:dyDescent="0.25">
      <c r="A100" s="55">
        <v>8</v>
      </c>
      <c r="B100" s="21" t="s">
        <v>194</v>
      </c>
      <c r="C100" s="30" t="s">
        <v>100</v>
      </c>
      <c r="D100" s="7">
        <v>2017</v>
      </c>
      <c r="E100" s="7" t="s">
        <v>56</v>
      </c>
      <c r="F100" s="51">
        <f t="shared" si="67"/>
        <v>4867.2</v>
      </c>
      <c r="G100" s="51">
        <f t="shared" si="68"/>
        <v>4867.2</v>
      </c>
      <c r="H100" s="51">
        <f t="shared" si="69"/>
        <v>0</v>
      </c>
      <c r="I100" s="20">
        <v>4867.2</v>
      </c>
      <c r="J100" s="20">
        <v>4867.2</v>
      </c>
      <c r="K100" s="20">
        <f t="shared" si="70"/>
        <v>0</v>
      </c>
      <c r="L100" s="20"/>
      <c r="M100" s="20"/>
      <c r="N100" s="20">
        <f t="shared" si="71"/>
        <v>0</v>
      </c>
      <c r="O100" s="20"/>
      <c r="P100" s="20"/>
      <c r="Q100" s="20">
        <f t="shared" si="72"/>
        <v>0</v>
      </c>
      <c r="R100" s="20"/>
      <c r="S100" s="20"/>
      <c r="T100" s="20">
        <f t="shared" si="73"/>
        <v>0</v>
      </c>
      <c r="U100" s="20"/>
      <c r="V100" s="20"/>
      <c r="W100" s="20">
        <f t="shared" si="74"/>
        <v>0</v>
      </c>
      <c r="X100" s="20"/>
    </row>
    <row r="101" spans="1:25" s="29" customFormat="1" ht="55.5" customHeight="1" x14ac:dyDescent="0.25">
      <c r="A101" s="55">
        <v>9</v>
      </c>
      <c r="B101" s="41" t="s">
        <v>195</v>
      </c>
      <c r="C101" s="20" t="s">
        <v>100</v>
      </c>
      <c r="D101" s="7">
        <v>2017</v>
      </c>
      <c r="E101" s="7" t="s">
        <v>40</v>
      </c>
      <c r="F101" s="139">
        <f t="shared" si="67"/>
        <v>2836.1</v>
      </c>
      <c r="G101" s="139">
        <f t="shared" si="68"/>
        <v>3089.1</v>
      </c>
      <c r="H101" s="139">
        <f t="shared" si="69"/>
        <v>253</v>
      </c>
      <c r="I101" s="138">
        <v>1957</v>
      </c>
      <c r="J101" s="138">
        <f>1957+153+100</f>
        <v>2210</v>
      </c>
      <c r="K101" s="138">
        <f t="shared" si="70"/>
        <v>253</v>
      </c>
      <c r="L101" s="20">
        <v>879.1</v>
      </c>
      <c r="M101" s="20">
        <v>879.1</v>
      </c>
      <c r="N101" s="20">
        <f t="shared" si="71"/>
        <v>0</v>
      </c>
      <c r="O101" s="20"/>
      <c r="P101" s="20"/>
      <c r="Q101" s="20">
        <f t="shared" si="72"/>
        <v>0</v>
      </c>
      <c r="R101" s="20"/>
      <c r="S101" s="20"/>
      <c r="T101" s="20">
        <f t="shared" si="73"/>
        <v>0</v>
      </c>
      <c r="U101" s="20"/>
      <c r="V101" s="20"/>
      <c r="W101" s="20">
        <f t="shared" si="74"/>
        <v>0</v>
      </c>
      <c r="X101" s="153" t="s">
        <v>196</v>
      </c>
    </row>
    <row r="102" spans="1:25" s="29" customFormat="1" ht="27.75" customHeight="1" x14ac:dyDescent="0.25">
      <c r="A102" s="55">
        <v>10</v>
      </c>
      <c r="B102" s="23" t="s">
        <v>197</v>
      </c>
      <c r="C102" s="20" t="s">
        <v>47</v>
      </c>
      <c r="D102" s="7">
        <v>2018</v>
      </c>
      <c r="E102" s="7" t="s">
        <v>56</v>
      </c>
      <c r="F102" s="51">
        <f t="shared" si="67"/>
        <v>696.3</v>
      </c>
      <c r="G102" s="51">
        <f t="shared" si="68"/>
        <v>696.3</v>
      </c>
      <c r="H102" s="51">
        <f t="shared" si="69"/>
        <v>0</v>
      </c>
      <c r="I102" s="20">
        <v>696.3</v>
      </c>
      <c r="J102" s="20">
        <v>696.3</v>
      </c>
      <c r="K102" s="20">
        <f t="shared" si="70"/>
        <v>0</v>
      </c>
      <c r="L102" s="20"/>
      <c r="M102" s="20"/>
      <c r="N102" s="20">
        <f t="shared" si="71"/>
        <v>0</v>
      </c>
      <c r="O102" s="20"/>
      <c r="P102" s="20"/>
      <c r="Q102" s="20">
        <f t="shared" si="72"/>
        <v>0</v>
      </c>
      <c r="R102" s="20"/>
      <c r="S102" s="20"/>
      <c r="T102" s="20">
        <f t="shared" si="73"/>
        <v>0</v>
      </c>
      <c r="U102" s="20"/>
      <c r="V102" s="20"/>
      <c r="W102" s="20">
        <f t="shared" si="74"/>
        <v>0</v>
      </c>
      <c r="X102" s="20"/>
    </row>
    <row r="103" spans="1:25" s="29" customFormat="1" ht="54.6" customHeight="1" x14ac:dyDescent="0.25">
      <c r="A103" s="55">
        <v>11</v>
      </c>
      <c r="B103" s="23" t="s">
        <v>198</v>
      </c>
      <c r="C103" s="20" t="s">
        <v>47</v>
      </c>
      <c r="D103" s="7">
        <v>2016</v>
      </c>
      <c r="E103" s="7" t="s">
        <v>28</v>
      </c>
      <c r="F103" s="51">
        <f t="shared" si="67"/>
        <v>745.3</v>
      </c>
      <c r="G103" s="51">
        <f t="shared" si="68"/>
        <v>745.3</v>
      </c>
      <c r="H103" s="51">
        <f t="shared" si="69"/>
        <v>0</v>
      </c>
      <c r="I103" s="20">
        <v>216.8</v>
      </c>
      <c r="J103" s="20">
        <v>216.8</v>
      </c>
      <c r="K103" s="20">
        <f t="shared" si="70"/>
        <v>0</v>
      </c>
      <c r="L103" s="20">
        <v>528.5</v>
      </c>
      <c r="M103" s="20">
        <v>528.5</v>
      </c>
      <c r="N103" s="20">
        <f t="shared" si="71"/>
        <v>0</v>
      </c>
      <c r="O103" s="20"/>
      <c r="P103" s="20"/>
      <c r="Q103" s="20">
        <f t="shared" si="72"/>
        <v>0</v>
      </c>
      <c r="R103" s="20"/>
      <c r="S103" s="20"/>
      <c r="T103" s="20">
        <f t="shared" si="73"/>
        <v>0</v>
      </c>
      <c r="U103" s="20"/>
      <c r="V103" s="20"/>
      <c r="W103" s="20">
        <f t="shared" si="74"/>
        <v>0</v>
      </c>
      <c r="X103" s="20"/>
    </row>
    <row r="104" spans="1:25" s="29" customFormat="1" ht="105" customHeight="1" x14ac:dyDescent="0.25">
      <c r="A104" s="55">
        <v>12</v>
      </c>
      <c r="B104" s="23" t="s">
        <v>199</v>
      </c>
      <c r="C104" s="20" t="s">
        <v>200</v>
      </c>
      <c r="D104" s="7" t="s">
        <v>28</v>
      </c>
      <c r="E104" s="7" t="s">
        <v>43</v>
      </c>
      <c r="F104" s="139">
        <f t="shared" si="67"/>
        <v>4884</v>
      </c>
      <c r="G104" s="139">
        <f t="shared" si="68"/>
        <v>4935.2</v>
      </c>
      <c r="H104" s="139">
        <f t="shared" si="69"/>
        <v>51.199999999999818</v>
      </c>
      <c r="I104" s="138">
        <v>4884</v>
      </c>
      <c r="J104" s="138">
        <f>4884+51.2</f>
        <v>4935.2</v>
      </c>
      <c r="K104" s="138">
        <f t="shared" si="70"/>
        <v>51.199999999999818</v>
      </c>
      <c r="L104" s="20"/>
      <c r="M104" s="20"/>
      <c r="N104" s="20">
        <f t="shared" si="71"/>
        <v>0</v>
      </c>
      <c r="O104" s="20"/>
      <c r="P104" s="20"/>
      <c r="Q104" s="20">
        <f t="shared" si="72"/>
        <v>0</v>
      </c>
      <c r="R104" s="20"/>
      <c r="S104" s="20"/>
      <c r="T104" s="20">
        <f t="shared" si="73"/>
        <v>0</v>
      </c>
      <c r="U104" s="20"/>
      <c r="V104" s="20"/>
      <c r="W104" s="20">
        <f t="shared" si="74"/>
        <v>0</v>
      </c>
      <c r="X104" s="141"/>
    </row>
    <row r="105" spans="1:25" s="29" customFormat="1" ht="35.25" customHeight="1" x14ac:dyDescent="0.25">
      <c r="A105" s="55">
        <v>13</v>
      </c>
      <c r="B105" s="23" t="s">
        <v>201</v>
      </c>
      <c r="C105" s="20" t="s">
        <v>202</v>
      </c>
      <c r="D105" s="7" t="s">
        <v>40</v>
      </c>
      <c r="E105" s="7" t="s">
        <v>40</v>
      </c>
      <c r="F105" s="51">
        <f t="shared" si="67"/>
        <v>358.6</v>
      </c>
      <c r="G105" s="51">
        <f>J105+M105+P105+S105+V105</f>
        <v>358.6</v>
      </c>
      <c r="H105" s="51">
        <f>K105+N105+Q105+T105+W105</f>
        <v>0</v>
      </c>
      <c r="I105" s="20">
        <v>58.6</v>
      </c>
      <c r="J105" s="20">
        <v>58.6</v>
      </c>
      <c r="K105" s="20">
        <f t="shared" si="70"/>
        <v>0</v>
      </c>
      <c r="L105" s="20"/>
      <c r="M105" s="20"/>
      <c r="N105" s="20">
        <f t="shared" si="71"/>
        <v>0</v>
      </c>
      <c r="O105" s="20">
        <v>300</v>
      </c>
      <c r="P105" s="20">
        <v>300</v>
      </c>
      <c r="Q105" s="20">
        <f t="shared" si="72"/>
        <v>0</v>
      </c>
      <c r="R105" s="20"/>
      <c r="S105" s="20"/>
      <c r="T105" s="20">
        <f t="shared" si="73"/>
        <v>0</v>
      </c>
      <c r="U105" s="20"/>
      <c r="V105" s="20"/>
      <c r="W105" s="20">
        <f t="shared" si="74"/>
        <v>0</v>
      </c>
      <c r="X105" s="20"/>
    </row>
    <row r="106" spans="1:25" s="29" customFormat="1" ht="29.25" customHeight="1" x14ac:dyDescent="0.25">
      <c r="A106" s="65">
        <v>14</v>
      </c>
      <c r="B106" s="41" t="s">
        <v>203</v>
      </c>
      <c r="C106" s="43" t="s">
        <v>204</v>
      </c>
      <c r="D106" s="7" t="s">
        <v>28</v>
      </c>
      <c r="E106" s="7" t="s">
        <v>56</v>
      </c>
      <c r="F106" s="51">
        <f t="shared" si="67"/>
        <v>1102.4000000000001</v>
      </c>
      <c r="G106" s="51">
        <f t="shared" si="68"/>
        <v>1102.4000000000001</v>
      </c>
      <c r="H106" s="51">
        <f t="shared" si="69"/>
        <v>0</v>
      </c>
      <c r="I106" s="20">
        <v>1102.4000000000001</v>
      </c>
      <c r="J106" s="20">
        <v>1102.4000000000001</v>
      </c>
      <c r="K106" s="20">
        <f t="shared" si="70"/>
        <v>0</v>
      </c>
      <c r="L106" s="20"/>
      <c r="M106" s="20"/>
      <c r="N106" s="20">
        <f t="shared" si="71"/>
        <v>0</v>
      </c>
      <c r="O106" s="20"/>
      <c r="P106" s="20"/>
      <c r="Q106" s="20">
        <f t="shared" si="72"/>
        <v>0</v>
      </c>
      <c r="R106" s="20"/>
      <c r="S106" s="20"/>
      <c r="T106" s="20">
        <f t="shared" si="73"/>
        <v>0</v>
      </c>
      <c r="U106" s="20"/>
      <c r="V106" s="20"/>
      <c r="W106" s="20">
        <f t="shared" si="74"/>
        <v>0</v>
      </c>
      <c r="X106" s="20"/>
    </row>
    <row r="107" spans="1:25" s="29" customFormat="1" ht="18" customHeight="1" x14ac:dyDescent="0.25">
      <c r="A107" s="57">
        <v>14</v>
      </c>
      <c r="B107" s="80" t="s">
        <v>94</v>
      </c>
      <c r="C107" s="103"/>
      <c r="D107" s="110"/>
      <c r="E107" s="105" t="s">
        <v>18</v>
      </c>
      <c r="F107" s="72">
        <f t="shared" ref="F107:U107" si="75">SUM(F93:F106)</f>
        <v>45408</v>
      </c>
      <c r="G107" s="72">
        <f>SUM(G93:G106)</f>
        <v>46782.2</v>
      </c>
      <c r="H107" s="72">
        <f t="shared" si="75"/>
        <v>1374.1999999999998</v>
      </c>
      <c r="I107" s="72">
        <f t="shared" si="75"/>
        <v>40734.900000000009</v>
      </c>
      <c r="J107" s="72">
        <f t="shared" si="75"/>
        <v>42109.100000000006</v>
      </c>
      <c r="K107" s="72">
        <f>SUM(K93:K106)</f>
        <v>1374.1999999999998</v>
      </c>
      <c r="L107" s="72">
        <f t="shared" si="75"/>
        <v>2354.3000000000002</v>
      </c>
      <c r="M107" s="72">
        <f>SUM(M93:M106)</f>
        <v>2354.3000000000002</v>
      </c>
      <c r="N107" s="72">
        <f>SUM(N93:N106)</f>
        <v>0</v>
      </c>
      <c r="O107" s="72">
        <f t="shared" si="75"/>
        <v>2228.9</v>
      </c>
      <c r="P107" s="72">
        <f>SUM(P93:P106)</f>
        <v>2228.9</v>
      </c>
      <c r="Q107" s="72">
        <f>SUM(Q93:Q106)</f>
        <v>0</v>
      </c>
      <c r="R107" s="72">
        <f>SUM(R93:R106)</f>
        <v>0</v>
      </c>
      <c r="S107" s="72">
        <f>SUM(S93:S106)</f>
        <v>0</v>
      </c>
      <c r="T107" s="72">
        <f>SUM(T93:T106)</f>
        <v>0</v>
      </c>
      <c r="U107" s="72">
        <f t="shared" si="75"/>
        <v>89.9</v>
      </c>
      <c r="V107" s="72">
        <f>SUM(V93:V106)</f>
        <v>89.9</v>
      </c>
      <c r="W107" s="72">
        <f>SUM(W93:W106)</f>
        <v>0</v>
      </c>
      <c r="X107" s="72"/>
    </row>
    <row r="108" spans="1:25" s="29" customFormat="1" ht="16.5" customHeight="1" x14ac:dyDescent="0.25">
      <c r="A108" s="194" t="s">
        <v>205</v>
      </c>
      <c r="B108" s="195"/>
      <c r="C108" s="195"/>
      <c r="D108" s="195"/>
      <c r="E108" s="195"/>
      <c r="F108" s="195"/>
      <c r="G108" s="195"/>
      <c r="H108" s="195"/>
      <c r="I108" s="195"/>
      <c r="J108" s="195"/>
      <c r="K108" s="195"/>
      <c r="L108" s="195"/>
      <c r="M108" s="195"/>
      <c r="N108" s="195"/>
      <c r="O108" s="195"/>
      <c r="P108" s="195"/>
      <c r="Q108" s="195"/>
      <c r="R108" s="195"/>
      <c r="S108" s="92"/>
      <c r="T108" s="92"/>
      <c r="U108" s="83"/>
      <c r="V108" s="92"/>
      <c r="W108" s="92"/>
      <c r="X108" s="92"/>
      <c r="Y108" s="135"/>
    </row>
    <row r="109" spans="1:25" s="29" customFormat="1" ht="27" customHeight="1" x14ac:dyDescent="0.25">
      <c r="A109" s="55">
        <v>1</v>
      </c>
      <c r="B109" s="41" t="s">
        <v>206</v>
      </c>
      <c r="C109" s="22" t="s">
        <v>72</v>
      </c>
      <c r="D109" s="7">
        <v>2017</v>
      </c>
      <c r="E109" s="7" t="s">
        <v>43</v>
      </c>
      <c r="F109" s="51">
        <f t="shared" ref="F109:F111" si="76">+I109+L109+O109+R109+U109</f>
        <v>6300</v>
      </c>
      <c r="G109" s="51">
        <f>J109+M109+P109+S109+V109</f>
        <v>6300</v>
      </c>
      <c r="H109" s="20">
        <f>K109+N109+Q109+T109+W109</f>
        <v>0</v>
      </c>
      <c r="I109" s="20">
        <v>6300</v>
      </c>
      <c r="J109" s="20">
        <v>6300</v>
      </c>
      <c r="K109" s="20">
        <f>J109-I109</f>
        <v>0</v>
      </c>
      <c r="L109" s="20"/>
      <c r="M109" s="20"/>
      <c r="N109" s="20">
        <f>M109-L109</f>
        <v>0</v>
      </c>
      <c r="O109" s="20"/>
      <c r="P109" s="20"/>
      <c r="Q109" s="20">
        <f>P109-O109</f>
        <v>0</v>
      </c>
      <c r="R109" s="20"/>
      <c r="S109" s="20"/>
      <c r="T109" s="20">
        <f>S109-R109</f>
        <v>0</v>
      </c>
      <c r="U109" s="20"/>
      <c r="V109" s="20"/>
      <c r="W109" s="20">
        <f>V109-U109</f>
        <v>0</v>
      </c>
      <c r="X109" s="20"/>
    </row>
    <row r="110" spans="1:25" s="29" customFormat="1" ht="25.5" x14ac:dyDescent="0.25">
      <c r="A110" s="55">
        <v>2</v>
      </c>
      <c r="B110" s="21" t="s">
        <v>207</v>
      </c>
      <c r="C110" s="22" t="s">
        <v>72</v>
      </c>
      <c r="D110" s="16">
        <v>2020</v>
      </c>
      <c r="E110" s="7" t="s">
        <v>56</v>
      </c>
      <c r="F110" s="51">
        <f t="shared" si="76"/>
        <v>1924.1</v>
      </c>
      <c r="G110" s="51">
        <f t="shared" ref="G110:G112" si="77">J110+M110+P110+S110+V110</f>
        <v>1924.1</v>
      </c>
      <c r="H110" s="20">
        <f t="shared" ref="H110:H112" si="78">K110+N110+Q110+T110+W110</f>
        <v>0</v>
      </c>
      <c r="I110" s="20"/>
      <c r="J110" s="20"/>
      <c r="K110" s="20">
        <f t="shared" ref="K110:K112" si="79">J110-I110</f>
        <v>0</v>
      </c>
      <c r="L110" s="20"/>
      <c r="M110" s="20"/>
      <c r="N110" s="20">
        <f t="shared" ref="N110:N112" si="80">M110-L110</f>
        <v>0</v>
      </c>
      <c r="O110" s="20">
        <v>1924.1</v>
      </c>
      <c r="P110" s="20">
        <v>1924.1</v>
      </c>
      <c r="Q110" s="20">
        <f t="shared" ref="Q110:Q112" si="81">P110-O110</f>
        <v>0</v>
      </c>
      <c r="R110" s="20"/>
      <c r="S110" s="20"/>
      <c r="T110" s="20">
        <f t="shared" ref="T110:T112" si="82">S110-R110</f>
        <v>0</v>
      </c>
      <c r="U110" s="20"/>
      <c r="V110" s="20"/>
      <c r="W110" s="20">
        <f t="shared" ref="W110:W112" si="83">V110-U110</f>
        <v>0</v>
      </c>
      <c r="X110" s="20"/>
    </row>
    <row r="111" spans="1:25" s="29" customFormat="1" ht="32.25" customHeight="1" x14ac:dyDescent="0.25">
      <c r="A111" s="129">
        <v>3</v>
      </c>
      <c r="B111" s="84" t="s">
        <v>208</v>
      </c>
      <c r="C111" s="95" t="s">
        <v>72</v>
      </c>
      <c r="D111" s="9" t="s">
        <v>40</v>
      </c>
      <c r="E111" s="9"/>
      <c r="F111" s="54">
        <f t="shared" si="76"/>
        <v>2300</v>
      </c>
      <c r="G111" s="51">
        <f t="shared" si="77"/>
        <v>2300</v>
      </c>
      <c r="H111" s="20">
        <f t="shared" si="78"/>
        <v>0</v>
      </c>
      <c r="I111" s="20">
        <v>2300</v>
      </c>
      <c r="J111" s="20">
        <v>2300</v>
      </c>
      <c r="K111" s="20">
        <f t="shared" si="79"/>
        <v>0</v>
      </c>
      <c r="L111" s="20"/>
      <c r="M111" s="20"/>
      <c r="N111" s="20">
        <f t="shared" si="80"/>
        <v>0</v>
      </c>
      <c r="O111" s="20"/>
      <c r="P111" s="20"/>
      <c r="Q111" s="20">
        <f t="shared" si="81"/>
        <v>0</v>
      </c>
      <c r="R111" s="20"/>
      <c r="S111" s="20"/>
      <c r="T111" s="20">
        <f t="shared" si="82"/>
        <v>0</v>
      </c>
      <c r="U111" s="20"/>
      <c r="V111" s="20"/>
      <c r="W111" s="20">
        <f t="shared" si="83"/>
        <v>0</v>
      </c>
      <c r="X111" s="20"/>
    </row>
    <row r="112" spans="1:25" s="29" customFormat="1" ht="21" customHeight="1" x14ac:dyDescent="0.25">
      <c r="A112" s="59">
        <v>4</v>
      </c>
      <c r="B112" s="73" t="s">
        <v>209</v>
      </c>
      <c r="C112" s="20" t="s">
        <v>138</v>
      </c>
      <c r="D112" s="16" t="s">
        <v>28</v>
      </c>
      <c r="E112" s="7" t="s">
        <v>56</v>
      </c>
      <c r="F112" s="51">
        <f>+I112+L112+O112+R112+U112</f>
        <v>3200</v>
      </c>
      <c r="G112" s="51">
        <f t="shared" si="77"/>
        <v>3200</v>
      </c>
      <c r="H112" s="20">
        <f t="shared" si="78"/>
        <v>0</v>
      </c>
      <c r="I112" s="20">
        <v>40</v>
      </c>
      <c r="J112" s="20">
        <v>40</v>
      </c>
      <c r="K112" s="20">
        <f t="shared" si="79"/>
        <v>0</v>
      </c>
      <c r="L112" s="20"/>
      <c r="M112" s="20"/>
      <c r="N112" s="20">
        <f t="shared" si="80"/>
        <v>0</v>
      </c>
      <c r="O112" s="20">
        <v>3160</v>
      </c>
      <c r="P112" s="20">
        <v>3160</v>
      </c>
      <c r="Q112" s="20">
        <f t="shared" si="81"/>
        <v>0</v>
      </c>
      <c r="R112" s="20"/>
      <c r="S112" s="20"/>
      <c r="T112" s="20">
        <f t="shared" si="82"/>
        <v>0</v>
      </c>
      <c r="U112" s="20"/>
      <c r="V112" s="20"/>
      <c r="W112" s="20">
        <f t="shared" si="83"/>
        <v>0</v>
      </c>
      <c r="X112" s="20"/>
    </row>
    <row r="113" spans="1:25" s="29" customFormat="1" ht="17.25" customHeight="1" x14ac:dyDescent="0.25">
      <c r="A113" s="57">
        <v>4</v>
      </c>
      <c r="B113" s="80" t="s">
        <v>44</v>
      </c>
      <c r="C113" s="103"/>
      <c r="D113" s="110"/>
      <c r="E113" s="46" t="s">
        <v>18</v>
      </c>
      <c r="F113" s="48">
        <f t="shared" ref="F113:W113" si="84">SUM(F109:F112)</f>
        <v>13724.1</v>
      </c>
      <c r="G113" s="48">
        <f t="shared" si="84"/>
        <v>13724.1</v>
      </c>
      <c r="H113" s="48">
        <f t="shared" si="84"/>
        <v>0</v>
      </c>
      <c r="I113" s="48">
        <f t="shared" si="84"/>
        <v>8640</v>
      </c>
      <c r="J113" s="48">
        <f t="shared" si="84"/>
        <v>8640</v>
      </c>
      <c r="K113" s="48">
        <f t="shared" si="84"/>
        <v>0</v>
      </c>
      <c r="L113" s="48">
        <f t="shared" si="84"/>
        <v>0</v>
      </c>
      <c r="M113" s="48">
        <f t="shared" si="84"/>
        <v>0</v>
      </c>
      <c r="N113" s="48">
        <f t="shared" si="84"/>
        <v>0</v>
      </c>
      <c r="O113" s="48">
        <f t="shared" si="84"/>
        <v>5084.1000000000004</v>
      </c>
      <c r="P113" s="48">
        <f t="shared" si="84"/>
        <v>5084.1000000000004</v>
      </c>
      <c r="Q113" s="48">
        <f t="shared" si="84"/>
        <v>0</v>
      </c>
      <c r="R113" s="48">
        <f t="shared" si="84"/>
        <v>0</v>
      </c>
      <c r="S113" s="48">
        <f t="shared" si="84"/>
        <v>0</v>
      </c>
      <c r="T113" s="48">
        <f t="shared" si="84"/>
        <v>0</v>
      </c>
      <c r="U113" s="48">
        <f t="shared" si="84"/>
        <v>0</v>
      </c>
      <c r="V113" s="48">
        <f t="shared" si="84"/>
        <v>0</v>
      </c>
      <c r="W113" s="48">
        <f t="shared" si="84"/>
        <v>0</v>
      </c>
      <c r="X113" s="48"/>
    </row>
    <row r="114" spans="1:25" s="29" customFormat="1" ht="19.350000000000001" customHeight="1" x14ac:dyDescent="0.25">
      <c r="A114" s="194" t="s">
        <v>210</v>
      </c>
      <c r="B114" s="195"/>
      <c r="C114" s="195"/>
      <c r="D114" s="195"/>
      <c r="E114" s="195"/>
      <c r="F114" s="195"/>
      <c r="G114" s="195"/>
      <c r="H114" s="195"/>
      <c r="I114" s="195"/>
      <c r="J114" s="195"/>
      <c r="K114" s="195"/>
      <c r="L114" s="195"/>
      <c r="M114" s="195"/>
      <c r="N114" s="195"/>
      <c r="O114" s="195"/>
      <c r="P114" s="195"/>
      <c r="Q114" s="195"/>
      <c r="R114" s="195"/>
      <c r="S114" s="92"/>
      <c r="T114" s="92"/>
      <c r="U114" s="83"/>
      <c r="V114" s="92"/>
      <c r="W114" s="92"/>
      <c r="X114" s="92"/>
      <c r="Y114" s="135"/>
    </row>
    <row r="115" spans="1:25" s="29" customFormat="1" ht="53.25" customHeight="1" x14ac:dyDescent="0.25">
      <c r="A115" s="55">
        <v>1</v>
      </c>
      <c r="B115" s="21" t="s">
        <v>211</v>
      </c>
      <c r="C115" s="20" t="s">
        <v>212</v>
      </c>
      <c r="D115" s="7" t="s">
        <v>36</v>
      </c>
      <c r="E115" s="7" t="s">
        <v>56</v>
      </c>
      <c r="F115" s="51">
        <f t="shared" ref="F115:F120" si="85">+I115+L115+O115+R115+U115</f>
        <v>3457</v>
      </c>
      <c r="G115" s="51">
        <f>J115+M115+P115+S115+V115</f>
        <v>3457</v>
      </c>
      <c r="H115" s="20">
        <f>K115+N115+Q115+T115+W115</f>
        <v>0</v>
      </c>
      <c r="I115" s="20">
        <v>3457</v>
      </c>
      <c r="J115" s="20">
        <v>3457</v>
      </c>
      <c r="K115" s="20">
        <f>J115-I115</f>
        <v>0</v>
      </c>
      <c r="L115" s="20"/>
      <c r="M115" s="20"/>
      <c r="N115" s="20">
        <f>M115-L115</f>
        <v>0</v>
      </c>
      <c r="O115" s="20"/>
      <c r="P115" s="20"/>
      <c r="Q115" s="20">
        <f>P115-O115</f>
        <v>0</v>
      </c>
      <c r="R115" s="20"/>
      <c r="S115" s="20"/>
      <c r="T115" s="20">
        <f>S115-R115</f>
        <v>0</v>
      </c>
      <c r="U115" s="20"/>
      <c r="V115" s="20"/>
      <c r="W115" s="20">
        <f>V115-U115</f>
        <v>0</v>
      </c>
      <c r="X115" s="20"/>
    </row>
    <row r="116" spans="1:25" s="29" customFormat="1" ht="42.75" customHeight="1" x14ac:dyDescent="0.25">
      <c r="A116" s="55">
        <v>2</v>
      </c>
      <c r="B116" s="23" t="s">
        <v>213</v>
      </c>
      <c r="C116" s="20" t="s">
        <v>214</v>
      </c>
      <c r="D116" s="5" t="s">
        <v>59</v>
      </c>
      <c r="E116" s="5" t="s">
        <v>56</v>
      </c>
      <c r="F116" s="51">
        <f t="shared" si="85"/>
        <v>3643.5</v>
      </c>
      <c r="G116" s="51">
        <f t="shared" ref="G116:G120" si="86">J116+M116+P116+S116+V116</f>
        <v>3643.5</v>
      </c>
      <c r="H116" s="20">
        <f t="shared" ref="H116:H120" si="87">K116+N116+Q116+T116+W116</f>
        <v>0</v>
      </c>
      <c r="I116" s="20">
        <v>686</v>
      </c>
      <c r="J116" s="20">
        <v>686</v>
      </c>
      <c r="K116" s="20">
        <f t="shared" ref="K116:K120" si="88">J116-I116</f>
        <v>0</v>
      </c>
      <c r="L116" s="20"/>
      <c r="M116" s="20"/>
      <c r="N116" s="20">
        <f t="shared" ref="N116:N120" si="89">M116-L116</f>
        <v>0</v>
      </c>
      <c r="O116" s="20">
        <v>2957.5</v>
      </c>
      <c r="P116" s="20">
        <v>2957.5</v>
      </c>
      <c r="Q116" s="20">
        <f t="shared" ref="Q116:Q120" si="90">P116-O116</f>
        <v>0</v>
      </c>
      <c r="R116" s="20"/>
      <c r="S116" s="20"/>
      <c r="T116" s="20">
        <f t="shared" ref="T116:T120" si="91">S116-R116</f>
        <v>0</v>
      </c>
      <c r="U116" s="20"/>
      <c r="V116" s="20"/>
      <c r="W116" s="20">
        <f t="shared" ref="W116:W120" si="92">V116-U116</f>
        <v>0</v>
      </c>
      <c r="X116" s="20"/>
    </row>
    <row r="117" spans="1:25" s="29" customFormat="1" ht="43.5" customHeight="1" x14ac:dyDescent="0.25">
      <c r="A117" s="55">
        <v>3</v>
      </c>
      <c r="B117" s="23" t="s">
        <v>215</v>
      </c>
      <c r="C117" s="20" t="s">
        <v>32</v>
      </c>
      <c r="D117" s="1" t="s">
        <v>59</v>
      </c>
      <c r="E117" s="1" t="s">
        <v>28</v>
      </c>
      <c r="F117" s="51">
        <f t="shared" si="85"/>
        <v>367</v>
      </c>
      <c r="G117" s="51">
        <f t="shared" si="86"/>
        <v>367</v>
      </c>
      <c r="H117" s="20">
        <f t="shared" si="87"/>
        <v>0</v>
      </c>
      <c r="I117" s="20"/>
      <c r="J117" s="20"/>
      <c r="K117" s="20">
        <f t="shared" si="88"/>
        <v>0</v>
      </c>
      <c r="L117" s="20">
        <v>367</v>
      </c>
      <c r="M117" s="20">
        <v>367</v>
      </c>
      <c r="N117" s="20">
        <f t="shared" si="89"/>
        <v>0</v>
      </c>
      <c r="O117" s="20"/>
      <c r="P117" s="20"/>
      <c r="Q117" s="20">
        <f t="shared" si="90"/>
        <v>0</v>
      </c>
      <c r="R117" s="20"/>
      <c r="S117" s="20"/>
      <c r="T117" s="20">
        <f t="shared" si="91"/>
        <v>0</v>
      </c>
      <c r="U117" s="20"/>
      <c r="V117" s="20"/>
      <c r="W117" s="20">
        <f t="shared" si="92"/>
        <v>0</v>
      </c>
      <c r="X117" s="20"/>
    </row>
    <row r="118" spans="1:25" s="29" customFormat="1" ht="43.5" customHeight="1" x14ac:dyDescent="0.25">
      <c r="A118" s="55">
        <v>4</v>
      </c>
      <c r="B118" s="73" t="s">
        <v>216</v>
      </c>
      <c r="C118" s="20" t="s">
        <v>212</v>
      </c>
      <c r="D118" s="71">
        <v>2020</v>
      </c>
      <c r="E118" s="71">
        <v>2022</v>
      </c>
      <c r="F118" s="51">
        <f t="shared" si="85"/>
        <v>190.4</v>
      </c>
      <c r="G118" s="51">
        <f t="shared" si="86"/>
        <v>190.4</v>
      </c>
      <c r="H118" s="20">
        <f t="shared" si="87"/>
        <v>0</v>
      </c>
      <c r="I118" s="20">
        <v>114.2</v>
      </c>
      <c r="J118" s="20">
        <v>114.2</v>
      </c>
      <c r="K118" s="20">
        <f t="shared" si="88"/>
        <v>0</v>
      </c>
      <c r="L118" s="20">
        <v>76.2</v>
      </c>
      <c r="M118" s="20">
        <v>76.2</v>
      </c>
      <c r="N118" s="20">
        <f t="shared" si="89"/>
        <v>0</v>
      </c>
      <c r="O118" s="20"/>
      <c r="P118" s="20"/>
      <c r="Q118" s="20">
        <f t="shared" si="90"/>
        <v>0</v>
      </c>
      <c r="R118" s="20"/>
      <c r="S118" s="20"/>
      <c r="T118" s="20">
        <f t="shared" si="91"/>
        <v>0</v>
      </c>
      <c r="U118" s="20"/>
      <c r="V118" s="20"/>
      <c r="W118" s="20">
        <f t="shared" si="92"/>
        <v>0</v>
      </c>
      <c r="X118" s="20"/>
    </row>
    <row r="119" spans="1:25" s="29" customFormat="1" ht="43.5" customHeight="1" x14ac:dyDescent="0.25">
      <c r="A119" s="59">
        <v>5</v>
      </c>
      <c r="B119" s="93" t="s">
        <v>217</v>
      </c>
      <c r="C119" s="20" t="s">
        <v>105</v>
      </c>
      <c r="D119" s="71">
        <v>2023</v>
      </c>
      <c r="E119" s="113">
        <v>2025</v>
      </c>
      <c r="F119" s="51">
        <f t="shared" si="85"/>
        <v>605</v>
      </c>
      <c r="G119" s="51">
        <f t="shared" si="86"/>
        <v>605</v>
      </c>
      <c r="H119" s="20">
        <f t="shared" si="87"/>
        <v>0</v>
      </c>
      <c r="I119" s="20">
        <v>120.5</v>
      </c>
      <c r="J119" s="20">
        <v>120.5</v>
      </c>
      <c r="K119" s="20">
        <f t="shared" si="88"/>
        <v>0</v>
      </c>
      <c r="L119" s="20">
        <v>484.5</v>
      </c>
      <c r="M119" s="20">
        <v>484.5</v>
      </c>
      <c r="N119" s="20">
        <f t="shared" si="89"/>
        <v>0</v>
      </c>
      <c r="O119" s="20"/>
      <c r="P119" s="20"/>
      <c r="Q119" s="20">
        <f t="shared" si="90"/>
        <v>0</v>
      </c>
      <c r="R119" s="20"/>
      <c r="S119" s="20"/>
      <c r="T119" s="20">
        <f t="shared" si="91"/>
        <v>0</v>
      </c>
      <c r="U119" s="20"/>
      <c r="V119" s="20"/>
      <c r="W119" s="20">
        <f t="shared" si="92"/>
        <v>0</v>
      </c>
      <c r="X119" s="20"/>
    </row>
    <row r="120" spans="1:25" s="29" customFormat="1" ht="21" customHeight="1" x14ac:dyDescent="0.25">
      <c r="A120" s="59">
        <v>6</v>
      </c>
      <c r="B120" s="93" t="s">
        <v>218</v>
      </c>
      <c r="C120" s="20" t="s">
        <v>219</v>
      </c>
      <c r="D120" s="71">
        <v>2022</v>
      </c>
      <c r="E120" s="113">
        <v>2024</v>
      </c>
      <c r="F120" s="51">
        <f t="shared" si="85"/>
        <v>1500</v>
      </c>
      <c r="G120" s="51">
        <f t="shared" si="86"/>
        <v>1500</v>
      </c>
      <c r="H120" s="20">
        <f t="shared" si="87"/>
        <v>0</v>
      </c>
      <c r="I120" s="20">
        <v>1500</v>
      </c>
      <c r="J120" s="20">
        <v>1500</v>
      </c>
      <c r="K120" s="20">
        <f t="shared" si="88"/>
        <v>0</v>
      </c>
      <c r="L120" s="20"/>
      <c r="M120" s="20"/>
      <c r="N120" s="20">
        <f t="shared" si="89"/>
        <v>0</v>
      </c>
      <c r="O120" s="20"/>
      <c r="P120" s="20"/>
      <c r="Q120" s="20">
        <f t="shared" si="90"/>
        <v>0</v>
      </c>
      <c r="R120" s="20"/>
      <c r="S120" s="20"/>
      <c r="T120" s="20">
        <f t="shared" si="91"/>
        <v>0</v>
      </c>
      <c r="U120" s="20"/>
      <c r="V120" s="20"/>
      <c r="W120" s="20">
        <f t="shared" si="92"/>
        <v>0</v>
      </c>
      <c r="X120" s="20"/>
    </row>
    <row r="121" spans="1:25" s="29" customFormat="1" ht="18" customHeight="1" x14ac:dyDescent="0.25">
      <c r="A121" s="57" t="s">
        <v>220</v>
      </c>
      <c r="B121" s="80" t="s">
        <v>44</v>
      </c>
      <c r="C121" s="104"/>
      <c r="D121" s="105"/>
      <c r="E121" s="70" t="s">
        <v>18</v>
      </c>
      <c r="F121" s="48">
        <f>F115+F116+F117+F118+F119+F120</f>
        <v>9762.9</v>
      </c>
      <c r="G121" s="48">
        <f>G115+G116+G117+G118+G119+G120</f>
        <v>9762.9</v>
      </c>
      <c r="H121" s="48">
        <f>H115+H116+H117+H118+H119+H120</f>
        <v>0</v>
      </c>
      <c r="I121" s="48">
        <f t="shared" ref="I121:W121" si="93">I115+I116+I117+I118+I119+I120</f>
        <v>5877.7</v>
      </c>
      <c r="J121" s="48">
        <f t="shared" si="93"/>
        <v>5877.7</v>
      </c>
      <c r="K121" s="48">
        <f t="shared" si="93"/>
        <v>0</v>
      </c>
      <c r="L121" s="48">
        <f t="shared" si="93"/>
        <v>927.7</v>
      </c>
      <c r="M121" s="48">
        <f t="shared" si="93"/>
        <v>927.7</v>
      </c>
      <c r="N121" s="48">
        <f t="shared" si="93"/>
        <v>0</v>
      </c>
      <c r="O121" s="48">
        <f t="shared" si="93"/>
        <v>2957.5</v>
      </c>
      <c r="P121" s="48">
        <f t="shared" si="93"/>
        <v>2957.5</v>
      </c>
      <c r="Q121" s="48">
        <f t="shared" si="93"/>
        <v>0</v>
      </c>
      <c r="R121" s="48">
        <f t="shared" si="93"/>
        <v>0</v>
      </c>
      <c r="S121" s="48">
        <f t="shared" si="93"/>
        <v>0</v>
      </c>
      <c r="T121" s="48">
        <f t="shared" si="93"/>
        <v>0</v>
      </c>
      <c r="U121" s="48">
        <f t="shared" si="93"/>
        <v>0</v>
      </c>
      <c r="V121" s="48">
        <f t="shared" si="93"/>
        <v>0</v>
      </c>
      <c r="W121" s="48">
        <f t="shared" si="93"/>
        <v>0</v>
      </c>
      <c r="X121" s="48"/>
    </row>
    <row r="122" spans="1:25" ht="18.75" customHeight="1" x14ac:dyDescent="0.2">
      <c r="A122" s="61">
        <f>A25+A121+A113+A107+A91+A84+A70+A42+A16</f>
        <v>93</v>
      </c>
      <c r="B122" s="196" t="s">
        <v>44</v>
      </c>
      <c r="C122" s="197"/>
      <c r="D122" s="197"/>
      <c r="E122" s="198"/>
      <c r="F122" s="60">
        <f>SUMIF(E10:E121,"Iš viso:",F10:F121)</f>
        <v>280336.2</v>
      </c>
      <c r="G122" s="60">
        <f>SUMIF(F10:F121,"Iš viso:",G10:G121)</f>
        <v>0</v>
      </c>
      <c r="H122" s="60">
        <f t="shared" ref="H122" si="94">SUMIF(G10:G121,"Iš viso:",H10:H121)</f>
        <v>0</v>
      </c>
      <c r="I122" s="60">
        <f>SUMIF(E10:E121,"Iš viso:",I10:I121)</f>
        <v>161825.90000000002</v>
      </c>
      <c r="J122" s="60">
        <f t="shared" ref="J122:K122" si="95">SUMIF(F10:F121,"Iš viso:",J10:J121)</f>
        <v>0</v>
      </c>
      <c r="K122" s="60">
        <f t="shared" si="95"/>
        <v>0</v>
      </c>
      <c r="L122" s="60">
        <f>SUMIF(E10:E121,"Iš viso:",L10:L121)</f>
        <v>41873.700000000004</v>
      </c>
      <c r="M122" s="60">
        <f t="shared" ref="M122:N122" si="96">SUMIF(F10:F121,"Iš viso:",M10:M121)</f>
        <v>0</v>
      </c>
      <c r="N122" s="60">
        <f t="shared" si="96"/>
        <v>0</v>
      </c>
      <c r="O122" s="60">
        <f>SUMIF(E10:E121,"Iš viso:",O10:O121)</f>
        <v>40815.499999999993</v>
      </c>
      <c r="P122" s="60">
        <f t="shared" ref="P122:Q122" si="97">SUMIF(F10:F121,"Iš viso:",P10:P121)</f>
        <v>0</v>
      </c>
      <c r="Q122" s="60">
        <f t="shared" si="97"/>
        <v>0</v>
      </c>
      <c r="R122" s="60">
        <f>SUMIF(E10:E121,"Iš viso:",R10:R121)</f>
        <v>20558.3</v>
      </c>
      <c r="S122" s="60">
        <f t="shared" ref="S122:T122" si="98">SUMIF(F10:F121,"Iš viso:",S10:S121)</f>
        <v>0</v>
      </c>
      <c r="T122" s="60">
        <f t="shared" si="98"/>
        <v>0</v>
      </c>
      <c r="U122" s="60">
        <f>SUMIF(E10:E121,"Iš viso:",U10:U121)</f>
        <v>15262.8</v>
      </c>
      <c r="V122" s="60">
        <f t="shared" ref="V122:W122" si="99">SUMIF(F10:F121,"Iš viso:",V10:V121)</f>
        <v>0</v>
      </c>
      <c r="W122" s="60">
        <f t="shared" si="99"/>
        <v>0</v>
      </c>
      <c r="X122" s="60"/>
    </row>
    <row r="123" spans="1:25" x14ac:dyDescent="0.2">
      <c r="E123" s="49"/>
      <c r="F123" s="15"/>
      <c r="G123" s="49"/>
      <c r="H123" s="49"/>
      <c r="I123" s="49"/>
      <c r="J123" s="49"/>
      <c r="K123" s="49"/>
      <c r="L123" s="15"/>
      <c r="M123" s="49"/>
      <c r="N123" s="49"/>
      <c r="O123" s="49"/>
      <c r="P123" s="49"/>
      <c r="Q123" s="49"/>
      <c r="R123" s="15"/>
      <c r="S123" s="49"/>
      <c r="T123" s="49"/>
      <c r="U123" s="49"/>
      <c r="V123" s="49"/>
      <c r="W123" s="49"/>
      <c r="X123" s="49"/>
    </row>
    <row r="124" spans="1:25" ht="13.5" customHeight="1" x14ac:dyDescent="0.2">
      <c r="E124" s="199" t="s">
        <v>221</v>
      </c>
      <c r="F124" s="199"/>
      <c r="G124" s="199"/>
      <c r="H124" s="199"/>
      <c r="I124" s="199"/>
      <c r="J124" s="49"/>
      <c r="K124" s="49"/>
      <c r="L124" s="15"/>
      <c r="M124" s="49"/>
      <c r="N124" s="49"/>
      <c r="O124" s="49"/>
      <c r="P124" s="49"/>
      <c r="Q124" s="49"/>
      <c r="R124" s="15"/>
      <c r="S124" s="49"/>
      <c r="T124" s="49"/>
      <c r="U124" s="49"/>
      <c r="V124" s="49"/>
      <c r="W124" s="49"/>
      <c r="X124" s="49"/>
    </row>
    <row r="125" spans="1:25" x14ac:dyDescent="0.2">
      <c r="E125" s="49"/>
      <c r="F125" s="15"/>
      <c r="G125" s="49"/>
      <c r="H125" s="49"/>
      <c r="I125" s="49"/>
      <c r="J125" s="49"/>
      <c r="K125" s="49"/>
      <c r="L125" s="15"/>
      <c r="M125" s="49"/>
      <c r="N125" s="49"/>
      <c r="O125" s="49"/>
      <c r="P125" s="49"/>
      <c r="Q125" s="49"/>
      <c r="R125" s="15"/>
      <c r="S125" s="49"/>
      <c r="T125" s="49"/>
      <c r="U125" s="49"/>
      <c r="V125" s="49"/>
      <c r="W125" s="49"/>
      <c r="X125" s="49"/>
    </row>
    <row r="126" spans="1:25" x14ac:dyDescent="0.2">
      <c r="E126" s="49"/>
      <c r="F126" s="15"/>
      <c r="G126" s="49"/>
      <c r="H126" s="49"/>
      <c r="I126" s="49"/>
      <c r="J126" s="49"/>
      <c r="K126" s="49"/>
      <c r="L126" s="15"/>
      <c r="M126" s="49"/>
      <c r="N126" s="49"/>
      <c r="O126" s="49"/>
      <c r="P126" s="49"/>
      <c r="Q126" s="49"/>
      <c r="R126" s="15"/>
      <c r="S126" s="49"/>
      <c r="T126" s="49"/>
      <c r="U126" s="49"/>
      <c r="V126" s="49"/>
      <c r="W126" s="49"/>
      <c r="X126" s="49"/>
    </row>
    <row r="127" spans="1:25" x14ac:dyDescent="0.2">
      <c r="E127" s="49"/>
      <c r="F127" s="15"/>
      <c r="G127" s="49"/>
      <c r="H127" s="49"/>
      <c r="I127" s="49"/>
      <c r="J127" s="49"/>
      <c r="K127" s="49"/>
      <c r="L127" s="15"/>
      <c r="M127" s="49"/>
      <c r="N127" s="49"/>
      <c r="O127" s="49"/>
      <c r="P127" s="49"/>
      <c r="Q127" s="49"/>
      <c r="R127" s="15"/>
      <c r="S127" s="49"/>
      <c r="T127" s="49"/>
      <c r="U127" s="49"/>
      <c r="V127" s="49"/>
      <c r="W127" s="49"/>
      <c r="X127" s="49"/>
    </row>
    <row r="128" spans="1:25" x14ac:dyDescent="0.2">
      <c r="E128" s="49"/>
      <c r="F128" s="15"/>
      <c r="G128" s="49"/>
      <c r="H128" s="49"/>
      <c r="I128" s="49"/>
      <c r="J128" s="49"/>
      <c r="K128" s="49"/>
      <c r="L128" s="15"/>
      <c r="M128" s="49"/>
      <c r="N128" s="49"/>
      <c r="O128" s="49"/>
      <c r="P128" s="49"/>
      <c r="Q128" s="49"/>
      <c r="R128" s="15"/>
      <c r="S128" s="49"/>
      <c r="T128" s="49"/>
      <c r="U128" s="49"/>
      <c r="V128" s="49"/>
      <c r="W128" s="49"/>
      <c r="X128" s="49"/>
    </row>
    <row r="129" spans="5:24" x14ac:dyDescent="0.2">
      <c r="E129" s="49"/>
      <c r="F129" s="15"/>
      <c r="G129" s="49"/>
      <c r="H129" s="49"/>
      <c r="I129" s="49"/>
      <c r="J129" s="49"/>
      <c r="K129" s="49"/>
      <c r="L129" s="15"/>
      <c r="M129" s="49"/>
      <c r="N129" s="49"/>
      <c r="O129" s="49"/>
      <c r="P129" s="49"/>
      <c r="Q129" s="49"/>
      <c r="R129" s="15"/>
      <c r="S129" s="49"/>
      <c r="T129" s="49"/>
      <c r="U129" s="49"/>
      <c r="V129" s="49"/>
      <c r="W129" s="49"/>
      <c r="X129" s="49"/>
    </row>
    <row r="130" spans="5:24" x14ac:dyDescent="0.2">
      <c r="E130" s="49"/>
      <c r="F130" s="15"/>
      <c r="G130" s="49"/>
      <c r="H130" s="49"/>
      <c r="I130" s="49"/>
      <c r="J130" s="49"/>
      <c r="K130" s="49"/>
      <c r="L130" s="15"/>
      <c r="M130" s="49"/>
      <c r="N130" s="49"/>
      <c r="O130" s="49"/>
      <c r="P130" s="49"/>
      <c r="Q130" s="49"/>
      <c r="R130" s="15"/>
      <c r="S130" s="49"/>
      <c r="T130" s="49"/>
      <c r="U130" s="49"/>
      <c r="V130" s="49"/>
      <c r="W130" s="49"/>
      <c r="X130" s="49"/>
    </row>
    <row r="131" spans="5:24" x14ac:dyDescent="0.2">
      <c r="E131" s="49"/>
      <c r="F131" s="15"/>
      <c r="G131" s="49"/>
      <c r="H131" s="49"/>
      <c r="I131" s="49"/>
      <c r="J131" s="49"/>
      <c r="K131" s="49"/>
      <c r="L131" s="15"/>
      <c r="M131" s="49"/>
      <c r="N131" s="49"/>
      <c r="O131" s="49"/>
      <c r="P131" s="49"/>
      <c r="Q131" s="49"/>
      <c r="R131" s="15"/>
      <c r="S131" s="49"/>
      <c r="T131" s="49"/>
      <c r="U131" s="49"/>
      <c r="V131" s="49"/>
      <c r="W131" s="49"/>
      <c r="X131" s="49"/>
    </row>
    <row r="132" spans="5:24" x14ac:dyDescent="0.2">
      <c r="E132" s="49"/>
      <c r="F132" s="15"/>
      <c r="G132" s="49"/>
      <c r="H132" s="49"/>
      <c r="I132" s="49"/>
      <c r="J132" s="49"/>
      <c r="K132" s="49"/>
      <c r="L132" s="15"/>
      <c r="M132" s="49"/>
      <c r="N132" s="49"/>
      <c r="O132" s="49"/>
      <c r="P132" s="49"/>
      <c r="Q132" s="49"/>
      <c r="R132" s="15"/>
      <c r="S132" s="49"/>
      <c r="T132" s="49"/>
      <c r="U132" s="49"/>
      <c r="V132" s="49"/>
      <c r="W132" s="49"/>
      <c r="X132" s="49"/>
    </row>
    <row r="133" spans="5:24" x14ac:dyDescent="0.2">
      <c r="E133" s="49"/>
      <c r="F133" s="15"/>
      <c r="G133" s="49"/>
      <c r="H133" s="49"/>
      <c r="I133" s="49"/>
      <c r="J133" s="49"/>
      <c r="K133" s="49"/>
      <c r="L133" s="15"/>
      <c r="M133" s="49"/>
      <c r="N133" s="49"/>
      <c r="O133" s="49"/>
      <c r="P133" s="49"/>
      <c r="Q133" s="49"/>
      <c r="R133" s="15"/>
      <c r="S133" s="49"/>
      <c r="T133" s="49"/>
      <c r="U133" s="49"/>
      <c r="V133" s="49"/>
      <c r="W133" s="49"/>
      <c r="X133" s="49"/>
    </row>
    <row r="134" spans="5:24" x14ac:dyDescent="0.2">
      <c r="E134" s="49"/>
      <c r="F134" s="15"/>
      <c r="G134" s="49"/>
      <c r="H134" s="49"/>
      <c r="I134" s="49"/>
      <c r="J134" s="49"/>
      <c r="K134" s="49"/>
      <c r="L134" s="15"/>
      <c r="M134" s="49"/>
      <c r="N134" s="49"/>
      <c r="O134" s="49"/>
      <c r="P134" s="49"/>
      <c r="Q134" s="49"/>
      <c r="R134" s="15"/>
      <c r="S134" s="49"/>
      <c r="T134" s="49"/>
      <c r="U134" s="49"/>
      <c r="V134" s="49"/>
      <c r="W134" s="49"/>
      <c r="X134" s="49"/>
    </row>
    <row r="135" spans="5:24" x14ac:dyDescent="0.2">
      <c r="E135" s="49"/>
      <c r="F135" s="15"/>
      <c r="G135" s="49"/>
      <c r="H135" s="49"/>
      <c r="I135" s="49"/>
      <c r="J135" s="49"/>
      <c r="K135" s="49"/>
      <c r="L135" s="15"/>
      <c r="M135" s="49"/>
      <c r="N135" s="49"/>
      <c r="O135" s="49"/>
      <c r="P135" s="49"/>
      <c r="Q135" s="49"/>
      <c r="R135" s="15"/>
      <c r="S135" s="49"/>
      <c r="T135" s="49"/>
      <c r="U135" s="49"/>
      <c r="V135" s="49"/>
      <c r="W135" s="49"/>
      <c r="X135" s="49"/>
    </row>
    <row r="136" spans="5:24" x14ac:dyDescent="0.2">
      <c r="E136" s="49"/>
      <c r="F136" s="15"/>
      <c r="G136" s="49"/>
      <c r="H136" s="49"/>
      <c r="I136" s="49"/>
      <c r="J136" s="49"/>
      <c r="K136" s="49"/>
      <c r="L136" s="15"/>
      <c r="M136" s="49"/>
      <c r="N136" s="49"/>
      <c r="O136" s="49"/>
      <c r="P136" s="49"/>
      <c r="Q136" s="49"/>
      <c r="R136" s="15"/>
      <c r="S136" s="49"/>
      <c r="T136" s="49"/>
      <c r="U136" s="49"/>
      <c r="V136" s="49"/>
      <c r="W136" s="49"/>
      <c r="X136" s="49"/>
    </row>
    <row r="137" spans="5:24" x14ac:dyDescent="0.2">
      <c r="E137" s="49"/>
      <c r="F137" s="15"/>
      <c r="G137" s="49"/>
      <c r="H137" s="49"/>
      <c r="I137" s="49"/>
      <c r="J137" s="49"/>
      <c r="K137" s="49"/>
      <c r="L137" s="15"/>
      <c r="M137" s="49"/>
      <c r="N137" s="49"/>
      <c r="O137" s="49"/>
      <c r="P137" s="49"/>
      <c r="Q137" s="49"/>
      <c r="R137" s="15"/>
      <c r="S137" s="49"/>
      <c r="T137" s="49"/>
      <c r="U137" s="49"/>
      <c r="V137" s="49"/>
      <c r="W137" s="49"/>
      <c r="X137" s="49"/>
    </row>
    <row r="138" spans="5:24" x14ac:dyDescent="0.2">
      <c r="E138" s="49"/>
      <c r="F138" s="15"/>
      <c r="G138" s="49"/>
      <c r="H138" s="49"/>
      <c r="I138" s="49"/>
      <c r="J138" s="49"/>
      <c r="K138" s="49"/>
      <c r="L138" s="15"/>
      <c r="M138" s="49"/>
      <c r="N138" s="49"/>
      <c r="O138" s="49"/>
      <c r="P138" s="49"/>
      <c r="Q138" s="49"/>
      <c r="R138" s="15"/>
      <c r="S138" s="49"/>
      <c r="T138" s="49"/>
      <c r="U138" s="49"/>
      <c r="V138" s="49"/>
      <c r="W138" s="49"/>
      <c r="X138" s="49"/>
    </row>
    <row r="139" spans="5:24" x14ac:dyDescent="0.2">
      <c r="E139" s="49"/>
      <c r="F139" s="15"/>
      <c r="G139" s="49"/>
      <c r="H139" s="49"/>
      <c r="I139" s="49"/>
      <c r="J139" s="49"/>
      <c r="K139" s="49"/>
      <c r="L139" s="15"/>
      <c r="M139" s="49"/>
      <c r="N139" s="49"/>
      <c r="O139" s="49"/>
      <c r="P139" s="49"/>
      <c r="Q139" s="49"/>
      <c r="R139" s="15"/>
      <c r="S139" s="49"/>
      <c r="T139" s="49"/>
      <c r="U139" s="49"/>
      <c r="V139" s="49"/>
      <c r="W139" s="49"/>
      <c r="X139" s="49"/>
    </row>
    <row r="140" spans="5:24" x14ac:dyDescent="0.2">
      <c r="E140" s="49"/>
      <c r="F140" s="15"/>
      <c r="G140" s="49"/>
      <c r="H140" s="49"/>
      <c r="I140" s="49"/>
      <c r="J140" s="49"/>
      <c r="K140" s="49"/>
      <c r="L140" s="15"/>
      <c r="M140" s="49"/>
      <c r="N140" s="49"/>
      <c r="O140" s="49"/>
      <c r="P140" s="49"/>
      <c r="Q140" s="49"/>
      <c r="R140" s="15"/>
      <c r="S140" s="49"/>
      <c r="T140" s="49"/>
      <c r="U140" s="49"/>
      <c r="V140" s="49"/>
      <c r="W140" s="49"/>
      <c r="X140" s="49"/>
    </row>
    <row r="141" spans="5:24" x14ac:dyDescent="0.2">
      <c r="E141" s="49"/>
      <c r="F141" s="15"/>
      <c r="G141" s="49"/>
      <c r="H141" s="49"/>
      <c r="I141" s="49"/>
      <c r="J141" s="49"/>
      <c r="K141" s="49"/>
      <c r="L141" s="15"/>
      <c r="M141" s="49"/>
      <c r="N141" s="49"/>
      <c r="O141" s="49"/>
      <c r="P141" s="49"/>
      <c r="Q141" s="49"/>
      <c r="R141" s="15"/>
      <c r="S141" s="49"/>
      <c r="T141" s="49"/>
      <c r="U141" s="49"/>
      <c r="V141" s="49"/>
      <c r="W141" s="49"/>
      <c r="X141" s="49"/>
    </row>
    <row r="142" spans="5:24" x14ac:dyDescent="0.2">
      <c r="E142" s="49"/>
      <c r="F142" s="15"/>
      <c r="G142" s="49"/>
      <c r="H142" s="49"/>
      <c r="I142" s="49"/>
      <c r="J142" s="49"/>
      <c r="K142" s="49"/>
      <c r="L142" s="15"/>
      <c r="M142" s="49"/>
      <c r="N142" s="49"/>
      <c r="O142" s="49"/>
      <c r="P142" s="49"/>
      <c r="Q142" s="49"/>
      <c r="R142" s="15"/>
      <c r="S142" s="49"/>
      <c r="T142" s="49"/>
      <c r="U142" s="49"/>
      <c r="V142" s="49"/>
      <c r="W142" s="49"/>
      <c r="X142" s="49"/>
    </row>
    <row r="143" spans="5:24" x14ac:dyDescent="0.2">
      <c r="E143" s="49"/>
      <c r="F143" s="15"/>
      <c r="G143" s="49"/>
      <c r="H143" s="49"/>
      <c r="I143" s="49"/>
      <c r="J143" s="49"/>
      <c r="K143" s="49"/>
      <c r="L143" s="15"/>
      <c r="M143" s="49"/>
      <c r="N143" s="49"/>
      <c r="O143" s="49"/>
      <c r="P143" s="49"/>
      <c r="Q143" s="49"/>
      <c r="R143" s="15"/>
      <c r="S143" s="49"/>
      <c r="T143" s="49"/>
      <c r="U143" s="49"/>
      <c r="V143" s="49"/>
      <c r="W143" s="49"/>
      <c r="X143" s="49"/>
    </row>
    <row r="144" spans="5:24" x14ac:dyDescent="0.2">
      <c r="E144" s="49"/>
      <c r="F144" s="15"/>
      <c r="G144" s="49"/>
      <c r="H144" s="49"/>
      <c r="I144" s="49"/>
      <c r="J144" s="49"/>
      <c r="K144" s="49"/>
      <c r="L144" s="15"/>
      <c r="M144" s="49"/>
      <c r="N144" s="49"/>
      <c r="O144" s="49"/>
      <c r="P144" s="49"/>
      <c r="Q144" s="49"/>
      <c r="R144" s="15"/>
      <c r="S144" s="49"/>
      <c r="T144" s="49"/>
      <c r="U144" s="49"/>
      <c r="V144" s="49"/>
      <c r="W144" s="49"/>
      <c r="X144" s="49"/>
    </row>
    <row r="145" spans="5:24" x14ac:dyDescent="0.2">
      <c r="E145" s="49"/>
      <c r="F145" s="15"/>
      <c r="G145" s="49"/>
      <c r="H145" s="49"/>
      <c r="I145" s="49"/>
      <c r="J145" s="49"/>
      <c r="K145" s="49"/>
      <c r="L145" s="15"/>
      <c r="M145" s="49"/>
      <c r="N145" s="49"/>
      <c r="O145" s="49"/>
      <c r="P145" s="49"/>
      <c r="Q145" s="49"/>
      <c r="R145" s="15"/>
      <c r="S145" s="49"/>
      <c r="T145" s="49"/>
      <c r="U145" s="49"/>
      <c r="V145" s="49"/>
      <c r="W145" s="49"/>
      <c r="X145" s="49"/>
    </row>
    <row r="146" spans="5:24" x14ac:dyDescent="0.2">
      <c r="E146" s="49"/>
      <c r="F146" s="15"/>
      <c r="G146" s="49"/>
      <c r="H146" s="49"/>
      <c r="I146" s="49"/>
      <c r="J146" s="49"/>
      <c r="K146" s="49"/>
      <c r="L146" s="15"/>
      <c r="M146" s="49"/>
      <c r="N146" s="49"/>
      <c r="O146" s="49"/>
      <c r="P146" s="49"/>
      <c r="Q146" s="49"/>
      <c r="R146" s="15"/>
      <c r="S146" s="49"/>
      <c r="T146" s="49"/>
      <c r="U146" s="49"/>
      <c r="V146" s="49"/>
      <c r="W146" s="49"/>
      <c r="X146" s="49"/>
    </row>
    <row r="147" spans="5:24" x14ac:dyDescent="0.2">
      <c r="E147" s="49"/>
      <c r="F147" s="15"/>
      <c r="G147" s="49"/>
      <c r="H147" s="49"/>
      <c r="I147" s="49"/>
      <c r="J147" s="49"/>
      <c r="K147" s="49"/>
      <c r="L147" s="15"/>
      <c r="M147" s="49"/>
      <c r="N147" s="49"/>
      <c r="O147" s="49"/>
      <c r="P147" s="49"/>
      <c r="Q147" s="49"/>
      <c r="R147" s="15"/>
      <c r="S147" s="49"/>
      <c r="T147" s="49"/>
      <c r="U147" s="49"/>
      <c r="V147" s="49"/>
      <c r="W147" s="49"/>
      <c r="X147" s="49"/>
    </row>
    <row r="148" spans="5:24" x14ac:dyDescent="0.2">
      <c r="E148" s="49"/>
      <c r="F148" s="15"/>
      <c r="G148" s="49"/>
      <c r="H148" s="49"/>
      <c r="I148" s="49"/>
      <c r="J148" s="49"/>
      <c r="K148" s="49"/>
      <c r="L148" s="15"/>
      <c r="M148" s="49"/>
      <c r="N148" s="49"/>
      <c r="O148" s="49"/>
      <c r="P148" s="49"/>
      <c r="Q148" s="49"/>
      <c r="R148" s="15"/>
      <c r="S148" s="49"/>
      <c r="T148" s="49"/>
      <c r="U148" s="49"/>
      <c r="V148" s="49"/>
      <c r="W148" s="49"/>
      <c r="X148" s="49"/>
    </row>
    <row r="149" spans="5:24" x14ac:dyDescent="0.2">
      <c r="E149" s="49"/>
      <c r="F149" s="15"/>
      <c r="G149" s="49"/>
      <c r="H149" s="49"/>
      <c r="I149" s="49"/>
      <c r="J149" s="49"/>
      <c r="K149" s="49"/>
      <c r="L149" s="15"/>
      <c r="M149" s="49"/>
      <c r="N149" s="49"/>
      <c r="O149" s="49"/>
      <c r="P149" s="49"/>
      <c r="Q149" s="49"/>
      <c r="R149" s="15"/>
      <c r="S149" s="49"/>
      <c r="T149" s="49"/>
      <c r="U149" s="49"/>
      <c r="V149" s="49"/>
      <c r="W149" s="49"/>
      <c r="X149" s="49"/>
    </row>
    <row r="150" spans="5:24" x14ac:dyDescent="0.2">
      <c r="E150" s="49"/>
      <c r="F150" s="15"/>
      <c r="G150" s="49"/>
      <c r="H150" s="49"/>
      <c r="I150" s="49"/>
      <c r="J150" s="49"/>
      <c r="K150" s="49"/>
      <c r="L150" s="15"/>
      <c r="M150" s="49"/>
      <c r="N150" s="49"/>
      <c r="O150" s="49"/>
      <c r="P150" s="49"/>
      <c r="Q150" s="49"/>
      <c r="R150" s="15"/>
      <c r="S150" s="49"/>
      <c r="T150" s="49"/>
      <c r="U150" s="49"/>
      <c r="V150" s="49"/>
      <c r="W150" s="49"/>
      <c r="X150" s="49"/>
    </row>
    <row r="151" spans="5:24" x14ac:dyDescent="0.2">
      <c r="E151" s="49"/>
      <c r="F151" s="15"/>
      <c r="G151" s="49"/>
      <c r="H151" s="49"/>
      <c r="I151" s="49"/>
      <c r="J151" s="49"/>
      <c r="K151" s="49"/>
      <c r="L151" s="15"/>
      <c r="M151" s="49"/>
      <c r="N151" s="49"/>
      <c r="O151" s="49"/>
      <c r="P151" s="49"/>
      <c r="Q151" s="49"/>
      <c r="R151" s="15"/>
      <c r="S151" s="49"/>
      <c r="T151" s="49"/>
      <c r="U151" s="49"/>
      <c r="V151" s="49"/>
      <c r="W151" s="49"/>
      <c r="X151" s="49"/>
    </row>
    <row r="152" spans="5:24" x14ac:dyDescent="0.2">
      <c r="E152" s="49"/>
      <c r="F152" s="15"/>
      <c r="G152" s="49"/>
      <c r="H152" s="49"/>
      <c r="I152" s="49"/>
      <c r="J152" s="49"/>
      <c r="K152" s="49"/>
      <c r="L152" s="15"/>
      <c r="M152" s="49"/>
      <c r="N152" s="49"/>
      <c r="O152" s="49"/>
      <c r="P152" s="49"/>
      <c r="Q152" s="49"/>
      <c r="R152" s="15"/>
      <c r="S152" s="49"/>
      <c r="T152" s="49"/>
      <c r="U152" s="49"/>
      <c r="V152" s="49"/>
      <c r="W152" s="49"/>
      <c r="X152" s="49"/>
    </row>
    <row r="153" spans="5:24" x14ac:dyDescent="0.2">
      <c r="E153" s="49"/>
      <c r="F153" s="15"/>
      <c r="G153" s="49"/>
      <c r="H153" s="49"/>
      <c r="I153" s="49"/>
      <c r="J153" s="49"/>
      <c r="K153" s="49"/>
      <c r="L153" s="15"/>
      <c r="M153" s="49"/>
      <c r="N153" s="49"/>
      <c r="O153" s="49"/>
      <c r="P153" s="49"/>
      <c r="Q153" s="49"/>
      <c r="R153" s="15"/>
      <c r="S153" s="49"/>
      <c r="T153" s="49"/>
      <c r="U153" s="49"/>
      <c r="V153" s="49"/>
      <c r="W153" s="49"/>
      <c r="X153" s="49"/>
    </row>
    <row r="154" spans="5:24" x14ac:dyDescent="0.2">
      <c r="E154" s="49"/>
      <c r="F154" s="15"/>
      <c r="G154" s="49"/>
      <c r="H154" s="49"/>
      <c r="I154" s="49"/>
      <c r="J154" s="49"/>
      <c r="K154" s="49"/>
      <c r="L154" s="15"/>
      <c r="M154" s="49"/>
      <c r="N154" s="49"/>
      <c r="O154" s="49"/>
      <c r="P154" s="49"/>
      <c r="Q154" s="49"/>
      <c r="R154" s="15"/>
      <c r="S154" s="49"/>
      <c r="T154" s="49"/>
      <c r="U154" s="49"/>
      <c r="V154" s="49"/>
      <c r="W154" s="49"/>
      <c r="X154" s="49"/>
    </row>
    <row r="155" spans="5:24" x14ac:dyDescent="0.2">
      <c r="E155" s="49"/>
      <c r="F155" s="15"/>
      <c r="G155" s="49"/>
      <c r="H155" s="49"/>
      <c r="I155" s="49"/>
      <c r="J155" s="49"/>
      <c r="K155" s="49"/>
      <c r="L155" s="15"/>
      <c r="M155" s="49"/>
      <c r="N155" s="49"/>
      <c r="O155" s="49"/>
      <c r="P155" s="49"/>
      <c r="Q155" s="49"/>
      <c r="R155" s="15"/>
      <c r="S155" s="49"/>
      <c r="T155" s="49"/>
      <c r="U155" s="49"/>
      <c r="V155" s="49"/>
      <c r="W155" s="49"/>
      <c r="X155" s="49"/>
    </row>
    <row r="156" spans="5:24" x14ac:dyDescent="0.2">
      <c r="E156" s="49"/>
      <c r="F156" s="15"/>
      <c r="G156" s="49"/>
      <c r="H156" s="49"/>
      <c r="I156" s="49"/>
      <c r="J156" s="49"/>
      <c r="K156" s="49"/>
      <c r="L156" s="15"/>
      <c r="M156" s="49"/>
      <c r="N156" s="49"/>
      <c r="O156" s="49"/>
      <c r="P156" s="49"/>
      <c r="Q156" s="49"/>
      <c r="R156" s="15"/>
      <c r="S156" s="49"/>
      <c r="T156" s="49"/>
      <c r="U156" s="49"/>
      <c r="V156" s="49"/>
      <c r="W156" s="49"/>
      <c r="X156" s="49"/>
    </row>
    <row r="157" spans="5:24" x14ac:dyDescent="0.2">
      <c r="E157" s="49"/>
      <c r="F157" s="15"/>
      <c r="G157" s="49"/>
      <c r="H157" s="49"/>
      <c r="I157" s="49"/>
      <c r="J157" s="49"/>
      <c r="K157" s="49"/>
      <c r="L157" s="15"/>
      <c r="M157" s="49"/>
      <c r="N157" s="49"/>
      <c r="O157" s="49"/>
      <c r="P157" s="49"/>
      <c r="Q157" s="49"/>
      <c r="R157" s="15"/>
      <c r="S157" s="49"/>
      <c r="T157" s="49"/>
      <c r="U157" s="49"/>
      <c r="V157" s="49"/>
      <c r="W157" s="49"/>
      <c r="X157" s="49"/>
    </row>
    <row r="158" spans="5:24" x14ac:dyDescent="0.2">
      <c r="E158" s="49"/>
      <c r="F158" s="15"/>
      <c r="G158" s="49"/>
      <c r="H158" s="49"/>
      <c r="I158" s="49"/>
      <c r="J158" s="49"/>
      <c r="K158" s="49"/>
      <c r="L158" s="15"/>
      <c r="M158" s="49"/>
      <c r="N158" s="49"/>
      <c r="O158" s="49"/>
      <c r="P158" s="49"/>
      <c r="Q158" s="49"/>
      <c r="R158" s="15"/>
      <c r="S158" s="49"/>
      <c r="T158" s="49"/>
      <c r="U158" s="49"/>
      <c r="V158" s="49"/>
      <c r="W158" s="49"/>
      <c r="X158" s="49"/>
    </row>
    <row r="159" spans="5:24" x14ac:dyDescent="0.2">
      <c r="E159" s="49"/>
      <c r="F159" s="15"/>
      <c r="G159" s="49"/>
      <c r="H159" s="49"/>
      <c r="I159" s="49"/>
      <c r="J159" s="49"/>
      <c r="K159" s="49"/>
      <c r="L159" s="15"/>
      <c r="M159" s="49"/>
      <c r="N159" s="49"/>
      <c r="O159" s="49"/>
      <c r="P159" s="49"/>
      <c r="Q159" s="49"/>
      <c r="R159" s="15"/>
      <c r="S159" s="49"/>
      <c r="T159" s="49"/>
      <c r="U159" s="49"/>
      <c r="V159" s="49"/>
      <c r="W159" s="49"/>
      <c r="X159" s="49"/>
    </row>
    <row r="160" spans="5:24" x14ac:dyDescent="0.2">
      <c r="E160" s="49"/>
      <c r="F160" s="15"/>
      <c r="G160" s="49"/>
      <c r="H160" s="49"/>
      <c r="I160" s="49"/>
      <c r="J160" s="49"/>
      <c r="K160" s="49"/>
      <c r="L160" s="15"/>
      <c r="M160" s="49"/>
      <c r="N160" s="49"/>
      <c r="O160" s="49"/>
      <c r="P160" s="49"/>
      <c r="Q160" s="49"/>
      <c r="R160" s="15"/>
      <c r="S160" s="49"/>
      <c r="T160" s="49"/>
      <c r="U160" s="49"/>
      <c r="V160" s="49"/>
      <c r="W160" s="49"/>
      <c r="X160" s="49"/>
    </row>
    <row r="161" spans="5:24" x14ac:dyDescent="0.2">
      <c r="E161" s="49"/>
      <c r="F161" s="15"/>
      <c r="G161" s="49"/>
      <c r="H161" s="49"/>
      <c r="I161" s="49"/>
      <c r="J161" s="49"/>
      <c r="K161" s="49"/>
      <c r="L161" s="15"/>
      <c r="M161" s="49"/>
      <c r="N161" s="49"/>
      <c r="O161" s="49"/>
      <c r="P161" s="49"/>
      <c r="Q161" s="49"/>
      <c r="R161" s="15"/>
      <c r="S161" s="49"/>
      <c r="T161" s="49"/>
      <c r="U161" s="49"/>
      <c r="V161" s="49"/>
      <c r="W161" s="49"/>
      <c r="X161" s="49"/>
    </row>
    <row r="162" spans="5:24" x14ac:dyDescent="0.2">
      <c r="E162" s="49"/>
      <c r="F162" s="15"/>
      <c r="G162" s="49"/>
      <c r="H162" s="49"/>
      <c r="I162" s="49"/>
      <c r="J162" s="49"/>
      <c r="K162" s="49"/>
      <c r="L162" s="15"/>
      <c r="M162" s="49"/>
      <c r="N162" s="49"/>
      <c r="O162" s="49"/>
      <c r="P162" s="49"/>
      <c r="Q162" s="49"/>
      <c r="R162" s="15"/>
      <c r="S162" s="49"/>
      <c r="T162" s="49"/>
      <c r="U162" s="49"/>
      <c r="V162" s="49"/>
      <c r="W162" s="49"/>
      <c r="X162" s="49"/>
    </row>
    <row r="163" spans="5:24" x14ac:dyDescent="0.2">
      <c r="E163" s="49"/>
      <c r="F163" s="15"/>
      <c r="G163" s="49"/>
      <c r="H163" s="49"/>
      <c r="I163" s="49"/>
      <c r="J163" s="49"/>
      <c r="K163" s="49"/>
      <c r="L163" s="15"/>
      <c r="M163" s="49"/>
      <c r="N163" s="49"/>
      <c r="O163" s="49"/>
      <c r="P163" s="49"/>
      <c r="Q163" s="49"/>
      <c r="R163" s="15"/>
      <c r="S163" s="49"/>
      <c r="T163" s="49"/>
      <c r="U163" s="49"/>
      <c r="V163" s="49"/>
      <c r="W163" s="49"/>
      <c r="X163" s="49"/>
    </row>
    <row r="164" spans="5:24" x14ac:dyDescent="0.2">
      <c r="E164" s="49"/>
      <c r="F164" s="15"/>
      <c r="G164" s="49"/>
      <c r="H164" s="49"/>
      <c r="I164" s="49"/>
      <c r="J164" s="49"/>
      <c r="K164" s="49"/>
      <c r="L164" s="15"/>
      <c r="M164" s="49"/>
      <c r="N164" s="49"/>
      <c r="O164" s="49"/>
      <c r="P164" s="49"/>
      <c r="Q164" s="49"/>
      <c r="R164" s="15"/>
      <c r="S164" s="49"/>
      <c r="T164" s="49"/>
      <c r="U164" s="49"/>
      <c r="V164" s="49"/>
      <c r="W164" s="49"/>
      <c r="X164" s="49"/>
    </row>
    <row r="165" spans="5:24" x14ac:dyDescent="0.2">
      <c r="E165" s="49"/>
      <c r="F165" s="15"/>
      <c r="G165" s="49"/>
      <c r="H165" s="49"/>
      <c r="I165" s="49"/>
      <c r="J165" s="49"/>
      <c r="K165" s="49"/>
      <c r="L165" s="15"/>
      <c r="M165" s="49"/>
      <c r="N165" s="49"/>
      <c r="O165" s="49"/>
      <c r="P165" s="49"/>
      <c r="Q165" s="49"/>
      <c r="R165" s="15"/>
      <c r="S165" s="49"/>
      <c r="T165" s="49"/>
      <c r="U165" s="49"/>
      <c r="V165" s="49"/>
      <c r="W165" s="49"/>
      <c r="X165" s="49"/>
    </row>
    <row r="166" spans="5:24" x14ac:dyDescent="0.2">
      <c r="E166" s="49"/>
      <c r="F166" s="15"/>
      <c r="G166" s="49"/>
      <c r="H166" s="49"/>
      <c r="I166" s="49"/>
      <c r="J166" s="49"/>
      <c r="K166" s="49"/>
      <c r="L166" s="15"/>
      <c r="M166" s="49"/>
      <c r="N166" s="49"/>
      <c r="O166" s="49"/>
      <c r="P166" s="49"/>
      <c r="Q166" s="49"/>
      <c r="R166" s="15"/>
      <c r="S166" s="49"/>
      <c r="T166" s="49"/>
      <c r="U166" s="49"/>
      <c r="V166" s="49"/>
      <c r="W166" s="49"/>
      <c r="X166" s="49"/>
    </row>
    <row r="167" spans="5:24" x14ac:dyDescent="0.2">
      <c r="E167" s="49"/>
      <c r="F167" s="15"/>
      <c r="G167" s="49"/>
      <c r="H167" s="49"/>
      <c r="I167" s="49"/>
      <c r="J167" s="49"/>
      <c r="K167" s="49"/>
      <c r="L167" s="15"/>
      <c r="M167" s="49"/>
      <c r="N167" s="49"/>
      <c r="O167" s="49"/>
      <c r="P167" s="49"/>
      <c r="Q167" s="49"/>
      <c r="R167" s="15"/>
      <c r="S167" s="49"/>
      <c r="T167" s="49"/>
      <c r="U167" s="49"/>
      <c r="V167" s="49"/>
      <c r="W167" s="49"/>
      <c r="X167" s="49"/>
    </row>
    <row r="168" spans="5:24" x14ac:dyDescent="0.2">
      <c r="E168" s="49"/>
      <c r="F168" s="15"/>
      <c r="G168" s="49"/>
      <c r="H168" s="49"/>
      <c r="I168" s="49"/>
      <c r="J168" s="49"/>
      <c r="K168" s="49"/>
      <c r="L168" s="15"/>
      <c r="M168" s="49"/>
      <c r="N168" s="49"/>
      <c r="O168" s="49"/>
      <c r="P168" s="49"/>
      <c r="Q168" s="49"/>
      <c r="R168" s="15"/>
      <c r="S168" s="49"/>
      <c r="T168" s="49"/>
      <c r="U168" s="49"/>
      <c r="V168" s="49"/>
      <c r="W168" s="49"/>
      <c r="X168" s="49"/>
    </row>
    <row r="169" spans="5:24" x14ac:dyDescent="0.2">
      <c r="E169" s="49"/>
      <c r="F169" s="15"/>
      <c r="G169" s="49"/>
      <c r="H169" s="49"/>
      <c r="I169" s="49"/>
      <c r="J169" s="49"/>
      <c r="K169" s="49"/>
      <c r="L169" s="15"/>
      <c r="M169" s="49"/>
      <c r="N169" s="49"/>
      <c r="O169" s="49"/>
      <c r="P169" s="49"/>
      <c r="Q169" s="49"/>
      <c r="R169" s="15"/>
      <c r="S169" s="49"/>
      <c r="T169" s="49"/>
      <c r="U169" s="49"/>
      <c r="V169" s="49"/>
      <c r="W169" s="49"/>
      <c r="X169" s="49"/>
    </row>
    <row r="170" spans="5:24" x14ac:dyDescent="0.2">
      <c r="E170" s="49"/>
      <c r="F170" s="15"/>
      <c r="G170" s="49"/>
      <c r="H170" s="49"/>
      <c r="I170" s="49"/>
      <c r="J170" s="49"/>
      <c r="K170" s="49"/>
      <c r="L170" s="15"/>
      <c r="M170" s="49"/>
      <c r="N170" s="49"/>
      <c r="O170" s="49"/>
      <c r="P170" s="49"/>
      <c r="Q170" s="49"/>
      <c r="R170" s="15"/>
      <c r="S170" s="49"/>
      <c r="T170" s="49"/>
      <c r="U170" s="49"/>
      <c r="V170" s="49"/>
      <c r="W170" s="49"/>
      <c r="X170" s="49"/>
    </row>
    <row r="171" spans="5:24" x14ac:dyDescent="0.2">
      <c r="E171" s="49"/>
      <c r="F171" s="15"/>
      <c r="G171" s="49"/>
      <c r="H171" s="49"/>
      <c r="I171" s="49"/>
      <c r="J171" s="49"/>
      <c r="K171" s="49"/>
      <c r="L171" s="15"/>
      <c r="M171" s="49"/>
      <c r="N171" s="49"/>
      <c r="O171" s="49"/>
      <c r="P171" s="49"/>
      <c r="Q171" s="49"/>
      <c r="R171" s="15"/>
      <c r="S171" s="49"/>
      <c r="T171" s="49"/>
      <c r="U171" s="49"/>
      <c r="V171" s="49"/>
      <c r="W171" s="49"/>
      <c r="X171" s="49"/>
    </row>
    <row r="172" spans="5:24" x14ac:dyDescent="0.2">
      <c r="E172" s="49"/>
      <c r="F172" s="15"/>
      <c r="G172" s="49"/>
      <c r="H172" s="49"/>
      <c r="I172" s="49"/>
      <c r="J172" s="49"/>
      <c r="K172" s="49"/>
      <c r="L172" s="15"/>
      <c r="M172" s="49"/>
      <c r="N172" s="49"/>
      <c r="O172" s="49"/>
      <c r="P172" s="49"/>
      <c r="Q172" s="49"/>
      <c r="R172" s="15"/>
      <c r="S172" s="49"/>
      <c r="T172" s="49"/>
      <c r="U172" s="49"/>
      <c r="V172" s="49"/>
      <c r="W172" s="49"/>
      <c r="X172" s="49"/>
    </row>
    <row r="173" spans="5:24" x14ac:dyDescent="0.2">
      <c r="E173" s="49"/>
      <c r="F173" s="15"/>
      <c r="G173" s="49"/>
      <c r="H173" s="49"/>
      <c r="I173" s="49"/>
      <c r="J173" s="49"/>
      <c r="K173" s="49"/>
      <c r="L173" s="15"/>
      <c r="M173" s="49"/>
      <c r="N173" s="49"/>
      <c r="O173" s="49"/>
      <c r="P173" s="49"/>
      <c r="Q173" s="49"/>
      <c r="R173" s="15"/>
      <c r="S173" s="49"/>
      <c r="T173" s="49"/>
      <c r="U173" s="49"/>
      <c r="V173" s="49"/>
      <c r="W173" s="49"/>
      <c r="X173" s="49"/>
    </row>
  </sheetData>
  <mergeCells count="39">
    <mergeCell ref="V4:V5"/>
    <mergeCell ref="W4:W5"/>
    <mergeCell ref="X4:X5"/>
    <mergeCell ref="W1:X1"/>
    <mergeCell ref="A108:R108"/>
    <mergeCell ref="U4:U5"/>
    <mergeCell ref="D5:D6"/>
    <mergeCell ref="E5:E6"/>
    <mergeCell ref="A7:U7"/>
    <mergeCell ref="A10:U10"/>
    <mergeCell ref="P4:P5"/>
    <mergeCell ref="Q4:Q5"/>
    <mergeCell ref="S4:S5"/>
    <mergeCell ref="T4:T5"/>
    <mergeCell ref="A2:U2"/>
    <mergeCell ref="A4:A5"/>
    <mergeCell ref="A114:R114"/>
    <mergeCell ref="B122:E122"/>
    <mergeCell ref="E124:I124"/>
    <mergeCell ref="J4:J5"/>
    <mergeCell ref="K4:K5"/>
    <mergeCell ref="G4:G5"/>
    <mergeCell ref="H4:H5"/>
    <mergeCell ref="M4:M5"/>
    <mergeCell ref="N4:N5"/>
    <mergeCell ref="A17:U17"/>
    <mergeCell ref="A26:U26"/>
    <mergeCell ref="A43:R43"/>
    <mergeCell ref="A71:R71"/>
    <mergeCell ref="A85:R85"/>
    <mergeCell ref="A92:R92"/>
    <mergeCell ref="R4:R5"/>
    <mergeCell ref="L4:L5"/>
    <mergeCell ref="O4:O5"/>
    <mergeCell ref="B4:B6"/>
    <mergeCell ref="C4:C6"/>
    <mergeCell ref="D4:E4"/>
    <mergeCell ref="F4:F5"/>
    <mergeCell ref="I4:I5"/>
  </mergeCells>
  <printOptions horizontalCentered="1"/>
  <pageMargins left="0.70866141732283472" right="0.31496062992125984" top="0.35433070866141736" bottom="0.35433070866141736" header="0.31496062992125984" footer="0.31496062992125984"/>
  <pageSetup paperSize="9" scale="5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8"/>
  <sheetViews>
    <sheetView tabSelected="1" zoomScaleNormal="100" zoomScaleSheetLayoutView="100" workbookViewId="0">
      <selection activeCell="A2" sqref="A2:K2"/>
    </sheetView>
  </sheetViews>
  <sheetFormatPr defaultColWidth="9.140625" defaultRowHeight="12.75" x14ac:dyDescent="0.2"/>
  <cols>
    <col min="1" max="1" width="4.42578125" style="49" customWidth="1"/>
    <col min="2" max="2" width="32.42578125" style="17" customWidth="1"/>
    <col min="3" max="3" width="13.5703125" style="94" hidden="1" customWidth="1"/>
    <col min="4" max="5" width="8.42578125" style="15" customWidth="1"/>
    <col min="6" max="6" width="11.42578125" style="99" customWidth="1"/>
    <col min="7" max="11" width="11.42578125" style="100" customWidth="1"/>
    <col min="12" max="12" width="16.140625" style="17" customWidth="1"/>
    <col min="13" max="16384" width="9.140625" style="17"/>
  </cols>
  <sheetData>
    <row r="1" spans="1:12" ht="55.5" customHeight="1" x14ac:dyDescent="0.2">
      <c r="F1" s="50"/>
      <c r="G1" s="18"/>
      <c r="H1" s="216" t="s">
        <v>222</v>
      </c>
      <c r="I1" s="216"/>
      <c r="J1" s="216"/>
      <c r="K1" s="216"/>
    </row>
    <row r="2" spans="1:12" ht="21" customHeight="1" x14ac:dyDescent="0.2">
      <c r="A2" s="210" t="s">
        <v>1</v>
      </c>
      <c r="B2" s="210"/>
      <c r="C2" s="210"/>
      <c r="D2" s="210"/>
      <c r="E2" s="210"/>
      <c r="F2" s="210"/>
      <c r="G2" s="210"/>
      <c r="H2" s="210"/>
      <c r="I2" s="210"/>
      <c r="J2" s="210"/>
      <c r="K2" s="210"/>
    </row>
    <row r="3" spans="1:12" ht="12" customHeight="1" x14ac:dyDescent="0.2">
      <c r="E3" s="17"/>
      <c r="F3" s="15"/>
      <c r="G3" s="17"/>
      <c r="H3" s="15"/>
      <c r="I3" s="17"/>
      <c r="J3" s="15"/>
      <c r="K3" s="34" t="s">
        <v>2</v>
      </c>
    </row>
    <row r="4" spans="1:12" ht="44.1" customHeight="1" x14ac:dyDescent="0.2">
      <c r="A4" s="211" t="s">
        <v>3</v>
      </c>
      <c r="B4" s="189" t="s">
        <v>4</v>
      </c>
      <c r="C4" s="189" t="s">
        <v>5</v>
      </c>
      <c r="D4" s="192" t="s">
        <v>6</v>
      </c>
      <c r="E4" s="192"/>
      <c r="F4" s="193" t="s">
        <v>7</v>
      </c>
      <c r="G4" s="188" t="s">
        <v>10</v>
      </c>
      <c r="H4" s="188" t="s">
        <v>11</v>
      </c>
      <c r="I4" s="188" t="s">
        <v>12</v>
      </c>
      <c r="J4" s="188" t="s">
        <v>13</v>
      </c>
      <c r="K4" s="188" t="s">
        <v>14</v>
      </c>
    </row>
    <row r="5" spans="1:12" ht="35.85" customHeight="1" x14ac:dyDescent="0.2">
      <c r="A5" s="212"/>
      <c r="B5" s="190"/>
      <c r="C5" s="190"/>
      <c r="D5" s="208" t="s">
        <v>16</v>
      </c>
      <c r="E5" s="208" t="s">
        <v>17</v>
      </c>
      <c r="F5" s="193"/>
      <c r="G5" s="188"/>
      <c r="H5" s="188"/>
      <c r="I5" s="188"/>
      <c r="J5" s="188"/>
      <c r="K5" s="188"/>
    </row>
    <row r="6" spans="1:12" ht="15.75" customHeight="1" x14ac:dyDescent="0.2">
      <c r="A6" s="62"/>
      <c r="B6" s="191"/>
      <c r="C6" s="191"/>
      <c r="D6" s="209"/>
      <c r="E6" s="209"/>
      <c r="F6" s="125" t="s">
        <v>18</v>
      </c>
      <c r="G6" s="125" t="s">
        <v>19</v>
      </c>
      <c r="H6" s="125" t="s">
        <v>20</v>
      </c>
      <c r="I6" s="125" t="s">
        <v>21</v>
      </c>
      <c r="J6" s="125" t="s">
        <v>22</v>
      </c>
      <c r="K6" s="125" t="s">
        <v>23</v>
      </c>
    </row>
    <row r="7" spans="1:12" ht="17.100000000000001" customHeight="1" x14ac:dyDescent="0.2">
      <c r="A7" s="200" t="s">
        <v>24</v>
      </c>
      <c r="B7" s="201"/>
      <c r="C7" s="201"/>
      <c r="D7" s="201"/>
      <c r="E7" s="201"/>
      <c r="F7" s="201"/>
      <c r="G7" s="201"/>
      <c r="H7" s="201"/>
      <c r="I7" s="201"/>
      <c r="J7" s="201"/>
      <c r="K7" s="202"/>
    </row>
    <row r="8" spans="1:12" ht="60.75" customHeight="1" x14ac:dyDescent="0.2">
      <c r="A8" s="55">
        <v>1</v>
      </c>
      <c r="B8" s="23" t="s">
        <v>226</v>
      </c>
      <c r="C8" s="95" t="s">
        <v>27</v>
      </c>
      <c r="D8" s="7" t="s">
        <v>56</v>
      </c>
      <c r="E8" s="7" t="s">
        <v>43</v>
      </c>
      <c r="F8" s="66">
        <f>+G8+H8+I8+J8+K8</f>
        <v>505</v>
      </c>
      <c r="G8" s="19">
        <v>505</v>
      </c>
      <c r="H8" s="19"/>
      <c r="I8" s="19"/>
      <c r="J8" s="19"/>
      <c r="K8" s="19">
        <v>0</v>
      </c>
      <c r="L8" s="165"/>
    </row>
    <row r="9" spans="1:12" ht="16.350000000000001" customHeight="1" x14ac:dyDescent="0.2">
      <c r="A9" s="57">
        <v>1</v>
      </c>
      <c r="B9" s="68" t="s">
        <v>29</v>
      </c>
      <c r="C9" s="104"/>
      <c r="D9" s="69"/>
      <c r="E9" s="105" t="s">
        <v>18</v>
      </c>
      <c r="F9" s="107">
        <f t="shared" ref="F9:K9" si="0">SUM(F8:F8)</f>
        <v>505</v>
      </c>
      <c r="G9" s="107">
        <f t="shared" si="0"/>
        <v>505</v>
      </c>
      <c r="H9" s="107">
        <f t="shared" si="0"/>
        <v>0</v>
      </c>
      <c r="I9" s="107">
        <f t="shared" si="0"/>
        <v>0</v>
      </c>
      <c r="J9" s="107">
        <f t="shared" si="0"/>
        <v>0</v>
      </c>
      <c r="K9" s="107">
        <f t="shared" si="0"/>
        <v>0</v>
      </c>
    </row>
    <row r="10" spans="1:12" ht="17.850000000000001" customHeight="1" x14ac:dyDescent="0.2">
      <c r="A10" s="200" t="s">
        <v>30</v>
      </c>
      <c r="B10" s="201"/>
      <c r="C10" s="201"/>
      <c r="D10" s="201"/>
      <c r="E10" s="201"/>
      <c r="F10" s="201"/>
      <c r="G10" s="201"/>
      <c r="H10" s="201"/>
      <c r="I10" s="201"/>
      <c r="J10" s="201"/>
      <c r="K10" s="202"/>
    </row>
    <row r="11" spans="1:12" ht="39.6" customHeight="1" x14ac:dyDescent="0.2">
      <c r="A11" s="130">
        <v>1</v>
      </c>
      <c r="B11" s="24" t="s">
        <v>34</v>
      </c>
      <c r="C11" s="95" t="s">
        <v>35</v>
      </c>
      <c r="D11" s="12" t="s">
        <v>36</v>
      </c>
      <c r="E11" s="8" t="s">
        <v>56</v>
      </c>
      <c r="F11" s="54">
        <f>+G11+H11+I11+J11+K11</f>
        <v>3803.1000000000004</v>
      </c>
      <c r="G11" s="95">
        <f>1372.4-781.6+3212.3</f>
        <v>3803.1000000000004</v>
      </c>
      <c r="H11" s="95">
        <f>1815.8-1815.8</f>
        <v>0</v>
      </c>
      <c r="I11" s="19"/>
      <c r="J11" s="95"/>
      <c r="K11" s="19"/>
    </row>
    <row r="12" spans="1:12" ht="51.75" customHeight="1" x14ac:dyDescent="0.2">
      <c r="A12" s="131"/>
      <c r="B12" s="40" t="s">
        <v>39</v>
      </c>
      <c r="C12" s="76" t="s">
        <v>35</v>
      </c>
      <c r="D12" s="75" t="s">
        <v>40</v>
      </c>
      <c r="E12" s="85" t="s">
        <v>112</v>
      </c>
      <c r="F12" s="87">
        <f>+G12+H12+I12+J12+K12</f>
        <v>5200</v>
      </c>
      <c r="G12" s="76">
        <v>950</v>
      </c>
      <c r="H12" s="76">
        <v>4250</v>
      </c>
      <c r="I12" s="97"/>
      <c r="J12" s="76"/>
      <c r="K12" s="97"/>
    </row>
    <row r="13" spans="1:12" ht="17.25" customHeight="1" x14ac:dyDescent="0.2">
      <c r="A13" s="58">
        <v>2</v>
      </c>
      <c r="B13" s="40" t="s">
        <v>41</v>
      </c>
      <c r="C13" s="76" t="s">
        <v>35</v>
      </c>
      <c r="D13" s="4" t="s">
        <v>40</v>
      </c>
      <c r="E13" s="85" t="s">
        <v>112</v>
      </c>
      <c r="F13" s="64">
        <f>+G13+H13+I13+J13+K13</f>
        <v>688</v>
      </c>
      <c r="G13" s="97">
        <v>688</v>
      </c>
      <c r="H13" s="97"/>
      <c r="I13" s="96"/>
      <c r="J13" s="96"/>
      <c r="K13" s="96"/>
    </row>
    <row r="14" spans="1:12" ht="25.5" customHeight="1" x14ac:dyDescent="0.2">
      <c r="A14" s="59">
        <v>3</v>
      </c>
      <c r="B14" s="73" t="s">
        <v>42</v>
      </c>
      <c r="C14" s="88" t="s">
        <v>27</v>
      </c>
      <c r="D14" s="74">
        <v>2024</v>
      </c>
      <c r="E14" s="44" t="s">
        <v>112</v>
      </c>
      <c r="F14" s="54">
        <f>+G14+H14+I14+J14+K14</f>
        <v>1562</v>
      </c>
      <c r="G14" s="20">
        <v>372</v>
      </c>
      <c r="H14" s="20">
        <v>1190</v>
      </c>
      <c r="I14" s="95"/>
      <c r="J14" s="95"/>
      <c r="K14" s="95"/>
    </row>
    <row r="15" spans="1:12" ht="16.5" customHeight="1" x14ac:dyDescent="0.2">
      <c r="A15" s="57">
        <v>3</v>
      </c>
      <c r="B15" s="68" t="s">
        <v>44</v>
      </c>
      <c r="C15" s="104"/>
      <c r="D15" s="69"/>
      <c r="E15" s="105" t="s">
        <v>18</v>
      </c>
      <c r="F15" s="107">
        <f>SUM(F11:F14)</f>
        <v>11253.1</v>
      </c>
      <c r="G15" s="107">
        <f t="shared" ref="G15:K15" si="1">SUM(G11:G14)</f>
        <v>5813.1</v>
      </c>
      <c r="H15" s="106">
        <f t="shared" si="1"/>
        <v>5440</v>
      </c>
      <c r="I15" s="107">
        <f t="shared" si="1"/>
        <v>0</v>
      </c>
      <c r="J15" s="107">
        <f t="shared" si="1"/>
        <v>0</v>
      </c>
      <c r="K15" s="107">
        <f t="shared" si="1"/>
        <v>0</v>
      </c>
    </row>
    <row r="16" spans="1:12" s="29" customFormat="1" ht="16.5" customHeight="1" x14ac:dyDescent="0.25">
      <c r="A16" s="200" t="s">
        <v>45</v>
      </c>
      <c r="B16" s="201"/>
      <c r="C16" s="201"/>
      <c r="D16" s="201"/>
      <c r="E16" s="201"/>
      <c r="F16" s="201"/>
      <c r="G16" s="201"/>
      <c r="H16" s="201"/>
      <c r="I16" s="201"/>
      <c r="J16" s="201"/>
      <c r="K16" s="202"/>
    </row>
    <row r="17" spans="1:12" s="29" customFormat="1" ht="51.75" customHeight="1" x14ac:dyDescent="0.25">
      <c r="A17" s="55">
        <v>1</v>
      </c>
      <c r="B17" s="21" t="s">
        <v>242</v>
      </c>
      <c r="C17" s="20" t="s">
        <v>47</v>
      </c>
      <c r="D17" s="7">
        <v>2017</v>
      </c>
      <c r="E17" s="7" t="s">
        <v>112</v>
      </c>
      <c r="F17" s="51">
        <f>G17+H17++J17+I17+K17</f>
        <v>2900.7</v>
      </c>
      <c r="G17" s="22">
        <v>435.7</v>
      </c>
      <c r="H17" s="22">
        <v>2465</v>
      </c>
      <c r="I17" s="22"/>
      <c r="J17" s="22"/>
      <c r="K17" s="22"/>
    </row>
    <row r="18" spans="1:12" s="29" customFormat="1" ht="39" customHeight="1" x14ac:dyDescent="0.25">
      <c r="A18" s="55">
        <v>2</v>
      </c>
      <c r="B18" s="21" t="s">
        <v>54</v>
      </c>
      <c r="C18" s="20" t="s">
        <v>55</v>
      </c>
      <c r="D18" s="7">
        <v>2018</v>
      </c>
      <c r="E18" s="7" t="s">
        <v>43</v>
      </c>
      <c r="F18" s="54">
        <f>G18+H18+I18+J18+K18</f>
        <v>12380.1</v>
      </c>
      <c r="G18" s="33">
        <v>2536.9</v>
      </c>
      <c r="H18" s="33">
        <v>9843.2000000000007</v>
      </c>
      <c r="I18" s="33"/>
      <c r="J18" s="33"/>
      <c r="K18" s="33"/>
    </row>
    <row r="19" spans="1:12" s="29" customFormat="1" ht="40.5" customHeight="1" x14ac:dyDescent="0.25">
      <c r="A19" s="59">
        <v>3</v>
      </c>
      <c r="B19" s="41" t="s">
        <v>60</v>
      </c>
      <c r="C19" s="20" t="s">
        <v>61</v>
      </c>
      <c r="D19" s="7" t="s">
        <v>62</v>
      </c>
      <c r="E19" s="7" t="s">
        <v>40</v>
      </c>
      <c r="F19" s="54">
        <f t="shared" ref="F19" si="2">+G19+H19+I19+J19+K19</f>
        <v>5118.8</v>
      </c>
      <c r="G19" s="33">
        <v>1562.1</v>
      </c>
      <c r="H19" s="33">
        <v>3500</v>
      </c>
      <c r="I19" s="33"/>
      <c r="J19" s="33"/>
      <c r="K19" s="33">
        <v>56.7</v>
      </c>
    </row>
    <row r="20" spans="1:12" s="29" customFormat="1" ht="54" customHeight="1" x14ac:dyDescent="0.25">
      <c r="A20" s="59">
        <v>4</v>
      </c>
      <c r="B20" s="41" t="s">
        <v>255</v>
      </c>
      <c r="C20" s="43"/>
      <c r="D20" s="114" t="s">
        <v>40</v>
      </c>
      <c r="E20" s="7" t="s">
        <v>56</v>
      </c>
      <c r="F20" s="54">
        <f>G20+H20+I20+J20+K20</f>
        <v>249</v>
      </c>
      <c r="G20" s="33">
        <v>249</v>
      </c>
      <c r="H20" s="33"/>
      <c r="I20" s="33"/>
      <c r="J20" s="33"/>
      <c r="K20" s="33"/>
    </row>
    <row r="21" spans="1:12" s="29" customFormat="1" ht="15" customHeight="1" x14ac:dyDescent="0.25">
      <c r="A21" s="108">
        <v>4</v>
      </c>
      <c r="B21" s="162" t="s">
        <v>44</v>
      </c>
      <c r="C21" s="103"/>
      <c r="D21" s="110"/>
      <c r="E21" s="105" t="s">
        <v>18</v>
      </c>
      <c r="F21" s="48">
        <f>SUM(F17:F20)</f>
        <v>20648.599999999999</v>
      </c>
      <c r="G21" s="48">
        <f>SUM(G17:G20)</f>
        <v>4783.7</v>
      </c>
      <c r="H21" s="48">
        <f>SUM(H17:H20)</f>
        <v>15808.2</v>
      </c>
      <c r="I21" s="48">
        <f t="shared" ref="I21:J21" si="3">SUM(I17:I19)</f>
        <v>0</v>
      </c>
      <c r="J21" s="48">
        <f t="shared" si="3"/>
        <v>0</v>
      </c>
      <c r="K21" s="48">
        <f>SUM(K17:K20)</f>
        <v>56.7</v>
      </c>
    </row>
    <row r="22" spans="1:12" ht="17.25" customHeight="1" x14ac:dyDescent="0.2">
      <c r="A22" s="200" t="s">
        <v>65</v>
      </c>
      <c r="B22" s="201"/>
      <c r="C22" s="201"/>
      <c r="D22" s="201"/>
      <c r="E22" s="201"/>
      <c r="F22" s="201"/>
      <c r="G22" s="201"/>
      <c r="H22" s="201"/>
      <c r="I22" s="201"/>
      <c r="J22" s="201"/>
      <c r="K22" s="202"/>
    </row>
    <row r="23" spans="1:12" ht="54" customHeight="1" x14ac:dyDescent="0.2">
      <c r="A23" s="131" t="s">
        <v>25</v>
      </c>
      <c r="B23" s="128" t="s">
        <v>66</v>
      </c>
      <c r="C23" s="96" t="s">
        <v>35</v>
      </c>
      <c r="D23" s="4">
        <v>2016</v>
      </c>
      <c r="E23" s="4" t="s">
        <v>40</v>
      </c>
      <c r="F23" s="52">
        <f t="shared" ref="F23:F41" si="4">+G23+H23+I23+J23+K23</f>
        <v>1236.5999999999999</v>
      </c>
      <c r="G23" s="97">
        <v>1236.5999999999999</v>
      </c>
      <c r="H23" s="97"/>
      <c r="I23" s="97"/>
      <c r="J23" s="97"/>
      <c r="K23" s="97"/>
    </row>
    <row r="24" spans="1:12" ht="41.1" customHeight="1" x14ac:dyDescent="0.2">
      <c r="A24" s="55" t="s">
        <v>48</v>
      </c>
      <c r="B24" s="41" t="s">
        <v>67</v>
      </c>
      <c r="C24" s="20" t="s">
        <v>68</v>
      </c>
      <c r="D24" s="3" t="s">
        <v>59</v>
      </c>
      <c r="E24" s="3" t="s">
        <v>40</v>
      </c>
      <c r="F24" s="51">
        <f t="shared" si="4"/>
        <v>1318.6999999999998</v>
      </c>
      <c r="G24" s="22">
        <v>1142.0999999999999</v>
      </c>
      <c r="H24" s="22"/>
      <c r="I24" s="22"/>
      <c r="J24" s="22"/>
      <c r="K24" s="22">
        <v>176.6</v>
      </c>
    </row>
    <row r="25" spans="1:12" ht="27.75" customHeight="1" x14ac:dyDescent="0.2">
      <c r="A25" s="131">
        <v>3</v>
      </c>
      <c r="B25" s="128" t="s">
        <v>70</v>
      </c>
      <c r="C25" s="95" t="s">
        <v>35</v>
      </c>
      <c r="D25" s="7" t="s">
        <v>62</v>
      </c>
      <c r="E25" s="7" t="s">
        <v>56</v>
      </c>
      <c r="F25" s="52">
        <f t="shared" si="4"/>
        <v>308</v>
      </c>
      <c r="G25" s="97">
        <v>308</v>
      </c>
      <c r="H25" s="97"/>
      <c r="I25" s="97"/>
      <c r="J25" s="97"/>
      <c r="K25" s="97"/>
    </row>
    <row r="26" spans="1:12" ht="40.5" customHeight="1" x14ac:dyDescent="0.2">
      <c r="A26" s="131">
        <v>4</v>
      </c>
      <c r="B26" s="21" t="s">
        <v>74</v>
      </c>
      <c r="C26" s="20" t="s">
        <v>75</v>
      </c>
      <c r="D26" s="3" t="s">
        <v>73</v>
      </c>
      <c r="E26" s="3" t="s">
        <v>56</v>
      </c>
      <c r="F26" s="53">
        <f t="shared" si="4"/>
        <v>2992.5999999999995</v>
      </c>
      <c r="G26" s="22">
        <f>2035.1+58.1</f>
        <v>2093.1999999999998</v>
      </c>
      <c r="H26" s="86">
        <v>826.2</v>
      </c>
      <c r="I26" s="86">
        <v>73.2</v>
      </c>
      <c r="J26" s="22"/>
      <c r="K26" s="22"/>
    </row>
    <row r="27" spans="1:12" ht="41.1" customHeight="1" x14ac:dyDescent="0.2">
      <c r="A27" s="131">
        <v>5</v>
      </c>
      <c r="B27" s="21" t="s">
        <v>76</v>
      </c>
      <c r="C27" s="95" t="s">
        <v>77</v>
      </c>
      <c r="D27" s="7" t="s">
        <v>33</v>
      </c>
      <c r="E27" s="7" t="s">
        <v>112</v>
      </c>
      <c r="F27" s="52">
        <f t="shared" si="4"/>
        <v>1243.2</v>
      </c>
      <c r="G27" s="20">
        <v>1243.2</v>
      </c>
      <c r="H27" s="20"/>
      <c r="I27" s="20"/>
      <c r="J27" s="20"/>
      <c r="K27" s="20"/>
    </row>
    <row r="28" spans="1:12" ht="51.75" customHeight="1" x14ac:dyDescent="0.2">
      <c r="A28" s="131">
        <v>6</v>
      </c>
      <c r="B28" s="21" t="s">
        <v>256</v>
      </c>
      <c r="C28" s="95" t="s">
        <v>79</v>
      </c>
      <c r="D28" s="7" t="s">
        <v>73</v>
      </c>
      <c r="E28" s="7" t="s">
        <v>43</v>
      </c>
      <c r="F28" s="52">
        <f t="shared" si="4"/>
        <v>1600</v>
      </c>
      <c r="G28" s="22">
        <v>800</v>
      </c>
      <c r="H28" s="20"/>
      <c r="I28" s="20"/>
      <c r="J28" s="20">
        <v>800</v>
      </c>
      <c r="K28" s="20"/>
    </row>
    <row r="29" spans="1:12" ht="17.45" customHeight="1" x14ac:dyDescent="0.2">
      <c r="A29" s="131">
        <v>7</v>
      </c>
      <c r="B29" s="41" t="s">
        <v>227</v>
      </c>
      <c r="C29" s="95" t="s">
        <v>35</v>
      </c>
      <c r="D29" s="7" t="s">
        <v>59</v>
      </c>
      <c r="E29" s="7" t="s">
        <v>37</v>
      </c>
      <c r="F29" s="52">
        <f t="shared" si="4"/>
        <v>3936.1</v>
      </c>
      <c r="G29" s="20">
        <v>706.1</v>
      </c>
      <c r="H29" s="20">
        <v>3230</v>
      </c>
      <c r="I29" s="20"/>
      <c r="J29" s="20"/>
      <c r="K29" s="20"/>
    </row>
    <row r="30" spans="1:12" ht="56.1" customHeight="1" x14ac:dyDescent="0.2">
      <c r="A30" s="131">
        <v>8</v>
      </c>
      <c r="B30" s="41" t="s">
        <v>83</v>
      </c>
      <c r="C30" s="20" t="s">
        <v>84</v>
      </c>
      <c r="D30" s="7" t="s">
        <v>28</v>
      </c>
      <c r="E30" s="7" t="s">
        <v>56</v>
      </c>
      <c r="F30" s="53">
        <f t="shared" si="4"/>
        <v>536.9</v>
      </c>
      <c r="G30" s="97">
        <v>111.8</v>
      </c>
      <c r="H30" s="127">
        <v>425.1</v>
      </c>
      <c r="I30" s="20"/>
      <c r="J30" s="20"/>
      <c r="K30" s="20"/>
      <c r="L30" s="165"/>
    </row>
    <row r="31" spans="1:12" ht="42.95" customHeight="1" x14ac:dyDescent="0.2">
      <c r="A31" s="131">
        <v>9</v>
      </c>
      <c r="B31" s="41" t="s">
        <v>85</v>
      </c>
      <c r="C31" s="20" t="s">
        <v>86</v>
      </c>
      <c r="D31" s="7" t="s">
        <v>28</v>
      </c>
      <c r="E31" s="7" t="s">
        <v>37</v>
      </c>
      <c r="F31" s="53">
        <f t="shared" si="4"/>
        <v>688.9</v>
      </c>
      <c r="G31" s="97">
        <v>688.9</v>
      </c>
      <c r="H31" s="127"/>
      <c r="I31" s="20"/>
      <c r="J31" s="20"/>
      <c r="K31" s="20"/>
      <c r="L31" s="166"/>
    </row>
    <row r="32" spans="1:12" ht="31.35" customHeight="1" x14ac:dyDescent="0.2">
      <c r="A32" s="131">
        <v>10</v>
      </c>
      <c r="B32" s="41" t="s">
        <v>87</v>
      </c>
      <c r="C32" s="20" t="s">
        <v>86</v>
      </c>
      <c r="D32" s="7" t="s">
        <v>28</v>
      </c>
      <c r="E32" s="7" t="s">
        <v>37</v>
      </c>
      <c r="F32" s="53">
        <f t="shared" si="4"/>
        <v>790</v>
      </c>
      <c r="G32" s="97">
        <v>790</v>
      </c>
      <c r="H32" s="127"/>
      <c r="I32" s="20"/>
      <c r="J32" s="20"/>
      <c r="K32" s="20"/>
      <c r="L32" s="166"/>
    </row>
    <row r="33" spans="1:12" ht="28.5" customHeight="1" x14ac:dyDescent="0.2">
      <c r="A33" s="131">
        <v>11</v>
      </c>
      <c r="B33" s="41" t="s">
        <v>88</v>
      </c>
      <c r="C33" s="20" t="s">
        <v>86</v>
      </c>
      <c r="D33" s="7" t="s">
        <v>28</v>
      </c>
      <c r="E33" s="7" t="s">
        <v>43</v>
      </c>
      <c r="F33" s="53">
        <f t="shared" si="4"/>
        <v>363</v>
      </c>
      <c r="G33" s="97">
        <v>363</v>
      </c>
      <c r="H33" s="127"/>
      <c r="I33" s="20"/>
      <c r="J33" s="20"/>
      <c r="K33" s="20"/>
      <c r="L33" s="166"/>
    </row>
    <row r="34" spans="1:12" ht="43.5" customHeight="1" x14ac:dyDescent="0.2">
      <c r="A34" s="131">
        <v>12</v>
      </c>
      <c r="B34" s="167" t="s">
        <v>228</v>
      </c>
      <c r="C34" s="43"/>
      <c r="D34" s="7" t="s">
        <v>40</v>
      </c>
      <c r="E34" s="44" t="s">
        <v>37</v>
      </c>
      <c r="F34" s="52">
        <f t="shared" si="4"/>
        <v>1907.5</v>
      </c>
      <c r="G34" s="127">
        <v>307.5</v>
      </c>
      <c r="H34" s="97">
        <v>1600</v>
      </c>
      <c r="I34" s="20"/>
      <c r="J34" s="20"/>
      <c r="K34" s="20"/>
      <c r="L34" s="166"/>
    </row>
    <row r="35" spans="1:12" ht="53.25" customHeight="1" x14ac:dyDescent="0.2">
      <c r="A35" s="131">
        <v>13</v>
      </c>
      <c r="B35" s="167" t="s">
        <v>257</v>
      </c>
      <c r="C35" s="43"/>
      <c r="D35" s="7" t="s">
        <v>40</v>
      </c>
      <c r="E35" s="44" t="s">
        <v>43</v>
      </c>
      <c r="F35" s="52">
        <f t="shared" si="4"/>
        <v>2376.9</v>
      </c>
      <c r="G35" s="127">
        <v>455.8</v>
      </c>
      <c r="H35" s="97">
        <v>1921.1</v>
      </c>
      <c r="I35" s="20"/>
      <c r="J35" s="20"/>
      <c r="K35" s="20"/>
      <c r="L35" s="168"/>
    </row>
    <row r="36" spans="1:12" ht="38.25" customHeight="1" x14ac:dyDescent="0.2">
      <c r="A36" s="131">
        <v>14</v>
      </c>
      <c r="B36" s="167" t="s">
        <v>229</v>
      </c>
      <c r="C36" s="43"/>
      <c r="D36" s="7" t="s">
        <v>40</v>
      </c>
      <c r="E36" s="44" t="s">
        <v>56</v>
      </c>
      <c r="F36" s="52">
        <f t="shared" si="4"/>
        <v>367.7</v>
      </c>
      <c r="G36" s="127">
        <v>55.2</v>
      </c>
      <c r="H36" s="97">
        <v>312.5</v>
      </c>
      <c r="I36" s="20"/>
      <c r="J36" s="20"/>
      <c r="K36" s="20"/>
      <c r="L36" s="168"/>
    </row>
    <row r="37" spans="1:12" ht="57.6" customHeight="1" x14ac:dyDescent="0.2">
      <c r="A37" s="131">
        <v>15</v>
      </c>
      <c r="B37" s="167" t="s">
        <v>230</v>
      </c>
      <c r="C37" s="43"/>
      <c r="D37" s="7" t="s">
        <v>40</v>
      </c>
      <c r="E37" s="44" t="s">
        <v>43</v>
      </c>
      <c r="F37" s="52">
        <f t="shared" si="4"/>
        <v>2260</v>
      </c>
      <c r="G37" s="127">
        <v>305</v>
      </c>
      <c r="H37" s="97">
        <v>1955</v>
      </c>
      <c r="I37" s="20"/>
      <c r="J37" s="20"/>
      <c r="K37" s="20"/>
      <c r="L37" s="171"/>
    </row>
    <row r="38" spans="1:12" ht="37.5" customHeight="1" x14ac:dyDescent="0.2">
      <c r="A38" s="131">
        <v>16</v>
      </c>
      <c r="B38" s="167" t="s">
        <v>231</v>
      </c>
      <c r="C38" s="43"/>
      <c r="D38" s="7" t="s">
        <v>40</v>
      </c>
      <c r="E38" s="44" t="s">
        <v>112</v>
      </c>
      <c r="F38" s="52">
        <f t="shared" si="4"/>
        <v>2000.1</v>
      </c>
      <c r="G38" s="127">
        <v>300.10000000000002</v>
      </c>
      <c r="H38" s="97">
        <v>1700</v>
      </c>
      <c r="I38" s="20"/>
      <c r="J38" s="20"/>
      <c r="K38" s="20"/>
      <c r="L38" s="168"/>
    </row>
    <row r="39" spans="1:12" ht="54.6" customHeight="1" x14ac:dyDescent="0.2">
      <c r="A39" s="131">
        <v>17</v>
      </c>
      <c r="B39" s="186" t="s">
        <v>89</v>
      </c>
      <c r="C39" s="95" t="s">
        <v>90</v>
      </c>
      <c r="D39" s="7" t="s">
        <v>59</v>
      </c>
      <c r="E39" s="7" t="s">
        <v>40</v>
      </c>
      <c r="F39" s="52">
        <f t="shared" si="4"/>
        <v>728.3</v>
      </c>
      <c r="G39" s="97">
        <v>728.3</v>
      </c>
      <c r="H39" s="97"/>
      <c r="I39" s="20"/>
      <c r="J39" s="20"/>
      <c r="K39" s="20"/>
      <c r="L39" s="169"/>
    </row>
    <row r="40" spans="1:12" ht="27.6" customHeight="1" x14ac:dyDescent="0.2">
      <c r="A40" s="131">
        <v>18</v>
      </c>
      <c r="B40" s="73" t="s">
        <v>91</v>
      </c>
      <c r="C40" s="20" t="s">
        <v>92</v>
      </c>
      <c r="D40" s="7" t="s">
        <v>62</v>
      </c>
      <c r="E40" s="7" t="s">
        <v>40</v>
      </c>
      <c r="F40" s="52">
        <f t="shared" si="4"/>
        <v>584.80000000000007</v>
      </c>
      <c r="G40" s="127">
        <f>320+141.6+123.2</f>
        <v>584.80000000000007</v>
      </c>
      <c r="H40" s="97"/>
      <c r="I40" s="20"/>
      <c r="J40" s="20"/>
      <c r="K40" s="20"/>
    </row>
    <row r="41" spans="1:12" ht="53.45" customHeight="1" x14ac:dyDescent="0.2">
      <c r="A41" s="65">
        <v>19</v>
      </c>
      <c r="B41" s="93" t="s">
        <v>232</v>
      </c>
      <c r="C41" s="43"/>
      <c r="D41" s="7" t="s">
        <v>56</v>
      </c>
      <c r="E41" s="44"/>
      <c r="F41" s="52">
        <f t="shared" si="4"/>
        <v>20</v>
      </c>
      <c r="G41" s="127">
        <v>20</v>
      </c>
      <c r="H41" s="97"/>
      <c r="I41" s="20"/>
      <c r="J41" s="20"/>
      <c r="K41" s="20"/>
      <c r="L41" s="170"/>
    </row>
    <row r="42" spans="1:12" ht="15.6" customHeight="1" x14ac:dyDescent="0.2">
      <c r="A42" s="57">
        <v>19</v>
      </c>
      <c r="B42" s="80" t="s">
        <v>94</v>
      </c>
      <c r="C42" s="103"/>
      <c r="D42" s="105"/>
      <c r="E42" s="46" t="s">
        <v>18</v>
      </c>
      <c r="F42" s="47">
        <f>SUM(F23:F41)</f>
        <v>25259.3</v>
      </c>
      <c r="G42" s="47">
        <f t="shared" ref="G42:K42" si="5">SUM(G23:G41)</f>
        <v>12239.599999999999</v>
      </c>
      <c r="H42" s="47">
        <f t="shared" si="5"/>
        <v>11969.9</v>
      </c>
      <c r="I42" s="47">
        <f t="shared" si="5"/>
        <v>73.2</v>
      </c>
      <c r="J42" s="47">
        <f t="shared" si="5"/>
        <v>800</v>
      </c>
      <c r="K42" s="47">
        <f t="shared" si="5"/>
        <v>176.6</v>
      </c>
    </row>
    <row r="43" spans="1:12" ht="16.5" customHeight="1" x14ac:dyDescent="0.2">
      <c r="A43" s="200" t="s">
        <v>95</v>
      </c>
      <c r="B43" s="201"/>
      <c r="C43" s="201"/>
      <c r="D43" s="201"/>
      <c r="E43" s="201"/>
      <c r="F43" s="201"/>
      <c r="G43" s="201"/>
      <c r="H43" s="201"/>
      <c r="I43" s="201"/>
      <c r="J43" s="201"/>
      <c r="K43" s="82"/>
    </row>
    <row r="44" spans="1:12" ht="26.1" customHeight="1" x14ac:dyDescent="0.2">
      <c r="A44" s="129" t="s">
        <v>25</v>
      </c>
      <c r="B44" s="39" t="s">
        <v>96</v>
      </c>
      <c r="C44" s="95" t="s">
        <v>97</v>
      </c>
      <c r="D44" s="38" t="s">
        <v>33</v>
      </c>
      <c r="E44" s="38" t="s">
        <v>43</v>
      </c>
      <c r="F44" s="54">
        <f t="shared" ref="F44:F75" si="6">+G44+H44+I44+J44+K44</f>
        <v>47009.5</v>
      </c>
      <c r="G44" s="33">
        <v>5951.7</v>
      </c>
      <c r="H44" s="33"/>
      <c r="I44" s="33">
        <f>35528.9-1600-4125</f>
        <v>29803.9</v>
      </c>
      <c r="J44" s="33">
        <v>6753.9</v>
      </c>
      <c r="K44" s="33">
        <v>4500</v>
      </c>
    </row>
    <row r="45" spans="1:12" ht="79.5" customHeight="1" x14ac:dyDescent="0.2">
      <c r="A45" s="55">
        <v>2</v>
      </c>
      <c r="B45" s="73" t="s">
        <v>99</v>
      </c>
      <c r="C45" s="20" t="s">
        <v>100</v>
      </c>
      <c r="D45" s="7" t="s">
        <v>33</v>
      </c>
      <c r="E45" s="7" t="s">
        <v>40</v>
      </c>
      <c r="F45" s="51">
        <f t="shared" si="6"/>
        <v>3906.2999999999997</v>
      </c>
      <c r="G45" s="20">
        <v>1530.2</v>
      </c>
      <c r="H45" s="20">
        <f>1359.1+60.4-69.5</f>
        <v>1350</v>
      </c>
      <c r="I45" s="20"/>
      <c r="J45" s="20">
        <v>1026.0999999999999</v>
      </c>
      <c r="K45" s="20"/>
    </row>
    <row r="46" spans="1:12" ht="15" customHeight="1" x14ac:dyDescent="0.2">
      <c r="A46" s="56">
        <v>3</v>
      </c>
      <c r="B46" s="25" t="s">
        <v>102</v>
      </c>
      <c r="C46" s="97" t="s">
        <v>75</v>
      </c>
      <c r="D46" s="45" t="s">
        <v>62</v>
      </c>
      <c r="E46" s="45" t="s">
        <v>40</v>
      </c>
      <c r="F46" s="52">
        <f t="shared" si="6"/>
        <v>1482.5</v>
      </c>
      <c r="G46" s="97">
        <f>864+118.5</f>
        <v>982.5</v>
      </c>
      <c r="H46" s="97">
        <v>500</v>
      </c>
      <c r="I46" s="97"/>
      <c r="J46" s="97"/>
      <c r="K46" s="97"/>
    </row>
    <row r="47" spans="1:12" ht="15" customHeight="1" x14ac:dyDescent="0.2">
      <c r="A47" s="129">
        <v>4</v>
      </c>
      <c r="B47" s="185" t="s">
        <v>104</v>
      </c>
      <c r="C47" s="20" t="s">
        <v>105</v>
      </c>
      <c r="D47" s="7" t="s">
        <v>106</v>
      </c>
      <c r="E47" s="7" t="s">
        <v>40</v>
      </c>
      <c r="F47" s="51">
        <f t="shared" si="6"/>
        <v>2906.2000000000003</v>
      </c>
      <c r="G47" s="20">
        <v>2636.8</v>
      </c>
      <c r="H47" s="20"/>
      <c r="I47" s="20"/>
      <c r="J47" s="20">
        <v>269.39999999999998</v>
      </c>
      <c r="K47" s="20"/>
    </row>
    <row r="48" spans="1:12" ht="29.1" customHeight="1" x14ac:dyDescent="0.2">
      <c r="A48" s="55">
        <v>5</v>
      </c>
      <c r="B48" s="28" t="s">
        <v>107</v>
      </c>
      <c r="C48" s="20" t="s">
        <v>108</v>
      </c>
      <c r="D48" s="7" t="s">
        <v>109</v>
      </c>
      <c r="E48" s="7" t="s">
        <v>40</v>
      </c>
      <c r="F48" s="67">
        <f t="shared" si="6"/>
        <v>6551.6</v>
      </c>
      <c r="G48" s="27">
        <v>3049.5</v>
      </c>
      <c r="H48" s="20"/>
      <c r="I48" s="20"/>
      <c r="J48" s="20">
        <f>5349.6-1788.3-35.2-24</f>
        <v>3502.1000000000004</v>
      </c>
      <c r="K48" s="20"/>
    </row>
    <row r="49" spans="1:12" ht="15.75" customHeight="1" x14ac:dyDescent="0.2">
      <c r="A49" s="55">
        <v>6</v>
      </c>
      <c r="B49" s="28" t="s">
        <v>111</v>
      </c>
      <c r="C49" s="20" t="s">
        <v>55</v>
      </c>
      <c r="D49" s="7" t="s">
        <v>73</v>
      </c>
      <c r="E49" s="7" t="s">
        <v>112</v>
      </c>
      <c r="F49" s="51">
        <f t="shared" si="6"/>
        <v>4735</v>
      </c>
      <c r="G49" s="20">
        <v>2235</v>
      </c>
      <c r="H49" s="20"/>
      <c r="I49" s="20"/>
      <c r="J49" s="20">
        <v>2500</v>
      </c>
      <c r="K49" s="20"/>
    </row>
    <row r="50" spans="1:12" ht="29.1" customHeight="1" x14ac:dyDescent="0.2">
      <c r="A50" s="55">
        <v>7</v>
      </c>
      <c r="B50" s="28" t="s">
        <v>233</v>
      </c>
      <c r="C50" s="20"/>
      <c r="D50" s="7" t="s">
        <v>36</v>
      </c>
      <c r="E50" s="7" t="s">
        <v>112</v>
      </c>
      <c r="F50" s="67">
        <f>+G50+H50+I50+J50+K50</f>
        <v>4000.6000000000004</v>
      </c>
      <c r="G50" s="27">
        <v>2375.3000000000002</v>
      </c>
      <c r="H50" s="20">
        <v>0</v>
      </c>
      <c r="I50" s="20"/>
      <c r="J50" s="20">
        <v>1625.3</v>
      </c>
      <c r="K50" s="20"/>
      <c r="L50" s="174"/>
    </row>
    <row r="51" spans="1:12" ht="43.5" customHeight="1" x14ac:dyDescent="0.2">
      <c r="A51" s="55">
        <v>8</v>
      </c>
      <c r="B51" s="28" t="s">
        <v>264</v>
      </c>
      <c r="C51" s="20"/>
      <c r="D51" s="7" t="s">
        <v>59</v>
      </c>
      <c r="E51" s="7" t="s">
        <v>43</v>
      </c>
      <c r="F51" s="67">
        <f>+G51+H51+I51+J51+K51</f>
        <v>3100</v>
      </c>
      <c r="G51" s="27">
        <v>2475.1</v>
      </c>
      <c r="H51" s="20"/>
      <c r="I51" s="20"/>
      <c r="J51" s="20">
        <v>100</v>
      </c>
      <c r="K51" s="20">
        <v>524.9</v>
      </c>
      <c r="L51" s="174"/>
    </row>
    <row r="52" spans="1:12" ht="15.75" customHeight="1" x14ac:dyDescent="0.2">
      <c r="A52" s="55">
        <v>9</v>
      </c>
      <c r="B52" s="28" t="s">
        <v>113</v>
      </c>
      <c r="C52" s="20" t="s">
        <v>108</v>
      </c>
      <c r="D52" s="3" t="s">
        <v>59</v>
      </c>
      <c r="E52" s="3" t="s">
        <v>56</v>
      </c>
      <c r="F52" s="51">
        <f t="shared" si="6"/>
        <v>4100</v>
      </c>
      <c r="G52" s="22">
        <v>1476</v>
      </c>
      <c r="H52" s="22"/>
      <c r="I52" s="22"/>
      <c r="J52" s="22">
        <v>2624</v>
      </c>
      <c r="K52" s="22"/>
    </row>
    <row r="53" spans="1:12" ht="41.85" customHeight="1" x14ac:dyDescent="0.2">
      <c r="A53" s="129">
        <v>10</v>
      </c>
      <c r="B53" s="40" t="s">
        <v>114</v>
      </c>
      <c r="C53" s="97" t="s">
        <v>115</v>
      </c>
      <c r="D53" s="4" t="s">
        <v>36</v>
      </c>
      <c r="E53" s="4" t="s">
        <v>40</v>
      </c>
      <c r="F53" s="52">
        <f t="shared" si="6"/>
        <v>369.6</v>
      </c>
      <c r="G53" s="97">
        <f>68+72.9+70.3</f>
        <v>211.2</v>
      </c>
      <c r="H53" s="97">
        <v>158.4</v>
      </c>
      <c r="I53" s="97"/>
      <c r="J53" s="97"/>
      <c r="K53" s="97"/>
    </row>
    <row r="54" spans="1:12" ht="28.5" customHeight="1" x14ac:dyDescent="0.2">
      <c r="A54" s="55">
        <v>11</v>
      </c>
      <c r="B54" s="40" t="s">
        <v>117</v>
      </c>
      <c r="C54" s="97" t="s">
        <v>118</v>
      </c>
      <c r="D54" s="4" t="s">
        <v>28</v>
      </c>
      <c r="E54" s="4" t="s">
        <v>40</v>
      </c>
      <c r="F54" s="52">
        <f t="shared" si="6"/>
        <v>167.7</v>
      </c>
      <c r="G54" s="97">
        <f>97.1-44.1</f>
        <v>52.999999999999993</v>
      </c>
      <c r="H54" s="97">
        <v>114.7</v>
      </c>
      <c r="I54" s="97"/>
      <c r="J54" s="97"/>
      <c r="K54" s="97"/>
    </row>
    <row r="55" spans="1:12" ht="27" customHeight="1" x14ac:dyDescent="0.2">
      <c r="A55" s="131">
        <v>12</v>
      </c>
      <c r="B55" s="40" t="s">
        <v>129</v>
      </c>
      <c r="C55" s="20" t="s">
        <v>130</v>
      </c>
      <c r="D55" s="6" t="s">
        <v>28</v>
      </c>
      <c r="E55" s="6" t="s">
        <v>40</v>
      </c>
      <c r="F55" s="64">
        <f t="shared" si="6"/>
        <v>5367.6</v>
      </c>
      <c r="G55" s="26">
        <f>768.4+2790.8+249.7+120</f>
        <v>3928.9</v>
      </c>
      <c r="H55" s="26"/>
      <c r="I55" s="26"/>
      <c r="J55" s="26">
        <v>1438.7</v>
      </c>
      <c r="K55" s="26"/>
    </row>
    <row r="56" spans="1:12" ht="42" customHeight="1" x14ac:dyDescent="0.2">
      <c r="A56" s="129">
        <v>13</v>
      </c>
      <c r="B56" s="39" t="s">
        <v>134</v>
      </c>
      <c r="C56" s="22" t="s">
        <v>55</v>
      </c>
      <c r="D56" s="38" t="s">
        <v>28</v>
      </c>
      <c r="E56" s="74">
        <v>2024</v>
      </c>
      <c r="F56" s="63">
        <f t="shared" si="6"/>
        <v>1400</v>
      </c>
      <c r="G56" s="42">
        <v>400</v>
      </c>
      <c r="H56" s="78"/>
      <c r="I56" s="22"/>
      <c r="J56" s="22">
        <v>1000</v>
      </c>
      <c r="K56" s="22"/>
    </row>
    <row r="57" spans="1:12" ht="42" customHeight="1" x14ac:dyDescent="0.2">
      <c r="A57" s="129">
        <v>14</v>
      </c>
      <c r="B57" s="39" t="s">
        <v>234</v>
      </c>
      <c r="C57" s="22"/>
      <c r="D57" s="38" t="s">
        <v>133</v>
      </c>
      <c r="E57" s="74">
        <v>2026</v>
      </c>
      <c r="F57" s="63">
        <f t="shared" si="6"/>
        <v>1700.1</v>
      </c>
      <c r="G57" s="42">
        <v>1700.1</v>
      </c>
      <c r="H57" s="78"/>
      <c r="I57" s="22"/>
      <c r="J57" s="22"/>
      <c r="K57" s="22"/>
      <c r="L57" s="166"/>
    </row>
    <row r="58" spans="1:12" ht="28.5" customHeight="1" x14ac:dyDescent="0.2">
      <c r="A58" s="129">
        <v>15</v>
      </c>
      <c r="B58" s="39" t="s">
        <v>135</v>
      </c>
      <c r="C58" s="20" t="s">
        <v>86</v>
      </c>
      <c r="D58" s="38" t="s">
        <v>28</v>
      </c>
      <c r="E58" s="74">
        <v>2024</v>
      </c>
      <c r="F58" s="63">
        <f t="shared" si="6"/>
        <v>515</v>
      </c>
      <c r="G58" s="42">
        <v>515</v>
      </c>
      <c r="H58" s="78"/>
      <c r="I58" s="22"/>
      <c r="J58" s="22"/>
      <c r="K58" s="22"/>
    </row>
    <row r="59" spans="1:12" ht="16.5" customHeight="1" x14ac:dyDescent="0.2">
      <c r="A59" s="129">
        <v>16</v>
      </c>
      <c r="B59" s="39" t="s">
        <v>136</v>
      </c>
      <c r="C59" s="20" t="s">
        <v>75</v>
      </c>
      <c r="D59" s="38" t="s">
        <v>40</v>
      </c>
      <c r="E59" s="74">
        <v>2024</v>
      </c>
      <c r="F59" s="63">
        <f t="shared" si="6"/>
        <v>359</v>
      </c>
      <c r="G59" s="42">
        <v>359</v>
      </c>
      <c r="H59" s="78"/>
      <c r="I59" s="22"/>
      <c r="J59" s="22"/>
      <c r="K59" s="22"/>
    </row>
    <row r="60" spans="1:12" ht="26.25" customHeight="1" x14ac:dyDescent="0.2">
      <c r="A60" s="129">
        <v>17</v>
      </c>
      <c r="B60" s="39" t="s">
        <v>252</v>
      </c>
      <c r="C60" s="22" t="s">
        <v>138</v>
      </c>
      <c r="D60" s="38" t="s">
        <v>28</v>
      </c>
      <c r="E60" s="74">
        <v>2026</v>
      </c>
      <c r="F60" s="63">
        <f t="shared" si="6"/>
        <v>3200</v>
      </c>
      <c r="G60" s="42">
        <v>800</v>
      </c>
      <c r="H60" s="78"/>
      <c r="I60" s="22"/>
      <c r="J60" s="22">
        <v>2400</v>
      </c>
      <c r="K60" s="22"/>
    </row>
    <row r="61" spans="1:12" ht="28.5" customHeight="1" x14ac:dyDescent="0.2">
      <c r="A61" s="55">
        <v>18</v>
      </c>
      <c r="B61" s="73" t="s">
        <v>139</v>
      </c>
      <c r="C61" s="20" t="s">
        <v>92</v>
      </c>
      <c r="D61" s="74">
        <v>2021</v>
      </c>
      <c r="E61" s="74">
        <v>2025</v>
      </c>
      <c r="F61" s="63">
        <f t="shared" si="6"/>
        <v>1200.0999999999999</v>
      </c>
      <c r="G61" s="42">
        <v>300.10000000000002</v>
      </c>
      <c r="H61" s="78"/>
      <c r="I61" s="22"/>
      <c r="J61" s="22">
        <v>900</v>
      </c>
      <c r="K61" s="22"/>
    </row>
    <row r="62" spans="1:12" ht="28.5" customHeight="1" x14ac:dyDescent="0.2">
      <c r="A62" s="55">
        <v>19</v>
      </c>
      <c r="B62" s="115" t="s">
        <v>235</v>
      </c>
      <c r="C62" s="20"/>
      <c r="D62" s="172">
        <v>2021</v>
      </c>
      <c r="E62" s="173">
        <v>2025</v>
      </c>
      <c r="F62" s="63">
        <f t="shared" si="6"/>
        <v>4050.1</v>
      </c>
      <c r="G62" s="42">
        <v>2050.1</v>
      </c>
      <c r="H62" s="78"/>
      <c r="I62" s="22"/>
      <c r="J62" s="22">
        <v>2000</v>
      </c>
      <c r="K62" s="22"/>
      <c r="L62" s="184"/>
    </row>
    <row r="63" spans="1:12" ht="29.45" customHeight="1" x14ac:dyDescent="0.2">
      <c r="A63" s="55">
        <v>20</v>
      </c>
      <c r="B63" s="187" t="s">
        <v>140</v>
      </c>
      <c r="C63" s="20" t="s">
        <v>141</v>
      </c>
      <c r="D63" s="88">
        <v>2021</v>
      </c>
      <c r="E63" s="88">
        <v>2023</v>
      </c>
      <c r="F63" s="63">
        <f t="shared" si="6"/>
        <v>332</v>
      </c>
      <c r="G63" s="42">
        <f>360-28</f>
        <v>332</v>
      </c>
      <c r="H63" s="78"/>
      <c r="I63" s="22"/>
      <c r="J63" s="22"/>
      <c r="K63" s="22"/>
    </row>
    <row r="64" spans="1:12" ht="44.1" customHeight="1" x14ac:dyDescent="0.2">
      <c r="A64" s="55">
        <v>21</v>
      </c>
      <c r="B64" s="115" t="s">
        <v>258</v>
      </c>
      <c r="C64" s="20" t="s">
        <v>143</v>
      </c>
      <c r="D64" s="116">
        <v>2022</v>
      </c>
      <c r="E64" s="89">
        <v>2023</v>
      </c>
      <c r="F64" s="63">
        <f t="shared" si="6"/>
        <v>133.20000000000002</v>
      </c>
      <c r="G64" s="42">
        <v>0.9</v>
      </c>
      <c r="H64" s="78"/>
      <c r="I64" s="22">
        <v>132.30000000000001</v>
      </c>
      <c r="J64" s="22"/>
      <c r="K64" s="22"/>
    </row>
    <row r="65" spans="1:12" ht="42.6" customHeight="1" x14ac:dyDescent="0.2">
      <c r="A65" s="55">
        <v>22</v>
      </c>
      <c r="B65" s="115" t="s">
        <v>259</v>
      </c>
      <c r="C65" s="102" t="s">
        <v>143</v>
      </c>
      <c r="D65" s="88">
        <v>2022</v>
      </c>
      <c r="E65" s="89">
        <v>2023</v>
      </c>
      <c r="F65" s="63">
        <f t="shared" si="6"/>
        <v>1781.5</v>
      </c>
      <c r="G65" s="42">
        <v>2.2000000000000002</v>
      </c>
      <c r="H65" s="78"/>
      <c r="I65" s="22">
        <v>1779.3</v>
      </c>
      <c r="J65" s="22"/>
      <c r="K65" s="22"/>
    </row>
    <row r="66" spans="1:12" ht="42.6" customHeight="1" x14ac:dyDescent="0.2">
      <c r="A66" s="55">
        <v>23</v>
      </c>
      <c r="B66" s="115" t="s">
        <v>145</v>
      </c>
      <c r="C66" s="102" t="s">
        <v>92</v>
      </c>
      <c r="D66" s="88">
        <v>2022</v>
      </c>
      <c r="E66" s="89">
        <v>2025</v>
      </c>
      <c r="F66" s="63">
        <f t="shared" si="6"/>
        <v>6625.1</v>
      </c>
      <c r="G66" s="42">
        <v>6625.1</v>
      </c>
      <c r="H66" s="78"/>
      <c r="I66" s="22"/>
      <c r="J66" s="22"/>
      <c r="K66" s="22"/>
    </row>
    <row r="67" spans="1:12" ht="41.85" customHeight="1" x14ac:dyDescent="0.2">
      <c r="A67" s="55">
        <v>24</v>
      </c>
      <c r="B67" s="115" t="s">
        <v>146</v>
      </c>
      <c r="C67" s="102" t="s">
        <v>35</v>
      </c>
      <c r="D67" s="88">
        <v>2022</v>
      </c>
      <c r="E67" s="89">
        <v>2023</v>
      </c>
      <c r="F67" s="63">
        <f t="shared" si="6"/>
        <v>8916.3000000000011</v>
      </c>
      <c r="G67" s="42">
        <f>617.7+720</f>
        <v>1337.7</v>
      </c>
      <c r="H67" s="22">
        <v>7578.6</v>
      </c>
      <c r="I67" s="22"/>
      <c r="J67" s="22"/>
      <c r="K67" s="22"/>
    </row>
    <row r="68" spans="1:12" ht="41.85" customHeight="1" x14ac:dyDescent="0.2">
      <c r="A68" s="55">
        <v>25</v>
      </c>
      <c r="B68" s="115" t="s">
        <v>236</v>
      </c>
      <c r="C68" s="102"/>
      <c r="D68" s="88">
        <v>2022</v>
      </c>
      <c r="E68" s="89">
        <v>2026</v>
      </c>
      <c r="F68" s="63">
        <f t="shared" si="6"/>
        <v>530.1</v>
      </c>
      <c r="G68" s="42">
        <v>530.1</v>
      </c>
      <c r="H68" s="22"/>
      <c r="I68" s="22"/>
      <c r="J68" s="22"/>
      <c r="K68" s="22"/>
      <c r="L68" s="184"/>
    </row>
    <row r="69" spans="1:12" ht="34.5" customHeight="1" x14ac:dyDescent="0.2">
      <c r="A69" s="55">
        <v>26</v>
      </c>
      <c r="B69" s="115" t="s">
        <v>237</v>
      </c>
      <c r="C69" s="102"/>
      <c r="D69" s="88">
        <v>2023</v>
      </c>
      <c r="E69" s="89">
        <v>2024</v>
      </c>
      <c r="F69" s="63">
        <f t="shared" si="6"/>
        <v>850</v>
      </c>
      <c r="G69" s="42"/>
      <c r="H69" s="22"/>
      <c r="I69" s="22">
        <v>850</v>
      </c>
      <c r="J69" s="22"/>
      <c r="K69" s="22"/>
      <c r="L69" s="166"/>
    </row>
    <row r="70" spans="1:12" ht="21.75" customHeight="1" x14ac:dyDescent="0.2">
      <c r="A70" s="55">
        <v>27</v>
      </c>
      <c r="B70" s="93" t="s">
        <v>238</v>
      </c>
      <c r="C70" s="20"/>
      <c r="D70" s="88">
        <v>2024</v>
      </c>
      <c r="E70" s="88">
        <v>2026</v>
      </c>
      <c r="F70" s="63">
        <f t="shared" si="6"/>
        <v>1150.0999999999999</v>
      </c>
      <c r="G70" s="42">
        <v>569.9</v>
      </c>
      <c r="H70" s="78"/>
      <c r="I70" s="22"/>
      <c r="J70" s="22">
        <v>580.20000000000005</v>
      </c>
      <c r="K70" s="22"/>
      <c r="L70" s="166"/>
    </row>
    <row r="71" spans="1:12" ht="41.25" customHeight="1" x14ac:dyDescent="0.2">
      <c r="A71" s="55">
        <v>28</v>
      </c>
      <c r="B71" s="115" t="s">
        <v>260</v>
      </c>
      <c r="C71" s="20"/>
      <c r="D71" s="88">
        <v>2025</v>
      </c>
      <c r="E71" s="89">
        <v>2027</v>
      </c>
      <c r="F71" s="63">
        <f t="shared" si="6"/>
        <v>4200</v>
      </c>
      <c r="G71" s="42">
        <v>4200</v>
      </c>
      <c r="H71" s="78"/>
      <c r="I71" s="22"/>
      <c r="J71" s="22"/>
      <c r="K71" s="22"/>
      <c r="L71" s="166"/>
    </row>
    <row r="72" spans="1:12" ht="29.45" customHeight="1" x14ac:dyDescent="0.2">
      <c r="A72" s="55">
        <v>29</v>
      </c>
      <c r="B72" s="115" t="s">
        <v>239</v>
      </c>
      <c r="C72" s="20"/>
      <c r="D72" s="88">
        <v>2023</v>
      </c>
      <c r="E72" s="89">
        <v>2026</v>
      </c>
      <c r="F72" s="63">
        <f t="shared" si="6"/>
        <v>1000</v>
      </c>
      <c r="G72" s="42">
        <v>1000</v>
      </c>
      <c r="H72" s="78"/>
      <c r="I72" s="22"/>
      <c r="J72" s="22"/>
      <c r="K72" s="22"/>
      <c r="L72" s="166"/>
    </row>
    <row r="73" spans="1:12" ht="57.75" customHeight="1" x14ac:dyDescent="0.2">
      <c r="A73" s="55">
        <v>30</v>
      </c>
      <c r="B73" s="115" t="s">
        <v>240</v>
      </c>
      <c r="C73" s="20"/>
      <c r="D73" s="88">
        <v>2024</v>
      </c>
      <c r="E73" s="89">
        <v>2025</v>
      </c>
      <c r="F73" s="63">
        <f t="shared" si="6"/>
        <v>240</v>
      </c>
      <c r="G73" s="42">
        <v>240</v>
      </c>
      <c r="H73" s="78"/>
      <c r="I73" s="22"/>
      <c r="J73" s="22"/>
      <c r="K73" s="22"/>
      <c r="L73" s="166"/>
    </row>
    <row r="74" spans="1:12" ht="32.450000000000003" customHeight="1" x14ac:dyDescent="0.2">
      <c r="A74" s="55">
        <v>31</v>
      </c>
      <c r="B74" s="115" t="s">
        <v>241</v>
      </c>
      <c r="C74" s="20"/>
      <c r="D74" s="88">
        <v>2022</v>
      </c>
      <c r="E74" s="89">
        <v>2028</v>
      </c>
      <c r="F74" s="63">
        <f t="shared" si="6"/>
        <v>5179.2000000000007</v>
      </c>
      <c r="G74" s="42">
        <v>929.1</v>
      </c>
      <c r="H74" s="22">
        <v>4250.1000000000004</v>
      </c>
      <c r="I74" s="22"/>
      <c r="J74" s="22"/>
      <c r="K74" s="22"/>
      <c r="L74" s="168"/>
    </row>
    <row r="75" spans="1:12" ht="71.45" customHeight="1" x14ac:dyDescent="0.2">
      <c r="A75" s="55">
        <v>32</v>
      </c>
      <c r="B75" s="93" t="s">
        <v>223</v>
      </c>
      <c r="C75" s="20" t="s">
        <v>148</v>
      </c>
      <c r="D75" s="88">
        <v>2022</v>
      </c>
      <c r="E75" s="88">
        <v>2027</v>
      </c>
      <c r="F75" s="63">
        <f t="shared" si="6"/>
        <v>16912.7</v>
      </c>
      <c r="G75" s="42">
        <f>260.1+2497.9</f>
        <v>2758</v>
      </c>
      <c r="H75" s="22">
        <v>14154.7</v>
      </c>
      <c r="I75" s="22"/>
      <c r="J75" s="22"/>
      <c r="K75" s="22"/>
      <c r="L75" s="169"/>
    </row>
    <row r="76" spans="1:12" ht="17.850000000000001" customHeight="1" x14ac:dyDescent="0.2">
      <c r="A76" s="111">
        <v>32</v>
      </c>
      <c r="B76" s="68" t="s">
        <v>44</v>
      </c>
      <c r="C76" s="104"/>
      <c r="D76" s="105"/>
      <c r="E76" s="70" t="s">
        <v>18</v>
      </c>
      <c r="F76" s="47">
        <f t="shared" ref="F76:K76" si="7">SUM(F44:F75)</f>
        <v>143971.10000000006</v>
      </c>
      <c r="G76" s="47">
        <f t="shared" si="7"/>
        <v>51554.499999999993</v>
      </c>
      <c r="H76" s="47">
        <f t="shared" si="7"/>
        <v>28106.5</v>
      </c>
      <c r="I76" s="47">
        <f t="shared" si="7"/>
        <v>32565.5</v>
      </c>
      <c r="J76" s="47">
        <f t="shared" si="7"/>
        <v>26719.7</v>
      </c>
      <c r="K76" s="47">
        <f t="shared" si="7"/>
        <v>5024.8999999999996</v>
      </c>
    </row>
    <row r="77" spans="1:12" ht="18" customHeight="1" x14ac:dyDescent="0.2">
      <c r="A77" s="203" t="s">
        <v>149</v>
      </c>
      <c r="B77" s="204"/>
      <c r="C77" s="204"/>
      <c r="D77" s="204"/>
      <c r="E77" s="204"/>
      <c r="F77" s="204"/>
      <c r="G77" s="204"/>
      <c r="H77" s="204"/>
      <c r="I77" s="204"/>
      <c r="J77" s="204"/>
      <c r="K77" s="112"/>
    </row>
    <row r="78" spans="1:12" ht="41.25" customHeight="1" x14ac:dyDescent="0.2">
      <c r="A78" s="129" t="s">
        <v>25</v>
      </c>
      <c r="B78" s="41" t="s">
        <v>150</v>
      </c>
      <c r="C78" s="20" t="s">
        <v>151</v>
      </c>
      <c r="D78" s="35" t="s">
        <v>133</v>
      </c>
      <c r="E78" s="3" t="s">
        <v>43</v>
      </c>
      <c r="F78" s="67">
        <f t="shared" ref="F78:F91" si="8">+G78+H78+I78+J78+K78</f>
        <v>16531.599999999999</v>
      </c>
      <c r="G78" s="27">
        <v>16531.599999999999</v>
      </c>
      <c r="H78" s="22"/>
      <c r="I78" s="22"/>
      <c r="J78" s="22"/>
      <c r="K78" s="22"/>
    </row>
    <row r="79" spans="1:12" ht="39.6" customHeight="1" x14ac:dyDescent="0.2">
      <c r="A79" s="129" t="s">
        <v>48</v>
      </c>
      <c r="B79" s="41" t="s">
        <v>152</v>
      </c>
      <c r="C79" s="20" t="s">
        <v>153</v>
      </c>
      <c r="D79" s="35" t="s">
        <v>33</v>
      </c>
      <c r="E79" s="3" t="s">
        <v>40</v>
      </c>
      <c r="F79" s="51">
        <f t="shared" si="8"/>
        <v>11271.100000000002</v>
      </c>
      <c r="G79" s="22">
        <f>4468.3+30</f>
        <v>4498.3</v>
      </c>
      <c r="H79" s="22">
        <v>6222.6</v>
      </c>
      <c r="I79" s="26">
        <v>550.20000000000005</v>
      </c>
      <c r="J79" s="26"/>
      <c r="K79" s="26"/>
    </row>
    <row r="80" spans="1:12" ht="52.5" customHeight="1" x14ac:dyDescent="0.2">
      <c r="A80" s="129">
        <v>3</v>
      </c>
      <c r="B80" s="81" t="s">
        <v>155</v>
      </c>
      <c r="C80" s="97" t="s">
        <v>75</v>
      </c>
      <c r="D80" s="36" t="s">
        <v>133</v>
      </c>
      <c r="E80" s="6" t="s">
        <v>112</v>
      </c>
      <c r="F80" s="52">
        <f t="shared" si="8"/>
        <v>6088.4</v>
      </c>
      <c r="G80" s="26">
        <v>6088.4</v>
      </c>
      <c r="H80" s="26"/>
      <c r="I80" s="26"/>
      <c r="J80" s="22"/>
      <c r="K80" s="22"/>
    </row>
    <row r="81" spans="1:12" ht="40.5" customHeight="1" x14ac:dyDescent="0.2">
      <c r="A81" s="129">
        <v>4</v>
      </c>
      <c r="B81" s="41" t="s">
        <v>156</v>
      </c>
      <c r="C81" s="20" t="s">
        <v>32</v>
      </c>
      <c r="D81" s="3" t="s">
        <v>36</v>
      </c>
      <c r="E81" s="3" t="s">
        <v>40</v>
      </c>
      <c r="F81" s="51">
        <f t="shared" si="8"/>
        <v>460.5</v>
      </c>
      <c r="G81" s="20">
        <v>436</v>
      </c>
      <c r="H81" s="22"/>
      <c r="I81" s="22">
        <v>24.5</v>
      </c>
      <c r="J81" s="22"/>
      <c r="K81" s="22"/>
    </row>
    <row r="82" spans="1:12" ht="29.1" customHeight="1" x14ac:dyDescent="0.2">
      <c r="A82" s="129">
        <v>5</v>
      </c>
      <c r="B82" s="41" t="s">
        <v>158</v>
      </c>
      <c r="C82" s="20" t="s">
        <v>143</v>
      </c>
      <c r="D82" s="3" t="s">
        <v>33</v>
      </c>
      <c r="E82" s="3" t="s">
        <v>112</v>
      </c>
      <c r="F82" s="51">
        <f t="shared" si="8"/>
        <v>1458.8</v>
      </c>
      <c r="G82" s="22">
        <v>1458.8</v>
      </c>
      <c r="H82" s="22"/>
      <c r="I82" s="22"/>
      <c r="J82" s="22"/>
      <c r="K82" s="22"/>
    </row>
    <row r="83" spans="1:12" ht="30" customHeight="1" x14ac:dyDescent="0.2">
      <c r="A83" s="129">
        <v>6</v>
      </c>
      <c r="B83" s="41" t="s">
        <v>159</v>
      </c>
      <c r="C83" s="20" t="s">
        <v>105</v>
      </c>
      <c r="D83" s="3" t="s">
        <v>59</v>
      </c>
      <c r="E83" s="3" t="s">
        <v>56</v>
      </c>
      <c r="F83" s="51">
        <f t="shared" si="8"/>
        <v>181.8</v>
      </c>
      <c r="G83" s="22">
        <f>165+16.8</f>
        <v>181.8</v>
      </c>
      <c r="H83" s="22"/>
      <c r="I83" s="22"/>
      <c r="J83" s="22"/>
      <c r="K83" s="22"/>
    </row>
    <row r="84" spans="1:12" ht="17.850000000000001" customHeight="1" x14ac:dyDescent="0.2">
      <c r="A84" s="129">
        <v>7</v>
      </c>
      <c r="B84" s="41" t="s">
        <v>162</v>
      </c>
      <c r="C84" s="22" t="s">
        <v>125</v>
      </c>
      <c r="D84" s="3" t="s">
        <v>133</v>
      </c>
      <c r="E84" s="3" t="s">
        <v>56</v>
      </c>
      <c r="F84" s="51">
        <f t="shared" si="8"/>
        <v>1512</v>
      </c>
      <c r="G84" s="22">
        <v>1512</v>
      </c>
      <c r="H84" s="22"/>
      <c r="I84" s="22"/>
      <c r="J84" s="22"/>
      <c r="K84" s="22"/>
    </row>
    <row r="85" spans="1:12" ht="16.5" customHeight="1" x14ac:dyDescent="0.2">
      <c r="A85" s="129">
        <v>8</v>
      </c>
      <c r="B85" s="41" t="s">
        <v>167</v>
      </c>
      <c r="C85" s="20" t="s">
        <v>168</v>
      </c>
      <c r="D85" s="12" t="s">
        <v>62</v>
      </c>
      <c r="E85" s="14" t="s">
        <v>43</v>
      </c>
      <c r="F85" s="51">
        <f t="shared" si="8"/>
        <v>3850</v>
      </c>
      <c r="G85" s="20">
        <f>3178.3+231+440.7</f>
        <v>3850</v>
      </c>
      <c r="H85" s="20"/>
      <c r="I85" s="20"/>
      <c r="J85" s="20"/>
      <c r="K85" s="97"/>
    </row>
    <row r="86" spans="1:12" ht="52.5" customHeight="1" x14ac:dyDescent="0.2">
      <c r="A86" s="129">
        <v>9</v>
      </c>
      <c r="B86" s="81" t="s">
        <v>170</v>
      </c>
      <c r="C86" s="118" t="s">
        <v>68</v>
      </c>
      <c r="D86" s="7" t="s">
        <v>59</v>
      </c>
      <c r="E86" s="7" t="s">
        <v>56</v>
      </c>
      <c r="F86" s="119">
        <f t="shared" si="8"/>
        <v>2673.9</v>
      </c>
      <c r="G86" s="118">
        <f>14.5+2659.4</f>
        <v>2673.9</v>
      </c>
      <c r="H86" s="96"/>
      <c r="I86" s="120"/>
      <c r="J86" s="120"/>
      <c r="K86" s="97"/>
    </row>
    <row r="87" spans="1:12" ht="29.1" customHeight="1" x14ac:dyDescent="0.2">
      <c r="A87" s="129">
        <v>10</v>
      </c>
      <c r="B87" s="41" t="s">
        <v>253</v>
      </c>
      <c r="C87" s="20"/>
      <c r="D87" s="3" t="s">
        <v>40</v>
      </c>
      <c r="E87" s="2" t="s">
        <v>43</v>
      </c>
      <c r="F87" s="51">
        <f t="shared" si="8"/>
        <v>130</v>
      </c>
      <c r="G87" s="22">
        <v>130</v>
      </c>
      <c r="H87" s="22"/>
      <c r="I87" s="22"/>
      <c r="J87" s="22"/>
      <c r="K87" s="26"/>
      <c r="L87" s="166"/>
    </row>
    <row r="88" spans="1:12" ht="29.25" customHeight="1" x14ac:dyDescent="0.2">
      <c r="A88" s="129">
        <v>11</v>
      </c>
      <c r="B88" s="41" t="s">
        <v>261</v>
      </c>
      <c r="C88" s="20"/>
      <c r="D88" s="35" t="s">
        <v>40</v>
      </c>
      <c r="E88" s="3" t="s">
        <v>112</v>
      </c>
      <c r="F88" s="51">
        <f t="shared" si="8"/>
        <v>7000</v>
      </c>
      <c r="G88" s="22">
        <v>2800</v>
      </c>
      <c r="H88" s="22">
        <v>4200</v>
      </c>
      <c r="I88" s="22"/>
      <c r="J88" s="22"/>
      <c r="K88" s="22"/>
      <c r="L88" s="168"/>
    </row>
    <row r="89" spans="1:12" ht="28.35" customHeight="1" x14ac:dyDescent="0.2">
      <c r="A89" s="129">
        <v>12</v>
      </c>
      <c r="B89" s="41" t="s">
        <v>171</v>
      </c>
      <c r="C89" s="20" t="s">
        <v>172</v>
      </c>
      <c r="D89" s="35" t="s">
        <v>133</v>
      </c>
      <c r="E89" s="3" t="s">
        <v>40</v>
      </c>
      <c r="F89" s="51">
        <f t="shared" si="8"/>
        <v>6324.4000000000005</v>
      </c>
      <c r="G89" s="22">
        <v>1214</v>
      </c>
      <c r="H89" s="22">
        <v>4696.1000000000004</v>
      </c>
      <c r="I89" s="22">
        <v>414.3</v>
      </c>
      <c r="J89" s="22"/>
      <c r="K89" s="22"/>
    </row>
    <row r="90" spans="1:12" ht="28.35" customHeight="1" x14ac:dyDescent="0.2">
      <c r="A90" s="163">
        <v>13</v>
      </c>
      <c r="B90" s="41" t="s">
        <v>224</v>
      </c>
      <c r="C90" s="43"/>
      <c r="D90" s="3" t="s">
        <v>40</v>
      </c>
      <c r="E90" s="164" t="s">
        <v>37</v>
      </c>
      <c r="F90" s="119">
        <f t="shared" si="8"/>
        <v>1205</v>
      </c>
      <c r="G90" s="22">
        <f>605+600</f>
        <v>1205</v>
      </c>
      <c r="H90" s="22"/>
      <c r="I90" s="22"/>
      <c r="J90" s="22"/>
      <c r="K90" s="22"/>
    </row>
    <row r="91" spans="1:12" ht="28.35" customHeight="1" x14ac:dyDescent="0.2">
      <c r="A91" s="163">
        <v>14</v>
      </c>
      <c r="B91" s="41" t="s">
        <v>225</v>
      </c>
      <c r="C91" s="43"/>
      <c r="D91" s="3" t="s">
        <v>40</v>
      </c>
      <c r="E91" s="164" t="s">
        <v>43</v>
      </c>
      <c r="F91" s="119">
        <f t="shared" si="8"/>
        <v>1040.2</v>
      </c>
      <c r="G91" s="22">
        <f>24.2+508+508</f>
        <v>1040.2</v>
      </c>
      <c r="H91" s="22"/>
      <c r="I91" s="22"/>
      <c r="J91" s="22"/>
      <c r="K91" s="22"/>
    </row>
    <row r="92" spans="1:12" ht="15" customHeight="1" x14ac:dyDescent="0.2">
      <c r="A92" s="57">
        <v>14</v>
      </c>
      <c r="B92" s="68" t="s">
        <v>94</v>
      </c>
      <c r="C92" s="103"/>
      <c r="D92" s="105"/>
      <c r="E92" s="46" t="s">
        <v>18</v>
      </c>
      <c r="F92" s="47">
        <f>SUM(F78:F91)</f>
        <v>59727.700000000004</v>
      </c>
      <c r="G92" s="47">
        <f t="shared" ref="G92:K92" si="9">SUM(G78:G91)</f>
        <v>43619.999999999993</v>
      </c>
      <c r="H92" s="47">
        <f t="shared" si="9"/>
        <v>15118.7</v>
      </c>
      <c r="I92" s="47">
        <f t="shared" si="9"/>
        <v>989</v>
      </c>
      <c r="J92" s="47">
        <f t="shared" si="9"/>
        <v>0</v>
      </c>
      <c r="K92" s="47">
        <f t="shared" si="9"/>
        <v>0</v>
      </c>
    </row>
    <row r="93" spans="1:12" s="29" customFormat="1" ht="15" customHeight="1" x14ac:dyDescent="0.25">
      <c r="A93" s="205" t="s">
        <v>173</v>
      </c>
      <c r="B93" s="206"/>
      <c r="C93" s="206"/>
      <c r="D93" s="206"/>
      <c r="E93" s="206"/>
      <c r="F93" s="206"/>
      <c r="G93" s="206"/>
      <c r="H93" s="206"/>
      <c r="I93" s="206"/>
      <c r="J93" s="206"/>
      <c r="K93" s="83"/>
    </row>
    <row r="94" spans="1:12" s="29" customFormat="1" ht="53.25" customHeight="1" x14ac:dyDescent="0.25">
      <c r="A94" s="55" t="s">
        <v>25</v>
      </c>
      <c r="B94" s="79" t="s">
        <v>174</v>
      </c>
      <c r="C94" s="30" t="s">
        <v>175</v>
      </c>
      <c r="D94" s="10" t="s">
        <v>73</v>
      </c>
      <c r="E94" s="10" t="s">
        <v>40</v>
      </c>
      <c r="F94" s="51">
        <f>G94+H94+I94+J94+K94</f>
        <v>2020.8000000000002</v>
      </c>
      <c r="G94" s="20">
        <v>830.7</v>
      </c>
      <c r="H94" s="20">
        <f>1129.4+60.7</f>
        <v>1190.1000000000001</v>
      </c>
      <c r="I94" s="20"/>
      <c r="J94" s="20"/>
      <c r="K94" s="20"/>
    </row>
    <row r="95" spans="1:12" s="29" customFormat="1" ht="27.75" customHeight="1" x14ac:dyDescent="0.25">
      <c r="A95" s="55">
        <v>2</v>
      </c>
      <c r="B95" s="31" t="s">
        <v>177</v>
      </c>
      <c r="C95" s="30" t="s">
        <v>84</v>
      </c>
      <c r="D95" s="10" t="s">
        <v>33</v>
      </c>
      <c r="E95" s="11" t="s">
        <v>40</v>
      </c>
      <c r="F95" s="51">
        <f>G95+H95+I95+J95+K95</f>
        <v>1050</v>
      </c>
      <c r="G95" s="20">
        <v>1050</v>
      </c>
      <c r="H95" s="20"/>
      <c r="I95" s="20"/>
      <c r="J95" s="20"/>
      <c r="K95" s="20"/>
    </row>
    <row r="96" spans="1:12" s="29" customFormat="1" ht="40.5" customHeight="1" x14ac:dyDescent="0.25">
      <c r="A96" s="55">
        <v>3</v>
      </c>
      <c r="B96" s="101" t="s">
        <v>178</v>
      </c>
      <c r="C96" s="30" t="s">
        <v>100</v>
      </c>
      <c r="D96" s="10" t="s">
        <v>33</v>
      </c>
      <c r="E96" s="11" t="s">
        <v>112</v>
      </c>
      <c r="F96" s="51">
        <f>+G96+H96+I96+J96+K96</f>
        <v>8600</v>
      </c>
      <c r="G96" s="20">
        <v>8600</v>
      </c>
      <c r="H96" s="20"/>
      <c r="I96" s="20"/>
      <c r="J96" s="20"/>
      <c r="K96" s="20"/>
    </row>
    <row r="97" spans="1:11" s="29" customFormat="1" ht="29.85" customHeight="1" x14ac:dyDescent="0.25">
      <c r="A97" s="55">
        <v>4</v>
      </c>
      <c r="B97" s="79" t="s">
        <v>179</v>
      </c>
      <c r="C97" s="30" t="s">
        <v>55</v>
      </c>
      <c r="D97" s="10" t="s">
        <v>28</v>
      </c>
      <c r="E97" s="11" t="s">
        <v>37</v>
      </c>
      <c r="F97" s="51">
        <f t="shared" ref="F97:F99" si="10">+G97+H97+I97+J97+K97</f>
        <v>120</v>
      </c>
      <c r="G97" s="20">
        <v>120</v>
      </c>
      <c r="H97" s="20"/>
      <c r="I97" s="20"/>
      <c r="J97" s="20"/>
      <c r="K97" s="20"/>
    </row>
    <row r="98" spans="1:11" s="29" customFormat="1" ht="25.5" customHeight="1" x14ac:dyDescent="0.25">
      <c r="A98" s="55">
        <v>5</v>
      </c>
      <c r="B98" s="73" t="s">
        <v>180</v>
      </c>
      <c r="C98" s="30" t="s">
        <v>181</v>
      </c>
      <c r="D98" s="10" t="s">
        <v>36</v>
      </c>
      <c r="E98" s="10" t="s">
        <v>43</v>
      </c>
      <c r="F98" s="51">
        <f t="shared" si="10"/>
        <v>1636.9</v>
      </c>
      <c r="G98" s="20">
        <v>1636.9</v>
      </c>
      <c r="H98" s="20"/>
      <c r="I98" s="20"/>
      <c r="J98" s="20"/>
      <c r="K98" s="20"/>
    </row>
    <row r="99" spans="1:11" s="29" customFormat="1" ht="25.5" customHeight="1" x14ac:dyDescent="0.25">
      <c r="A99" s="59">
        <v>6</v>
      </c>
      <c r="B99" s="177" t="s">
        <v>250</v>
      </c>
      <c r="C99" s="175"/>
      <c r="D99" s="176" t="s">
        <v>40</v>
      </c>
      <c r="E99" s="10" t="s">
        <v>243</v>
      </c>
      <c r="F99" s="51">
        <f t="shared" si="10"/>
        <v>38459.1</v>
      </c>
      <c r="G99" s="20">
        <v>759.1</v>
      </c>
      <c r="H99" s="20"/>
      <c r="I99" s="20"/>
      <c r="J99" s="20"/>
      <c r="K99" s="20">
        <v>37700</v>
      </c>
    </row>
    <row r="100" spans="1:11" s="29" customFormat="1" ht="15.75" customHeight="1" x14ac:dyDescent="0.25">
      <c r="A100" s="57">
        <v>6</v>
      </c>
      <c r="B100" s="80" t="s">
        <v>44</v>
      </c>
      <c r="C100" s="103"/>
      <c r="D100" s="110"/>
      <c r="E100" s="105" t="s">
        <v>18</v>
      </c>
      <c r="F100" s="48">
        <f>SUM(F94:F99)</f>
        <v>51886.799999999996</v>
      </c>
      <c r="G100" s="48">
        <f>SUM(G94:G99)</f>
        <v>12996.7</v>
      </c>
      <c r="H100" s="48">
        <f>SUM(H94:H99)</f>
        <v>1190.1000000000001</v>
      </c>
      <c r="I100" s="48">
        <f t="shared" ref="I100:J100" si="11">SUM(I94:I98)</f>
        <v>0</v>
      </c>
      <c r="J100" s="48">
        <f t="shared" si="11"/>
        <v>0</v>
      </c>
      <c r="K100" s="48">
        <f>SUM(K94:K99)</f>
        <v>37700</v>
      </c>
    </row>
    <row r="101" spans="1:11" s="29" customFormat="1" ht="15.75" customHeight="1" x14ac:dyDescent="0.25">
      <c r="A101" s="213" t="s">
        <v>244</v>
      </c>
      <c r="B101" s="214"/>
      <c r="C101" s="214"/>
      <c r="D101" s="214"/>
      <c r="E101" s="214"/>
      <c r="F101" s="214"/>
      <c r="G101" s="214"/>
      <c r="H101" s="214"/>
      <c r="I101" s="214"/>
      <c r="J101" s="214"/>
      <c r="K101" s="215"/>
    </row>
    <row r="102" spans="1:11" customFormat="1" ht="41.25" customHeight="1" x14ac:dyDescent="0.25">
      <c r="A102" s="179">
        <v>1</v>
      </c>
      <c r="B102" s="180" t="s">
        <v>245</v>
      </c>
      <c r="D102" s="181">
        <v>2024</v>
      </c>
      <c r="E102" s="182">
        <v>2025</v>
      </c>
      <c r="F102" s="183">
        <f>G102+H102+I102+J102+K102</f>
        <v>850</v>
      </c>
      <c r="G102" s="182">
        <v>127.5</v>
      </c>
      <c r="H102" s="182">
        <v>722.5</v>
      </c>
      <c r="I102" s="182"/>
      <c r="J102" s="182"/>
      <c r="K102" s="182"/>
    </row>
    <row r="103" spans="1:11" s="29" customFormat="1" ht="15.75" customHeight="1" x14ac:dyDescent="0.25">
      <c r="A103" s="57">
        <v>1</v>
      </c>
      <c r="B103" s="178" t="s">
        <v>29</v>
      </c>
      <c r="C103" s="103"/>
      <c r="D103" s="105"/>
      <c r="E103" s="105" t="s">
        <v>18</v>
      </c>
      <c r="F103" s="48">
        <f t="shared" ref="F103:K103" si="12">F102</f>
        <v>850</v>
      </c>
      <c r="G103" s="48">
        <f t="shared" si="12"/>
        <v>127.5</v>
      </c>
      <c r="H103" s="48">
        <f t="shared" si="12"/>
        <v>722.5</v>
      </c>
      <c r="I103" s="48">
        <f t="shared" si="12"/>
        <v>0</v>
      </c>
      <c r="J103" s="48">
        <f t="shared" si="12"/>
        <v>0</v>
      </c>
      <c r="K103" s="48">
        <f t="shared" si="12"/>
        <v>0</v>
      </c>
    </row>
    <row r="104" spans="1:11" s="29" customFormat="1" ht="18" customHeight="1" x14ac:dyDescent="0.25">
      <c r="A104" s="194" t="s">
        <v>182</v>
      </c>
      <c r="B104" s="195"/>
      <c r="C104" s="195"/>
      <c r="D104" s="195"/>
      <c r="E104" s="195"/>
      <c r="F104" s="195"/>
      <c r="G104" s="195"/>
      <c r="H104" s="195"/>
      <c r="I104" s="195"/>
      <c r="J104" s="195"/>
      <c r="K104" s="83"/>
    </row>
    <row r="105" spans="1:11" s="29" customFormat="1" ht="78.75" customHeight="1" x14ac:dyDescent="0.25">
      <c r="A105" s="55" t="s">
        <v>25</v>
      </c>
      <c r="B105" s="21" t="s">
        <v>183</v>
      </c>
      <c r="C105" s="30" t="s">
        <v>47</v>
      </c>
      <c r="D105" s="7">
        <v>2017</v>
      </c>
      <c r="E105" s="7" t="s">
        <v>40</v>
      </c>
      <c r="F105" s="51">
        <f t="shared" ref="F105:F118" si="13">+G105+H105+I105+J105+K105</f>
        <v>1286.5000000000002</v>
      </c>
      <c r="G105" s="20">
        <v>255.9</v>
      </c>
      <c r="H105" s="20">
        <v>946.7</v>
      </c>
      <c r="I105" s="20">
        <v>83.9</v>
      </c>
      <c r="J105" s="20"/>
      <c r="K105" s="20"/>
    </row>
    <row r="106" spans="1:11" s="29" customFormat="1" ht="31.35" customHeight="1" x14ac:dyDescent="0.25">
      <c r="A106" s="55" t="s">
        <v>48</v>
      </c>
      <c r="B106" s="21" t="s">
        <v>184</v>
      </c>
      <c r="C106" s="20" t="s">
        <v>77</v>
      </c>
      <c r="D106" s="1">
        <v>2017</v>
      </c>
      <c r="E106" s="9" t="s">
        <v>40</v>
      </c>
      <c r="F106" s="51">
        <f t="shared" si="13"/>
        <v>18870</v>
      </c>
      <c r="G106" s="95">
        <f>15900+1070+1900</f>
        <v>18870</v>
      </c>
      <c r="H106" s="20"/>
      <c r="I106" s="20"/>
      <c r="J106" s="20"/>
      <c r="K106" s="20"/>
    </row>
    <row r="107" spans="1:11" s="29" customFormat="1" ht="103.5" customHeight="1" x14ac:dyDescent="0.25">
      <c r="A107" s="55" t="s">
        <v>51</v>
      </c>
      <c r="B107" s="41" t="s">
        <v>254</v>
      </c>
      <c r="C107" s="20" t="s">
        <v>187</v>
      </c>
      <c r="D107" s="7" t="s">
        <v>62</v>
      </c>
      <c r="E107" s="7" t="s">
        <v>43</v>
      </c>
      <c r="F107" s="51">
        <f>+G107+I107+K107</f>
        <v>4618.8999999999996</v>
      </c>
      <c r="G107" s="95">
        <v>4529</v>
      </c>
      <c r="H107" s="32"/>
      <c r="I107" s="20"/>
      <c r="J107" s="20"/>
      <c r="K107" s="20">
        <v>89.9</v>
      </c>
    </row>
    <row r="108" spans="1:11" s="29" customFormat="1" ht="39.75" customHeight="1" x14ac:dyDescent="0.25">
      <c r="A108" s="55">
        <v>4</v>
      </c>
      <c r="B108" s="41" t="s">
        <v>189</v>
      </c>
      <c r="C108" s="20" t="s">
        <v>187</v>
      </c>
      <c r="D108" s="4" t="s">
        <v>28</v>
      </c>
      <c r="E108" s="4" t="s">
        <v>56</v>
      </c>
      <c r="F108" s="52">
        <f>G108+H108+I108+J108+K108</f>
        <v>441.8</v>
      </c>
      <c r="G108" s="20">
        <f>41.8+400</f>
        <v>441.8</v>
      </c>
      <c r="H108" s="20"/>
      <c r="I108" s="20"/>
      <c r="J108" s="20"/>
      <c r="K108" s="20"/>
    </row>
    <row r="109" spans="1:11" s="29" customFormat="1" ht="39.75" customHeight="1" x14ac:dyDescent="0.25">
      <c r="A109" s="55">
        <v>5</v>
      </c>
      <c r="B109" s="41" t="s">
        <v>191</v>
      </c>
      <c r="C109" s="20" t="s">
        <v>47</v>
      </c>
      <c r="D109" s="4" t="s">
        <v>133</v>
      </c>
      <c r="E109" s="4" t="s">
        <v>56</v>
      </c>
      <c r="F109" s="52">
        <f>G109+H109+I109+J109+K109</f>
        <v>845.5</v>
      </c>
      <c r="G109" s="20">
        <v>2.5</v>
      </c>
      <c r="H109" s="20"/>
      <c r="I109" s="20">
        <v>843</v>
      </c>
      <c r="J109" s="20"/>
      <c r="K109" s="20"/>
    </row>
    <row r="110" spans="1:11" s="29" customFormat="1" ht="27.75" customHeight="1" x14ac:dyDescent="0.25">
      <c r="A110" s="55">
        <v>6</v>
      </c>
      <c r="B110" s="21" t="s">
        <v>193</v>
      </c>
      <c r="C110" s="20" t="s">
        <v>100</v>
      </c>
      <c r="D110" s="7">
        <v>2019</v>
      </c>
      <c r="E110" s="7" t="s">
        <v>43</v>
      </c>
      <c r="F110" s="51">
        <f t="shared" si="13"/>
        <v>3002.4</v>
      </c>
      <c r="G110" s="20">
        <v>452.4</v>
      </c>
      <c r="H110" s="20">
        <v>2550</v>
      </c>
      <c r="I110" s="20"/>
      <c r="J110" s="20"/>
      <c r="K110" s="20"/>
    </row>
    <row r="111" spans="1:11" s="29" customFormat="1" ht="53.85" customHeight="1" x14ac:dyDescent="0.25">
      <c r="A111" s="55">
        <v>7</v>
      </c>
      <c r="B111" s="21" t="s">
        <v>194</v>
      </c>
      <c r="C111" s="30" t="s">
        <v>100</v>
      </c>
      <c r="D111" s="7">
        <v>2017</v>
      </c>
      <c r="E111" s="7" t="s">
        <v>43</v>
      </c>
      <c r="F111" s="51">
        <f t="shared" si="13"/>
        <v>4867.2</v>
      </c>
      <c r="G111" s="20">
        <v>947.2</v>
      </c>
      <c r="H111" s="20">
        <v>3920</v>
      </c>
      <c r="I111" s="20"/>
      <c r="J111" s="20"/>
      <c r="K111" s="20"/>
    </row>
    <row r="112" spans="1:11" s="29" customFormat="1" ht="55.5" customHeight="1" x14ac:dyDescent="0.25">
      <c r="A112" s="55">
        <v>8</v>
      </c>
      <c r="B112" s="41" t="s">
        <v>195</v>
      </c>
      <c r="C112" s="20" t="s">
        <v>100</v>
      </c>
      <c r="D112" s="7">
        <v>2017</v>
      </c>
      <c r="E112" s="7" t="s">
        <v>40</v>
      </c>
      <c r="F112" s="51">
        <f t="shared" si="13"/>
        <v>4315.2</v>
      </c>
      <c r="G112" s="20">
        <v>3436.1</v>
      </c>
      <c r="H112" s="20">
        <f>879.1-71.3</f>
        <v>807.80000000000007</v>
      </c>
      <c r="I112" s="20">
        <v>71.3</v>
      </c>
      <c r="J112" s="20"/>
      <c r="K112" s="20"/>
    </row>
    <row r="113" spans="1:11" s="29" customFormat="1" ht="27.75" customHeight="1" x14ac:dyDescent="0.25">
      <c r="A113" s="55">
        <v>9</v>
      </c>
      <c r="B113" s="23" t="s">
        <v>197</v>
      </c>
      <c r="C113" s="20" t="s">
        <v>47</v>
      </c>
      <c r="D113" s="7">
        <v>2018</v>
      </c>
      <c r="E113" s="7" t="s">
        <v>56</v>
      </c>
      <c r="F113" s="51">
        <f t="shared" si="13"/>
        <v>1139.7</v>
      </c>
      <c r="G113" s="20">
        <v>1139.7</v>
      </c>
      <c r="H113" s="20"/>
      <c r="I113" s="20"/>
      <c r="J113" s="20"/>
      <c r="K113" s="20"/>
    </row>
    <row r="114" spans="1:11" s="29" customFormat="1" ht="78" customHeight="1" x14ac:dyDescent="0.25">
      <c r="A114" s="55">
        <v>10</v>
      </c>
      <c r="B114" s="23" t="s">
        <v>265</v>
      </c>
      <c r="C114" s="20" t="s">
        <v>200</v>
      </c>
      <c r="D114" s="7" t="s">
        <v>28</v>
      </c>
      <c r="E114" s="7" t="s">
        <v>37</v>
      </c>
      <c r="F114" s="51">
        <f t="shared" si="13"/>
        <v>6572.1</v>
      </c>
      <c r="G114" s="20">
        <v>6572.1</v>
      </c>
      <c r="H114" s="20"/>
      <c r="I114" s="20"/>
      <c r="J114" s="20"/>
      <c r="K114" s="20"/>
    </row>
    <row r="115" spans="1:11" s="29" customFormat="1" ht="27" customHeight="1" x14ac:dyDescent="0.25">
      <c r="A115" s="55">
        <v>11</v>
      </c>
      <c r="B115" s="23" t="s">
        <v>201</v>
      </c>
      <c r="C115" s="20" t="s">
        <v>202</v>
      </c>
      <c r="D115" s="7" t="s">
        <v>40</v>
      </c>
      <c r="E115" s="7" t="s">
        <v>43</v>
      </c>
      <c r="F115" s="51">
        <f t="shared" si="13"/>
        <v>358.6</v>
      </c>
      <c r="G115" s="20">
        <v>58.6</v>
      </c>
      <c r="H115" s="20"/>
      <c r="I115" s="20">
        <v>300</v>
      </c>
      <c r="J115" s="20"/>
      <c r="K115" s="20"/>
    </row>
    <row r="116" spans="1:11" s="29" customFormat="1" ht="29.25" customHeight="1" x14ac:dyDescent="0.25">
      <c r="A116" s="65">
        <v>12</v>
      </c>
      <c r="B116" s="41" t="s">
        <v>203</v>
      </c>
      <c r="C116" s="43" t="s">
        <v>204</v>
      </c>
      <c r="D116" s="7" t="s">
        <v>28</v>
      </c>
      <c r="E116" s="7" t="s">
        <v>112</v>
      </c>
      <c r="F116" s="51">
        <f t="shared" si="13"/>
        <v>2802.5</v>
      </c>
      <c r="G116" s="20">
        <v>2802.5</v>
      </c>
      <c r="H116" s="20"/>
      <c r="I116" s="20"/>
      <c r="J116" s="20"/>
      <c r="K116" s="20"/>
    </row>
    <row r="117" spans="1:11" s="29" customFormat="1" ht="39.75" customHeight="1" x14ac:dyDescent="0.25">
      <c r="A117" s="65">
        <v>13</v>
      </c>
      <c r="B117" s="41" t="s">
        <v>262</v>
      </c>
      <c r="C117" s="43"/>
      <c r="D117" s="114" t="s">
        <v>73</v>
      </c>
      <c r="E117" s="7" t="s">
        <v>37</v>
      </c>
      <c r="F117" s="51">
        <f t="shared" si="13"/>
        <v>1984.1</v>
      </c>
      <c r="G117" s="20">
        <v>1984.1</v>
      </c>
      <c r="H117" s="20"/>
      <c r="I117" s="20"/>
      <c r="J117" s="20"/>
      <c r="K117" s="20"/>
    </row>
    <row r="118" spans="1:11" s="29" customFormat="1" ht="54.75" customHeight="1" x14ac:dyDescent="0.25">
      <c r="A118" s="65">
        <v>14</v>
      </c>
      <c r="B118" s="41" t="s">
        <v>249</v>
      </c>
      <c r="C118" s="43"/>
      <c r="D118" s="114" t="s">
        <v>40</v>
      </c>
      <c r="E118" s="7" t="s">
        <v>37</v>
      </c>
      <c r="F118" s="51">
        <f t="shared" si="13"/>
        <v>8105</v>
      </c>
      <c r="G118" s="20">
        <v>1705</v>
      </c>
      <c r="H118" s="20">
        <v>6400</v>
      </c>
      <c r="I118" s="20"/>
      <c r="J118" s="20"/>
      <c r="K118" s="20"/>
    </row>
    <row r="119" spans="1:11" s="29" customFormat="1" ht="18" customHeight="1" x14ac:dyDescent="0.25">
      <c r="A119" s="57">
        <v>14</v>
      </c>
      <c r="B119" s="80" t="s">
        <v>94</v>
      </c>
      <c r="C119" s="103"/>
      <c r="D119" s="110"/>
      <c r="E119" s="105" t="s">
        <v>18</v>
      </c>
      <c r="F119" s="72">
        <f>SUM(F105:F118)</f>
        <v>59209.499999999993</v>
      </c>
      <c r="G119" s="72">
        <f>SUM(G105:G118)</f>
        <v>43196.9</v>
      </c>
      <c r="H119" s="72">
        <f>SUM(H105:H118)</f>
        <v>14624.5</v>
      </c>
      <c r="I119" s="72">
        <f>SUM(I105:I118)</f>
        <v>1298.1999999999998</v>
      </c>
      <c r="J119" s="72">
        <f>SUM(J105:J116)</f>
        <v>0</v>
      </c>
      <c r="K119" s="72">
        <f>SUM(K105:K116)</f>
        <v>89.9</v>
      </c>
    </row>
    <row r="120" spans="1:11" s="29" customFormat="1" ht="16.5" customHeight="1" x14ac:dyDescent="0.25">
      <c r="A120" s="194" t="s">
        <v>205</v>
      </c>
      <c r="B120" s="195"/>
      <c r="C120" s="195"/>
      <c r="D120" s="195"/>
      <c r="E120" s="195"/>
      <c r="F120" s="195"/>
      <c r="G120" s="195"/>
      <c r="H120" s="195"/>
      <c r="I120" s="195"/>
      <c r="J120" s="195"/>
      <c r="K120" s="83"/>
    </row>
    <row r="121" spans="1:11" s="29" customFormat="1" ht="27" customHeight="1" x14ac:dyDescent="0.25">
      <c r="A121" s="55">
        <v>1</v>
      </c>
      <c r="B121" s="41" t="s">
        <v>206</v>
      </c>
      <c r="C121" s="22" t="s">
        <v>72</v>
      </c>
      <c r="D121" s="7">
        <v>2017</v>
      </c>
      <c r="E121" s="7" t="s">
        <v>37</v>
      </c>
      <c r="F121" s="51">
        <f t="shared" ref="F121:F123" si="14">+G121+H121+I121+J121+K121</f>
        <v>6300</v>
      </c>
      <c r="G121" s="20">
        <v>6300</v>
      </c>
      <c r="H121" s="20"/>
      <c r="I121" s="20"/>
      <c r="J121" s="20"/>
      <c r="K121" s="20"/>
    </row>
    <row r="122" spans="1:11" s="29" customFormat="1" ht="25.5" x14ac:dyDescent="0.25">
      <c r="A122" s="55">
        <v>2</v>
      </c>
      <c r="B122" s="21" t="s">
        <v>207</v>
      </c>
      <c r="C122" s="22" t="s">
        <v>72</v>
      </c>
      <c r="D122" s="16">
        <v>2020</v>
      </c>
      <c r="E122" s="7" t="s">
        <v>43</v>
      </c>
      <c r="F122" s="51">
        <f t="shared" si="14"/>
        <v>1924.1</v>
      </c>
      <c r="G122" s="20"/>
      <c r="H122" s="20"/>
      <c r="I122" s="20">
        <v>1924.1</v>
      </c>
      <c r="J122" s="20"/>
      <c r="K122" s="20"/>
    </row>
    <row r="123" spans="1:11" s="29" customFormat="1" ht="27.75" customHeight="1" x14ac:dyDescent="0.25">
      <c r="A123" s="129">
        <v>3</v>
      </c>
      <c r="B123" s="84" t="s">
        <v>208</v>
      </c>
      <c r="C123" s="95" t="s">
        <v>72</v>
      </c>
      <c r="D123" s="9" t="s">
        <v>40</v>
      </c>
      <c r="E123" s="9" t="s">
        <v>56</v>
      </c>
      <c r="F123" s="54">
        <f t="shared" si="14"/>
        <v>50</v>
      </c>
      <c r="G123" s="20">
        <v>50</v>
      </c>
      <c r="H123" s="20"/>
      <c r="I123" s="20"/>
      <c r="J123" s="20"/>
      <c r="K123" s="20"/>
    </row>
    <row r="124" spans="1:11" s="29" customFormat="1" ht="16.5" customHeight="1" x14ac:dyDescent="0.25">
      <c r="A124" s="59">
        <v>4</v>
      </c>
      <c r="B124" s="73" t="s">
        <v>209</v>
      </c>
      <c r="C124" s="20" t="s">
        <v>138</v>
      </c>
      <c r="D124" s="16" t="s">
        <v>28</v>
      </c>
      <c r="E124" s="7" t="s">
        <v>43</v>
      </c>
      <c r="F124" s="51">
        <f>+G124+H124+I124+J124+K124</f>
        <v>7500.1</v>
      </c>
      <c r="G124" s="20">
        <v>5500.1</v>
      </c>
      <c r="H124" s="20"/>
      <c r="I124" s="20">
        <v>2000</v>
      </c>
      <c r="J124" s="20"/>
      <c r="K124" s="20"/>
    </row>
    <row r="125" spans="1:11" s="29" customFormat="1" ht="16.5" customHeight="1" x14ac:dyDescent="0.25">
      <c r="A125" s="59">
        <v>5</v>
      </c>
      <c r="B125" s="93" t="s">
        <v>251</v>
      </c>
      <c r="C125" s="43"/>
      <c r="D125" s="16" t="s">
        <v>40</v>
      </c>
      <c r="E125" s="7" t="s">
        <v>37</v>
      </c>
      <c r="F125" s="51">
        <f>G125+H125+I125+J125+K125</f>
        <v>188</v>
      </c>
      <c r="G125" s="20">
        <v>188</v>
      </c>
      <c r="H125" s="20"/>
      <c r="I125" s="20"/>
      <c r="J125" s="20"/>
      <c r="K125" s="20"/>
    </row>
    <row r="126" spans="1:11" s="29" customFormat="1" ht="17.25" customHeight="1" x14ac:dyDescent="0.25">
      <c r="A126" s="57">
        <v>5</v>
      </c>
      <c r="B126" s="80" t="s">
        <v>44</v>
      </c>
      <c r="C126" s="103"/>
      <c r="D126" s="110"/>
      <c r="E126" s="105" t="s">
        <v>18</v>
      </c>
      <c r="F126" s="48">
        <f>SUM(F121:F125)</f>
        <v>15962.2</v>
      </c>
      <c r="G126" s="48">
        <f>SUM(G121:G125)</f>
        <v>12038.1</v>
      </c>
      <c r="H126" s="48">
        <f t="shared" ref="H126:K126" si="15">SUM(H121:H124)</f>
        <v>0</v>
      </c>
      <c r="I126" s="48">
        <f>SUM(I121:I125)</f>
        <v>3924.1</v>
      </c>
      <c r="J126" s="48">
        <f t="shared" si="15"/>
        <v>0</v>
      </c>
      <c r="K126" s="48">
        <f t="shared" si="15"/>
        <v>0</v>
      </c>
    </row>
    <row r="127" spans="1:11" s="29" customFormat="1" ht="19.350000000000001" customHeight="1" x14ac:dyDescent="0.25">
      <c r="A127" s="194" t="s">
        <v>210</v>
      </c>
      <c r="B127" s="195"/>
      <c r="C127" s="195"/>
      <c r="D127" s="195"/>
      <c r="E127" s="195"/>
      <c r="F127" s="195"/>
      <c r="G127" s="195"/>
      <c r="H127" s="195"/>
      <c r="I127" s="195"/>
      <c r="J127" s="195"/>
      <c r="K127" s="83"/>
    </row>
    <row r="128" spans="1:11" s="29" customFormat="1" ht="53.25" customHeight="1" x14ac:dyDescent="0.25">
      <c r="A128" s="55">
        <v>1</v>
      </c>
      <c r="B128" s="21" t="s">
        <v>211</v>
      </c>
      <c r="C128" s="20" t="s">
        <v>212</v>
      </c>
      <c r="D128" s="7" t="s">
        <v>36</v>
      </c>
      <c r="E128" s="7" t="s">
        <v>37</v>
      </c>
      <c r="F128" s="51">
        <f t="shared" ref="F128:F133" si="16">+G128+H128+I128+J128+K128</f>
        <v>9621</v>
      </c>
      <c r="G128" s="20">
        <v>1443.2</v>
      </c>
      <c r="H128" s="20">
        <v>8177.8</v>
      </c>
      <c r="I128" s="20"/>
      <c r="J128" s="20"/>
      <c r="K128" s="20"/>
    </row>
    <row r="129" spans="1:11" s="29" customFormat="1" ht="27" customHeight="1" x14ac:dyDescent="0.25">
      <c r="A129" s="55">
        <v>2</v>
      </c>
      <c r="B129" s="23" t="s">
        <v>246</v>
      </c>
      <c r="C129" s="20" t="s">
        <v>214</v>
      </c>
      <c r="D129" s="5" t="s">
        <v>59</v>
      </c>
      <c r="E129" s="5" t="s">
        <v>43</v>
      </c>
      <c r="F129" s="51">
        <f t="shared" si="16"/>
        <v>14777</v>
      </c>
      <c r="G129" s="20">
        <v>10777</v>
      </c>
      <c r="H129" s="20">
        <v>4000</v>
      </c>
      <c r="I129" s="20"/>
      <c r="J129" s="20"/>
      <c r="K129" s="20"/>
    </row>
    <row r="130" spans="1:11" s="29" customFormat="1" ht="39.75" customHeight="1" x14ac:dyDescent="0.25">
      <c r="A130" s="55">
        <v>3</v>
      </c>
      <c r="B130" s="23" t="s">
        <v>215</v>
      </c>
      <c r="C130" s="20" t="s">
        <v>32</v>
      </c>
      <c r="D130" s="1" t="s">
        <v>59</v>
      </c>
      <c r="E130" s="1" t="s">
        <v>40</v>
      </c>
      <c r="F130" s="51">
        <f t="shared" si="16"/>
        <v>452.5</v>
      </c>
      <c r="G130" s="20">
        <v>90.5</v>
      </c>
      <c r="H130" s="20">
        <f>367-5</f>
        <v>362</v>
      </c>
      <c r="I130" s="20"/>
      <c r="J130" s="20"/>
      <c r="K130" s="20"/>
    </row>
    <row r="131" spans="1:11" s="29" customFormat="1" ht="40.5" customHeight="1" x14ac:dyDescent="0.25">
      <c r="A131" s="55">
        <v>4</v>
      </c>
      <c r="B131" s="73" t="s">
        <v>216</v>
      </c>
      <c r="C131" s="20" t="s">
        <v>212</v>
      </c>
      <c r="D131" s="71">
        <v>2020</v>
      </c>
      <c r="E131" s="71">
        <v>2023</v>
      </c>
      <c r="F131" s="51">
        <f t="shared" si="16"/>
        <v>642.90000000000009</v>
      </c>
      <c r="G131" s="20">
        <v>566.70000000000005</v>
      </c>
      <c r="H131" s="20">
        <v>76.2</v>
      </c>
      <c r="I131" s="20"/>
      <c r="J131" s="20"/>
      <c r="K131" s="20"/>
    </row>
    <row r="132" spans="1:11" s="29" customFormat="1" ht="28.5" customHeight="1" x14ac:dyDescent="0.25">
      <c r="A132" s="59">
        <v>5</v>
      </c>
      <c r="B132" s="93" t="s">
        <v>247</v>
      </c>
      <c r="C132" s="20" t="s">
        <v>105</v>
      </c>
      <c r="D132" s="71">
        <v>2023</v>
      </c>
      <c r="E132" s="113">
        <v>2025</v>
      </c>
      <c r="F132" s="51">
        <f t="shared" si="16"/>
        <v>852.4</v>
      </c>
      <c r="G132" s="20">
        <v>214.9</v>
      </c>
      <c r="H132" s="20">
        <v>637.5</v>
      </c>
      <c r="I132" s="20"/>
      <c r="J132" s="20"/>
      <c r="K132" s="20"/>
    </row>
    <row r="133" spans="1:11" s="29" customFormat="1" ht="38.25" customHeight="1" x14ac:dyDescent="0.25">
      <c r="A133" s="59">
        <v>6</v>
      </c>
      <c r="B133" s="93" t="s">
        <v>263</v>
      </c>
      <c r="C133" s="20" t="s">
        <v>219</v>
      </c>
      <c r="D133" s="71">
        <v>2024</v>
      </c>
      <c r="E133" s="113">
        <v>2025</v>
      </c>
      <c r="F133" s="51">
        <f t="shared" si="16"/>
        <v>1480.5</v>
      </c>
      <c r="G133" s="20">
        <v>222.1</v>
      </c>
      <c r="H133" s="20">
        <v>1258.4000000000001</v>
      </c>
      <c r="I133" s="20"/>
      <c r="J133" s="20"/>
      <c r="K133" s="20"/>
    </row>
    <row r="134" spans="1:11" s="29" customFormat="1" ht="40.5" customHeight="1" x14ac:dyDescent="0.25">
      <c r="A134" s="59">
        <v>7</v>
      </c>
      <c r="B134" s="93" t="s">
        <v>248</v>
      </c>
      <c r="C134" s="20"/>
      <c r="D134" s="71">
        <v>2024</v>
      </c>
      <c r="E134" s="113">
        <v>2026</v>
      </c>
      <c r="F134" s="51">
        <f>G134+H134+I134+J134+K134</f>
        <v>800</v>
      </c>
      <c r="G134" s="20">
        <v>120</v>
      </c>
      <c r="H134" s="20">
        <v>680</v>
      </c>
      <c r="I134" s="20"/>
      <c r="J134" s="20"/>
      <c r="K134" s="20"/>
    </row>
    <row r="135" spans="1:11" s="29" customFormat="1" ht="17.25" customHeight="1" x14ac:dyDescent="0.25">
      <c r="A135" s="59">
        <v>8</v>
      </c>
      <c r="B135" s="93" t="s">
        <v>218</v>
      </c>
      <c r="C135" s="20"/>
      <c r="D135" s="71">
        <v>2022</v>
      </c>
      <c r="E135" s="113">
        <v>2025</v>
      </c>
      <c r="F135" s="51">
        <f>G135+H135+I135+J135+K135</f>
        <v>1548</v>
      </c>
      <c r="G135" s="20">
        <v>1548</v>
      </c>
      <c r="H135" s="20"/>
      <c r="I135" s="20"/>
      <c r="J135" s="20"/>
      <c r="K135" s="20"/>
    </row>
    <row r="136" spans="1:11" s="29" customFormat="1" ht="18" customHeight="1" x14ac:dyDescent="0.25">
      <c r="A136" s="57">
        <v>8</v>
      </c>
      <c r="B136" s="80" t="s">
        <v>44</v>
      </c>
      <c r="C136" s="104"/>
      <c r="D136" s="105"/>
      <c r="E136" s="70" t="s">
        <v>18</v>
      </c>
      <c r="F136" s="48">
        <f>F128+F129+F130+F131+F132+F133+F134+F135</f>
        <v>30174.300000000003</v>
      </c>
      <c r="G136" s="48">
        <f>G128+G129+G130+G131+G132+G133+G134+G135</f>
        <v>14982.400000000001</v>
      </c>
      <c r="H136" s="48">
        <f>H128+H129+H130+H131+H132+H133+H134+H135</f>
        <v>15191.9</v>
      </c>
      <c r="I136" s="48">
        <f>I128+I129+I130+I131+I132+I133</f>
        <v>0</v>
      </c>
      <c r="J136" s="48">
        <f>J128+J129+J130+J131+J132+J133</f>
        <v>0</v>
      </c>
      <c r="K136" s="48">
        <f>K128+K129+K130+K131+K132+K133</f>
        <v>0</v>
      </c>
    </row>
    <row r="137" spans="1:11" ht="18.75" customHeight="1" x14ac:dyDescent="0.2">
      <c r="A137" s="61">
        <f>A21+A136+A126+A119+A100+A92+A76+A42+A15</f>
        <v>105</v>
      </c>
      <c r="B137" s="196" t="s">
        <v>44</v>
      </c>
      <c r="C137" s="197"/>
      <c r="D137" s="197"/>
      <c r="E137" s="198"/>
      <c r="F137" s="60">
        <f>SUMIF(E8:E136,"Iš viso:",F8:F136)</f>
        <v>419447.60000000009</v>
      </c>
      <c r="G137" s="60">
        <f>SUMIF(E8:E136,"Iš viso:",G8:G136)</f>
        <v>201857.5</v>
      </c>
      <c r="H137" s="60">
        <f>SUMIF(E8:E136,"Iš viso:",H8:H136)</f>
        <v>108172.3</v>
      </c>
      <c r="I137" s="60">
        <f>SUMIF(E8:E136,"Iš viso:",I8:I136)</f>
        <v>38849.999999999993</v>
      </c>
      <c r="J137" s="60">
        <f>SUMIF(E8:E136,"Iš viso:",J8:J136)</f>
        <v>27519.7</v>
      </c>
      <c r="K137" s="60">
        <f>SUMIF(E8:E136,"Iš viso:",K8:K136)</f>
        <v>43048.1</v>
      </c>
    </row>
    <row r="138" spans="1:11" x14ac:dyDescent="0.2">
      <c r="E138" s="49"/>
      <c r="F138" s="15"/>
      <c r="G138" s="49"/>
      <c r="H138" s="15"/>
      <c r="I138" s="49"/>
      <c r="J138" s="15"/>
      <c r="K138" s="49"/>
    </row>
    <row r="139" spans="1:11" ht="13.5" customHeight="1" x14ac:dyDescent="0.2">
      <c r="E139" s="199" t="s">
        <v>221</v>
      </c>
      <c r="F139" s="199"/>
      <c r="G139" s="199"/>
      <c r="H139" s="15"/>
      <c r="I139" s="49"/>
      <c r="J139" s="15"/>
      <c r="K139" s="49"/>
    </row>
    <row r="140" spans="1:11" x14ac:dyDescent="0.2">
      <c r="E140" s="49"/>
      <c r="F140" s="15"/>
      <c r="G140" s="49"/>
      <c r="H140" s="15"/>
      <c r="I140" s="49"/>
      <c r="J140" s="15"/>
      <c r="K140" s="49"/>
    </row>
    <row r="141" spans="1:11" x14ac:dyDescent="0.2">
      <c r="E141" s="49"/>
      <c r="F141" s="15"/>
      <c r="G141" s="49"/>
      <c r="H141" s="15"/>
      <c r="I141" s="49"/>
      <c r="J141" s="15"/>
      <c r="K141" s="49"/>
    </row>
    <row r="142" spans="1:11" x14ac:dyDescent="0.2">
      <c r="E142" s="49"/>
      <c r="F142" s="15"/>
      <c r="G142" s="49"/>
      <c r="H142" s="15"/>
      <c r="I142" s="49"/>
      <c r="J142" s="15"/>
      <c r="K142" s="49"/>
    </row>
    <row r="143" spans="1:11" x14ac:dyDescent="0.2">
      <c r="E143" s="49"/>
      <c r="F143" s="15"/>
      <c r="G143" s="49"/>
      <c r="H143" s="15"/>
      <c r="I143" s="49"/>
      <c r="J143" s="15"/>
      <c r="K143" s="49"/>
    </row>
    <row r="144" spans="1:11" x14ac:dyDescent="0.2">
      <c r="E144" s="49"/>
      <c r="F144" s="15"/>
      <c r="G144" s="49"/>
      <c r="H144" s="15"/>
      <c r="I144" s="49"/>
      <c r="J144" s="15"/>
      <c r="K144" s="49"/>
    </row>
    <row r="145" spans="5:11" x14ac:dyDescent="0.2">
      <c r="E145" s="49"/>
      <c r="F145" s="15"/>
      <c r="G145" s="49"/>
      <c r="H145" s="15"/>
      <c r="I145" s="49"/>
      <c r="J145" s="15"/>
      <c r="K145" s="49"/>
    </row>
    <row r="146" spans="5:11" x14ac:dyDescent="0.2">
      <c r="E146" s="49"/>
      <c r="F146" s="15"/>
      <c r="G146" s="49"/>
      <c r="H146" s="15"/>
      <c r="I146" s="49"/>
      <c r="J146" s="15"/>
      <c r="K146" s="49"/>
    </row>
    <row r="147" spans="5:11" x14ac:dyDescent="0.2">
      <c r="E147" s="49"/>
      <c r="F147" s="15"/>
      <c r="G147" s="49"/>
      <c r="H147" s="15"/>
      <c r="I147" s="49"/>
      <c r="J147" s="15"/>
      <c r="K147" s="49"/>
    </row>
    <row r="148" spans="5:11" x14ac:dyDescent="0.2">
      <c r="E148" s="49"/>
      <c r="F148" s="15"/>
      <c r="G148" s="49"/>
      <c r="H148" s="15"/>
      <c r="I148" s="49"/>
      <c r="J148" s="15"/>
      <c r="K148" s="49"/>
    </row>
    <row r="149" spans="5:11" x14ac:dyDescent="0.2">
      <c r="E149" s="49"/>
      <c r="F149" s="15"/>
      <c r="G149" s="49"/>
      <c r="H149" s="15"/>
      <c r="I149" s="49"/>
      <c r="J149" s="15"/>
      <c r="K149" s="49"/>
    </row>
    <row r="150" spans="5:11" x14ac:dyDescent="0.2">
      <c r="E150" s="49"/>
      <c r="F150" s="15"/>
      <c r="G150" s="49"/>
      <c r="H150" s="15"/>
      <c r="I150" s="49"/>
      <c r="J150" s="15"/>
      <c r="K150" s="49"/>
    </row>
    <row r="151" spans="5:11" x14ac:dyDescent="0.2">
      <c r="E151" s="49"/>
      <c r="F151" s="15"/>
      <c r="G151" s="49"/>
      <c r="H151" s="15"/>
      <c r="I151" s="49"/>
      <c r="J151" s="15"/>
      <c r="K151" s="49"/>
    </row>
    <row r="152" spans="5:11" x14ac:dyDescent="0.2">
      <c r="E152" s="49"/>
      <c r="F152" s="15"/>
      <c r="G152" s="49"/>
      <c r="H152" s="15"/>
      <c r="I152" s="49"/>
      <c r="J152" s="15"/>
      <c r="K152" s="49"/>
    </row>
    <row r="153" spans="5:11" x14ac:dyDescent="0.2">
      <c r="E153" s="49"/>
      <c r="F153" s="15"/>
      <c r="G153" s="49"/>
      <c r="H153" s="15"/>
      <c r="I153" s="49"/>
      <c r="J153" s="15"/>
      <c r="K153" s="49"/>
    </row>
    <row r="154" spans="5:11" x14ac:dyDescent="0.2">
      <c r="E154" s="49"/>
      <c r="F154" s="15"/>
      <c r="G154" s="49"/>
      <c r="H154" s="15"/>
      <c r="I154" s="49"/>
      <c r="J154" s="15"/>
      <c r="K154" s="49"/>
    </row>
    <row r="155" spans="5:11" x14ac:dyDescent="0.2">
      <c r="E155" s="49"/>
      <c r="F155" s="15"/>
      <c r="G155" s="49"/>
      <c r="H155" s="15"/>
      <c r="I155" s="49"/>
      <c r="J155" s="15"/>
      <c r="K155" s="49"/>
    </row>
    <row r="156" spans="5:11" x14ac:dyDescent="0.2">
      <c r="E156" s="49"/>
      <c r="F156" s="15"/>
      <c r="G156" s="49"/>
      <c r="H156" s="15"/>
      <c r="I156" s="49"/>
      <c r="J156" s="15"/>
      <c r="K156" s="49"/>
    </row>
    <row r="157" spans="5:11" x14ac:dyDescent="0.2">
      <c r="E157" s="49"/>
      <c r="F157" s="15"/>
      <c r="G157" s="49"/>
      <c r="H157" s="15"/>
      <c r="I157" s="49"/>
      <c r="J157" s="15"/>
      <c r="K157" s="49"/>
    </row>
    <row r="158" spans="5:11" x14ac:dyDescent="0.2">
      <c r="E158" s="49"/>
      <c r="F158" s="15"/>
      <c r="G158" s="49"/>
      <c r="H158" s="15"/>
      <c r="I158" s="49"/>
      <c r="J158" s="15"/>
      <c r="K158" s="49"/>
    </row>
    <row r="159" spans="5:11" x14ac:dyDescent="0.2">
      <c r="E159" s="49"/>
      <c r="F159" s="15"/>
      <c r="G159" s="49"/>
      <c r="H159" s="15"/>
      <c r="I159" s="49"/>
      <c r="J159" s="15"/>
      <c r="K159" s="49"/>
    </row>
    <row r="160" spans="5:11" x14ac:dyDescent="0.2">
      <c r="E160" s="49"/>
      <c r="F160" s="15"/>
      <c r="G160" s="49"/>
      <c r="H160" s="15"/>
      <c r="I160" s="49"/>
      <c r="J160" s="15"/>
      <c r="K160" s="49"/>
    </row>
    <row r="161" spans="5:11" x14ac:dyDescent="0.2">
      <c r="E161" s="49"/>
      <c r="F161" s="15"/>
      <c r="G161" s="49"/>
      <c r="H161" s="15"/>
      <c r="I161" s="49"/>
      <c r="J161" s="15"/>
      <c r="K161" s="49"/>
    </row>
    <row r="162" spans="5:11" x14ac:dyDescent="0.2">
      <c r="E162" s="49"/>
      <c r="F162" s="15"/>
      <c r="G162" s="49"/>
      <c r="H162" s="15"/>
      <c r="I162" s="49"/>
      <c r="J162" s="15"/>
      <c r="K162" s="49"/>
    </row>
    <row r="163" spans="5:11" x14ac:dyDescent="0.2">
      <c r="E163" s="49"/>
      <c r="F163" s="15"/>
      <c r="G163" s="49"/>
      <c r="H163" s="15"/>
      <c r="I163" s="49"/>
      <c r="J163" s="15"/>
      <c r="K163" s="49"/>
    </row>
    <row r="164" spans="5:11" x14ac:dyDescent="0.2">
      <c r="E164" s="49"/>
      <c r="F164" s="15"/>
      <c r="G164" s="49"/>
      <c r="H164" s="15"/>
      <c r="I164" s="49"/>
      <c r="J164" s="15"/>
      <c r="K164" s="49"/>
    </row>
    <row r="165" spans="5:11" x14ac:dyDescent="0.2">
      <c r="E165" s="49"/>
      <c r="F165" s="15"/>
      <c r="G165" s="49"/>
      <c r="H165" s="15"/>
      <c r="I165" s="49"/>
      <c r="J165" s="15"/>
      <c r="K165" s="49"/>
    </row>
    <row r="166" spans="5:11" x14ac:dyDescent="0.2">
      <c r="E166" s="49"/>
      <c r="F166" s="15"/>
      <c r="G166" s="49"/>
      <c r="H166" s="15"/>
      <c r="I166" s="49"/>
      <c r="J166" s="15"/>
      <c r="K166" s="49"/>
    </row>
    <row r="167" spans="5:11" x14ac:dyDescent="0.2">
      <c r="E167" s="49"/>
      <c r="F167" s="15"/>
      <c r="G167" s="49"/>
      <c r="H167" s="15"/>
      <c r="I167" s="49"/>
      <c r="J167" s="15"/>
      <c r="K167" s="49"/>
    </row>
    <row r="168" spans="5:11" x14ac:dyDescent="0.2">
      <c r="E168" s="49"/>
      <c r="F168" s="15"/>
      <c r="G168" s="49"/>
      <c r="H168" s="15"/>
      <c r="I168" s="49"/>
      <c r="J168" s="15"/>
      <c r="K168" s="49"/>
    </row>
    <row r="169" spans="5:11" x14ac:dyDescent="0.2">
      <c r="E169" s="49"/>
      <c r="F169" s="15"/>
      <c r="G169" s="49"/>
      <c r="H169" s="15"/>
      <c r="I169" s="49"/>
      <c r="J169" s="15"/>
      <c r="K169" s="49"/>
    </row>
    <row r="170" spans="5:11" x14ac:dyDescent="0.2">
      <c r="E170" s="49"/>
      <c r="F170" s="15"/>
      <c r="G170" s="49"/>
      <c r="H170" s="15"/>
      <c r="I170" s="49"/>
      <c r="J170" s="15"/>
      <c r="K170" s="49"/>
    </row>
    <row r="171" spans="5:11" x14ac:dyDescent="0.2">
      <c r="E171" s="49"/>
      <c r="F171" s="15"/>
      <c r="G171" s="49"/>
      <c r="H171" s="15"/>
      <c r="I171" s="49"/>
      <c r="J171" s="15"/>
      <c r="K171" s="49"/>
    </row>
    <row r="172" spans="5:11" x14ac:dyDescent="0.2">
      <c r="E172" s="49"/>
      <c r="F172" s="15"/>
      <c r="G172" s="49"/>
      <c r="H172" s="15"/>
      <c r="I172" s="49"/>
      <c r="J172" s="15"/>
      <c r="K172" s="49"/>
    </row>
    <row r="173" spans="5:11" x14ac:dyDescent="0.2">
      <c r="E173" s="49"/>
      <c r="F173" s="15"/>
      <c r="G173" s="49"/>
      <c r="H173" s="15"/>
      <c r="I173" s="49"/>
      <c r="J173" s="15"/>
      <c r="K173" s="49"/>
    </row>
    <row r="174" spans="5:11" x14ac:dyDescent="0.2">
      <c r="E174" s="49"/>
      <c r="F174" s="15"/>
      <c r="G174" s="49"/>
      <c r="H174" s="15"/>
      <c r="I174" s="49"/>
      <c r="J174" s="15"/>
      <c r="K174" s="49"/>
    </row>
    <row r="175" spans="5:11" x14ac:dyDescent="0.2">
      <c r="E175" s="49"/>
      <c r="F175" s="15"/>
      <c r="G175" s="49"/>
      <c r="H175" s="15"/>
      <c r="I175" s="49"/>
      <c r="J175" s="15"/>
      <c r="K175" s="49"/>
    </row>
    <row r="176" spans="5:11" x14ac:dyDescent="0.2">
      <c r="E176" s="49"/>
      <c r="F176" s="15"/>
      <c r="G176" s="49"/>
      <c r="H176" s="15"/>
      <c r="I176" s="49"/>
      <c r="J176" s="15"/>
      <c r="K176" s="49"/>
    </row>
    <row r="177" spans="5:11" x14ac:dyDescent="0.2">
      <c r="E177" s="49"/>
      <c r="F177" s="15"/>
      <c r="G177" s="49"/>
      <c r="H177" s="15"/>
      <c r="I177" s="49"/>
      <c r="J177" s="15"/>
      <c r="K177" s="49"/>
    </row>
    <row r="178" spans="5:11" x14ac:dyDescent="0.2">
      <c r="E178" s="49"/>
      <c r="F178" s="15"/>
      <c r="G178" s="49"/>
      <c r="H178" s="15"/>
      <c r="I178" s="49"/>
      <c r="J178" s="15"/>
      <c r="K178" s="49"/>
    </row>
    <row r="179" spans="5:11" x14ac:dyDescent="0.2">
      <c r="E179" s="49"/>
      <c r="F179" s="15"/>
      <c r="G179" s="49"/>
      <c r="H179" s="15"/>
      <c r="I179" s="49"/>
      <c r="J179" s="15"/>
      <c r="K179" s="49"/>
    </row>
    <row r="180" spans="5:11" x14ac:dyDescent="0.2">
      <c r="E180" s="49"/>
      <c r="F180" s="15"/>
      <c r="G180" s="49"/>
      <c r="H180" s="15"/>
      <c r="I180" s="49"/>
      <c r="J180" s="15"/>
      <c r="K180" s="49"/>
    </row>
    <row r="181" spans="5:11" x14ac:dyDescent="0.2">
      <c r="E181" s="49"/>
      <c r="F181" s="15"/>
      <c r="G181" s="49"/>
      <c r="H181" s="15"/>
      <c r="I181" s="49"/>
      <c r="J181" s="15"/>
      <c r="K181" s="49"/>
    </row>
    <row r="182" spans="5:11" x14ac:dyDescent="0.2">
      <c r="E182" s="49"/>
      <c r="F182" s="15"/>
      <c r="G182" s="49"/>
      <c r="H182" s="15"/>
      <c r="I182" s="49"/>
      <c r="J182" s="15"/>
      <c r="K182" s="49"/>
    </row>
    <row r="183" spans="5:11" x14ac:dyDescent="0.2">
      <c r="E183" s="49"/>
      <c r="F183" s="15"/>
      <c r="G183" s="49"/>
      <c r="H183" s="15"/>
      <c r="I183" s="49"/>
      <c r="J183" s="15"/>
      <c r="K183" s="49"/>
    </row>
    <row r="184" spans="5:11" x14ac:dyDescent="0.2">
      <c r="E184" s="49"/>
      <c r="F184" s="15"/>
      <c r="G184" s="49"/>
      <c r="H184" s="15"/>
      <c r="I184" s="49"/>
      <c r="J184" s="15"/>
      <c r="K184" s="49"/>
    </row>
    <row r="185" spans="5:11" x14ac:dyDescent="0.2">
      <c r="E185" s="49"/>
      <c r="F185" s="15"/>
      <c r="G185" s="49"/>
      <c r="H185" s="15"/>
      <c r="I185" s="49"/>
      <c r="J185" s="15"/>
      <c r="K185" s="49"/>
    </row>
    <row r="186" spans="5:11" x14ac:dyDescent="0.2">
      <c r="E186" s="49"/>
      <c r="F186" s="15"/>
      <c r="G186" s="49"/>
      <c r="H186" s="15"/>
      <c r="I186" s="49"/>
      <c r="J186" s="15"/>
      <c r="K186" s="49"/>
    </row>
    <row r="187" spans="5:11" x14ac:dyDescent="0.2">
      <c r="E187" s="49"/>
      <c r="F187" s="15"/>
      <c r="G187" s="49"/>
      <c r="H187" s="15"/>
      <c r="I187" s="49"/>
      <c r="J187" s="15"/>
      <c r="K187" s="49"/>
    </row>
    <row r="188" spans="5:11" x14ac:dyDescent="0.2">
      <c r="E188" s="49"/>
      <c r="F188" s="15"/>
      <c r="G188" s="49"/>
      <c r="H188" s="15"/>
      <c r="I188" s="49"/>
      <c r="J188" s="15"/>
      <c r="K188" s="49"/>
    </row>
  </sheetData>
  <mergeCells count="27">
    <mergeCell ref="A10:K10"/>
    <mergeCell ref="H1:K1"/>
    <mergeCell ref="A2:K2"/>
    <mergeCell ref="A4:A5"/>
    <mergeCell ref="B4:B6"/>
    <mergeCell ref="C4:C6"/>
    <mergeCell ref="D4:E4"/>
    <mergeCell ref="F4:F5"/>
    <mergeCell ref="G4:G5"/>
    <mergeCell ref="H4:H5"/>
    <mergeCell ref="I4:I5"/>
    <mergeCell ref="J4:J5"/>
    <mergeCell ref="K4:K5"/>
    <mergeCell ref="D5:D6"/>
    <mergeCell ref="E5:E6"/>
    <mergeCell ref="A7:K7"/>
    <mergeCell ref="A16:K16"/>
    <mergeCell ref="A22:K22"/>
    <mergeCell ref="A43:J43"/>
    <mergeCell ref="A77:J77"/>
    <mergeCell ref="A93:J93"/>
    <mergeCell ref="A101:K101"/>
    <mergeCell ref="A120:J120"/>
    <mergeCell ref="A127:J127"/>
    <mergeCell ref="B137:E137"/>
    <mergeCell ref="E139:G139"/>
    <mergeCell ref="A104:J104"/>
  </mergeCells>
  <pageMargins left="0.70866141732283472" right="0.31496062992125984" top="0.74803149606299213" bottom="0.55118110236220474" header="0" footer="0"/>
  <pageSetup paperSize="9" scale="7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5447BD0C4151B458911E83D513C37A4" ma:contentTypeVersion="8" ma:contentTypeDescription="Kurkite naują dokumentą." ma:contentTypeScope="" ma:versionID="e6ed4b7294edba16c7645b08dc89f1fa">
  <xsd:schema xmlns:xsd="http://www.w3.org/2001/XMLSchema" xmlns:xs="http://www.w3.org/2001/XMLSchema" xmlns:p="http://schemas.microsoft.com/office/2006/metadata/properties" xmlns:ns3="a3e22a2e-b00b-43b4-b52b-2784bab9f462" xmlns:ns4="73c53f4f-28fb-4636-af27-2a313f14d7bb" targetNamespace="http://schemas.microsoft.com/office/2006/metadata/properties" ma:root="true" ma:fieldsID="bb823c5cbd43411eea7253d62a6af2c9" ns3:_="" ns4:_="">
    <xsd:import namespace="a3e22a2e-b00b-43b4-b52b-2784bab9f462"/>
    <xsd:import namespace="73c53f4f-28fb-4636-af27-2a313f14d7b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22a2e-b00b-43b4-b52b-2784bab9f46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c53f4f-28fb-4636-af27-2a313f14d7b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67642B-AC76-4BD0-A1BC-59D55DB77319}">
  <ds:schemaRefs>
    <ds:schemaRef ds:uri="http://schemas.microsoft.com/sharepoint/v3/contenttype/forms"/>
  </ds:schemaRefs>
</ds:datastoreItem>
</file>

<file path=customXml/itemProps2.xml><?xml version="1.0" encoding="utf-8"?>
<ds:datastoreItem xmlns:ds="http://schemas.openxmlformats.org/officeDocument/2006/customXml" ds:itemID="{C937A7A6-3BB9-47BD-993E-919F721F9C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22a2e-b00b-43b4-b52b-2784bab9f462"/>
    <ds:schemaRef ds:uri="73c53f4f-28fb-4636-af27-2a313f14d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E28147-AEF5-416C-B84C-8A44625A56A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3e22a2e-b00b-43b4-b52b-2784bab9f462"/>
    <ds:schemaRef ds:uri="http://purl.org/dc/elements/1.1/"/>
    <ds:schemaRef ds:uri="http://schemas.microsoft.com/office/2006/metadata/properties"/>
    <ds:schemaRef ds:uri="73c53f4f-28fb-4636-af27-2a313f14d7b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Lyginamasis</vt:lpstr>
      <vt:lpstr>IP sarasas</vt:lpstr>
      <vt:lpstr>'IP sarasas'!Print_Area</vt:lpstr>
      <vt:lpstr>Lyginamasis!Print_Area</vt:lpstr>
      <vt:lpstr>Lyginamasis!Print_Titles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Audra Cepiene</dc:creator>
  <cp:keywords/>
  <dc:description/>
  <cp:lastModifiedBy>Asta Česnauskienė</cp:lastModifiedBy>
  <cp:revision/>
  <cp:lastPrinted>2022-09-27T09:16:45Z</cp:lastPrinted>
  <dcterms:created xsi:type="dcterms:W3CDTF">2016-08-26T11:07:05Z</dcterms:created>
  <dcterms:modified xsi:type="dcterms:W3CDTF">2023-01-23T13:11:48Z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0x01010095447BD0C4151B458911E83D513C37A4</vt:lpwstr>
  </property>
</Properties>
</file>