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24226"/>
  <mc:AlternateContent xmlns:mc="http://schemas.openxmlformats.org/markup-compatibility/2006">
    <mc:Choice Requires="x15">
      <x15ac:absPath xmlns:x15ac="http://schemas.microsoft.com/office/spreadsheetml/2010/11/ac" url="\\gluosnis\Kmsa\Savivaldybės administracija\BENDROSIOS VALDYMO FUNKCIJOS\Strateginio planavimo skyrius\SVP PLANAI\2023-2025 SVP\Avilio kopija\"/>
    </mc:Choice>
  </mc:AlternateContent>
  <bookViews>
    <workbookView xWindow="28680" yWindow="-120" windowWidth="29040" windowHeight="15720"/>
  </bookViews>
  <sheets>
    <sheet name="Priemonių planas" sheetId="9" r:id="rId1"/>
    <sheet name="Lyginamasis" sheetId="6" state="hidden" r:id="rId2"/>
    <sheet name="Lyginamasis variantas" sheetId="5" state="hidden" r:id="rId3"/>
  </sheets>
  <definedNames>
    <definedName name="_xlnm.Print_Area" localSheetId="1">Lyginamasis!$A$1:$X$133</definedName>
    <definedName name="_xlnm.Print_Area" localSheetId="2">'Lyginamasis variantas'!$A$1:$Y$141</definedName>
    <definedName name="_xlnm.Print_Area" localSheetId="0">'Priemonių planas'!$A$1:$D$125</definedName>
    <definedName name="_xlnm.Print_Titles" localSheetId="1">Lyginamasis!$4:$6</definedName>
    <definedName name="_xlnm.Print_Titles" localSheetId="2">'Lyginamasis variantas'!$8:$9</definedName>
    <definedName name="_xlnm.Print_Titles" localSheetId="0">'Priemonių planas'!$3:$4</definedName>
  </definedNames>
  <calcPr calcId="191029"/>
</workbook>
</file>

<file path=xl/calcChain.xml><?xml version="1.0" encoding="utf-8"?>
<calcChain xmlns="http://schemas.openxmlformats.org/spreadsheetml/2006/main">
  <c r="J91" i="6" l="1"/>
  <c r="J10" i="6" l="1"/>
  <c r="M113" i="6" l="1"/>
  <c r="J113" i="6"/>
  <c r="A128" i="6" l="1"/>
  <c r="T59" i="6"/>
  <c r="G59" i="6"/>
  <c r="Q59" i="6"/>
  <c r="K59" i="6"/>
  <c r="L60" i="6"/>
  <c r="M60" i="6"/>
  <c r="O60" i="6"/>
  <c r="P60" i="6"/>
  <c r="U60" i="6"/>
  <c r="V60" i="6"/>
  <c r="M116" i="6" l="1"/>
  <c r="G80" i="6" l="1"/>
  <c r="F80" i="6"/>
  <c r="Q79" i="6"/>
  <c r="N79" i="6"/>
  <c r="K79" i="6"/>
  <c r="G79" i="6"/>
  <c r="F79" i="6"/>
  <c r="J78" i="6"/>
  <c r="G78" i="6" s="1"/>
  <c r="I78" i="6"/>
  <c r="F78" i="6" s="1"/>
  <c r="G77" i="6"/>
  <c r="F77" i="6"/>
  <c r="G76" i="6"/>
  <c r="F76" i="6"/>
  <c r="G75" i="6"/>
  <c r="F75" i="6"/>
  <c r="G74" i="6"/>
  <c r="F74" i="6"/>
  <c r="G73" i="6"/>
  <c r="F73" i="6"/>
  <c r="G72" i="6"/>
  <c r="F72" i="6"/>
  <c r="G71" i="6"/>
  <c r="F71" i="6"/>
  <c r="J70" i="6"/>
  <c r="G70" i="6" s="1"/>
  <c r="I70" i="6"/>
  <c r="F70" i="6" s="1"/>
  <c r="G69" i="6"/>
  <c r="F69" i="6"/>
  <c r="G68" i="6"/>
  <c r="F68" i="6"/>
  <c r="G67" i="6"/>
  <c r="F67" i="6"/>
  <c r="Q66" i="6"/>
  <c r="N66" i="6"/>
  <c r="K66" i="6"/>
  <c r="G66" i="6"/>
  <c r="F66" i="6"/>
  <c r="J65" i="6"/>
  <c r="G65" i="6" s="1"/>
  <c r="I65" i="6"/>
  <c r="F65" i="6" s="1"/>
  <c r="K64" i="6"/>
  <c r="G64" i="6"/>
  <c r="F64" i="6"/>
  <c r="G63" i="6"/>
  <c r="F63" i="6"/>
  <c r="J62" i="6"/>
  <c r="G62" i="6" s="1"/>
  <c r="I62" i="6"/>
  <c r="F62" i="6" s="1"/>
  <c r="F59" i="6"/>
  <c r="N58" i="6"/>
  <c r="K58" i="6"/>
  <c r="G58" i="6"/>
  <c r="F58" i="6"/>
  <c r="K57" i="6"/>
  <c r="G57" i="6"/>
  <c r="F57" i="6"/>
  <c r="N56" i="6"/>
  <c r="K56" i="6"/>
  <c r="G56" i="6"/>
  <c r="F56" i="6"/>
  <c r="G55" i="6"/>
  <c r="F55" i="6"/>
  <c r="K54" i="6"/>
  <c r="G54" i="6"/>
  <c r="F54" i="6"/>
  <c r="J53" i="6"/>
  <c r="G53" i="6" s="1"/>
  <c r="I53" i="6"/>
  <c r="F53" i="6" s="1"/>
  <c r="G52" i="6"/>
  <c r="F52" i="6"/>
  <c r="G51" i="6"/>
  <c r="F51" i="6"/>
  <c r="S50" i="6"/>
  <c r="R50" i="6"/>
  <c r="F50" i="6" s="1"/>
  <c r="G49" i="6"/>
  <c r="F49" i="6"/>
  <c r="G48" i="6"/>
  <c r="F48" i="6"/>
  <c r="G47" i="6"/>
  <c r="F47" i="6"/>
  <c r="G46" i="6"/>
  <c r="F46" i="6"/>
  <c r="G45" i="6"/>
  <c r="F45" i="6"/>
  <c r="K44" i="6"/>
  <c r="G44" i="6"/>
  <c r="F44" i="6"/>
  <c r="K43" i="6"/>
  <c r="G43" i="6"/>
  <c r="F43" i="6"/>
  <c r="G42" i="6"/>
  <c r="F42" i="6"/>
  <c r="T41" i="6"/>
  <c r="G41" i="6"/>
  <c r="F41" i="6"/>
  <c r="G40" i="6"/>
  <c r="F40" i="6"/>
  <c r="T39" i="6"/>
  <c r="N39" i="6"/>
  <c r="K39" i="6"/>
  <c r="G39" i="6"/>
  <c r="F39" i="6"/>
  <c r="T38" i="6"/>
  <c r="K38" i="6"/>
  <c r="G38" i="6"/>
  <c r="F38" i="6"/>
  <c r="T37" i="6"/>
  <c r="J37" i="6"/>
  <c r="K37" i="6" s="1"/>
  <c r="F37" i="6"/>
  <c r="G36" i="6"/>
  <c r="F36" i="6"/>
  <c r="K35" i="6"/>
  <c r="G35" i="6"/>
  <c r="F35" i="6"/>
  <c r="J34" i="6"/>
  <c r="I34" i="6"/>
  <c r="F34" i="6" s="1"/>
  <c r="T33" i="6"/>
  <c r="K33" i="6"/>
  <c r="G33" i="6"/>
  <c r="F33" i="6"/>
  <c r="W32" i="6"/>
  <c r="T32" i="6"/>
  <c r="Q32" i="6"/>
  <c r="N32" i="6"/>
  <c r="K32" i="6"/>
  <c r="G32" i="6"/>
  <c r="F32" i="6"/>
  <c r="W31" i="6"/>
  <c r="R31" i="6"/>
  <c r="Q31" i="6"/>
  <c r="K31" i="6"/>
  <c r="G31" i="6"/>
  <c r="F31" i="6"/>
  <c r="G28" i="6"/>
  <c r="F28" i="6"/>
  <c r="G27" i="6"/>
  <c r="F27" i="6"/>
  <c r="G26" i="6"/>
  <c r="F26" i="6"/>
  <c r="G25" i="6"/>
  <c r="F25" i="6"/>
  <c r="G24" i="6"/>
  <c r="F24" i="6"/>
  <c r="G23" i="6"/>
  <c r="F23" i="6"/>
  <c r="G22" i="6"/>
  <c r="F22" i="6"/>
  <c r="G21" i="6"/>
  <c r="F21" i="6"/>
  <c r="M20" i="6"/>
  <c r="G20" i="6" s="1"/>
  <c r="F20" i="6"/>
  <c r="Q19" i="6"/>
  <c r="N19" i="6"/>
  <c r="K19" i="6"/>
  <c r="K29" i="6" s="1"/>
  <c r="G19" i="6"/>
  <c r="F19" i="6"/>
  <c r="G18" i="6"/>
  <c r="F18" i="6"/>
  <c r="G17" i="6"/>
  <c r="F17" i="6"/>
  <c r="G16" i="6"/>
  <c r="F16" i="6"/>
  <c r="G15" i="6"/>
  <c r="F15" i="6"/>
  <c r="J12" i="6"/>
  <c r="K12" i="6" s="1"/>
  <c r="F12" i="6"/>
  <c r="G11" i="6"/>
  <c r="F11" i="6"/>
  <c r="G10" i="6"/>
  <c r="F10" i="6"/>
  <c r="W9" i="6"/>
  <c r="N9" i="6"/>
  <c r="K9" i="6"/>
  <c r="G9" i="6"/>
  <c r="F9" i="6"/>
  <c r="I13" i="6"/>
  <c r="L13" i="6"/>
  <c r="M13" i="6"/>
  <c r="O13" i="6"/>
  <c r="P13" i="6"/>
  <c r="R13" i="6"/>
  <c r="S13" i="6"/>
  <c r="U13" i="6"/>
  <c r="V13" i="6"/>
  <c r="I29" i="6"/>
  <c r="J29" i="6"/>
  <c r="L29" i="6"/>
  <c r="O29" i="6"/>
  <c r="P29" i="6"/>
  <c r="Q29" i="6"/>
  <c r="R29" i="6"/>
  <c r="S29" i="6"/>
  <c r="T29" i="6"/>
  <c r="U29" i="6"/>
  <c r="V29" i="6"/>
  <c r="W29" i="6"/>
  <c r="L81" i="6"/>
  <c r="M81" i="6"/>
  <c r="O81" i="6"/>
  <c r="P81" i="6"/>
  <c r="R81" i="6"/>
  <c r="S81" i="6"/>
  <c r="T81" i="6"/>
  <c r="U81" i="6"/>
  <c r="V81" i="6"/>
  <c r="W81" i="6"/>
  <c r="X81" i="6"/>
  <c r="F83" i="6"/>
  <c r="G83" i="6"/>
  <c r="F84" i="6"/>
  <c r="G84" i="6"/>
  <c r="F85" i="6"/>
  <c r="G85" i="6"/>
  <c r="F86" i="6"/>
  <c r="G86" i="6"/>
  <c r="H26" i="6" l="1"/>
  <c r="H63" i="6"/>
  <c r="H69" i="6"/>
  <c r="H72" i="6"/>
  <c r="H74" i="6"/>
  <c r="N81" i="6"/>
  <c r="G12" i="6"/>
  <c r="H12" i="6" s="1"/>
  <c r="H80" i="6"/>
  <c r="H15" i="6"/>
  <c r="H35" i="6"/>
  <c r="H46" i="6"/>
  <c r="H73" i="6"/>
  <c r="H79" i="6"/>
  <c r="H17" i="6"/>
  <c r="H43" i="6"/>
  <c r="Q60" i="6"/>
  <c r="H42" i="6"/>
  <c r="H66" i="6"/>
  <c r="H67" i="6"/>
  <c r="H75" i="6"/>
  <c r="H21" i="6"/>
  <c r="H25" i="6"/>
  <c r="H36" i="6"/>
  <c r="H68" i="6"/>
  <c r="H31" i="6"/>
  <c r="N60" i="6"/>
  <c r="H48" i="6"/>
  <c r="H23" i="6"/>
  <c r="H56" i="6"/>
  <c r="J81" i="6"/>
  <c r="H9" i="6"/>
  <c r="F13" i="6"/>
  <c r="F29" i="6"/>
  <c r="H28" i="6"/>
  <c r="I60" i="6"/>
  <c r="H41" i="6"/>
  <c r="H51" i="6"/>
  <c r="H53" i="6"/>
  <c r="H54" i="6"/>
  <c r="H58" i="6"/>
  <c r="H77" i="6"/>
  <c r="Q81" i="6"/>
  <c r="H20" i="6"/>
  <c r="K34" i="6"/>
  <c r="K60" i="6" s="1"/>
  <c r="J60" i="6"/>
  <c r="K81" i="6"/>
  <c r="H70" i="6"/>
  <c r="M29" i="6"/>
  <c r="H22" i="6"/>
  <c r="H27" i="6"/>
  <c r="T31" i="6"/>
  <c r="T60" i="6" s="1"/>
  <c r="R60" i="6"/>
  <c r="W60" i="6"/>
  <c r="F60" i="6"/>
  <c r="G50" i="6"/>
  <c r="H50" i="6" s="1"/>
  <c r="S60" i="6"/>
  <c r="H62" i="6"/>
  <c r="H64" i="6"/>
  <c r="H65" i="6"/>
  <c r="H71" i="6"/>
  <c r="H76" i="6"/>
  <c r="H78" i="6"/>
  <c r="H59" i="6"/>
  <c r="H24" i="6"/>
  <c r="H38" i="6"/>
  <c r="H39" i="6"/>
  <c r="H10" i="6"/>
  <c r="H11" i="6"/>
  <c r="H16" i="6"/>
  <c r="H18" i="6"/>
  <c r="H33" i="6"/>
  <c r="H45" i="6"/>
  <c r="H47" i="6"/>
  <c r="H52" i="6"/>
  <c r="H19" i="6"/>
  <c r="H57" i="6"/>
  <c r="H32" i="6"/>
  <c r="H40" i="6"/>
  <c r="H44" i="6"/>
  <c r="H49" i="6"/>
  <c r="H55" i="6"/>
  <c r="N29" i="6"/>
  <c r="G34" i="6"/>
  <c r="H34" i="6" s="1"/>
  <c r="G37" i="6"/>
  <c r="H37" i="6" s="1"/>
  <c r="G29" i="6"/>
  <c r="F81" i="6"/>
  <c r="G81" i="6"/>
  <c r="I81" i="6"/>
  <c r="J13" i="6"/>
  <c r="I127" i="6"/>
  <c r="L127" i="6"/>
  <c r="M127" i="6"/>
  <c r="N127" i="6"/>
  <c r="R127" i="6"/>
  <c r="S127" i="6"/>
  <c r="T127" i="6"/>
  <c r="G60" i="6" l="1"/>
  <c r="H29" i="6"/>
  <c r="H81" i="6"/>
  <c r="H60" i="6"/>
  <c r="G13" i="6"/>
  <c r="Q126" i="6"/>
  <c r="H126" i="6" s="1"/>
  <c r="F126" i="6"/>
  <c r="G126" i="6"/>
  <c r="V122" i="6"/>
  <c r="W122" i="6" s="1"/>
  <c r="W127" i="6" s="1"/>
  <c r="J122" i="6"/>
  <c r="G116" i="6"/>
  <c r="J107" i="6"/>
  <c r="K107" i="6" s="1"/>
  <c r="J106" i="6"/>
  <c r="K106" i="6" s="1"/>
  <c r="P105" i="6"/>
  <c r="Q105" i="6" s="1"/>
  <c r="M105" i="6"/>
  <c r="N105" i="6" s="1"/>
  <c r="J105" i="6"/>
  <c r="G105" i="6" l="1"/>
  <c r="K122" i="6"/>
  <c r="K127" i="6" s="1"/>
  <c r="J127" i="6"/>
  <c r="K105" i="6"/>
  <c r="J99" i="6"/>
  <c r="K99" i="6" s="1"/>
  <c r="J96" i="6"/>
  <c r="K96" i="6" s="1"/>
  <c r="K91" i="6"/>
  <c r="O125" i="6" l="1"/>
  <c r="O127" i="6" s="1"/>
  <c r="I113" i="6"/>
  <c r="L113" i="6"/>
  <c r="I93" i="6"/>
  <c r="G113" i="6" l="1"/>
  <c r="H113" i="6" l="1"/>
  <c r="G122" i="6" l="1"/>
  <c r="G123" i="6"/>
  <c r="G124" i="6"/>
  <c r="G91" i="6"/>
  <c r="G92" i="6"/>
  <c r="G94" i="6"/>
  <c r="G95" i="6"/>
  <c r="G96" i="6"/>
  <c r="G98" i="6"/>
  <c r="G99" i="6"/>
  <c r="G100" i="6"/>
  <c r="G101" i="6"/>
  <c r="G102" i="6"/>
  <c r="G90" i="6"/>
  <c r="F99" i="6"/>
  <c r="H99" i="6" l="1"/>
  <c r="K88" i="6" l="1"/>
  <c r="L88" i="6"/>
  <c r="M88" i="6"/>
  <c r="N88" i="6"/>
  <c r="O88" i="6"/>
  <c r="P88" i="6"/>
  <c r="Q88" i="6"/>
  <c r="R88" i="6"/>
  <c r="S88" i="6"/>
  <c r="T88" i="6"/>
  <c r="U88" i="6"/>
  <c r="V88" i="6"/>
  <c r="W88" i="6"/>
  <c r="I88" i="6"/>
  <c r="J88" i="6"/>
  <c r="L103" i="6"/>
  <c r="M103" i="6"/>
  <c r="N103" i="6"/>
  <c r="O103" i="6"/>
  <c r="P103" i="6"/>
  <c r="R103" i="6"/>
  <c r="S103" i="6"/>
  <c r="T103" i="6"/>
  <c r="U103" i="6"/>
  <c r="V103" i="6"/>
  <c r="W103" i="6"/>
  <c r="F125" i="6"/>
  <c r="F113" i="6"/>
  <c r="F105" i="6"/>
  <c r="H105" i="6" s="1"/>
  <c r="F91" i="6"/>
  <c r="H91" i="6" s="1"/>
  <c r="F92" i="6"/>
  <c r="F94" i="6"/>
  <c r="F95" i="6"/>
  <c r="F96" i="6"/>
  <c r="H96" i="6" s="1"/>
  <c r="F97" i="6"/>
  <c r="F98" i="6"/>
  <c r="F100" i="6"/>
  <c r="F101" i="6"/>
  <c r="F102" i="6"/>
  <c r="F90" i="6"/>
  <c r="V121" i="6"/>
  <c r="V127" i="6" s="1"/>
  <c r="V119" i="6"/>
  <c r="V111" i="6"/>
  <c r="G121" i="6" l="1"/>
  <c r="V128" i="6"/>
  <c r="T128" i="6"/>
  <c r="W128" i="6"/>
  <c r="F93" i="6" l="1"/>
  <c r="F103" i="6" s="1"/>
  <c r="Q103" i="6" l="1"/>
  <c r="P125" i="6" l="1"/>
  <c r="G125" i="6" l="1"/>
  <c r="G127" i="6" s="1"/>
  <c r="P127" i="6"/>
  <c r="Q125" i="6"/>
  <c r="Q127" i="6" s="1"/>
  <c r="S119" i="6"/>
  <c r="S111" i="6"/>
  <c r="N119" i="6"/>
  <c r="N128" i="6" s="1"/>
  <c r="M119" i="6"/>
  <c r="M128" i="6" s="1"/>
  <c r="M111" i="6"/>
  <c r="H125" i="6" l="1"/>
  <c r="S128" i="6"/>
  <c r="G118" i="6" l="1"/>
  <c r="G108" i="6"/>
  <c r="O119" i="6" l="1"/>
  <c r="O111" i="6"/>
  <c r="J97" i="6"/>
  <c r="G97" i="6" s="1"/>
  <c r="J93" i="6"/>
  <c r="G93" i="6" l="1"/>
  <c r="G103" i="6" s="1"/>
  <c r="K93" i="6"/>
  <c r="H93" i="6" s="1"/>
  <c r="J103" i="6"/>
  <c r="O128" i="6"/>
  <c r="Q128" i="6"/>
  <c r="K97" i="6"/>
  <c r="I103" i="6"/>
  <c r="K103" i="6" l="1"/>
  <c r="J111" i="6"/>
  <c r="J119" i="6"/>
  <c r="J128" i="6" s="1"/>
  <c r="H97" i="6" l="1"/>
  <c r="X111" i="6" l="1"/>
  <c r="X88" i="6"/>
  <c r="U111" i="6"/>
  <c r="U119" i="6"/>
  <c r="U121" i="6"/>
  <c r="U127" i="6" s="1"/>
  <c r="F124" i="6"/>
  <c r="F123" i="6"/>
  <c r="F122" i="6"/>
  <c r="H122" i="6" s="1"/>
  <c r="H127" i="6" s="1"/>
  <c r="G114" i="6"/>
  <c r="G115" i="6"/>
  <c r="G117" i="6"/>
  <c r="G109" i="6"/>
  <c r="F110" i="6"/>
  <c r="F108" i="6"/>
  <c r="G110" i="6"/>
  <c r="F109" i="6"/>
  <c r="F106" i="6"/>
  <c r="F107" i="6"/>
  <c r="G106" i="6"/>
  <c r="G107" i="6"/>
  <c r="H107" i="6" s="1"/>
  <c r="G87" i="6"/>
  <c r="F87" i="6"/>
  <c r="G13" i="5"/>
  <c r="H13" i="5"/>
  <c r="R119" i="6"/>
  <c r="P119" i="6"/>
  <c r="L119" i="6"/>
  <c r="I119" i="6"/>
  <c r="F118" i="6"/>
  <c r="F117" i="6"/>
  <c r="F116" i="6"/>
  <c r="F115" i="6"/>
  <c r="F114" i="6"/>
  <c r="R111" i="6"/>
  <c r="P111" i="6"/>
  <c r="L111" i="6"/>
  <c r="I111" i="6"/>
  <c r="L128" i="6"/>
  <c r="H106" i="6" l="1"/>
  <c r="G119" i="6"/>
  <c r="F88" i="6"/>
  <c r="G88" i="6"/>
  <c r="R128" i="6"/>
  <c r="P128" i="6"/>
  <c r="F121" i="6"/>
  <c r="F127" i="6" s="1"/>
  <c r="U128" i="6"/>
  <c r="F111" i="6"/>
  <c r="G111" i="6"/>
  <c r="F119" i="6"/>
  <c r="I128" i="6" l="1"/>
  <c r="K128" i="6" s="1"/>
  <c r="F128" i="6"/>
  <c r="G128" i="6" l="1"/>
  <c r="H103" i="6"/>
  <c r="H128" i="6" s="1"/>
  <c r="K131" i="5" l="1"/>
  <c r="H131" i="5" l="1"/>
  <c r="L131" i="5"/>
  <c r="K99" i="5" l="1"/>
  <c r="L99" i="5" s="1"/>
  <c r="K96" i="5" l="1"/>
  <c r="H96" i="5" s="1"/>
  <c r="L93" i="5"/>
  <c r="R78" i="5" l="1"/>
  <c r="O78" i="5"/>
  <c r="K24" i="5" l="1"/>
  <c r="R24" i="5" l="1"/>
  <c r="O24" i="5"/>
  <c r="L24" i="5"/>
  <c r="L23" i="5"/>
  <c r="J96" i="5" l="1"/>
  <c r="L96" i="5" s="1"/>
  <c r="J126" i="5"/>
  <c r="M82" i="5"/>
  <c r="J82" i="5"/>
  <c r="J81" i="5"/>
  <c r="J80" i="5"/>
  <c r="J79" i="5"/>
  <c r="J78" i="5"/>
  <c r="L78" i="5" s="1"/>
  <c r="J77" i="5"/>
  <c r="G37" i="5"/>
  <c r="S43" i="5"/>
  <c r="J64" i="5"/>
  <c r="J61" i="5"/>
  <c r="J55" i="5"/>
  <c r="J51" i="5"/>
  <c r="J48" i="5"/>
  <c r="H37" i="5"/>
  <c r="K16" i="5"/>
  <c r="J16" i="5"/>
  <c r="V17" i="5"/>
  <c r="V32" i="5"/>
  <c r="V45" i="5"/>
  <c r="V49" i="5"/>
  <c r="V89" i="5"/>
  <c r="V97" i="5"/>
  <c r="V115" i="5"/>
  <c r="V123" i="5"/>
  <c r="V132" i="5"/>
  <c r="V138" i="5"/>
  <c r="S17" i="5"/>
  <c r="S32" i="5"/>
  <c r="S34" i="5"/>
  <c r="S66" i="5" s="1"/>
  <c r="S139" i="5" s="1"/>
  <c r="S89" i="5"/>
  <c r="S97" i="5"/>
  <c r="S115" i="5"/>
  <c r="S123" i="5"/>
  <c r="S132" i="5"/>
  <c r="S138" i="5"/>
  <c r="V66" i="5" l="1"/>
  <c r="V139" i="5" s="1"/>
  <c r="T34" i="5"/>
  <c r="H34" i="5" s="1"/>
  <c r="K77" i="5" l="1"/>
  <c r="L132" i="5" l="1"/>
  <c r="K126" i="5"/>
  <c r="H126" i="5" s="1"/>
  <c r="H94" i="5"/>
  <c r="H95" i="5"/>
  <c r="K55" i="5" l="1"/>
  <c r="K51" i="5"/>
  <c r="K48" i="5" l="1"/>
  <c r="T43" i="5"/>
  <c r="K61" i="5" l="1"/>
  <c r="H24" i="5"/>
  <c r="H83" i="5"/>
  <c r="K81" i="5" l="1"/>
  <c r="K80" i="5"/>
  <c r="K79" i="5"/>
  <c r="H79" i="5" s="1"/>
  <c r="M97" i="5" l="1"/>
  <c r="N97" i="5"/>
  <c r="O97" i="5"/>
  <c r="P97" i="5"/>
  <c r="Q97" i="5"/>
  <c r="R97" i="5"/>
  <c r="T97" i="5"/>
  <c r="U97" i="5"/>
  <c r="W97" i="5"/>
  <c r="J17" i="5" l="1"/>
  <c r="K17" i="5"/>
  <c r="M17" i="5"/>
  <c r="N17" i="5"/>
  <c r="O17" i="5"/>
  <c r="P17" i="5"/>
  <c r="Q17" i="5"/>
  <c r="R17" i="5"/>
  <c r="T17" i="5"/>
  <c r="U17" i="5"/>
  <c r="P32" i="5"/>
  <c r="Q32" i="5"/>
  <c r="T32" i="5"/>
  <c r="U32" i="5"/>
  <c r="W32" i="5"/>
  <c r="X32" i="5"/>
  <c r="M66" i="5"/>
  <c r="N66" i="5"/>
  <c r="P66" i="5"/>
  <c r="Q66" i="5"/>
  <c r="T66" i="5"/>
  <c r="M89" i="5"/>
  <c r="P89" i="5"/>
  <c r="Q89" i="5"/>
  <c r="T89" i="5"/>
  <c r="U89" i="5"/>
  <c r="N82" i="5"/>
  <c r="K82" i="5"/>
  <c r="O89" i="5" l="1"/>
  <c r="L89" i="5"/>
  <c r="R32" i="5"/>
  <c r="O32" i="5"/>
  <c r="L17" i="5"/>
  <c r="L32" i="5" l="1"/>
  <c r="U139" i="5"/>
  <c r="O139" i="5"/>
  <c r="H134" i="5"/>
  <c r="G135" i="5"/>
  <c r="H135" i="5"/>
  <c r="G136" i="5"/>
  <c r="H136" i="5"/>
  <c r="G137" i="5"/>
  <c r="H137" i="5"/>
  <c r="G134" i="5"/>
  <c r="G126" i="5"/>
  <c r="G127" i="5"/>
  <c r="H127" i="5"/>
  <c r="G128" i="5"/>
  <c r="H128" i="5"/>
  <c r="G129" i="5"/>
  <c r="H129" i="5"/>
  <c r="G130" i="5"/>
  <c r="H130" i="5"/>
  <c r="G131" i="5"/>
  <c r="I131" i="5" s="1"/>
  <c r="G119" i="5"/>
  <c r="H119" i="5"/>
  <c r="G120" i="5"/>
  <c r="H120" i="5"/>
  <c r="G121" i="5"/>
  <c r="H121" i="5"/>
  <c r="G122" i="5"/>
  <c r="H122" i="5"/>
  <c r="H118" i="5"/>
  <c r="G118" i="5"/>
  <c r="G100" i="5"/>
  <c r="H100" i="5"/>
  <c r="G101" i="5"/>
  <c r="H101" i="5"/>
  <c r="G102" i="5"/>
  <c r="H102" i="5"/>
  <c r="G104" i="5"/>
  <c r="H104" i="5"/>
  <c r="G105" i="5"/>
  <c r="H105" i="5"/>
  <c r="G106" i="5"/>
  <c r="H106" i="5"/>
  <c r="G107" i="5"/>
  <c r="H107" i="5"/>
  <c r="G108" i="5"/>
  <c r="H108" i="5"/>
  <c r="G109" i="5"/>
  <c r="H109" i="5"/>
  <c r="G110" i="5"/>
  <c r="H110" i="5"/>
  <c r="G111" i="5"/>
  <c r="H111" i="5"/>
  <c r="G112" i="5"/>
  <c r="H112" i="5"/>
  <c r="G113" i="5"/>
  <c r="H113" i="5"/>
  <c r="G114" i="5"/>
  <c r="H114" i="5"/>
  <c r="H99" i="5"/>
  <c r="G99" i="5"/>
  <c r="G93" i="5"/>
  <c r="I93" i="5" s="1"/>
  <c r="G94" i="5"/>
  <c r="G95" i="5"/>
  <c r="G96" i="5"/>
  <c r="I96" i="5" s="1"/>
  <c r="H91" i="5"/>
  <c r="G91" i="5"/>
  <c r="G69" i="5"/>
  <c r="H69" i="5"/>
  <c r="G70" i="5"/>
  <c r="H70" i="5"/>
  <c r="G71" i="5"/>
  <c r="H71" i="5"/>
  <c r="G72" i="5"/>
  <c r="H72" i="5"/>
  <c r="G73" i="5"/>
  <c r="H73" i="5"/>
  <c r="G74" i="5"/>
  <c r="H74" i="5"/>
  <c r="G75" i="5"/>
  <c r="H75" i="5"/>
  <c r="G76" i="5"/>
  <c r="H76" i="5"/>
  <c r="G77" i="5"/>
  <c r="H77" i="5"/>
  <c r="G78" i="5"/>
  <c r="H78" i="5"/>
  <c r="I78" i="5" s="1"/>
  <c r="G79" i="5"/>
  <c r="G80" i="5"/>
  <c r="H80" i="5"/>
  <c r="G81" i="5"/>
  <c r="H81" i="5"/>
  <c r="G82" i="5"/>
  <c r="H82" i="5"/>
  <c r="G83" i="5"/>
  <c r="I83" i="5" s="1"/>
  <c r="G84" i="5"/>
  <c r="H84" i="5"/>
  <c r="G86" i="5"/>
  <c r="H86" i="5"/>
  <c r="G87" i="5"/>
  <c r="G88" i="5"/>
  <c r="H88" i="5"/>
  <c r="H68" i="5"/>
  <c r="G68" i="5"/>
  <c r="G36" i="5"/>
  <c r="H36" i="5"/>
  <c r="G38" i="5"/>
  <c r="H38" i="5"/>
  <c r="G39" i="5"/>
  <c r="H39" i="5"/>
  <c r="G40" i="5"/>
  <c r="H40" i="5"/>
  <c r="G41" i="5"/>
  <c r="H41" i="5"/>
  <c r="G42" i="5"/>
  <c r="H42" i="5"/>
  <c r="G43" i="5"/>
  <c r="H43" i="5"/>
  <c r="G44" i="5"/>
  <c r="H44" i="5"/>
  <c r="G48" i="5"/>
  <c r="H48" i="5"/>
  <c r="G50" i="5"/>
  <c r="H50" i="5"/>
  <c r="H51" i="5"/>
  <c r="G52" i="5"/>
  <c r="H52" i="5"/>
  <c r="G53" i="5"/>
  <c r="H53" i="5"/>
  <c r="G54" i="5"/>
  <c r="H54" i="5"/>
  <c r="G55" i="5"/>
  <c r="H55" i="5"/>
  <c r="G56" i="5"/>
  <c r="H56" i="5"/>
  <c r="G57" i="5"/>
  <c r="H57" i="5"/>
  <c r="G58" i="5"/>
  <c r="H58" i="5"/>
  <c r="G59" i="5"/>
  <c r="H59" i="5"/>
  <c r="G60" i="5"/>
  <c r="H60" i="5"/>
  <c r="H61" i="5"/>
  <c r="G62" i="5"/>
  <c r="H62" i="5"/>
  <c r="G63" i="5"/>
  <c r="H63" i="5"/>
  <c r="G65" i="5"/>
  <c r="H65" i="5"/>
  <c r="G34" i="5"/>
  <c r="G20" i="5"/>
  <c r="H20" i="5"/>
  <c r="G21" i="5"/>
  <c r="H21" i="5"/>
  <c r="G22" i="5"/>
  <c r="H22" i="5"/>
  <c r="G23" i="5"/>
  <c r="H23" i="5"/>
  <c r="I23" i="5" s="1"/>
  <c r="G24" i="5"/>
  <c r="I24" i="5" s="1"/>
  <c r="G25" i="5"/>
  <c r="H25" i="5"/>
  <c r="G26" i="5"/>
  <c r="H26" i="5"/>
  <c r="G27" i="5"/>
  <c r="H27" i="5"/>
  <c r="G28" i="5"/>
  <c r="H28" i="5"/>
  <c r="G29" i="5"/>
  <c r="H29" i="5"/>
  <c r="G31" i="5"/>
  <c r="H31" i="5"/>
  <c r="H19" i="5"/>
  <c r="G19" i="5"/>
  <c r="H14" i="5"/>
  <c r="H15" i="5"/>
  <c r="H16" i="5"/>
  <c r="G14" i="5"/>
  <c r="G15" i="5"/>
  <c r="G16" i="5"/>
  <c r="W138" i="5"/>
  <c r="W132" i="5"/>
  <c r="W123" i="5"/>
  <c r="W115" i="5"/>
  <c r="W89" i="5"/>
  <c r="W49" i="5"/>
  <c r="H49" i="5" s="1"/>
  <c r="W45" i="5"/>
  <c r="H45" i="5" s="1"/>
  <c r="W17" i="5"/>
  <c r="G49" i="5"/>
  <c r="G45" i="5"/>
  <c r="T138" i="5"/>
  <c r="T132" i="5"/>
  <c r="T123" i="5"/>
  <c r="T115" i="5"/>
  <c r="Q138" i="5"/>
  <c r="Q132" i="5"/>
  <c r="Q123" i="5"/>
  <c r="Q115" i="5"/>
  <c r="N138" i="5"/>
  <c r="N132" i="5"/>
  <c r="N123" i="5"/>
  <c r="N115" i="5"/>
  <c r="N30" i="5"/>
  <c r="N32" i="5" s="1"/>
  <c r="K138" i="5"/>
  <c r="K132" i="5"/>
  <c r="K123" i="5"/>
  <c r="K103" i="5"/>
  <c r="K115" i="5" s="1"/>
  <c r="K85" i="5"/>
  <c r="K89" i="5" s="1"/>
  <c r="K64" i="5"/>
  <c r="H64" i="5" s="1"/>
  <c r="K30" i="5"/>
  <c r="K32" i="5" s="1"/>
  <c r="I99" i="5" l="1"/>
  <c r="I132" i="5"/>
  <c r="Q139" i="5"/>
  <c r="T139" i="5"/>
  <c r="H103" i="5"/>
  <c r="H115" i="5" s="1"/>
  <c r="H123" i="5"/>
  <c r="H85" i="5"/>
  <c r="K66" i="5"/>
  <c r="H66" i="5"/>
  <c r="I82" i="5"/>
  <c r="I17" i="5"/>
  <c r="G17" i="5"/>
  <c r="G123" i="5"/>
  <c r="H30" i="5"/>
  <c r="H32" i="5" s="1"/>
  <c r="W66" i="5"/>
  <c r="W139" i="5" s="1"/>
  <c r="H132" i="5"/>
  <c r="H138" i="5"/>
  <c r="H17" i="5"/>
  <c r="I32" i="5" l="1"/>
  <c r="I89" i="5"/>
  <c r="X138" i="5"/>
  <c r="P138" i="5"/>
  <c r="M138" i="5"/>
  <c r="J138" i="5"/>
  <c r="X132" i="5"/>
  <c r="P132" i="5"/>
  <c r="M132" i="5"/>
  <c r="J132" i="5"/>
  <c r="P123" i="5"/>
  <c r="M123" i="5"/>
  <c r="J123" i="5"/>
  <c r="P115" i="5"/>
  <c r="M115" i="5"/>
  <c r="J103" i="5"/>
  <c r="G103" i="5" s="1"/>
  <c r="X97" i="5"/>
  <c r="M139" i="5"/>
  <c r="X89" i="5"/>
  <c r="J85" i="5"/>
  <c r="G64" i="5"/>
  <c r="M30" i="5"/>
  <c r="M32" i="5" s="1"/>
  <c r="J30" i="5"/>
  <c r="X17" i="5"/>
  <c r="P139" i="5" l="1"/>
  <c r="J66" i="5"/>
  <c r="G51" i="5"/>
  <c r="G61" i="5"/>
  <c r="J89" i="5"/>
  <c r="G85" i="5"/>
  <c r="G89" i="5" s="1"/>
  <c r="J32" i="5"/>
  <c r="G30" i="5"/>
  <c r="G32" i="5" s="1"/>
  <c r="G138" i="5"/>
  <c r="X139" i="5"/>
  <c r="G132" i="5"/>
  <c r="G115" i="5"/>
  <c r="J115" i="5"/>
  <c r="G66" i="5" l="1"/>
  <c r="N89" i="5" l="1"/>
  <c r="N139" i="5" s="1"/>
  <c r="H87" i="5"/>
  <c r="H89" i="5" s="1"/>
  <c r="R89" i="5"/>
  <c r="R139" i="5"/>
  <c r="J97" i="5"/>
  <c r="J139" i="5" s="1"/>
  <c r="G92" i="5"/>
  <c r="G97" i="5" s="1"/>
  <c r="G139" i="5" s="1"/>
  <c r="H92" i="5" l="1"/>
  <c r="H97" i="5" s="1"/>
  <c r="H139" i="5" s="1"/>
  <c r="L97" i="5"/>
  <c r="L139" i="5" s="1"/>
  <c r="K97" i="5"/>
  <c r="K139" i="5" s="1"/>
  <c r="I97" i="5" l="1"/>
  <c r="I139" i="5" s="1"/>
</calcChain>
</file>

<file path=xl/comments1.xml><?xml version="1.0" encoding="utf-8"?>
<comments xmlns="http://schemas.openxmlformats.org/spreadsheetml/2006/main">
  <authors>
    <author>Snieguole Kacerauskaite</author>
  </authors>
  <commentList>
    <comment ref="B41" authorId="0" shapeId="0">
      <text>
        <r>
          <rPr>
            <sz val="9"/>
            <color indexed="81"/>
            <rFont val="Tahoma"/>
            <family val="2"/>
            <charset val="186"/>
          </rPr>
          <t xml:space="preserve">parengus TP darbų kaina ir terminai bus tikslinami
</t>
        </r>
      </text>
    </comment>
  </commentList>
</comments>
</file>

<file path=xl/comments2.xml><?xml version="1.0" encoding="utf-8"?>
<comments xmlns="http://schemas.openxmlformats.org/spreadsheetml/2006/main">
  <authors>
    <author>Audra Cepiene</author>
  </authors>
  <commentList>
    <comment ref="F15" authorId="0" shapeId="0">
      <text>
        <r>
          <rPr>
            <sz val="9"/>
            <color indexed="81"/>
            <rFont val="Tahoma"/>
            <family val="2"/>
            <charset val="186"/>
          </rPr>
          <t>bendra projekto vertė 4943,7</t>
        </r>
      </text>
    </comment>
    <comment ref="G15" authorId="0" shapeId="0">
      <text>
        <r>
          <rPr>
            <sz val="9"/>
            <color indexed="81"/>
            <rFont val="Tahoma"/>
            <family val="2"/>
            <charset val="186"/>
          </rPr>
          <t>bendra projekto vertė 4943,7</t>
        </r>
      </text>
    </comment>
    <comment ref="B16" authorId="0" shapeId="0">
      <text>
        <r>
          <rPr>
            <sz val="9"/>
            <color indexed="81"/>
            <rFont val="Tahoma"/>
            <family val="2"/>
            <charset val="186"/>
          </rPr>
          <t>Techninis projektas parengtas 2019 m., Parengimo kaina neįtraukta į projekto vertę</t>
        </r>
      </text>
    </comment>
    <comment ref="F21" authorId="0" shapeId="0">
      <text>
        <r>
          <rPr>
            <sz val="9"/>
            <color indexed="81"/>
            <rFont val="Tahoma"/>
            <family val="2"/>
            <charset val="186"/>
          </rPr>
          <t>2020 metams papildomiems darbams projektui už baigti</t>
        </r>
      </text>
    </comment>
    <comment ref="G21" authorId="0" shapeId="0">
      <text>
        <r>
          <rPr>
            <sz val="9"/>
            <color indexed="81"/>
            <rFont val="Tahoma"/>
            <family val="2"/>
            <charset val="186"/>
          </rPr>
          <t>2020 metams papildomiems darbams projektui už baigti</t>
        </r>
      </text>
    </comment>
    <comment ref="B26" authorId="0" shapeId="0">
      <text>
        <r>
          <rPr>
            <b/>
            <sz val="9"/>
            <color indexed="81"/>
            <rFont val="Tahoma"/>
            <family val="2"/>
            <charset val="186"/>
          </rPr>
          <t xml:space="preserve">1,528 500 tūkt. eur </t>
        </r>
        <r>
          <rPr>
            <sz val="9"/>
            <color indexed="81"/>
            <rFont val="Tahoma"/>
            <family val="2"/>
            <charset val="186"/>
          </rPr>
          <t xml:space="preserve">bendra projekto vertė
</t>
        </r>
      </text>
    </comment>
    <comment ref="F28" authorId="0" shapeId="0">
      <text>
        <r>
          <rPr>
            <sz val="9"/>
            <color indexed="81"/>
            <rFont val="Tahoma"/>
            <family val="2"/>
            <charset val="186"/>
          </rPr>
          <t xml:space="preserve">6290 tūkst. eur vertė
</t>
        </r>
      </text>
    </comment>
    <comment ref="G28" authorId="0" shapeId="0">
      <text>
        <r>
          <rPr>
            <sz val="9"/>
            <color indexed="81"/>
            <rFont val="Tahoma"/>
            <family val="2"/>
            <charset val="186"/>
          </rPr>
          <t xml:space="preserve">6290 tūkst. eur vertė
</t>
        </r>
      </text>
    </comment>
    <comment ref="B45" authorId="0" shapeId="0">
      <text>
        <r>
          <rPr>
            <b/>
            <sz val="9"/>
            <color indexed="81"/>
            <rFont val="Tahoma"/>
            <family val="2"/>
            <charset val="186"/>
          </rPr>
          <t>projekto vertė buvo 14617,9</t>
        </r>
        <r>
          <rPr>
            <sz val="9"/>
            <color indexed="81"/>
            <rFont val="Tahoma"/>
            <family val="2"/>
            <charset val="186"/>
          </rPr>
          <t xml:space="preserve">
</t>
        </r>
      </text>
    </comment>
    <comment ref="B65" authorId="0" shapeId="0">
      <text>
        <r>
          <rPr>
            <b/>
            <sz val="9"/>
            <color indexed="81"/>
            <rFont val="Tahoma"/>
            <family val="2"/>
            <charset val="186"/>
          </rPr>
          <t>Be paviljono rekonstrukcijos</t>
        </r>
        <r>
          <rPr>
            <sz val="9"/>
            <color indexed="81"/>
            <rFont val="Tahoma"/>
            <family val="2"/>
            <charset val="186"/>
          </rPr>
          <t xml:space="preserve">
</t>
        </r>
      </text>
    </comment>
    <comment ref="B74" authorId="0" shapeId="0">
      <text>
        <r>
          <rPr>
            <sz val="9"/>
            <color indexed="81"/>
            <rFont val="Tahoma"/>
            <family val="2"/>
            <charset val="186"/>
          </rPr>
          <t xml:space="preserve">Techninis projektas parengtas 2019 m., Parengimo kaina neįtraukta prie projekto vertės
</t>
        </r>
      </text>
    </comment>
    <comment ref="I78" authorId="0" shapeId="0">
      <text>
        <r>
          <rPr>
            <b/>
            <sz val="9"/>
            <color indexed="81"/>
            <rFont val="Tahoma"/>
            <family val="2"/>
            <charset val="186"/>
          </rPr>
          <t xml:space="preserve">2020-2022 m. </t>
        </r>
        <r>
          <rPr>
            <sz val="9"/>
            <color indexed="81"/>
            <rFont val="Tahoma"/>
            <family val="2"/>
            <charset val="186"/>
          </rPr>
          <t>planuojama panaudoti po 1200 tūkst. Eur.</t>
        </r>
        <r>
          <rPr>
            <b/>
            <sz val="9"/>
            <color indexed="81"/>
            <rFont val="Tahoma"/>
            <family val="2"/>
            <charset val="186"/>
          </rPr>
          <t xml:space="preserve">
2019 m.</t>
        </r>
        <r>
          <rPr>
            <sz val="9"/>
            <color indexed="81"/>
            <rFont val="Tahoma"/>
            <family val="2"/>
            <charset val="186"/>
          </rPr>
          <t xml:space="preserve"> panaudota 1.851.536 Eur (tame skaičiuje aikštelėms 1.479.769 Eur, apšvietimui – 361.776 Eur, želdiniams – 9.990 Eur)
</t>
        </r>
        <r>
          <rPr>
            <b/>
            <sz val="9"/>
            <color indexed="81"/>
            <rFont val="Tahoma"/>
            <family val="2"/>
            <charset val="186"/>
          </rPr>
          <t>2018 m.</t>
        </r>
        <r>
          <rPr>
            <sz val="9"/>
            <color indexed="81"/>
            <rFont val="Tahoma"/>
            <family val="2"/>
            <charset val="186"/>
          </rPr>
          <t xml:space="preserve"> panaudota 1.101.120 Eur (tame skaičiuje aikštelėms 464.553 Eur, apšvietimui 632.184 Eur, želdiniams -4.383 Eur;
</t>
        </r>
        <r>
          <rPr>
            <b/>
            <sz val="9"/>
            <color indexed="81"/>
            <rFont val="Tahoma"/>
            <family val="2"/>
            <charset val="186"/>
          </rPr>
          <t xml:space="preserve">2017 m. </t>
        </r>
        <r>
          <rPr>
            <sz val="9"/>
            <color indexed="81"/>
            <rFont val="Tahoma"/>
            <family val="2"/>
            <charset val="186"/>
          </rPr>
          <t xml:space="preserve">panaudota 399 tūkst. Eur;
</t>
        </r>
        <r>
          <rPr>
            <b/>
            <sz val="9"/>
            <color indexed="81"/>
            <rFont val="Tahoma"/>
            <family val="2"/>
            <charset val="186"/>
          </rPr>
          <t xml:space="preserve">2016 m. </t>
        </r>
        <r>
          <rPr>
            <sz val="9"/>
            <color indexed="81"/>
            <rFont val="Tahoma"/>
            <family val="2"/>
            <charset val="186"/>
          </rPr>
          <t xml:space="preserve">panaudota projektavimui 100 tūkst. Eur.
</t>
        </r>
      </text>
    </comment>
    <comment ref="J78" authorId="0" shapeId="0">
      <text>
        <r>
          <rPr>
            <b/>
            <sz val="9"/>
            <color indexed="81"/>
            <rFont val="Tahoma"/>
            <family val="2"/>
            <charset val="186"/>
          </rPr>
          <t xml:space="preserve">2020-2022 m. </t>
        </r>
        <r>
          <rPr>
            <sz val="9"/>
            <color indexed="81"/>
            <rFont val="Tahoma"/>
            <family val="2"/>
            <charset val="186"/>
          </rPr>
          <t>planuojama panaudoti po 1200 tūkst. Eur.</t>
        </r>
        <r>
          <rPr>
            <b/>
            <sz val="9"/>
            <color indexed="81"/>
            <rFont val="Tahoma"/>
            <family val="2"/>
            <charset val="186"/>
          </rPr>
          <t xml:space="preserve">
2019 m.</t>
        </r>
        <r>
          <rPr>
            <sz val="9"/>
            <color indexed="81"/>
            <rFont val="Tahoma"/>
            <family val="2"/>
            <charset val="186"/>
          </rPr>
          <t xml:space="preserve"> panaudota 1.851.536 Eur (tame skaičiuje aikštelėms 1.479.769 Eur, apšvietimui – 361.776 Eur, želdiniams – 9.990 Eur)
</t>
        </r>
        <r>
          <rPr>
            <b/>
            <sz val="9"/>
            <color indexed="81"/>
            <rFont val="Tahoma"/>
            <family val="2"/>
            <charset val="186"/>
          </rPr>
          <t>2018 m.</t>
        </r>
        <r>
          <rPr>
            <sz val="9"/>
            <color indexed="81"/>
            <rFont val="Tahoma"/>
            <family val="2"/>
            <charset val="186"/>
          </rPr>
          <t xml:space="preserve"> panaudota 1.101.120 Eur (tame skaičiuje aikštelėms 464.553 Eur, apšvietimui 632.184 Eur, želdiniams -4.383 Eur;
</t>
        </r>
        <r>
          <rPr>
            <b/>
            <sz val="9"/>
            <color indexed="81"/>
            <rFont val="Tahoma"/>
            <family val="2"/>
            <charset val="186"/>
          </rPr>
          <t xml:space="preserve">2017 m. </t>
        </r>
        <r>
          <rPr>
            <sz val="9"/>
            <color indexed="81"/>
            <rFont val="Tahoma"/>
            <family val="2"/>
            <charset val="186"/>
          </rPr>
          <t xml:space="preserve">panaudota 399 tūkst. Eur;
</t>
        </r>
        <r>
          <rPr>
            <b/>
            <sz val="9"/>
            <color indexed="81"/>
            <rFont val="Tahoma"/>
            <family val="2"/>
            <charset val="186"/>
          </rPr>
          <t xml:space="preserve">2016 m. </t>
        </r>
        <r>
          <rPr>
            <sz val="9"/>
            <color indexed="81"/>
            <rFont val="Tahoma"/>
            <family val="2"/>
            <charset val="186"/>
          </rPr>
          <t xml:space="preserve">panaudota projektavimui 100 tūkst. Eur.
</t>
        </r>
      </text>
    </comment>
    <comment ref="F128" authorId="0" shapeId="0">
      <text>
        <r>
          <rPr>
            <b/>
            <sz val="9"/>
            <color indexed="81"/>
            <rFont val="Tahoma"/>
            <family val="2"/>
            <charset val="186"/>
          </rPr>
          <t xml:space="preserve">Įvesta formulė 
</t>
        </r>
        <r>
          <rPr>
            <sz val="9"/>
            <color indexed="81"/>
            <rFont val="Tahoma"/>
            <family val="2"/>
            <charset val="186"/>
          </rPr>
          <t xml:space="preserve">
279 249,6
</t>
        </r>
      </text>
    </comment>
    <comment ref="G128" authorId="0" shapeId="0">
      <text>
        <r>
          <rPr>
            <b/>
            <sz val="9"/>
            <color indexed="81"/>
            <rFont val="Tahoma"/>
            <family val="2"/>
            <charset val="186"/>
          </rPr>
          <t xml:space="preserve">Įvesta formulė 
</t>
        </r>
        <r>
          <rPr>
            <sz val="9"/>
            <color indexed="81"/>
            <rFont val="Tahoma"/>
            <family val="2"/>
            <charset val="186"/>
          </rPr>
          <t xml:space="preserve">
</t>
        </r>
      </text>
    </comment>
  </commentList>
</comments>
</file>

<file path=xl/comments3.xml><?xml version="1.0" encoding="utf-8"?>
<comments xmlns="http://schemas.openxmlformats.org/spreadsheetml/2006/main">
  <authors>
    <author>Audra Cepiene</author>
    <author>Regina Intienė</author>
    <author>Saulina Paulauskiene</author>
  </authors>
  <commentList>
    <comment ref="B24" authorId="0" shapeId="0">
      <text>
        <r>
          <rPr>
            <b/>
            <sz val="9"/>
            <color indexed="81"/>
            <rFont val="Tahoma"/>
            <family val="2"/>
            <charset val="186"/>
          </rPr>
          <t>Įterpti SPG STR11</t>
        </r>
        <r>
          <rPr>
            <sz val="9"/>
            <color indexed="81"/>
            <rFont val="Tahoma"/>
            <family val="2"/>
            <charset val="186"/>
          </rPr>
          <t xml:space="preserve">
</t>
        </r>
      </text>
    </comment>
    <comment ref="H24" authorId="0" shapeId="0">
      <text>
        <r>
          <rPr>
            <b/>
            <sz val="9"/>
            <color indexed="81"/>
            <rFont val="Tahoma"/>
            <family val="2"/>
            <charset val="186"/>
          </rPr>
          <t>2719,6</t>
        </r>
        <r>
          <rPr>
            <sz val="9"/>
            <color indexed="81"/>
            <rFont val="Tahoma"/>
            <family val="2"/>
            <charset val="186"/>
          </rPr>
          <t xml:space="preserve">
</t>
        </r>
      </text>
    </comment>
    <comment ref="V61" authorId="0" shapeId="0">
      <text>
        <r>
          <rPr>
            <b/>
            <sz val="9"/>
            <color indexed="81"/>
            <rFont val="Tahoma"/>
            <family val="2"/>
            <charset val="186"/>
          </rPr>
          <t>KVJUD</t>
        </r>
        <r>
          <rPr>
            <sz val="9"/>
            <color indexed="81"/>
            <rFont val="Tahoma"/>
            <family val="2"/>
            <charset val="186"/>
          </rPr>
          <t xml:space="preserve">
</t>
        </r>
      </text>
    </comment>
    <comment ref="W61" authorId="0" shapeId="0">
      <text>
        <r>
          <rPr>
            <b/>
            <sz val="9"/>
            <color indexed="81"/>
            <rFont val="Tahoma"/>
            <family val="2"/>
            <charset val="186"/>
          </rPr>
          <t>KVJUD</t>
        </r>
        <r>
          <rPr>
            <sz val="9"/>
            <color indexed="81"/>
            <rFont val="Tahoma"/>
            <family val="2"/>
            <charset val="186"/>
          </rPr>
          <t xml:space="preserve">
</t>
        </r>
      </text>
    </comment>
    <comment ref="G75" authorId="1" shapeId="0">
      <text>
        <r>
          <rPr>
            <b/>
            <sz val="9"/>
            <color indexed="81"/>
            <rFont val="Tahoma"/>
            <family val="2"/>
            <charset val="186"/>
          </rPr>
          <t>Regina Intienė:</t>
        </r>
        <r>
          <rPr>
            <sz val="9"/>
            <color indexed="81"/>
            <rFont val="Tahoma"/>
            <family val="2"/>
            <charset val="186"/>
          </rPr>
          <t xml:space="preserve">
2016 m. 303.900 Eur, 2017 m. 246.600 Eur, 2018 m. 133.164 Eur
2019 m. planuojama 172.000 Eur, 2020 m. planuojama 208.000 Eur, 2021 m. planuojama 158.000 Eur</t>
        </r>
      </text>
    </comment>
    <comment ref="H75" authorId="1" shapeId="0">
      <text>
        <r>
          <rPr>
            <b/>
            <sz val="9"/>
            <color indexed="81"/>
            <rFont val="Tahoma"/>
            <family val="2"/>
            <charset val="186"/>
          </rPr>
          <t>Regina Intienė:</t>
        </r>
        <r>
          <rPr>
            <sz val="9"/>
            <color indexed="81"/>
            <rFont val="Tahoma"/>
            <family val="2"/>
            <charset val="186"/>
          </rPr>
          <t xml:space="preserve">
2016 m. 303.900 Eur, 2017 m. 246.600 Eur, 2018 m. 133.164 Eur
2019 m. planuojama 172.000 Eur, 2020 m. planuojama 208.000 Eur, 2021 m. planuojama 158.000 Eur</t>
        </r>
      </text>
    </comment>
    <comment ref="J76" authorId="0" shapeId="0">
      <text>
        <r>
          <rPr>
            <sz val="9"/>
            <color indexed="81"/>
            <rFont val="Tahoma"/>
            <family val="2"/>
            <charset val="186"/>
          </rPr>
          <t>14.792,02 (2018 m.)+127.300 (2019 m.)+ 116.500 (2020 m.) + 130.000 (2021 m.)=388.592,02</t>
        </r>
      </text>
    </comment>
    <comment ref="K76" authorId="0" shapeId="0">
      <text>
        <r>
          <rPr>
            <sz val="9"/>
            <color indexed="81"/>
            <rFont val="Tahoma"/>
            <family val="2"/>
            <charset val="186"/>
          </rPr>
          <t>14.792,02 (2018 m.)+127.300 (2019 m.)+ 116.500 (2020 m.) + 130.000 (2021 m.)=388.592,02</t>
        </r>
      </text>
    </comment>
    <comment ref="B85" authorId="0" shapeId="0">
      <text>
        <r>
          <rPr>
            <b/>
            <sz val="9"/>
            <color indexed="81"/>
            <rFont val="Tahoma"/>
            <family val="2"/>
            <charset val="186"/>
          </rPr>
          <t>Panaudotos lėšos:</t>
        </r>
        <r>
          <rPr>
            <sz val="9"/>
            <color indexed="81"/>
            <rFont val="Tahoma"/>
            <family val="2"/>
            <charset val="186"/>
          </rPr>
          <t xml:space="preserve">
2016 m. panaudota 102.200,97 Eur SB ;
2017 m. panaudota 398.962,26 Eur SB ir 41.418,00 Eur KT lėšų;
2018 m.  panaudota 1.101.120,96 Eur SB
</t>
        </r>
      </text>
    </comment>
    <comment ref="J85" authorId="0" shapeId="0">
      <text>
        <r>
          <rPr>
            <sz val="9"/>
            <color indexed="81"/>
            <rFont val="Tahoma"/>
            <family val="2"/>
            <charset val="186"/>
          </rPr>
          <t xml:space="preserve">2016-2018 m. panaudota 
</t>
        </r>
        <r>
          <rPr>
            <b/>
            <sz val="9"/>
            <color indexed="81"/>
            <rFont val="Tahoma"/>
            <family val="2"/>
            <charset val="186"/>
          </rPr>
          <t>1 602 284 e</t>
        </r>
        <r>
          <rPr>
            <sz val="9"/>
            <color indexed="81"/>
            <rFont val="Tahoma"/>
            <family val="2"/>
            <charset val="186"/>
          </rPr>
          <t xml:space="preserve">ur.
2019-2021 m. planuojama    </t>
        </r>
        <r>
          <rPr>
            <b/>
            <sz val="9"/>
            <color indexed="81"/>
            <rFont val="Tahoma"/>
            <family val="2"/>
            <charset val="186"/>
          </rPr>
          <t xml:space="preserve">3 977 200 </t>
        </r>
        <r>
          <rPr>
            <sz val="9"/>
            <color indexed="81"/>
            <rFont val="Tahoma"/>
            <family val="2"/>
            <charset val="186"/>
          </rPr>
          <t xml:space="preserve">eur.
 </t>
        </r>
      </text>
    </comment>
    <comment ref="K85" authorId="0" shapeId="0">
      <text>
        <r>
          <rPr>
            <sz val="9"/>
            <color indexed="81"/>
            <rFont val="Tahoma"/>
            <family val="2"/>
            <charset val="186"/>
          </rPr>
          <t xml:space="preserve">2016-2018 m. panaudota 
</t>
        </r>
        <r>
          <rPr>
            <b/>
            <sz val="9"/>
            <color indexed="81"/>
            <rFont val="Tahoma"/>
            <family val="2"/>
            <charset val="186"/>
          </rPr>
          <t>1 602 284 e</t>
        </r>
        <r>
          <rPr>
            <sz val="9"/>
            <color indexed="81"/>
            <rFont val="Tahoma"/>
            <family val="2"/>
            <charset val="186"/>
          </rPr>
          <t xml:space="preserve">ur.
2019-2021 m. planuojama    </t>
        </r>
        <r>
          <rPr>
            <b/>
            <sz val="9"/>
            <color indexed="81"/>
            <rFont val="Tahoma"/>
            <family val="2"/>
            <charset val="186"/>
          </rPr>
          <t xml:space="preserve">3 977 200 </t>
        </r>
        <r>
          <rPr>
            <sz val="9"/>
            <color indexed="81"/>
            <rFont val="Tahoma"/>
            <family val="2"/>
            <charset val="186"/>
          </rPr>
          <t xml:space="preserve">eur.
 </t>
        </r>
      </text>
    </comment>
    <comment ref="J86" authorId="1" shapeId="0">
      <text>
        <r>
          <rPr>
            <sz val="9"/>
            <color indexed="81"/>
            <rFont val="Tahoma"/>
            <family val="2"/>
            <charset val="186"/>
          </rPr>
          <t>2016 m. panaudota 67.321,98 Eur, 2017 m. 84.119,06 Eur, 2018 m. 91.842,90. 2019 m. planuojama suma 323.900 Eur, 2020 m. -200.000 Eur, 2021 m. 200.000 Eur.</t>
        </r>
      </text>
    </comment>
    <comment ref="K86" authorId="1" shapeId="0">
      <text>
        <r>
          <rPr>
            <sz val="9"/>
            <color indexed="81"/>
            <rFont val="Tahoma"/>
            <family val="2"/>
            <charset val="186"/>
          </rPr>
          <t>2016 m. panaudota 67.321,98 Eur, 2017 m. 84.119,06 Eur, 2018 m. 91.842,90. 2019 m. planuojama suma 323.900 Eur, 2020 m. -200.000 Eur, 2021 m. 200.000 Eur.</t>
        </r>
      </text>
    </comment>
    <comment ref="J103" authorId="2" shapeId="0">
      <text>
        <r>
          <rPr>
            <b/>
            <sz val="9"/>
            <color indexed="81"/>
            <rFont val="Tahoma"/>
            <family val="2"/>
            <charset val="186"/>
          </rPr>
          <t>Saulina Paulauskiene:</t>
        </r>
        <r>
          <rPr>
            <sz val="9"/>
            <color indexed="81"/>
            <rFont val="Tahoma"/>
            <family val="2"/>
            <charset val="186"/>
          </rPr>
          <t xml:space="preserve">
2018 m. 16335,00 Eur</t>
        </r>
      </text>
    </comment>
    <comment ref="K103" authorId="2" shapeId="0">
      <text>
        <r>
          <rPr>
            <b/>
            <sz val="9"/>
            <color indexed="81"/>
            <rFont val="Tahoma"/>
            <family val="2"/>
            <charset val="186"/>
          </rPr>
          <t>Saulina Paulauskiene:</t>
        </r>
        <r>
          <rPr>
            <sz val="9"/>
            <color indexed="81"/>
            <rFont val="Tahoma"/>
            <family val="2"/>
            <charset val="186"/>
          </rPr>
          <t xml:space="preserve">
2018 m. 16335,00 Eur</t>
        </r>
      </text>
    </comment>
    <comment ref="G139" authorId="0" shapeId="0">
      <text>
        <r>
          <rPr>
            <sz val="9"/>
            <color indexed="81"/>
            <rFont val="Tahoma"/>
            <family val="2"/>
            <charset val="186"/>
          </rPr>
          <t xml:space="preserve">251740226,48
</t>
        </r>
      </text>
    </comment>
    <comment ref="H139" authorId="0" shapeId="0">
      <text>
        <r>
          <rPr>
            <b/>
            <sz val="9"/>
            <color indexed="81"/>
            <rFont val="Tahoma"/>
            <family val="2"/>
            <charset val="186"/>
          </rPr>
          <t>251740226,48</t>
        </r>
        <r>
          <rPr>
            <sz val="9"/>
            <color indexed="81"/>
            <rFont val="Tahoma"/>
            <family val="2"/>
            <charset val="186"/>
          </rPr>
          <t xml:space="preserve">
</t>
        </r>
      </text>
    </comment>
  </commentList>
</comments>
</file>

<file path=xl/sharedStrings.xml><?xml version="1.0" encoding="utf-8"?>
<sst xmlns="http://schemas.openxmlformats.org/spreadsheetml/2006/main" count="1334" uniqueCount="491">
  <si>
    <t>Investicijų projekto pavadinimas</t>
  </si>
  <si>
    <t>Savivaldybės biudžeto lėšų poreikis</t>
  </si>
  <si>
    <t>Lietuvos Respublikos valstybės biudžeto lėšų poreikis</t>
  </si>
  <si>
    <t>Kelių priežiūros ir plėtros programos lėšos</t>
  </si>
  <si>
    <t>pradžia</t>
  </si>
  <si>
    <t>pabaiga</t>
  </si>
  <si>
    <t>SB</t>
  </si>
  <si>
    <t>ES</t>
  </si>
  <si>
    <t xml:space="preserve">VB </t>
  </si>
  <si>
    <t>KPPP</t>
  </si>
  <si>
    <t>06 programa. Susisiekimo sistemos priežiūros ir plėtros programa</t>
  </si>
  <si>
    <t xml:space="preserve">Danės g. rekonstravimas (siekiant racionaliai suplanuoti jungtis su Bastionų g., nauju tiltu per Danės upę ir Artojų g.) </t>
  </si>
  <si>
    <t>Joniškės g. rekonstravimas (II etapas – nuo Klemiškės g. iki Liepų g., Šienpjovių g.)</t>
  </si>
  <si>
    <t>02 programa. Subalansuoto turizmo skatinimo ir vystymo programa</t>
  </si>
  <si>
    <t xml:space="preserve">Bastionų komplekso (Jono kalnelio) ir jo prieigų sutvarkymas, sukuriant išskirtinį kultūros ir turizmo traukos centrą bei skatinant smulkųjį ir vidutinį verslą </t>
  </si>
  <si>
    <t>Eur</t>
  </si>
  <si>
    <t>Įgyvendinimo terminai</t>
  </si>
  <si>
    <t>Iš viso:</t>
  </si>
  <si>
    <t>Bendra projekto vertė</t>
  </si>
  <si>
    <t>05 programa. Aplinkos apsaugos programa</t>
  </si>
  <si>
    <t>Oro taršos kietosiomis dalelėmis mažinimas, atnaujinant gatvių priežiūros ir valymo technologijas</t>
  </si>
  <si>
    <t>Asignavimų valdytojo kodas</t>
  </si>
  <si>
    <t>Kitos lėšos</t>
  </si>
  <si>
    <t>2019</t>
  </si>
  <si>
    <t>5</t>
  </si>
  <si>
    <t>2016</t>
  </si>
  <si>
    <t>2020</t>
  </si>
  <si>
    <t>Atsakingas asmuo</t>
  </si>
  <si>
    <t>Pajūrio g. rekonstravimas</t>
  </si>
  <si>
    <t xml:space="preserve">II etapas. Žiedinės Tilžės g., Mokyklos g. ir Šilutės pl. sankryžos pertvarkymas į šviesoforinę </t>
  </si>
  <si>
    <t>Klaipėdos miesto viešojo transporto atnaujinimas (autobusų įsigijimas)</t>
  </si>
  <si>
    <t>6</t>
  </si>
  <si>
    <t>Privažiuojamojo kelio prie pastato Debreceno g. 48  įrengimas ir pastato aplinkos sutvarkymas</t>
  </si>
  <si>
    <t>Aikštės prie Santuokų rūmų atnaujinimas</t>
  </si>
  <si>
    <t>Skvero tarp Puodžių g. ir Bokštų g., skirto Vydūno paminklui įrengti, sutvarkymas</t>
  </si>
  <si>
    <t>Skvero Bokštų gatvėje sutvarkymas</t>
  </si>
  <si>
    <t>Ąžuolyno giraitės sutvarkymas, gerinant gamtinę aplinką ir skatinant aktyvų laisvalaikį ir lankytojų srautus</t>
  </si>
  <si>
    <t>2018</t>
  </si>
  <si>
    <t>2017</t>
  </si>
  <si>
    <t>47,4 ha Medelyno gyvenamojo rajono infrastruktūros išvystymas. I etapas</t>
  </si>
  <si>
    <t>Bendrojo ugdymo mokyklos pastato statyba šiaurinėje miesto dalyje</t>
  </si>
  <si>
    <t>Ikimokyklinio ugdymo mokyklų pastatų modernizavimas ir plėtra:</t>
  </si>
  <si>
    <t>D.Šakinienė</t>
  </si>
  <si>
    <t xml:space="preserve">Klaipėdos karalienės Luizės jaunimo centro (Puodžių g.) modernizavimas, plėtojant neformaliojo ugdymosi galimybes </t>
  </si>
  <si>
    <t xml:space="preserve">Sporto bazių modernizavimas ir plėtra:
</t>
  </si>
  <si>
    <t>G. Dovidaitis</t>
  </si>
  <si>
    <t xml:space="preserve">Irklavimo bazės (Gluosnių skg. 8) modernizavimas </t>
  </si>
  <si>
    <t>Naujos sporto salės statyba</t>
  </si>
  <si>
    <t>Teikiamų socialinių paslaugų infrastruktūros tobulinimas siekiant atitikti keliamus reikalavimus:</t>
  </si>
  <si>
    <t xml:space="preserve">Laikino apnakvindinimo namų steigimas </t>
  </si>
  <si>
    <t>Laikino apgyvendinimo namų infrastruktūros modernizavimas (Šilutės pl. 8, nakvynės namai)</t>
  </si>
  <si>
    <t>Socialinio būsto fondo plėtra:</t>
  </si>
  <si>
    <t>Pastato Taikos pr. 76 modernizavimas (pastato lauko sienų apšiltinimas, laiptinių remontas)</t>
  </si>
  <si>
    <t xml:space="preserve">08 programa. Kultūros plėtros programa </t>
  </si>
  <si>
    <t>10 programa. Ugdymo proceso užtikrinimo programa</t>
  </si>
  <si>
    <t>07 programa. Miesto infrastruktūros objektų priežiūros ir modernizavimo programa</t>
  </si>
  <si>
    <t>11 programa. Kūno kultūros ir sporto plėtros programa</t>
  </si>
  <si>
    <t>12 programa. Socialinės atskirties mažinimo programa</t>
  </si>
  <si>
    <t>13 programa. Sveikatos apsaugos programa</t>
  </si>
  <si>
    <t>2014</t>
  </si>
  <si>
    <t>2013</t>
  </si>
  <si>
    <t>N. Vedeikienė</t>
  </si>
  <si>
    <t>J. Rimkienė</t>
  </si>
  <si>
    <t>D. Stankevičienė</t>
  </si>
  <si>
    <t>R. Dekėrytė</t>
  </si>
  <si>
    <t>E. Čerbienė</t>
  </si>
  <si>
    <t>J. Vorobjova</t>
  </si>
  <si>
    <t>2015</t>
  </si>
  <si>
    <t>2021</t>
  </si>
  <si>
    <t>V. Švedas</t>
  </si>
  <si>
    <t>I. Gustaitienė</t>
  </si>
  <si>
    <t>R. Stasiulis</t>
  </si>
  <si>
    <t>V. Lendraitienė</t>
  </si>
  <si>
    <t>2022</t>
  </si>
  <si>
    <t>V. Varnaitė</t>
  </si>
  <si>
    <t>2023</t>
  </si>
  <si>
    <t>A. Orentienė</t>
  </si>
  <si>
    <t>D. Šakinienė</t>
  </si>
  <si>
    <t>Kt</t>
  </si>
  <si>
    <t>Fachverkinės architektūros pastatų komplekso (Bažnyčių g. 4 / Daržų g. 10, Bažnyčių g. 6, Vežėjų g. 4, Aukštoji g. 1 / Didžioji Vandens g. 2) tvarkyba</t>
  </si>
  <si>
    <t>Tilžės g. nuo Šilutės pl. iki geležinkelio pervažos rekonstravimas, pertvarkant žiedinę Mokyklos g. ir Šilutės pl. sankryžą</t>
  </si>
  <si>
    <t xml:space="preserve">I etapas. Tilžės g. nuo Šilutės pl. iki geležinkelio pervažos rekonstravimas </t>
  </si>
  <si>
    <t>Neformaliojo švietimo įstaigų pastatų rekonstravimas:</t>
  </si>
  <si>
    <t>Nakvynės namų pastato (Viršutinė g. 21) rekonstravimas</t>
  </si>
  <si>
    <t xml:space="preserve">VšĮ Klaipėdos universitetinės ligoninės dalies pastato Liepojos g. 39 rekonstravimas </t>
  </si>
  <si>
    <t>Sakurų parko įrengimas teritorijoje tarp Žvejų rūmų, Taikos pr., Naikupės g. ir įvažiuojamojo kelio į Žvejų rūmus</t>
  </si>
  <si>
    <t xml:space="preserve">Naujo įvažiuojamojo kelio (Priešpilio g.) į piliavietę ir Kruizinių laivų terminalą tiesimas </t>
  </si>
  <si>
    <t xml:space="preserve">Jūrininkų prospekto ruožo nuo Šilutės pl. iki Minijos g. rekonstravimas </t>
  </si>
  <si>
    <t>„Gilijos“ pradinės mokyklos (Taikos pr. 68) pastato energinio efektyvumo didinimas</t>
  </si>
  <si>
    <t xml:space="preserve">Administracinės paskirties pastato J. Karoso g. 12 rekonstravimas į gydymo paskirties pastatą </t>
  </si>
  <si>
    <t>Savivaldybės socialinio būsto fondo gyvenamųjų namų statyba žemės sklypuose Irklų g. 1 ir Rambyno g. 14A</t>
  </si>
  <si>
    <t>Projekto „Klaipėdos miesto savivaldybės viešosios bibliotekos „Kauno atžalyno“ filialas – naujos galimybės mažiems ir dideliems“ įgyvendinimas</t>
  </si>
  <si>
    <r>
      <rPr>
        <b/>
        <sz val="10"/>
        <color theme="1"/>
        <rFont val="Times New Roman"/>
        <family val="1"/>
        <charset val="186"/>
      </rPr>
      <t xml:space="preserve">4 </t>
    </r>
    <r>
      <rPr>
        <sz val="10"/>
        <color theme="1"/>
        <rFont val="Times New Roman"/>
        <family val="1"/>
        <charset val="186"/>
      </rPr>
      <t>– Urbanistinės plėtros departamento asignavimų valdytojas</t>
    </r>
  </si>
  <si>
    <r>
      <rPr>
        <b/>
        <sz val="10"/>
        <color theme="1"/>
        <rFont val="Times New Roman"/>
        <family val="1"/>
        <charset val="186"/>
      </rPr>
      <t>5</t>
    </r>
    <r>
      <rPr>
        <sz val="10"/>
        <color theme="1"/>
        <rFont val="Times New Roman"/>
        <family val="1"/>
        <charset val="186"/>
      </rPr>
      <t xml:space="preserve"> – Investicijų ir ekonomikos departamento asignavimų valdytojas</t>
    </r>
  </si>
  <si>
    <r>
      <rPr>
        <b/>
        <sz val="10"/>
        <color theme="1"/>
        <rFont val="Times New Roman"/>
        <family val="1"/>
        <charset val="186"/>
      </rPr>
      <t xml:space="preserve">6 </t>
    </r>
    <r>
      <rPr>
        <sz val="10"/>
        <color theme="1"/>
        <rFont val="Times New Roman"/>
        <family val="1"/>
        <charset val="186"/>
      </rPr>
      <t>– Miesto ūkio departamento asignavimų valdytojas</t>
    </r>
  </si>
  <si>
    <t>Ekspozicijos projektavimas ir įrengimas piliavietės šiaurinėje kurtinoje</t>
  </si>
  <si>
    <t xml:space="preserve">Tauralaukio gyvenvietės gatvių rekonstravimas </t>
  </si>
  <si>
    <t>Lyginamasis variantas</t>
  </si>
  <si>
    <t>Buvusios AB „Klaipėdos energija“ teritorijos dalies  konversija,  sudarant sąlygas vystyti komercines, rekreacines veiklas</t>
  </si>
  <si>
    <t xml:space="preserve">Atgimimo aikštės sutvarkymas, didinant patrauklumą investicijoms, skatinant lankytojų srautus </t>
  </si>
  <si>
    <t>Danės upės krantinių rekonstrukcija ir prieigų (Danės skveras su fontanais) sutvarkymas</t>
  </si>
  <si>
    <t xml:space="preserve">Pėsčiųjų tako sutvarkymas palei Taikos pr. nuo Sausio 15-osios iki Kauno g., paverčiant viešąja erdve, pritaikyta gyventojams bei smulkiajam ir vidutiniam verslui </t>
  </si>
  <si>
    <t>Malūno parko teritorijos sutvarkymas, gerinant gamtinę aplinką ir skatinant lankytojų srautus</t>
  </si>
  <si>
    <t xml:space="preserve">Viešosios erdvės prie buvusio „Vaidilos“ kino teatro konversija </t>
  </si>
  <si>
    <t>Kompleksinis tikslinės teritorijos daugiabučių namų kiemų tvarkymas</t>
  </si>
  <si>
    <t>2</t>
  </si>
  <si>
    <t xml:space="preserve">Futbolo mokyklos ir baseino pastatų konversija, I etapas </t>
  </si>
  <si>
    <t xml:space="preserve">Futbolo mokyklos ir baseino pastatų konversija, II etapas </t>
  </si>
  <si>
    <t>Klaipėdos sunkiosios atletikos centro statyba</t>
  </si>
  <si>
    <t xml:space="preserve">Dviračių ir pėsčiųjų tako nuo Paryžiaus Komunos g. iki Jono kalnelio tiltelio įrengimas </t>
  </si>
  <si>
    <t xml:space="preserve">Dviračių ir pėsčiųjų tako Danės upės slėnio teritorijoje nuo Klaipėdos g. tilto iki miesto ribos įrengimas </t>
  </si>
  <si>
    <t>Kūlių Vartų g. ir Bangų g., Tiltų g., Galinio Pylimo g., Taikos pr. sankryžos rekonstravimas</t>
  </si>
  <si>
    <t>Viešojo transporto (autobusų ir maršrutinių taksi) integravimo sistemos įrangos įsigijimas ir atnaujinimas</t>
  </si>
  <si>
    <t>Elektra varomo viešojo transporto naujų galimybių plėtra (DEPO), ELENA</t>
  </si>
  <si>
    <t>Elektromobilių įkrovimo stotelių įrengimas  Klaipėdos mieste</t>
  </si>
  <si>
    <t>M. Enciūtė</t>
  </si>
  <si>
    <t>I. Dulkytė</t>
  </si>
  <si>
    <t xml:space="preserve">Turgaus aikštės su prieigomis sutvarkymas, pritaikant verslo, bendruomenės poreikiams </t>
  </si>
  <si>
    <t>J. Poimanskienė</t>
  </si>
  <si>
    <t>M. Lygnugarienė</t>
  </si>
  <si>
    <t>R. Mockus</t>
  </si>
  <si>
    <t>V. Pronskuvienė</t>
  </si>
  <si>
    <t xml:space="preserve">Klaipėdos miesto gatvių pėsčiųjų perėjų kryptinis apšvietimas </t>
  </si>
  <si>
    <t xml:space="preserve">Modernių ugdymosi erdvių sukūrimas Klaipėdos miesto progimnazijose ir gimnazijose („Smeltės“, Liudviko Stulpino, „Sendvario“, „Gedminų“, „Verdenės“ progimnazijose ir  „Vėtrungės“, „Varpo“ gimnazijose) </t>
  </si>
  <si>
    <t>J. Jasilionienė</t>
  </si>
  <si>
    <t xml:space="preserve">Modernaus bendruomenės centro-bibliotekos statyba pietinėje miesto dalyje  </t>
  </si>
  <si>
    <t>V. Kovaitis</t>
  </si>
  <si>
    <t>Senamiesčio grindinio atnaujinimas ir universalaus dizaino pritaikymas</t>
  </si>
  <si>
    <t>Sporto aikštynų atnaujinimas (modernizavimas)</t>
  </si>
  <si>
    <t>D. Gerasimovienė</t>
  </si>
  <si>
    <t>Pamario gatvės rekonstravimas</t>
  </si>
  <si>
    <t>Turizmo informacinės infrastruktūros sukūrimas ir pritaikymas neįgaliųjų poreikiams pietvakarinėje Klaipėdos regiono dalyje</t>
  </si>
  <si>
    <t>Klaipėdos miesto bendrojo plano kraštovaizdžio dalies keitimas ir Melnragės parko įrengimas</t>
  </si>
  <si>
    <t>Šilutės plento ruožo nuo Tilžės g. iki geležinkelio pervažos (iki Kauno g.) rekonstrukcija</t>
  </si>
  <si>
    <t>Bendruomenės centro-bibliotekos (Molo g. 60) pastato kapitalinis remontas</t>
  </si>
  <si>
    <t xml:space="preserve">Klaipėdos Prano Mašioto progimnazijos pastato Varpų g. 3 rekonstravimas </t>
  </si>
  <si>
    <t>Klaipėdos lopšelio-darželio „Žiogelis“ pastato Kauno g. 27 modernizavimas</t>
  </si>
  <si>
    <r>
      <t xml:space="preserve">Klaipėdos „Ąžuolyno“ gimnazijos modernizavimas </t>
    </r>
    <r>
      <rPr>
        <b/>
        <sz val="10"/>
        <rFont val="Times New Roman"/>
        <family val="1"/>
        <charset val="186"/>
      </rPr>
      <t/>
    </r>
  </si>
  <si>
    <t xml:space="preserve">Senyvo amžiaus asmenų globos paslaugų plėtra rekonstruojant pastatą, esantį Melnragės gyvenamajame rajone, Vaivos g. 23 </t>
  </si>
  <si>
    <t>Baltijos pr. ir Šilutės pl. žiedinės sankryžos rekonstravimas (techninio projekto parengimas)</t>
  </si>
  <si>
    <t>1</t>
  </si>
  <si>
    <t>Viešųjų erdvių, gatvių ir kiemų apšvietimo tinklų išplėtimas ar įrengimas</t>
  </si>
  <si>
    <t>R. Intienė</t>
  </si>
  <si>
    <t xml:space="preserve">Klaipėdos miesto paviršinių nuotekų tinklų įrengimas, remontas ir rekonstrukcija </t>
  </si>
  <si>
    <t>A. Montvilienė</t>
  </si>
  <si>
    <t xml:space="preserve">Pėsčiųjų ir dviračių tilto tarp Tauralaukio ir Žolynų kvartalo įrengimas </t>
  </si>
  <si>
    <t xml:space="preserve">BĮ Klaipėdos „Žaliakalnio“ gimnazijos pastato inžinerinių sistemų ir vidaus patalpų remontas </t>
  </si>
  <si>
    <t>Lifto įrengimas Bendruomenės namuose Debreceno g. 48</t>
  </si>
  <si>
    <t>Klemiškės g. rekonstravimas</t>
  </si>
  <si>
    <t xml:space="preserve">VšĮ Jūrininkų sveikatos priežiūros centro infrastruktūros plėtra (naujo pastato statyba) </t>
  </si>
  <si>
    <t>Savivaldybes jungiančių turizmo trasų ir turizmo maršrutų informacinės infrastruktūros plėtra</t>
  </si>
  <si>
    <t xml:space="preserve">Puodžių gatvės rekonstravimas  </t>
  </si>
  <si>
    <t>Žvejybos produktų iškrovimo vietos prie jūros Klaipėdos miesto teritorijoje įrengimas</t>
  </si>
  <si>
    <t>Klaipėdos miesto viešojo transporto švieslenčių ir informacinių švieslenčių įrengimas ir atnaujinimas</t>
  </si>
  <si>
    <t>I. Kanto ir S. Daukanto gatvių sankryžoje esančio skvero sutvarkymas</t>
  </si>
  <si>
    <t>2025</t>
  </si>
  <si>
    <t>2024</t>
  </si>
  <si>
    <t>Automobilių stovėjimo aikštelės teritorijoje  Bangų g., Klaipėdoje, įrengimas (techninio projekto parengimas)</t>
  </si>
  <si>
    <t>Keleivinio transporto stotelių su įvažomis Klaipėdos miesto gatvėse projektavimas ir įrengimas (I etapas, II etapas)</t>
  </si>
  <si>
    <t>Daugiabučių namų kiemų infrastruktūros gerinimo priemonių plano įgyvendinimas</t>
  </si>
  <si>
    <t>Eil. Nr.</t>
  </si>
  <si>
    <t>3</t>
  </si>
  <si>
    <t>4</t>
  </si>
  <si>
    <t>7</t>
  </si>
  <si>
    <t>Klaipėdos Tauralaukio progimnazijos pastato (Klaipėdos g. 31) rekonstravimas į ikimokyklinio ir priešmokyklinio ugdymo įstaigą</t>
  </si>
  <si>
    <t>Ikimokyklinio ir priešmokyklinio prieinamumo didinimas Klaipėdos mieste (lopšelio-darželio „Svirpliukas“ modernizavimas)</t>
  </si>
  <si>
    <t>IED V. Tkačik ir V. Kovaitis</t>
  </si>
  <si>
    <t>E. Deltuvaitė</t>
  </si>
  <si>
    <t>V. Tkačik</t>
  </si>
  <si>
    <t xml:space="preserve">Klaipėdos miesto Skulptūrų parko sutvarkymas </t>
  </si>
  <si>
    <t xml:space="preserve">Vingio mikrorajono aikštės atnaujinimas </t>
  </si>
  <si>
    <t>Teritorijos Pempininkų tako gale (ties Debreceno g.18) sutvarkymas</t>
  </si>
  <si>
    <t>23</t>
  </si>
  <si>
    <t>K. Šakarnis</t>
  </si>
  <si>
    <t>8</t>
  </si>
  <si>
    <t>9</t>
  </si>
  <si>
    <t>10</t>
  </si>
  <si>
    <t>11</t>
  </si>
  <si>
    <t>12</t>
  </si>
  <si>
    <t>13</t>
  </si>
  <si>
    <t>14</t>
  </si>
  <si>
    <t>15</t>
  </si>
  <si>
    <t>16</t>
  </si>
  <si>
    <t>17</t>
  </si>
  <si>
    <t>18</t>
  </si>
  <si>
    <t>19</t>
  </si>
  <si>
    <t>20</t>
  </si>
  <si>
    <t>21</t>
  </si>
  <si>
    <t>22</t>
  </si>
  <si>
    <t>24</t>
  </si>
  <si>
    <t>25</t>
  </si>
  <si>
    <t>26</t>
  </si>
  <si>
    <t>27</t>
  </si>
  <si>
    <t>28</t>
  </si>
  <si>
    <t>29</t>
  </si>
  <si>
    <t>30</t>
  </si>
  <si>
    <t>31</t>
  </si>
  <si>
    <t>32</t>
  </si>
  <si>
    <t>33</t>
  </si>
  <si>
    <t>34</t>
  </si>
  <si>
    <t>35</t>
  </si>
  <si>
    <t>36</t>
  </si>
  <si>
    <t>37</t>
  </si>
  <si>
    <t>38</t>
  </si>
  <si>
    <t>39</t>
  </si>
  <si>
    <t>40</t>
  </si>
  <si>
    <t>41</t>
  </si>
  <si>
    <t>61</t>
  </si>
  <si>
    <t>42</t>
  </si>
  <si>
    <t>43</t>
  </si>
  <si>
    <t>44</t>
  </si>
  <si>
    <t>45</t>
  </si>
  <si>
    <t>46</t>
  </si>
  <si>
    <t>47</t>
  </si>
  <si>
    <t>48</t>
  </si>
  <si>
    <t>49</t>
  </si>
  <si>
    <t>50</t>
  </si>
  <si>
    <t>51</t>
  </si>
  <si>
    <t>52</t>
  </si>
  <si>
    <t>53</t>
  </si>
  <si>
    <t>54</t>
  </si>
  <si>
    <t>55</t>
  </si>
  <si>
    <t>56</t>
  </si>
  <si>
    <t>57</t>
  </si>
  <si>
    <t>58</t>
  </si>
  <si>
    <t>59</t>
  </si>
  <si>
    <t>60</t>
  </si>
  <si>
    <t>62</t>
  </si>
  <si>
    <t>63</t>
  </si>
  <si>
    <t>64</t>
  </si>
  <si>
    <t>67</t>
  </si>
  <si>
    <t>68</t>
  </si>
  <si>
    <t>69</t>
  </si>
  <si>
    <t>70</t>
  </si>
  <si>
    <t>71</t>
  </si>
  <si>
    <t>72</t>
  </si>
  <si>
    <t>73</t>
  </si>
  <si>
    <t>74</t>
  </si>
  <si>
    <t>75</t>
  </si>
  <si>
    <t>76</t>
  </si>
  <si>
    <t>77</t>
  </si>
  <si>
    <t>78</t>
  </si>
  <si>
    <t>79</t>
  </si>
  <si>
    <t>84</t>
  </si>
  <si>
    <t>85</t>
  </si>
  <si>
    <t>86</t>
  </si>
  <si>
    <t>87</t>
  </si>
  <si>
    <t>88</t>
  </si>
  <si>
    <t>89</t>
  </si>
  <si>
    <t>90</t>
  </si>
  <si>
    <t>91</t>
  </si>
  <si>
    <t>92</t>
  </si>
  <si>
    <t>93</t>
  </si>
  <si>
    <t>94</t>
  </si>
  <si>
    <t>95</t>
  </si>
  <si>
    <t>96</t>
  </si>
  <si>
    <t>97</t>
  </si>
  <si>
    <t>98</t>
  </si>
  <si>
    <r>
      <t>Naujo tilto</t>
    </r>
    <r>
      <rPr>
        <sz val="10"/>
        <rFont val="Times New Roman"/>
        <family val="1"/>
        <charset val="186"/>
      </rPr>
      <t xml:space="preserve"> su pakeliamu mechanizmu per Danę statyba ir prieigų sutvarkymas Danės pakrantėje </t>
    </r>
  </si>
  <si>
    <r>
      <rPr>
        <b/>
        <sz val="10"/>
        <rFont val="Times New Roman"/>
        <family val="1"/>
        <charset val="186"/>
      </rPr>
      <t>Bastionų gatvės tiesimas:</t>
    </r>
    <r>
      <rPr>
        <sz val="10"/>
        <rFont val="Times New Roman"/>
        <family val="1"/>
        <charset val="186"/>
      </rPr>
      <t xml:space="preserve"> I etapo Bastionų g. nuo Danės g. iki Danės upės ir nuo Danės upės iki Gluosnių g. tiesimas ir II etapo Bastionų g. nuo Gluosnių g. iki Bangų g. tiesimas</t>
    </r>
  </si>
  <si>
    <t>INVESTICINIŲ  PROJEKTŲ SĄRAŠAS</t>
  </si>
  <si>
    <t>Komunalinių atliekų tvarkymo infrastruktūros plėtra Klaipėdos miesto, Skuodo ir Kretingos rajonų bei Neringos savivaldybėse</t>
  </si>
  <si>
    <t>Klaipėdos miesto paplūdimių sutvarkymo priemonių plano įgyvendinimas</t>
  </si>
  <si>
    <t xml:space="preserve">Laivų nuleidimo prieplaukos ir saugojimo aikštelės sklype šalia Liepų g. tilto įrengimas </t>
  </si>
  <si>
    <t>65</t>
  </si>
  <si>
    <t>66</t>
  </si>
  <si>
    <t>80</t>
  </si>
  <si>
    <t>81</t>
  </si>
  <si>
    <t>82</t>
  </si>
  <si>
    <t>83</t>
  </si>
  <si>
    <t>Statybininkų prospekto tęsinio tiesimas nuo Šilutės pl. per LEZ teritoriją iki 141 kelio: II etapas – Lypkių gatvės ruožo nuo Šilutės plento tiesimas (techninio projekto ir koncesijos dokumentų parengimas)</t>
  </si>
  <si>
    <t>Klaipėdos pilies ir bastionų komplekso restauravimas ir atgaivinimas (IIetapas) (pilies didžiojo bokšto atkūrimas)</t>
  </si>
  <si>
    <t xml:space="preserve">Pėsčiųjų ir dviračių takų Minijos g. nuo Baltijos pr., Pilies g., Naujojoje Uosto g. įrengimas </t>
  </si>
  <si>
    <t>Dviračių ir pėsčiųjų takų jungčių ir šių takų iki sklypo Smiltynės g. 25 ir iki Naujosios perkėlos Smiltynėje įrengimas</t>
  </si>
  <si>
    <t xml:space="preserve">AB „Klaipėdos vanduo“ įstatinio kapitalo didinimas įgyvendinant ES lėšomis finansuojamą projektą „Paviršinių nuotekų sistemų tvarkymas Klaipėdos mieste“ įgyvendinimas (projekto vykdytoja – AB „Klaipėdos vanduo“) </t>
  </si>
  <si>
    <r>
      <t>Uostamiesčiai: darnaus judumo principų integravimas (</t>
    </r>
    <r>
      <rPr>
        <i/>
        <sz val="10"/>
        <rFont val="Times New Roman"/>
        <family val="1"/>
        <charset val="186"/>
      </rPr>
      <t>PORT Cities: Integrating Sustainability</t>
    </r>
    <r>
      <rPr>
        <sz val="10"/>
        <rFont val="Times New Roman"/>
        <family val="1"/>
        <charset val="186"/>
      </rPr>
      <t xml:space="preserve">, PORTIS) </t>
    </r>
  </si>
  <si>
    <r>
      <t>Kombinuotų kelionių jungčių (</t>
    </r>
    <r>
      <rPr>
        <i/>
        <sz val="10"/>
        <rFont val="Times New Roman"/>
        <family val="1"/>
        <charset val="186"/>
      </rPr>
      <t>Park&amp;Ride</t>
    </r>
    <r>
      <rPr>
        <sz val="10"/>
        <rFont val="Times New Roman"/>
        <family val="1"/>
        <charset val="186"/>
      </rPr>
      <t>) įrengimas (šiaurinėje miesto dalyje)</t>
    </r>
  </si>
  <si>
    <t>Privažiuojamojo kelio ties Baltijos pr. 109 lietaus nuotekų tinklų Klaipėdoje tiesimas</t>
  </si>
  <si>
    <t>Energinio efektyvumo didinimas lopšeliuose-darželiuose: m.-d. „Saulutė“, l.-d. „Vėrinėlis“, l.-d. „Pingvinukas“, l.-d. „Putinėlis“, l.-d. „Kregždutė“, l.-d. „Radastėlė“, l.-d. „Boružėlė“</t>
  </si>
  <si>
    <t>Klaipėdos Jeronimo Kačinsko muzikos mokyklos (Statybininkų pr. 5) pastato energinio efektyvumo didinimas</t>
  </si>
  <si>
    <t>Savivaldybės biudžetinės įstaigos bandomojo energijos vartojimo efektyvumo didinimo projekto įgyvendinimas (2020 m. – l.-d. „Klevelis“)</t>
  </si>
  <si>
    <t>_________________________________</t>
  </si>
  <si>
    <t>Skirtumas</t>
  </si>
  <si>
    <t xml:space="preserve">Lėšų planas </t>
  </si>
  <si>
    <t>Siūlomas keisti lėšų planas</t>
  </si>
  <si>
    <t>Europos Sąjungos ir kita                               tarptautinė finansinė parama</t>
  </si>
  <si>
    <t>Lietuvos Respublikos valstybės                    biudžeto lėšų poreikis</t>
  </si>
  <si>
    <t xml:space="preserve">Pėsčiųjų tako sutvarkymas palei Taikos pr. nuo S+Q76:Q82ausio 15-osios iki Kauno g., paverčiant viešąja erdve, pritaikyta gyventojams bei smulkiajam ir vidutiniam verslui </t>
  </si>
  <si>
    <t xml:space="preserve">Teatro ir Sukilėlių g. rekonstrukcija </t>
  </si>
  <si>
    <r>
      <t>202</t>
    </r>
    <r>
      <rPr>
        <sz val="10"/>
        <rFont val="Times New Roman"/>
        <family val="1"/>
        <charset val="186"/>
      </rPr>
      <t>3</t>
    </r>
  </si>
  <si>
    <t>Paaiškinimai</t>
  </si>
  <si>
    <r>
      <t>20</t>
    </r>
    <r>
      <rPr>
        <sz val="10"/>
        <rFont val="Times New Roman"/>
        <family val="1"/>
        <charset val="186"/>
      </rPr>
      <t>21</t>
    </r>
  </si>
  <si>
    <t>Reikalinga didinti projekto vertę, kadangi parengus techninio  projekto sprendinius padidėjo sąmatinė rangos darbų kaina</t>
  </si>
  <si>
    <t xml:space="preserve">Reikalinga didinti projekto vertę, kadangi parengus techninės dokumentacijos sprendinius išaugo sąmatinė vertė bei atsirado poreikis nenumatytiems papildomiems darbams (esamų elektros kabelių apsaugai), kurie nebuvo įtraukti į techninį projektą. </t>
  </si>
  <si>
    <t xml:space="preserve">Reikalinga didinti projekto vertę  5,9 mln. Eur, norint laiku pradėti rangos darbus ir panaudoti ES lėšas. Kaina paskaičiuota su rezervu. Vykdant viešųjų pirkimų procedūras dėl rangovo parinkimo buvo gauti keturi tiekėjų pasiūlymai, kuriuose kaina svyruoja nuo 10,7 mln. Eur (mažiausia kaina) iki 14,1 mln. Eur (didžiausia kaina).
</t>
  </si>
  <si>
    <t xml:space="preserve">Siūloma didinti projekto finansavimo apimtį priemonei, nes nepavyksta rasti rangovo projektui  įgyvendinti  dėl pirkimo sąlygose nurodytos per mažos kainos. </t>
  </si>
  <si>
    <t>Siūloma  sumažinti finansavimo apimtį priemonei, nes lifto įrengimo darbai atlikti pigiau, nei planuota</t>
  </si>
  <si>
    <t>Siūloma padidinti investicinio projekto finansinę vertę dėl papildomų darbų poreikio ir kainų indeksavimo, planuojant papildomas SB lėšas 2020 m.</t>
  </si>
  <si>
    <t>2026</t>
  </si>
  <si>
    <t>Mėgėjų sodų teritorijoje savivaldybių institucijų valdomų kelių remontas</t>
  </si>
  <si>
    <t xml:space="preserve">Muzikinio teatro pastato Danės g. 19 aplinkos tvarkybos darbai už sklypo ribos </t>
  </si>
  <si>
    <t>Lifto įrengimas Klaipėdos miesto Mažosios Lietuvos istorijos muziejuje</t>
  </si>
  <si>
    <t>Sąjūdžio parko reprezentacinės dalies ir prieigų sutvarkymas</t>
  </si>
  <si>
    <t>Sporto ir laisvalaikio komplekso statyba (koncesijos procedūrų vykdymas)</t>
  </si>
  <si>
    <t>tūkst. Eur</t>
  </si>
  <si>
    <t>Malūno parko teritorijos sutvarkymas, gerinant gamtinę aplinką ir skatinant lankytojų srautus (I etapas)</t>
  </si>
  <si>
    <t>Smeltalės upės valymas (be tyrimų dalies, kuriuos atlieka Aplinkos kokybės sk.)</t>
  </si>
  <si>
    <t>Naujo tilto su pakeliamu mechanizmu per Danę statybos dokumentacijos parengimas</t>
  </si>
  <si>
    <t>S. Daukanto g. nuo Šaulių g. iki J. Zauerveino g. kapitalinis remontas</t>
  </si>
  <si>
    <t>Vilniaus Dailės akademijos Klaipėdos fakulteto teritorijos sutvarkymas</t>
  </si>
  <si>
    <t xml:space="preserve">Transporto (eismo) valdymo sistemos diegimas </t>
  </si>
  <si>
    <t xml:space="preserve">AB „Klaipėdos vanduo“ įstatinio kapitalo didinimas įgyvendinant ES lėšomis finansuojamą projektą „Paviršinių nuotekų sistemų tvarkymas Klaipėdos mieste“ įgyvendinimas (projekto vykdytojas – AB „Klaipėdos vanduo“) </t>
  </si>
  <si>
    <t>Onkologijos radioterapijos paslaugų teikimo optimizavimas Klaipėdos universitetinėje ligoninėje</t>
  </si>
  <si>
    <t xml:space="preserve">Baltijos pr. ir Šilutės pl. žiedinės sankryžos rekonstravimas             </t>
  </si>
  <si>
    <t>Klaipėdos miesto savivaldybės kultūros centro Žvejų rūmų teritorijos sutvarkymas</t>
  </si>
  <si>
    <t>Atraminių apsauginių įėjimo į Smiltynės paplūdimį prie centrinės gelbėtojų stoties sienučių remontas</t>
  </si>
  <si>
    <t>Turgaus aikštės su prieigomis sutvarkymas, pritaikant verslo, bendruomenės poreikiams (I ir II etapas)</t>
  </si>
  <si>
    <t>Šalia Klaipėdos Simono Dacho progimnazijos esančio Jūrininkų tako gatvės prailginimas (10 m važiuojamosios dalies)</t>
  </si>
  <si>
    <t xml:space="preserve">4 </t>
  </si>
  <si>
    <t>Savivaldybės socialinio būsto fondo gyvenamųjų namų statyba žemės sklype Akmenų g. 1 B (projektavimas)</t>
  </si>
  <si>
    <t>Švietimo paslaugų modernizavimo 2018–2021 m. programos priemonių įgyvendinimas (išmaniųjų klasių įrengimas, kompiuterinės technikos įsigijimas)</t>
  </si>
  <si>
    <t xml:space="preserve">Skulptūrų parko sutvarkymas </t>
  </si>
  <si>
    <t>projektai</t>
  </si>
  <si>
    <t>projektų</t>
  </si>
  <si>
    <t xml:space="preserve">Klemiškės g. rekonstravimas                       </t>
  </si>
  <si>
    <t>Klaipėdos miesto savivaldybės jachtos „Lietuva“ kapitalinis remontas</t>
  </si>
  <si>
    <t>Automobilių stovėjimo aikštelės įrengimas žemės sklype Rambyno g. 14</t>
  </si>
  <si>
    <t xml:space="preserve">Klaipėdos vaikų globos namų „Smiltelė“ patalpų ir infrastruktūros pritaikymas vaikų dienos centro veiklai </t>
  </si>
  <si>
    <t>Klaipėdos pilies ir bastionų komplekso restauravimas ir atgaivinimas (II etapas – pilies didžiojo bokšto atkūrimas)</t>
  </si>
  <si>
    <t>Dviračių ir pėsčiųjų takų bei jungčių Smiltynėje iki Naujosios perkėlos įrengimo techninio projekto korektūra</t>
  </si>
  <si>
    <t>Triukšmo mažinimo priemonių geležinkeliuose įrengimas Klaipėdos miesto savivaldybėje. II etapas (projektą įgyvendina AB „Lietuvos geležinkeliai“)</t>
  </si>
  <si>
    <t>Eismo juostos, skirtos iš Prano Lideikio g. pasukti į H. Manto gatvę, įrengimas</t>
  </si>
  <si>
    <t>Klaipėdos miesto gatvių rekonstravimas bendromis savivaldybės ir privačių asmenų lėšomis</t>
  </si>
  <si>
    <t>Šilutės plento ruožo nuo Tilžės g. iki geležinkelio pervažos (iki Kauno g.) rekonstrukcija (SM programa 06.2.1-TID-R-511 pr. Vietinių kelių vystymas)</t>
  </si>
  <si>
    <t>ES ir kita tarptautinė finansinė parama</t>
  </si>
  <si>
    <t xml:space="preserve">2021 </t>
  </si>
  <si>
    <t>Tilžės g. nuo Šilutės pl. iki geležinkelio pervažos rekonstravimas, pertvarkant žiedinę Mokyklos g. ir Šilutės pl. sankryžą (I ir II etapai)</t>
  </si>
  <si>
    <t>Įvažiuojamųjų kelių atnaujinimas: Įvažiuojamojo kelio į Taikos pr. 109 ir šalia esančio skvero (Įvažiuojamojo kelio į Taikos pr. 101; Įvažiuojamojo kelio  į Debreceno g. 61)</t>
  </si>
  <si>
    <t>02 programa. Ekonominės plėtros programa</t>
  </si>
  <si>
    <t>Reikalingos papildomos lėšos kompensacijai už žemės sklypo servitutą apmokėti.</t>
  </si>
  <si>
    <r>
      <rPr>
        <sz val="10"/>
        <color rgb="FFFF0000"/>
        <rFont val="Times New Roman"/>
        <family val="1"/>
        <charset val="186"/>
      </rPr>
      <t xml:space="preserve">2021 </t>
    </r>
    <r>
      <rPr>
        <strike/>
        <sz val="10"/>
        <rFont val="Times New Roman"/>
        <family val="1"/>
        <charset val="186"/>
      </rPr>
      <t>2020</t>
    </r>
  </si>
  <si>
    <t>Rentgeno diagnostikos medicinos priemonių  (prietaisų) įsigijimas VšĮ Klaipėdos miesto poliklinikoje</t>
  </si>
  <si>
    <t>LR Sveikatos apsaugos ministro 2020-06-08 įsakymu Nr. V-1397 skirtos investicinės lėšos rengeno diagnostikos paslaugų kokybės gerinimo programai įgyvendinti.</t>
  </si>
  <si>
    <t>Naujos sporto salės statyba (Kretingos g. / Šviesos g.)</t>
  </si>
  <si>
    <t>Projekto vertė didėja, atsižvelgiant į parengtų techninių darbo projektų skaičiavimus.</t>
  </si>
  <si>
    <t>Danės g. rekonstravimas (ruožas nuo Laivų skg. iki Artojų g.+ nuo Atgimimo iki Laivų skrg.)</t>
  </si>
  <si>
    <t>Keleivinio transporto stotelių su įvažomis Klaipėdos miesto gatvėse projektavimas ir įrengimas (I etapas, II etapas + III etapas)</t>
  </si>
  <si>
    <r>
      <t>Uostamiesčiai: darnaus judumo principų integravimas (</t>
    </r>
    <r>
      <rPr>
        <i/>
        <sz val="10"/>
        <color rgb="FFFF0000"/>
        <rFont val="Times New Roman"/>
        <family val="1"/>
        <charset val="186"/>
      </rPr>
      <t>PORT Cities: Integrating Sustainability</t>
    </r>
    <r>
      <rPr>
        <sz val="10"/>
        <color rgb="FFFF0000"/>
        <rFont val="Times New Roman"/>
        <family val="1"/>
        <charset val="186"/>
      </rPr>
      <t xml:space="preserve">, PORTIS) </t>
    </r>
  </si>
  <si>
    <r>
      <t xml:space="preserve">Elektra varomo viešojo transporto naujų galimybių plėtra (DEPO), ELENA </t>
    </r>
    <r>
      <rPr>
        <i/>
        <sz val="10"/>
        <color rgb="FFFF0000"/>
        <rFont val="Times New Roman"/>
        <family val="1"/>
        <charset val="186"/>
      </rPr>
      <t>(dokumentacijos parengimas</t>
    </r>
    <r>
      <rPr>
        <sz val="10"/>
        <color rgb="FFFF0000"/>
        <rFont val="Times New Roman"/>
        <family val="1"/>
        <charset val="186"/>
      </rPr>
      <t>)</t>
    </r>
  </si>
  <si>
    <t>Statybininkų prospekto tęsinio tiesimas nuo Šilutės pl. per LEZ teritoriją iki 141 kelio</t>
  </si>
  <si>
    <t>Projekto įgyvendinimas pratęstas iki 2021-05-30 dėl panaikinto statybos leidimo.</t>
  </si>
  <si>
    <t>Lėšų keitimas pagal finansavimo šaltinius</t>
  </si>
  <si>
    <t xml:space="preserve">Didinama projekto vertė papildomų darbų (betono dangos impregnavimo) galutiniam atsiskaitymui su rangovu. </t>
  </si>
  <si>
    <t>Lėšų keitimas tarp finansavimo šaltinių, atliktas sutarties keitimas dėl ES papildomo finansavimo.</t>
  </si>
  <si>
    <t>Didinama projekto vertė dėl papildomų darbų atlikimo (drenažas, ESO ir kiti darbai)</t>
  </si>
  <si>
    <t>Lėšų keitimas pagal finansavimo šaltinius ir suma tikslinta pagal bendradarbiavimo sutartį tarp LAKD ir KMSA.</t>
  </si>
  <si>
    <t>2020 m. birželio mėn. keitime tarp finansavimo lėšų ir skiriant paskolos lėšas padidinta rezervo suma.</t>
  </si>
  <si>
    <t>Keitimas tarp priemonių (etapų)</t>
  </si>
  <si>
    <t>Projektas įgyvendintas, nepanaudotas rezervas papildomiems darbams.</t>
  </si>
  <si>
    <t>Gatvės remontuojamos atsižvelgiant į KMSA direktoriaus 2020-04-27 įsakymą Nr. AD1-554 "Dėl Klaipėdos miesto savivaldybės 2020-2023 metų žvyruotų kelių asfaltavimo priemonių plano patvirtinimo".</t>
  </si>
  <si>
    <r>
      <t xml:space="preserve">Savivaldybės biudžetinės įstaigos l.-d. „Klevelis“ kapitalinis remontas </t>
    </r>
    <r>
      <rPr>
        <strike/>
        <sz val="10"/>
        <rFont val="Times New Roman"/>
        <family val="1"/>
        <charset val="186"/>
      </rPr>
      <t>Savivaldybės biudžetinės įstaigos bandomojo energijos vartojimo efektyvumo didinimo projekto įgyvendinimas (2020 m. – l.-d. „Klevelis“)</t>
    </r>
  </si>
  <si>
    <t>Keitimas daromas dėl rangos darbų perkėlimo iš vieno etapo į kitą, sumažinant II etapo lėšų rezervą.</t>
  </si>
  <si>
    <t>Didinama finansavimo apimtis dėl investicinio projekto parengimo.</t>
  </si>
  <si>
    <t>Pakoreguotas projeko pavadinimas</t>
  </si>
  <si>
    <t xml:space="preserve">Kadangi yra pateikta paraiška Ateities ekonomikos DNR planui bei vyksta derybos su valstybinėmis institucijomis dėl finansavimo skyrimo, siūloma įtraukti  į planą  šį projektą. </t>
  </si>
  <si>
    <t>Parengus techninę dokumentaciją, paaiškėjo, kad papildomas finansavimas reikalingas II etapo įgyvendinimui, taip pat siūloma numatyti III etapo pradžią.</t>
  </si>
  <si>
    <t>Reikalingos papildomos lėšos ESO tinklų iškėlimo darbams.</t>
  </si>
  <si>
    <t xml:space="preserve">Didinama vertė dėl  papildomų projektavimo darbų </t>
  </si>
  <si>
    <t>Projektas įgyvendintas, nepanaudotas lėšų likutis.</t>
  </si>
  <si>
    <t xml:space="preserve">Lėšų keitimas pagal finansavimo šaltinius </t>
  </si>
  <si>
    <t>Danės g. rekonstravimas</t>
  </si>
  <si>
    <t>Institucija, atsakinga už įgyvendinimą</t>
  </si>
  <si>
    <t>KMSA</t>
  </si>
  <si>
    <t>Savivaldybės socialinės infrastruktūros plėtros projektai</t>
  </si>
  <si>
    <t>05 Aplinkos apsaugos programa</t>
  </si>
  <si>
    <t>06 Susisiekimo sistemos priežiūros ir plėtros programa</t>
  </si>
  <si>
    <t>Savivaldybės inžinerinės infrastruktūros plėtros projektai</t>
  </si>
  <si>
    <t>Kultūros infrastruktūros plėtra</t>
  </si>
  <si>
    <t>Švietimo infrastruktūros plėtra</t>
  </si>
  <si>
    <t>Sporto infrastruktūros plėtra</t>
  </si>
  <si>
    <t xml:space="preserve">Socialinių paslaugų infrastruktūros plėtra </t>
  </si>
  <si>
    <t xml:space="preserve">Sveikatos infrastruktūros plėtra </t>
  </si>
  <si>
    <t>Vietinės reikšmės kelių ir gatvių infrastruktūros plėtra</t>
  </si>
  <si>
    <t>Vandentiekio tinklų rekonstravimas Panevėžio g. 3, 5, 9, 11, 13, 15, 17</t>
  </si>
  <si>
    <t>07 Miesto infrastruktūros objektų priežiūros ir modernizavimo programa</t>
  </si>
  <si>
    <t>AB "Klaipėdos energija"</t>
  </si>
  <si>
    <t xml:space="preserve">08 Kultūros plėtros programa </t>
  </si>
  <si>
    <t>12 Socialinės atskirties mažinimo programa</t>
  </si>
  <si>
    <t>Dubliuojančios gatvės nuo Šiltnamių g. iki Klaipėdos g. su pėsčiųjų ir dviračių taku ir įvažomis į Liepojos g. įrengimas</t>
  </si>
  <si>
    <t>04 Sveikatos apsaugos programa</t>
  </si>
  <si>
    <t>11 Kūno kultūros ir sporto plėtros programa</t>
  </si>
  <si>
    <t>Priemonės pavadinimas</t>
  </si>
  <si>
    <t>Kompensacijų mokėjimas infrastruktūros plėtros iniciatoriams už įrengtą savivaldybės infrastruktūrą</t>
  </si>
  <si>
    <t>SVP** programa, kurioje planuojama priemonė ir finansavimas</t>
  </si>
  <si>
    <t>AB „Klaipėdos vanduo“</t>
  </si>
  <si>
    <t>AB „Klaipėdos energija“</t>
  </si>
  <si>
    <t>AB „Klaipėdos energija“"</t>
  </si>
  <si>
    <t>KMSA – Klaipėdos miesto savivaldybės administracija</t>
  </si>
  <si>
    <t>Slėginės buitinių nuotekų linijos nuo NS6 iki nuotekų valyklos Dumpiuose rekonstravimas</t>
  </si>
  <si>
    <t>Šilumos tinklai nuo kameros 2Š-7 iki Šviesos g. 3</t>
  </si>
  <si>
    <t>Šilumos tinklai nuo kameros 3Š-12 iki Liepojos g. 39</t>
  </si>
  <si>
    <t>Šilumos tinklai Kretingos g. nuo kameros 4Š-17 iki 4Š-16</t>
  </si>
  <si>
    <t>Šilumos tinklai nuo kameros 1P-4-5-4 iki Tomo g. 11</t>
  </si>
  <si>
    <t>Šilumos tinklai nuo Tilžės g. 34 iki Tilžės g. 32</t>
  </si>
  <si>
    <t>Dengto futbolo maniežo statyba</t>
  </si>
  <si>
    <t xml:space="preserve">Klaipėdos sunkiosios atletikos centro statyba </t>
  </si>
  <si>
    <t>Mokyklos g. ir Laukų g. žiedinės sankryžos įrengimas</t>
  </si>
  <si>
    <t>Aukštosios g. rekonstrukcija</t>
  </si>
  <si>
    <t>Kompensacijų mokėjimas infrastruktūros plėtros iniciatoriams už patirtas infrastruktūros plėtros sutartyje nustatytas savivaldybės infrastruktūros plėtros išlaidas ir Ssavivaldybės infrastruktūros plėtros rėmimo programos administravimas</t>
  </si>
  <si>
    <t>Šilumos tinklai nuo kameros 4Š-25 iki Liepojos g. 43</t>
  </si>
  <si>
    <t>Šilumos tinklai tarp kameros 2P-44-5 ir Žardininkų g. 25/27, 29, Reikjaviko g. 1, 3, 5</t>
  </si>
  <si>
    <t>Šilumos tinklai nuo kameros 4P-22 iki Vingio g. 37, Brožynų g. 1, 9, Budelkiemio g. 13</t>
  </si>
  <si>
    <t>Šilumos tinklai nuo kameros 1P-13a iki Tilžės g. 11</t>
  </si>
  <si>
    <t>Šilumos tinklai nuo kameros 1P-19a iki Tilžės g. 54</t>
  </si>
  <si>
    <t>Šilumos tinklai tarp kameros 2P-43-1 ir Rambyno g. 18</t>
  </si>
  <si>
    <t>Šilumos tinklai tarp kamerų 2P-39-5-13a, 2P-39-5-13, Naikupės g. 10, 8 ir Minijos g. 136, 138, 140, 142, 144</t>
  </si>
  <si>
    <t>**Santrumpos:</t>
  </si>
  <si>
    <t>Daugiaaukštės automobilių stovėjimo aikštelės teritorijoje  Bangų g., Klaipėdoje, įrengimas</t>
  </si>
  <si>
    <t>Dviračių takų ir kitų transporto statinių infrastruktūros plėtra</t>
  </si>
  <si>
    <t xml:space="preserve">Klaipėdos miesto paviršinių nuotekų tinklų įrengimas, rekonstrukcija </t>
  </si>
  <si>
    <t>Kvartalinių tinklų perjungimas, trūkstamų tinklų įrengimas, atšakų įrengimas Klaipėdos mieste</t>
  </si>
  <si>
    <t>Magistraliniai vandentiekio ir buitinių nuotekų tinklai Klaipėdoje</t>
  </si>
  <si>
    <t>Vandentiekio tinklų rekonstravimas Klaipėdos m. J. Janonio , Švyturio, Stadiono, Parko, H. Manto ir Liepojos g. (Ket200mm - 2600 m, Ket300mm - 3000 m, sum: 5630 m)</t>
  </si>
  <si>
    <t>Vandentiekio tinklų rekonstravimas ir decentralizacija, Klaipėda</t>
  </si>
  <si>
    <t>Nuotekų tinklų rekonstravimas I. Simonaitytės g., J. Janonio g., Kauno g. ir Taikos pr., Liepų g., Smiltelės g., Klaipėdos m.</t>
  </si>
  <si>
    <t>Nuotekų tinklų rekonstravimas Ąžuolų, Valstiečių, Kretingos g., Klaipėdos m.</t>
  </si>
  <si>
    <t>Nuotekų tinklų rekonstravimas Laukininkų g., Birutės g., Taikos pr., Klaipėdos m.</t>
  </si>
  <si>
    <t>Šilumos tinklai nuo kameros 2P-39-5-4-2a iki 2P-36-9, Strėvos g. 6, 8,10, Minijos g. 120, 122</t>
  </si>
  <si>
    <t>Magistraliniai šilumos tinklai nuo kameros 6P-15 iki Elektrinės kolektorinės Danės g.</t>
  </si>
  <si>
    <t>Šilumos tinklų sklype Turgaus a. 2 rekonstravimas</t>
  </si>
  <si>
    <t>Šilumos tinklai tarp Dailidžių g. kameros 2Š-5 ir 2Š-5-5, Panevėžio g. 2.</t>
  </si>
  <si>
    <t>Šilumos tinklai nuo 6P-14 iki Mokyklos g. 3 ir iki Joniškės g. 14</t>
  </si>
  <si>
    <t>Šilumos tinklai nuo Ramioji g. 3 iki Ramioji g. 9 ir nuo Ramioji g. 6 iki Ramioji g. 12</t>
  </si>
  <si>
    <t>Šilumos tinklai nuo J. Janonio g. 16 iki J. Janonio g. 4, H. Manto g. 43</t>
  </si>
  <si>
    <t>Šilumos tiekimo infrastruktūros plėtra ir rekontravimas</t>
  </si>
  <si>
    <t>Vandens tiekimo ir buitinių bei paviršinių nuotekų infrastruktūros plėtra ir rekonstravimas</t>
  </si>
  <si>
    <t>SVP – Klaipėdos miesto savivaldybės 2023–2025 metų strateginis veiklos planas</t>
  </si>
  <si>
    <t xml:space="preserve">Klaipėdos miesto savivaldybės 2023–2025 metų
strateginio veiklos plano
5 priedas
</t>
  </si>
  <si>
    <t>KLAIPĖDOS MIESTO SAVIVALDYBĖS INFRASTRUKTŪROS PLĖTROS PRIEMONIŲ 2023–2025 METŲ PLANAS</t>
  </si>
  <si>
    <t>Vasaros koncertų estrados modernizavimas (kapitalinis remontas ir aplinkos sutvarkymas)</t>
  </si>
  <si>
    <t>Kultūros centro Žvejų rūmų modernizavimas</t>
  </si>
  <si>
    <t>10 Ugdymo proceso užtikrinimo programa</t>
  </si>
  <si>
    <t>Sporto aikštynų atnaujinimas (modernizavimas) (2022 m. – Vitės ir „Smeltės“ progimnazijų, „Vėtrungės“ ir „Žaliakalnio“ gimnazijų, 2023 m. – „Gilijos“ pradinės mokyklos ir M. Gorkio progimnazijos, 2024 m. – „Gilijos“ pradinės mokyklos, „Aukuro“ gimnazijos ir „Saulėtekio“ progimnazijos, 2025 m. – „Pajūrio“ ir Sendvario progimnazijų, Baltijos gimnazijos)</t>
  </si>
  <si>
    <t>Hermano Zudermano gimnazijos pastato rekonstrukcija</t>
  </si>
  <si>
    <t>Regioninio futbolo stadiono statyba</t>
  </si>
  <si>
    <t>Senyvo amžiaus asmenų globos paslaugų plėtra rekonstruojant pastatą, esantį Melnragės gyvenamajame rajone, Aušros g. 41</t>
  </si>
  <si>
    <t xml:space="preserve">Socialinio būsto plėtra Klaipėdos miesto savivaldybėje </t>
  </si>
  <si>
    <t>Dviračių ir pėsčiųjų tako įrengimas nuo Sausio 15-osios g. ir Tilžės g. sankryžos iki Taikos pr. ir Sausio 15-osios sankryžos</t>
  </si>
  <si>
    <t>Dviračių ir pėsčiųjų tako įrengimas Giruliuose (Stoties g., Turistų g., Šlaito g.)</t>
  </si>
  <si>
    <t>Dviračių ir pėsčiųjų tako įrengimas Smiltelės g. nuo Šilutės pl. iki Minijos g.</t>
  </si>
  <si>
    <t>Dviračių ir pėsčiųjų tilto per Danės upę, jungiančio naująją mokyklą šiaurinėje miesto dalyje su Tauralaukio kvartalu, statyba</t>
  </si>
  <si>
    <t xml:space="preserve">Baltijos pr. ir Taikos pr. žiedinės sankryžos rekonstravimas </t>
  </si>
  <si>
    <t>Tauralaukio gyvenvietės gatvių rekonstravimas</t>
  </si>
  <si>
    <t>Geležinkelio pervažos Giruliuose rekonstravimas</t>
  </si>
  <si>
    <t>Savanorių g. rekonstrukcija</t>
  </si>
  <si>
    <t>Pastato Pilies g. 2A nugriovimas ir automobilių stovėjimo aikštelės įrengimas (praplėtimas)</t>
  </si>
  <si>
    <t>Gatvės ir pėsčiųjų bei dviračių takų įrengimas prisidedant prie BĮ Lietuvos jūrų muziejaus projekto „Baltijos jūros gyvūnų reabilitacinis centras“  įgyvendinimo</t>
  </si>
  <si>
    <t>Pravažiuojamo kelio tarp Bokštų ir Jūros g. įrengimas</t>
  </si>
  <si>
    <t>Vandetiekio ir buitinių nuotekų tinklų projektavimas ir tiesimas Vasarotojų g. 2A ir Dianos g. (SB „Diana“), Klaipėda</t>
  </si>
  <si>
    <t xml:space="preserve">Vandentiekio ir nuotekų tinklų tiesimas Klaipėdos m. </t>
  </si>
  <si>
    <t xml:space="preserve">Magistralinių vandentiekio ir buitinių  nuotekų tinklų, skirtų teritorijai  Naujoji Uosto g. 3, Klaipėda („Mėmelio miestas“), tiesimas. 1 etapas. </t>
  </si>
  <si>
    <t>Buitinių nuotekų tinklų projektavimas ir tiesimas Smilgų g. 31, 33, Klaipėda</t>
  </si>
  <si>
    <t>Nuotekų tinklų rekonstravimas S. Daukanto g., H. Manto g., M. Mažvydo al., Debreceno g., Klaipėdos m.</t>
  </si>
  <si>
    <t xml:space="preserve">Paviršinių nuotekų tinklų tiesimas Tilžės g. 15 , Rumpiškės g. 2, Gulbių g. 2, 4, Liepų g. 71 Skerdyklos g. 8, Danės g. ties Atgimimo aikšte, Vytauto g. 18, 20, 22, Klaipėdos m. </t>
  </si>
  <si>
    <t>Paviršinių nuotekų tinklų rekonstravimas ir tiesimas Klaipėdos m. Tauralaukio skg. 15, 17, 19, 21, 23</t>
  </si>
  <si>
    <t>Paviršinių nuotekų tinklų rekonstravimas ir tiesimas</t>
  </si>
  <si>
    <t>Šilumos tinklai tarp kameros 2P-44 ir 2P-44-12a, Alksnynės g. 5B, Taikos pr. 88A</t>
  </si>
  <si>
    <t>Šilumos tinklai nuo kameros 2P-43-1 iki 2P-43-2, Alksnynės g. 6A, 3, 7, 4, 6, Statybininkų pr. 33</t>
  </si>
  <si>
    <t>Šilumos tinklai nuo kameros 2P-42-4 iki Naujakiemio g. 1, 9, 7 ir iki Statybininkų pr. 14, 4, 8</t>
  </si>
  <si>
    <t>Šilumos tinklai nuo Kretingos g. 58 iki Veterinarijos g. 29</t>
  </si>
  <si>
    <t>Šilumos tinklai nuo Karklų g. 17 iki Karklų g. 18, J. Janonio g. 21</t>
  </si>
  <si>
    <t>Šilumos tinklai nuo kameros 1Š-24 iki Švyturio g. 16, Švyturio g. 18</t>
  </si>
  <si>
    <t>Šilumos tinklai nuo kameros 2Š-30b-5 iki kameros 2Š-30b-5-2, Geležinkelio g. 12 ir iki kamerų 1Š-30b-6, 1Š-30b-6-1, H. Manto g. 75,77</t>
  </si>
  <si>
    <t>Šilumos tinklai nuo kameros 4P-21 iki Vyturio g. 21A, 19, 15, 23, kameros 4P-21-13</t>
  </si>
  <si>
    <t>Šilumos tinklai nuo kameros 4P-20A iki Markučių g. 2, Mogiliovo g. 3</t>
  </si>
  <si>
    <t>Šilumos tinklai nuo kameros 1P-2a-4 iki Bangų g. 23</t>
  </si>
  <si>
    <t>Šilumos tinklai nuo kameros 1P-3-21 iki Galinio Pylimo g. 9, 13, 17</t>
  </si>
  <si>
    <t>Šilumos tinklai nuo Turgaus g .2 iki Tomo g.</t>
  </si>
  <si>
    <t>Šilumos tinklai nuo Tilžės g. 23 iki Tilžės g. 21</t>
  </si>
  <si>
    <t>Šilumos tinklai nuo kameros 1P-19 iki Tilžės g. 52B</t>
  </si>
  <si>
    <t>Šilumos tinklai nuo kameros 1P-8-5 iki 1P-8-5-2a, Rumpiškės g. 31, Ryšininkų g. 6, 4</t>
  </si>
  <si>
    <t>Šilumos tinklai nuo 1P-9a-3 iki Birutės g. 15, 19, 21</t>
  </si>
  <si>
    <t>Šilumos tinklai nuo Debreceno g. 84 iki Debreceno g. 82 ir Debreceno g. 80</t>
  </si>
  <si>
    <t>Šilumos tinklai nuo Debreceno g. 56 iki Debreceno g. 52, Debreceno g. 54 ir Debreceno g. 62</t>
  </si>
  <si>
    <t>Šilumos tinklai nuo Žardininkų g.16 iki Žardininkų g. 12,18 iki Statybininkų pr.19, 23, 25</t>
  </si>
  <si>
    <t>Šilumos tinklai nuo 2P-44-9 iki Žardininkų g. 1, 13, 3, 11, 7, 17</t>
  </si>
  <si>
    <t>Šilumos tinklai nuo 2P-39-5-13 iki Naikupės g. 8A, 10A</t>
  </si>
  <si>
    <t>Šilumos tinklai nuo 4P-14a iki Šilutės pl. 70, 72</t>
  </si>
  <si>
    <t>Šilumos tinklai nuo I. Simonaitytės g. 11 iki I. Simonatytės g. 13, 17, 19, 21, 23</t>
  </si>
  <si>
    <t>Nuo 2P-39-6-1-2 iki 2P-39-6-1-6 iki Žalgirio g. 9, 11, 13 ir Naikupės g. 6, 4</t>
  </si>
  <si>
    <t>___________________________________________</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</si>
</sst>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 #,##0.00_-;_-* &quot;-&quot;??_-;_-@_-"/>
    <numFmt numFmtId="164" formatCode="#,##0.0"/>
    <numFmt numFmtId="165" formatCode="[$-10427]#,##0.00;\-#,##0.00"/>
    <numFmt numFmtId="166" formatCode="[$-409]General"/>
  </numFmts>
  <fonts count="37" x14ac:knownFonts="1">
    <font>
      <sz val="11"/>
      <color theme="1"/>
      <name val="Calibri"/>
      <family val="2"/>
      <charset val="186"/>
      <scheme val="minor"/>
    </font>
    <font>
      <sz val="10"/>
      <color theme="1"/>
      <name val="Times New Roman"/>
      <family val="1"/>
      <charset val="186"/>
    </font>
    <font>
      <b/>
      <sz val="10"/>
      <color theme="1"/>
      <name val="Times New Roman"/>
      <family val="1"/>
      <charset val="186"/>
    </font>
    <font>
      <sz val="10"/>
      <name val="Times New Roman"/>
      <family val="1"/>
      <charset val="186"/>
    </font>
    <font>
      <sz val="10"/>
      <color rgb="FFFF0000"/>
      <name val="Times New Roman"/>
      <family val="1"/>
      <charset val="186"/>
    </font>
    <font>
      <sz val="10"/>
      <color rgb="FF000000"/>
      <name val="Times New Roman"/>
      <family val="1"/>
      <charset val="186"/>
    </font>
    <font>
      <i/>
      <sz val="10"/>
      <name val="Times New Roman"/>
      <family val="1"/>
      <charset val="186"/>
    </font>
    <font>
      <sz val="9"/>
      <color indexed="81"/>
      <name val="Tahoma"/>
      <family val="2"/>
      <charset val="186"/>
    </font>
    <font>
      <b/>
      <sz val="9"/>
      <color indexed="81"/>
      <name val="Tahoma"/>
      <family val="2"/>
      <charset val="186"/>
    </font>
    <font>
      <b/>
      <sz val="10"/>
      <name val="Times New Roman"/>
      <family val="1"/>
      <charset val="186"/>
    </font>
    <font>
      <b/>
      <sz val="12"/>
      <color theme="1"/>
      <name val="Times New Roman"/>
      <family val="1"/>
      <charset val="186"/>
    </font>
    <font>
      <sz val="11"/>
      <name val="Times New Roman"/>
      <family val="1"/>
      <charset val="186"/>
    </font>
    <font>
      <sz val="11"/>
      <name val="Calibri"/>
      <family val="2"/>
      <charset val="186"/>
      <scheme val="minor"/>
    </font>
    <font>
      <i/>
      <sz val="11"/>
      <color theme="1"/>
      <name val="Times New Roman"/>
      <family val="1"/>
      <charset val="186"/>
    </font>
    <font>
      <sz val="9"/>
      <name val="Times New Roman"/>
      <family val="1"/>
      <charset val="186"/>
    </font>
    <font>
      <b/>
      <sz val="9"/>
      <name val="Times New Roman"/>
      <family val="1"/>
      <charset val="186"/>
    </font>
    <font>
      <b/>
      <sz val="10"/>
      <color rgb="FFFF0000"/>
      <name val="Times New Roman"/>
      <family val="1"/>
      <charset val="186"/>
    </font>
    <font>
      <b/>
      <sz val="9"/>
      <color rgb="FFFF0000"/>
      <name val="Times New Roman"/>
      <family val="1"/>
      <charset val="186"/>
    </font>
    <font>
      <sz val="11"/>
      <color rgb="FFFF0000"/>
      <name val="Calibri"/>
      <family val="2"/>
      <charset val="186"/>
      <scheme val="minor"/>
    </font>
    <font>
      <b/>
      <sz val="12"/>
      <color rgb="FFFF0000"/>
      <name val="Times New Roman"/>
      <family val="1"/>
      <charset val="186"/>
    </font>
    <font>
      <i/>
      <sz val="11"/>
      <color rgb="FFFF0000"/>
      <name val="Times New Roman"/>
      <family val="1"/>
      <charset val="186"/>
    </font>
    <font>
      <sz val="11"/>
      <color rgb="FFFF0000"/>
      <name val="Times New Roman"/>
      <family val="1"/>
      <charset val="186"/>
    </font>
    <font>
      <b/>
      <sz val="12"/>
      <name val="Times New Roman"/>
      <family val="1"/>
      <charset val="186"/>
    </font>
    <font>
      <sz val="10"/>
      <color theme="0"/>
      <name val="Times New Roman"/>
      <family val="1"/>
      <charset val="186"/>
    </font>
    <font>
      <b/>
      <sz val="11"/>
      <name val="Times New Roman"/>
      <family val="1"/>
      <charset val="186"/>
    </font>
    <font>
      <b/>
      <sz val="10"/>
      <color theme="0"/>
      <name val="Times New Roman"/>
      <family val="1"/>
      <charset val="186"/>
    </font>
    <font>
      <b/>
      <sz val="10"/>
      <color theme="3"/>
      <name val="Times New Roman"/>
      <family val="1"/>
      <charset val="186"/>
    </font>
    <font>
      <sz val="10"/>
      <color theme="3"/>
      <name val="Times New Roman"/>
      <family val="1"/>
      <charset val="186"/>
    </font>
    <font>
      <b/>
      <sz val="11"/>
      <color theme="1"/>
      <name val="Calibri"/>
      <family val="2"/>
      <charset val="186"/>
      <scheme val="minor"/>
    </font>
    <font>
      <b/>
      <sz val="11"/>
      <color theme="1"/>
      <name val="Times New Roman"/>
      <family val="1"/>
      <charset val="186"/>
    </font>
    <font>
      <b/>
      <sz val="11"/>
      <color rgb="FFFF0000"/>
      <name val="Times New Roman"/>
      <family val="1"/>
      <charset val="186"/>
    </font>
    <font>
      <strike/>
      <sz val="10"/>
      <name val="Times New Roman"/>
      <family val="1"/>
      <charset val="186"/>
    </font>
    <font>
      <i/>
      <sz val="10"/>
      <color rgb="FFFF0000"/>
      <name val="Times New Roman"/>
      <family val="1"/>
      <charset val="186"/>
    </font>
    <font>
      <sz val="11"/>
      <color theme="1"/>
      <name val="Calibri"/>
      <family val="2"/>
      <charset val="186"/>
      <scheme val="minor"/>
    </font>
    <font>
      <sz val="10"/>
      <name val="Arial"/>
      <family val="2"/>
      <charset val="186"/>
    </font>
    <font>
      <sz val="11"/>
      <color rgb="FF000000"/>
      <name val="Calibri"/>
      <family val="2"/>
      <charset val="186"/>
    </font>
    <font>
      <sz val="11"/>
      <color theme="1"/>
      <name val="Calibri"/>
      <family val="2"/>
      <scheme val="minor"/>
    </font>
  </fonts>
  <fills count="13">
    <fill>
      <patternFill patternType="none"/>
    </fill>
    <fill>
      <patternFill patternType="gray125"/>
    </fill>
    <fill>
      <patternFill patternType="solid">
        <fgColor rgb="FFFFCCFF"/>
        <bgColor indexed="64"/>
      </patternFill>
    </fill>
    <fill>
      <patternFill patternType="solid">
        <fgColor theme="0"/>
        <bgColor indexed="64"/>
      </patternFill>
    </fill>
    <fill>
      <patternFill patternType="solid">
        <fgColor theme="8" tint="0.79998168889431442"/>
        <bgColor indexed="64"/>
      </patternFill>
    </fill>
    <fill>
      <patternFill patternType="solid">
        <fgColor indexed="9"/>
        <bgColor indexed="64"/>
      </patternFill>
    </fill>
    <fill>
      <patternFill patternType="solid">
        <fgColor theme="4" tint="0.79998168889431442"/>
        <bgColor indexed="64"/>
      </patternFill>
    </fill>
    <fill>
      <patternFill patternType="solid">
        <fgColor rgb="FFFFFF00"/>
        <bgColor indexed="64"/>
      </patternFill>
    </fill>
    <fill>
      <patternFill patternType="solid">
        <fgColor rgb="FFFFFFFF"/>
        <bgColor indexed="64"/>
      </patternFill>
    </fill>
    <fill>
      <patternFill patternType="solid">
        <fgColor rgb="FF92D050"/>
        <bgColor indexed="64"/>
      </patternFill>
    </fill>
    <fill>
      <patternFill patternType="solid">
        <fgColor theme="4" tint="0.59999389629810485"/>
        <bgColor indexed="64"/>
      </patternFill>
    </fill>
    <fill>
      <patternFill patternType="solid">
        <fgColor rgb="FFCCFFCC"/>
        <bgColor indexed="64"/>
      </patternFill>
    </fill>
    <fill>
      <patternFill patternType="solid">
        <fgColor rgb="FF00B0F0"/>
        <bgColor indexed="64"/>
      </patternFill>
    </fill>
  </fills>
  <borders count="50">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bottom style="hair">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style="thin">
        <color indexed="64"/>
      </top>
      <bottom/>
      <diagonal/>
    </border>
    <border>
      <left/>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bottom/>
      <diagonal/>
    </border>
    <border>
      <left style="medium">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style="hair">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thin">
        <color indexed="64"/>
      </bottom>
      <diagonal/>
    </border>
    <border>
      <left/>
      <right/>
      <top style="medium">
        <color indexed="64"/>
      </top>
      <bottom/>
      <diagonal/>
    </border>
    <border>
      <left style="thin">
        <color indexed="64"/>
      </left>
      <right/>
      <top style="medium">
        <color indexed="64"/>
      </top>
      <bottom style="thin">
        <color indexed="64"/>
      </bottom>
      <diagonal/>
    </border>
    <border>
      <left/>
      <right style="medium">
        <color indexed="64"/>
      </right>
      <top style="medium">
        <color indexed="64"/>
      </top>
      <bottom/>
      <diagonal/>
    </border>
    <border>
      <left/>
      <right style="thin">
        <color indexed="64"/>
      </right>
      <top/>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right/>
      <top style="thin">
        <color indexed="64"/>
      </top>
      <bottom/>
      <diagonal/>
    </border>
  </borders>
  <cellStyleXfs count="7">
    <xf numFmtId="0" fontId="0" fillId="0" borderId="0"/>
    <xf numFmtId="43" fontId="33" fillId="0" borderId="0" applyFont="0" applyFill="0" applyBorder="0" applyAlignment="0" applyProtection="0"/>
    <xf numFmtId="0" fontId="34" fillId="0" borderId="0"/>
    <xf numFmtId="0" fontId="34" fillId="0" borderId="0"/>
    <xf numFmtId="166" fontId="35" fillId="0" borderId="0" applyBorder="0" applyProtection="0"/>
    <xf numFmtId="0" fontId="36" fillId="0" borderId="0"/>
    <xf numFmtId="43" fontId="33" fillId="0" borderId="0" applyFont="0" applyFill="0" applyBorder="0" applyAlignment="0" applyProtection="0"/>
  </cellStyleXfs>
  <cellXfs count="567">
    <xf numFmtId="0" fontId="0" fillId="0" borderId="0" xfId="0"/>
    <xf numFmtId="49" fontId="1" fillId="0" borderId="0" xfId="0" applyNumberFormat="1" applyFont="1"/>
    <xf numFmtId="4" fontId="3" fillId="0" borderId="1" xfId="0" applyNumberFormat="1" applyFont="1" applyBorder="1" applyAlignment="1">
      <alignment vertical="top" wrapText="1"/>
    </xf>
    <xf numFmtId="4" fontId="1" fillId="0" borderId="0" xfId="0" applyNumberFormat="1" applyFont="1"/>
    <xf numFmtId="49" fontId="3" fillId="0" borderId="4" xfId="0" applyNumberFormat="1" applyFont="1" applyBorder="1" applyAlignment="1">
      <alignment horizontal="center" vertical="top" wrapText="1"/>
    </xf>
    <xf numFmtId="49" fontId="9" fillId="0" borderId="1" xfId="0" applyNumberFormat="1" applyFont="1" applyBorder="1" applyAlignment="1">
      <alignment horizontal="center" vertical="top" wrapText="1"/>
    </xf>
    <xf numFmtId="49" fontId="3" fillId="3" borderId="2" xfId="0" applyNumberFormat="1" applyFont="1" applyFill="1" applyBorder="1" applyAlignment="1">
      <alignment horizontal="center" vertical="top"/>
    </xf>
    <xf numFmtId="4" fontId="3" fillId="3" borderId="2" xfId="0" applyNumberFormat="1" applyFont="1" applyFill="1" applyBorder="1" applyAlignment="1">
      <alignment horizontal="center" vertical="top"/>
    </xf>
    <xf numFmtId="4" fontId="1" fillId="3" borderId="6" xfId="0" applyNumberFormat="1" applyFont="1" applyFill="1" applyBorder="1" applyAlignment="1">
      <alignment horizontal="center" vertical="top" wrapText="1"/>
    </xf>
    <xf numFmtId="4" fontId="3" fillId="3" borderId="1" xfId="0" applyNumberFormat="1" applyFont="1" applyFill="1" applyBorder="1" applyAlignment="1">
      <alignment horizontal="center" vertical="top" wrapText="1"/>
    </xf>
    <xf numFmtId="49" fontId="3" fillId="3" borderId="1" xfId="0" applyNumberFormat="1" applyFont="1" applyFill="1" applyBorder="1" applyAlignment="1">
      <alignment horizontal="center" vertical="top"/>
    </xf>
    <xf numFmtId="4" fontId="3" fillId="3" borderId="5" xfId="0" applyNumberFormat="1" applyFont="1" applyFill="1" applyBorder="1" applyAlignment="1">
      <alignment vertical="top" wrapText="1"/>
    </xf>
    <xf numFmtId="49" fontId="9" fillId="3" borderId="5" xfId="0" applyNumberFormat="1" applyFont="1" applyFill="1" applyBorder="1" applyAlignment="1">
      <alignment horizontal="center" vertical="top" wrapText="1"/>
    </xf>
    <xf numFmtId="49" fontId="3" fillId="3" borderId="5" xfId="0" applyNumberFormat="1" applyFont="1" applyFill="1" applyBorder="1" applyAlignment="1">
      <alignment horizontal="center" vertical="top" wrapText="1"/>
    </xf>
    <xf numFmtId="4" fontId="3" fillId="0" borderId="1" xfId="0" applyNumberFormat="1" applyFont="1" applyBorder="1" applyAlignment="1">
      <alignment horizontal="center" vertical="top" wrapText="1"/>
    </xf>
    <xf numFmtId="4" fontId="3" fillId="3" borderId="2" xfId="0" applyNumberFormat="1" applyFont="1" applyFill="1" applyBorder="1" applyAlignment="1">
      <alignment horizontal="center" vertical="top" wrapText="1"/>
    </xf>
    <xf numFmtId="4" fontId="3" fillId="3" borderId="1" xfId="0" applyNumberFormat="1" applyFont="1" applyFill="1" applyBorder="1" applyAlignment="1">
      <alignment horizontal="center" vertical="top"/>
    </xf>
    <xf numFmtId="49" fontId="1" fillId="0" borderId="0" xfId="0" applyNumberFormat="1" applyFont="1" applyAlignment="1">
      <alignment vertical="top"/>
    </xf>
    <xf numFmtId="49" fontId="9" fillId="0" borderId="6" xfId="0" applyNumberFormat="1" applyFont="1" applyBorder="1" applyAlignment="1">
      <alignment horizontal="center" vertical="top" wrapText="1"/>
    </xf>
    <xf numFmtId="4" fontId="3" fillId="3" borderId="4" xfId="0" applyNumberFormat="1" applyFont="1" applyFill="1" applyBorder="1" applyAlignment="1">
      <alignment horizontal="center" vertical="top"/>
    </xf>
    <xf numFmtId="49" fontId="9" fillId="0" borderId="1" xfId="0" applyNumberFormat="1" applyFont="1" applyBorder="1" applyAlignment="1">
      <alignment horizontal="center" vertical="top"/>
    </xf>
    <xf numFmtId="49" fontId="3" fillId="0" borderId="1" xfId="0" applyNumberFormat="1" applyFont="1" applyBorder="1" applyAlignment="1">
      <alignment horizontal="center" vertical="top" wrapText="1"/>
    </xf>
    <xf numFmtId="4" fontId="3" fillId="3" borderId="6" xfId="0" applyNumberFormat="1" applyFont="1" applyFill="1" applyBorder="1" applyAlignment="1">
      <alignment horizontal="center" vertical="top" wrapText="1"/>
    </xf>
    <xf numFmtId="49" fontId="9" fillId="3" borderId="4" xfId="0" applyNumberFormat="1" applyFont="1" applyFill="1" applyBorder="1" applyAlignment="1">
      <alignment horizontal="center" vertical="top" wrapText="1"/>
    </xf>
    <xf numFmtId="49" fontId="3" fillId="3" borderId="5" xfId="0" applyNumberFormat="1" applyFont="1" applyFill="1" applyBorder="1" applyAlignment="1">
      <alignment horizontal="center" vertical="top"/>
    </xf>
    <xf numFmtId="4" fontId="3" fillId="3" borderId="1" xfId="0" applyNumberFormat="1" applyFont="1" applyFill="1" applyBorder="1" applyAlignment="1">
      <alignment vertical="top" wrapText="1"/>
    </xf>
    <xf numFmtId="49" fontId="9" fillId="3" borderId="1" xfId="0" applyNumberFormat="1" applyFont="1" applyFill="1" applyBorder="1" applyAlignment="1">
      <alignment horizontal="center" vertical="top" wrapText="1"/>
    </xf>
    <xf numFmtId="49" fontId="3" fillId="3" borderId="1" xfId="0" applyNumberFormat="1" applyFont="1" applyFill="1" applyBorder="1" applyAlignment="1">
      <alignment horizontal="center" vertical="center" wrapText="1"/>
    </xf>
    <xf numFmtId="49" fontId="3" fillId="3" borderId="1" xfId="0" applyNumberFormat="1" applyFont="1" applyFill="1" applyBorder="1" applyAlignment="1">
      <alignment horizontal="center" vertical="top" wrapText="1"/>
    </xf>
    <xf numFmtId="49" fontId="3" fillId="3" borderId="6" xfId="0" applyNumberFormat="1" applyFont="1" applyFill="1" applyBorder="1" applyAlignment="1">
      <alignment horizontal="center" vertical="top" wrapText="1"/>
    </xf>
    <xf numFmtId="49" fontId="3" fillId="3" borderId="4" xfId="0" applyNumberFormat="1" applyFont="1" applyFill="1" applyBorder="1" applyAlignment="1">
      <alignment horizontal="center" vertical="top" wrapText="1"/>
    </xf>
    <xf numFmtId="4" fontId="3" fillId="3" borderId="5" xfId="0" applyNumberFormat="1" applyFont="1" applyFill="1" applyBorder="1" applyAlignment="1">
      <alignment horizontal="center" vertical="top"/>
    </xf>
    <xf numFmtId="4" fontId="3" fillId="3" borderId="1" xfId="0" applyNumberFormat="1" applyFont="1" applyFill="1" applyBorder="1" applyAlignment="1">
      <alignment vertical="top"/>
    </xf>
    <xf numFmtId="49" fontId="3" fillId="3" borderId="1" xfId="0" applyNumberFormat="1" applyFont="1" applyFill="1" applyBorder="1" applyAlignment="1">
      <alignment horizontal="center" vertical="top" wrapText="1" readingOrder="1"/>
    </xf>
    <xf numFmtId="4" fontId="3" fillId="3" borderId="1" xfId="0" applyNumberFormat="1" applyFont="1" applyFill="1" applyBorder="1" applyAlignment="1">
      <alignment horizontal="center" vertical="top" wrapText="1" readingOrder="1"/>
    </xf>
    <xf numFmtId="49" fontId="3" fillId="3" borderId="3" xfId="0" applyNumberFormat="1" applyFont="1" applyFill="1" applyBorder="1" applyAlignment="1">
      <alignment horizontal="center" vertical="top" wrapText="1" readingOrder="1"/>
    </xf>
    <xf numFmtId="49" fontId="9" fillId="3" borderId="1" xfId="0" applyNumberFormat="1" applyFont="1" applyFill="1" applyBorder="1" applyAlignment="1">
      <alignment horizontal="center" vertical="top"/>
    </xf>
    <xf numFmtId="4" fontId="11" fillId="3" borderId="1" xfId="0" applyNumberFormat="1" applyFont="1" applyFill="1" applyBorder="1" applyAlignment="1">
      <alignment vertical="top"/>
    </xf>
    <xf numFmtId="4" fontId="11" fillId="0" borderId="1" xfId="0" applyNumberFormat="1" applyFont="1" applyBorder="1" applyAlignment="1">
      <alignment vertical="top"/>
    </xf>
    <xf numFmtId="4" fontId="11" fillId="3" borderId="4" xfId="0" applyNumberFormat="1" applyFont="1" applyFill="1" applyBorder="1" applyAlignment="1">
      <alignment vertical="top"/>
    </xf>
    <xf numFmtId="4" fontId="11" fillId="0" borderId="4" xfId="0" applyNumberFormat="1" applyFont="1" applyBorder="1" applyAlignment="1">
      <alignment vertical="top"/>
    </xf>
    <xf numFmtId="4" fontId="3" fillId="3" borderId="28" xfId="0" applyNumberFormat="1" applyFont="1" applyFill="1" applyBorder="1" applyAlignment="1">
      <alignment horizontal="center" vertical="top" wrapText="1"/>
    </xf>
    <xf numFmtId="4" fontId="3" fillId="3" borderId="10" xfId="0" applyNumberFormat="1" applyFont="1" applyFill="1" applyBorder="1" applyAlignment="1">
      <alignment horizontal="center" vertical="top"/>
    </xf>
    <xf numFmtId="4" fontId="3" fillId="3" borderId="10" xfId="0" applyNumberFormat="1" applyFont="1" applyFill="1" applyBorder="1" applyAlignment="1">
      <alignment horizontal="center" vertical="top" wrapText="1"/>
    </xf>
    <xf numFmtId="4" fontId="3" fillId="3" borderId="12" xfId="0" applyNumberFormat="1" applyFont="1" applyFill="1" applyBorder="1" applyAlignment="1">
      <alignment horizontal="center" vertical="top" wrapText="1"/>
    </xf>
    <xf numFmtId="4" fontId="3" fillId="3" borderId="29" xfId="0" applyNumberFormat="1" applyFont="1" applyFill="1" applyBorder="1" applyAlignment="1">
      <alignment horizontal="center" vertical="top"/>
    </xf>
    <xf numFmtId="4" fontId="3" fillId="3" borderId="10" xfId="0" applyNumberFormat="1" applyFont="1" applyFill="1" applyBorder="1" applyAlignment="1">
      <alignment vertical="top"/>
    </xf>
    <xf numFmtId="4" fontId="3" fillId="0" borderId="10" xfId="0" applyNumberFormat="1" applyFont="1" applyBorder="1" applyAlignment="1">
      <alignment horizontal="center" vertical="top" wrapText="1"/>
    </xf>
    <xf numFmtId="4" fontId="11" fillId="0" borderId="10" xfId="0" applyNumberFormat="1" applyFont="1" applyBorder="1" applyAlignment="1">
      <alignment vertical="top"/>
    </xf>
    <xf numFmtId="4" fontId="11" fillId="0" borderId="12" xfId="0" applyNumberFormat="1" applyFont="1" applyBorder="1" applyAlignment="1">
      <alignment vertical="top"/>
    </xf>
    <xf numFmtId="49" fontId="3" fillId="3" borderId="7" xfId="0" applyNumberFormat="1" applyFont="1" applyFill="1" applyBorder="1" applyAlignment="1">
      <alignment horizontal="center" vertical="top" wrapText="1"/>
    </xf>
    <xf numFmtId="4" fontId="3" fillId="3" borderId="28" xfId="0" applyNumberFormat="1" applyFont="1" applyFill="1" applyBorder="1" applyAlignment="1">
      <alignment horizontal="center" vertical="top"/>
    </xf>
    <xf numFmtId="49" fontId="3" fillId="3" borderId="7" xfId="0" applyNumberFormat="1" applyFont="1" applyFill="1" applyBorder="1" applyAlignment="1">
      <alignment horizontal="center" vertical="top"/>
    </xf>
    <xf numFmtId="4" fontId="3" fillId="3" borderId="7" xfId="0" applyNumberFormat="1" applyFont="1" applyFill="1" applyBorder="1" applyAlignment="1">
      <alignment horizontal="center" vertical="top"/>
    </xf>
    <xf numFmtId="4" fontId="3" fillId="3" borderId="7" xfId="0" applyNumberFormat="1" applyFont="1" applyFill="1" applyBorder="1" applyAlignment="1">
      <alignment horizontal="center" vertical="top" wrapText="1"/>
    </xf>
    <xf numFmtId="49" fontId="9" fillId="3" borderId="7" xfId="0" applyNumberFormat="1" applyFont="1" applyFill="1" applyBorder="1" applyAlignment="1">
      <alignment horizontal="center" vertical="top" wrapText="1"/>
    </xf>
    <xf numFmtId="49" fontId="9" fillId="0" borderId="5" xfId="0" applyNumberFormat="1" applyFont="1" applyBorder="1" applyAlignment="1">
      <alignment horizontal="center" vertical="top" wrapText="1"/>
    </xf>
    <xf numFmtId="49" fontId="9" fillId="6" borderId="3" xfId="0" applyNumberFormat="1" applyFont="1" applyFill="1" applyBorder="1" applyAlignment="1">
      <alignment horizontal="right" vertical="top" wrapText="1"/>
    </xf>
    <xf numFmtId="4" fontId="9" fillId="6" borderId="1" xfId="0" applyNumberFormat="1" applyFont="1" applyFill="1" applyBorder="1" applyAlignment="1">
      <alignment horizontal="center" vertical="center" wrapText="1"/>
    </xf>
    <xf numFmtId="49" fontId="9" fillId="3" borderId="6" xfId="0" applyNumberFormat="1" applyFont="1" applyFill="1" applyBorder="1" applyAlignment="1">
      <alignment horizontal="center" vertical="top" wrapText="1"/>
    </xf>
    <xf numFmtId="49" fontId="3" fillId="3" borderId="6" xfId="0" applyNumberFormat="1" applyFont="1" applyFill="1" applyBorder="1" applyAlignment="1">
      <alignment horizontal="center" vertical="top"/>
    </xf>
    <xf numFmtId="4" fontId="3" fillId="3" borderId="6" xfId="0" applyNumberFormat="1" applyFont="1" applyFill="1" applyBorder="1" applyAlignment="1">
      <alignment horizontal="center" vertical="top"/>
    </xf>
    <xf numFmtId="49" fontId="9" fillId="3" borderId="8" xfId="0" applyNumberFormat="1" applyFont="1" applyFill="1" applyBorder="1" applyAlignment="1">
      <alignment horizontal="center" vertical="top" wrapText="1"/>
    </xf>
    <xf numFmtId="4" fontId="3" fillId="0" borderId="1" xfId="0" applyNumberFormat="1" applyFont="1" applyBorder="1" applyAlignment="1">
      <alignment horizontal="left" vertical="top" wrapText="1"/>
    </xf>
    <xf numFmtId="4" fontId="3" fillId="3" borderId="1" xfId="0" applyNumberFormat="1" applyFont="1" applyFill="1" applyBorder="1" applyAlignment="1">
      <alignment horizontal="left" vertical="top" wrapText="1"/>
    </xf>
    <xf numFmtId="49" fontId="9" fillId="6" borderId="2" xfId="0" applyNumberFormat="1" applyFont="1" applyFill="1" applyBorder="1" applyAlignment="1">
      <alignment horizontal="right" vertical="top" wrapText="1"/>
    </xf>
    <xf numFmtId="49" fontId="9" fillId="0" borderId="4" xfId="0" applyNumberFormat="1" applyFont="1" applyBorder="1" applyAlignment="1">
      <alignment horizontal="center" vertical="top" wrapText="1"/>
    </xf>
    <xf numFmtId="4" fontId="3" fillId="0" borderId="0" xfId="0" applyNumberFormat="1" applyFont="1" applyAlignment="1">
      <alignment horizontal="center" vertical="top"/>
    </xf>
    <xf numFmtId="4" fontId="3" fillId="0" borderId="4" xfId="0" applyNumberFormat="1" applyFont="1" applyBorder="1" applyAlignment="1">
      <alignment horizontal="center" vertical="top" wrapText="1"/>
    </xf>
    <xf numFmtId="49" fontId="3" fillId="3" borderId="0" xfId="0" applyNumberFormat="1" applyFont="1" applyFill="1" applyAlignment="1">
      <alignment horizontal="center" vertical="top" wrapText="1"/>
    </xf>
    <xf numFmtId="4" fontId="3" fillId="3" borderId="0" xfId="0" applyNumberFormat="1" applyFont="1" applyFill="1" applyAlignment="1">
      <alignment horizontal="center" vertical="top" wrapText="1"/>
    </xf>
    <xf numFmtId="49" fontId="3" fillId="3" borderId="3" xfId="0" applyNumberFormat="1" applyFont="1" applyFill="1" applyBorder="1" applyAlignment="1">
      <alignment horizontal="center" vertical="top"/>
    </xf>
    <xf numFmtId="4" fontId="3" fillId="3" borderId="3" xfId="0" applyNumberFormat="1" applyFont="1" applyFill="1" applyBorder="1" applyAlignment="1">
      <alignment horizontal="center" vertical="top"/>
    </xf>
    <xf numFmtId="4" fontId="9" fillId="6" borderId="1" xfId="0" applyNumberFormat="1" applyFont="1" applyFill="1" applyBorder="1" applyAlignment="1">
      <alignment horizontal="center" vertical="top" wrapText="1"/>
    </xf>
    <xf numFmtId="4" fontId="9" fillId="7" borderId="27" xfId="0" applyNumberFormat="1" applyFont="1" applyFill="1" applyBorder="1" applyAlignment="1">
      <alignment horizontal="center" vertical="center" wrapText="1"/>
    </xf>
    <xf numFmtId="49" fontId="3" fillId="0" borderId="0" xfId="0" applyNumberFormat="1" applyFont="1" applyAlignment="1">
      <alignment vertical="top"/>
    </xf>
    <xf numFmtId="49" fontId="3" fillId="0" borderId="0" xfId="0" applyNumberFormat="1" applyFont="1"/>
    <xf numFmtId="4" fontId="3" fillId="0" borderId="0" xfId="0" applyNumberFormat="1" applyFont="1"/>
    <xf numFmtId="4" fontId="3" fillId="3" borderId="3" xfId="0" applyNumberFormat="1" applyFont="1" applyFill="1" applyBorder="1" applyAlignment="1">
      <alignment horizontal="center" vertical="top" wrapText="1"/>
    </xf>
    <xf numFmtId="4" fontId="3" fillId="3" borderId="4" xfId="0" applyNumberFormat="1" applyFont="1" applyFill="1" applyBorder="1" applyAlignment="1">
      <alignment horizontal="center" vertical="top" wrapText="1"/>
    </xf>
    <xf numFmtId="4" fontId="3" fillId="3" borderId="5" xfId="0" applyNumberFormat="1" applyFont="1" applyFill="1" applyBorder="1" applyAlignment="1">
      <alignment horizontal="center" vertical="top" wrapText="1"/>
    </xf>
    <xf numFmtId="4" fontId="3" fillId="3" borderId="30" xfId="0" applyNumberFormat="1" applyFont="1" applyFill="1" applyBorder="1" applyAlignment="1">
      <alignment horizontal="center" vertical="top" wrapText="1"/>
    </xf>
    <xf numFmtId="4" fontId="9" fillId="6" borderId="10" xfId="0" applyNumberFormat="1" applyFont="1" applyFill="1" applyBorder="1" applyAlignment="1">
      <alignment horizontal="center" vertical="center" wrapText="1"/>
    </xf>
    <xf numFmtId="4" fontId="3" fillId="3" borderId="30" xfId="0" applyNumberFormat="1" applyFont="1" applyFill="1" applyBorder="1" applyAlignment="1">
      <alignment horizontal="center" vertical="top"/>
    </xf>
    <xf numFmtId="4" fontId="9" fillId="6" borderId="10" xfId="0" applyNumberFormat="1" applyFont="1" applyFill="1" applyBorder="1" applyAlignment="1">
      <alignment horizontal="center" vertical="top" wrapText="1"/>
    </xf>
    <xf numFmtId="4" fontId="15" fillId="7" borderId="27" xfId="0" applyNumberFormat="1" applyFont="1" applyFill="1" applyBorder="1" applyAlignment="1">
      <alignment horizontal="center" vertical="center" wrapText="1"/>
    </xf>
    <xf numFmtId="4" fontId="3" fillId="0" borderId="7" xfId="0" applyNumberFormat="1" applyFont="1" applyBorder="1" applyAlignment="1">
      <alignment horizontal="center" vertical="top"/>
    </xf>
    <xf numFmtId="4" fontId="4" fillId="3" borderId="1" xfId="0" applyNumberFormat="1" applyFont="1" applyFill="1" applyBorder="1" applyAlignment="1">
      <alignment horizontal="center" vertical="top" wrapText="1"/>
    </xf>
    <xf numFmtId="4" fontId="4" fillId="3" borderId="1" xfId="0" applyNumberFormat="1" applyFont="1" applyFill="1" applyBorder="1" applyAlignment="1">
      <alignment horizontal="center" vertical="top"/>
    </xf>
    <xf numFmtId="4" fontId="4" fillId="3" borderId="6" xfId="0" applyNumberFormat="1" applyFont="1" applyFill="1" applyBorder="1" applyAlignment="1">
      <alignment horizontal="center" vertical="top" wrapText="1"/>
    </xf>
    <xf numFmtId="4" fontId="4" fillId="3" borderId="4" xfId="0" applyNumberFormat="1" applyFont="1" applyFill="1" applyBorder="1" applyAlignment="1">
      <alignment horizontal="center" vertical="top" wrapText="1"/>
    </xf>
    <xf numFmtId="4" fontId="4" fillId="3" borderId="12" xfId="0" applyNumberFormat="1" applyFont="1" applyFill="1" applyBorder="1" applyAlignment="1">
      <alignment horizontal="center" vertical="top" wrapText="1"/>
    </xf>
    <xf numFmtId="4" fontId="4" fillId="3" borderId="5" xfId="0" applyNumberFormat="1" applyFont="1" applyFill="1" applyBorder="1" applyAlignment="1">
      <alignment horizontal="center" vertical="top" wrapText="1"/>
    </xf>
    <xf numFmtId="4" fontId="4" fillId="3" borderId="28" xfId="0" applyNumberFormat="1" applyFont="1" applyFill="1" applyBorder="1" applyAlignment="1">
      <alignment horizontal="center" vertical="top" wrapText="1"/>
    </xf>
    <xf numFmtId="4" fontId="4" fillId="3" borderId="10" xfId="0" applyNumberFormat="1" applyFont="1" applyFill="1" applyBorder="1" applyAlignment="1">
      <alignment horizontal="center" vertical="top"/>
    </xf>
    <xf numFmtId="4" fontId="4" fillId="3" borderId="3" xfId="0" applyNumberFormat="1" applyFont="1" applyFill="1" applyBorder="1" applyAlignment="1">
      <alignment horizontal="center" vertical="top"/>
    </xf>
    <xf numFmtId="4" fontId="4" fillId="3" borderId="3" xfId="0" applyNumberFormat="1" applyFont="1" applyFill="1" applyBorder="1" applyAlignment="1">
      <alignment horizontal="center" vertical="top" wrapText="1"/>
    </xf>
    <xf numFmtId="4" fontId="4" fillId="3" borderId="5" xfId="0" applyNumberFormat="1" applyFont="1" applyFill="1" applyBorder="1" applyAlignment="1">
      <alignment horizontal="center" vertical="top"/>
    </xf>
    <xf numFmtId="4" fontId="3" fillId="0" borderId="6" xfId="0" applyNumberFormat="1" applyFont="1" applyBorder="1" applyAlignment="1">
      <alignment horizontal="center" vertical="top" wrapText="1"/>
    </xf>
    <xf numFmtId="4" fontId="3" fillId="0" borderId="1" xfId="0" applyNumberFormat="1" applyFont="1" applyBorder="1" applyAlignment="1">
      <alignment horizontal="center" vertical="top" wrapText="1" readingOrder="1"/>
    </xf>
    <xf numFmtId="4" fontId="4" fillId="3" borderId="0" xfId="0" applyNumberFormat="1" applyFont="1" applyFill="1" applyAlignment="1">
      <alignment horizontal="center" vertical="top" wrapText="1"/>
    </xf>
    <xf numFmtId="4" fontId="4" fillId="3" borderId="28" xfId="0" applyNumberFormat="1" applyFont="1" applyFill="1" applyBorder="1" applyAlignment="1">
      <alignment horizontal="center" vertical="top"/>
    </xf>
    <xf numFmtId="4" fontId="4" fillId="3" borderId="10" xfId="0" applyNumberFormat="1" applyFont="1" applyFill="1" applyBorder="1" applyAlignment="1">
      <alignment horizontal="center" vertical="top" wrapText="1"/>
    </xf>
    <xf numFmtId="4" fontId="1" fillId="0" borderId="0" xfId="0" applyNumberFormat="1" applyFont="1" applyAlignment="1">
      <alignment horizontal="left" vertical="top" wrapText="1"/>
    </xf>
    <xf numFmtId="4" fontId="4" fillId="3" borderId="1" xfId="0" applyNumberFormat="1" applyFont="1" applyFill="1" applyBorder="1" applyAlignment="1">
      <alignment horizontal="center" vertical="top" wrapText="1" readingOrder="1"/>
    </xf>
    <xf numFmtId="4" fontId="3" fillId="3" borderId="9" xfId="0" applyNumberFormat="1" applyFont="1" applyFill="1" applyBorder="1" applyAlignment="1">
      <alignment horizontal="center" vertical="top"/>
    </xf>
    <xf numFmtId="4" fontId="3" fillId="3" borderId="9" xfId="0" applyNumberFormat="1" applyFont="1" applyFill="1" applyBorder="1" applyAlignment="1">
      <alignment horizontal="center" vertical="top" wrapText="1"/>
    </xf>
    <xf numFmtId="4" fontId="3" fillId="0" borderId="5" xfId="0" applyNumberFormat="1" applyFont="1" applyBorder="1" applyAlignment="1">
      <alignment horizontal="left" vertical="top" wrapText="1"/>
    </xf>
    <xf numFmtId="4" fontId="17" fillId="7" borderId="27" xfId="0" applyNumberFormat="1" applyFont="1" applyFill="1" applyBorder="1" applyAlignment="1">
      <alignment horizontal="center" vertical="center" wrapText="1"/>
    </xf>
    <xf numFmtId="4" fontId="3" fillId="3" borderId="20" xfId="0" applyNumberFormat="1" applyFont="1" applyFill="1" applyBorder="1" applyAlignment="1">
      <alignment horizontal="center" vertical="top" wrapText="1"/>
    </xf>
    <xf numFmtId="4" fontId="3" fillId="0" borderId="5" xfId="0" applyNumberFormat="1" applyFont="1" applyBorder="1" applyAlignment="1">
      <alignment horizontal="center" vertical="top" wrapText="1"/>
    </xf>
    <xf numFmtId="4" fontId="3" fillId="3" borderId="4" xfId="0" applyNumberFormat="1" applyFont="1" applyFill="1" applyBorder="1" applyAlignment="1">
      <alignment horizontal="left" vertical="top" wrapText="1"/>
    </xf>
    <xf numFmtId="4" fontId="3" fillId="3" borderId="1" xfId="0" applyNumberFormat="1" applyFont="1" applyFill="1" applyBorder="1" applyAlignment="1">
      <alignment horizontal="center" vertical="center" wrapText="1"/>
    </xf>
    <xf numFmtId="4" fontId="9" fillId="6" borderId="18" xfId="0" applyNumberFormat="1" applyFont="1" applyFill="1" applyBorder="1" applyAlignment="1">
      <alignment horizontal="right" vertical="top" wrapText="1"/>
    </xf>
    <xf numFmtId="4" fontId="9" fillId="6" borderId="2" xfId="0" applyNumberFormat="1" applyFont="1" applyFill="1" applyBorder="1" applyAlignment="1">
      <alignment horizontal="right" vertical="top" wrapText="1"/>
    </xf>
    <xf numFmtId="4" fontId="3" fillId="3" borderId="17" xfId="0" applyNumberFormat="1" applyFont="1" applyFill="1" applyBorder="1" applyAlignment="1">
      <alignment horizontal="center" vertical="top" wrapText="1"/>
    </xf>
    <xf numFmtId="4" fontId="3" fillId="0" borderId="17" xfId="0" applyNumberFormat="1" applyFont="1" applyBorder="1" applyAlignment="1">
      <alignment horizontal="center" vertical="top" wrapText="1"/>
    </xf>
    <xf numFmtId="4" fontId="3" fillId="3" borderId="2" xfId="0" applyNumberFormat="1" applyFont="1" applyFill="1" applyBorder="1" applyAlignment="1">
      <alignment horizontal="left" vertical="top" wrapText="1"/>
    </xf>
    <xf numFmtId="4" fontId="3" fillId="3" borderId="2" xfId="0" applyNumberFormat="1" applyFont="1" applyFill="1" applyBorder="1" applyAlignment="1">
      <alignment horizontal="center" vertical="top" wrapText="1" readingOrder="1"/>
    </xf>
    <xf numFmtId="4" fontId="13" fillId="0" borderId="0" xfId="0" applyNumberFormat="1" applyFont="1" applyAlignment="1">
      <alignment horizontal="right" vertical="top" wrapText="1"/>
    </xf>
    <xf numFmtId="4" fontId="10" fillId="0" borderId="0" xfId="0" applyNumberFormat="1" applyFont="1" applyAlignment="1">
      <alignment horizontal="center" wrapText="1"/>
    </xf>
    <xf numFmtId="4" fontId="1" fillId="0" borderId="0" xfId="0" applyNumberFormat="1" applyFont="1" applyAlignment="1">
      <alignment horizontal="center" wrapText="1"/>
    </xf>
    <xf numFmtId="4" fontId="2" fillId="0" borderId="0" xfId="0" applyNumberFormat="1" applyFont="1" applyAlignment="1">
      <alignment horizontal="right" vertical="top"/>
    </xf>
    <xf numFmtId="4" fontId="0" fillId="0" borderId="0" xfId="0" applyNumberFormat="1" applyAlignment="1">
      <alignment wrapText="1"/>
    </xf>
    <xf numFmtId="4" fontId="4" fillId="0" borderId="0" xfId="0" applyNumberFormat="1" applyFont="1"/>
    <xf numFmtId="4" fontId="1" fillId="0" borderId="0" xfId="0" applyNumberFormat="1" applyFont="1" applyAlignment="1">
      <alignment horizontal="right"/>
    </xf>
    <xf numFmtId="4" fontId="1" fillId="3" borderId="16" xfId="0" applyNumberFormat="1" applyFont="1" applyFill="1" applyBorder="1" applyAlignment="1">
      <alignment vertical="center" wrapText="1"/>
    </xf>
    <xf numFmtId="4" fontId="3" fillId="3" borderId="23" xfId="0" applyNumberFormat="1" applyFont="1" applyFill="1" applyBorder="1" applyAlignment="1">
      <alignment horizontal="center" vertical="center" wrapText="1"/>
    </xf>
    <xf numFmtId="4" fontId="3" fillId="0" borderId="8" xfId="0" applyNumberFormat="1" applyFont="1" applyBorder="1" applyAlignment="1">
      <alignment vertical="center" wrapText="1"/>
    </xf>
    <xf numFmtId="4" fontId="3" fillId="0" borderId="8" xfId="0" applyNumberFormat="1" applyFont="1" applyBorder="1" applyAlignment="1">
      <alignment horizontal="center" vertical="center" wrapText="1"/>
    </xf>
    <xf numFmtId="4" fontId="3" fillId="3" borderId="20" xfId="0" applyNumberFormat="1" applyFont="1" applyFill="1" applyBorder="1" applyAlignment="1">
      <alignment horizontal="center" vertical="center" wrapText="1"/>
    </xf>
    <xf numFmtId="4" fontId="3" fillId="0" borderId="6" xfId="0" applyNumberFormat="1" applyFont="1" applyBorder="1" applyAlignment="1">
      <alignment vertical="center" wrapText="1"/>
    </xf>
    <xf numFmtId="4" fontId="3" fillId="0" borderId="6" xfId="0" applyNumberFormat="1" applyFont="1" applyBorder="1" applyAlignment="1">
      <alignment horizontal="center" vertical="center" wrapText="1"/>
    </xf>
    <xf numFmtId="4" fontId="3" fillId="3" borderId="17" xfId="0" applyNumberFormat="1" applyFont="1" applyFill="1" applyBorder="1" applyAlignment="1">
      <alignment horizontal="center" vertical="center" wrapText="1"/>
    </xf>
    <xf numFmtId="4" fontId="3" fillId="0" borderId="1" xfId="0" applyNumberFormat="1" applyFont="1" applyBorder="1" applyAlignment="1">
      <alignment vertical="center" wrapText="1"/>
    </xf>
    <xf numFmtId="4" fontId="3" fillId="0" borderId="1" xfId="0" applyNumberFormat="1" applyFont="1" applyBorder="1" applyAlignment="1">
      <alignment horizontal="center" vertical="center" wrapText="1"/>
    </xf>
    <xf numFmtId="4" fontId="3" fillId="3" borderId="5" xfId="0" applyNumberFormat="1" applyFont="1" applyFill="1" applyBorder="1" applyAlignment="1">
      <alignment vertical="center" wrapText="1"/>
    </xf>
    <xf numFmtId="4" fontId="3" fillId="0" borderId="5" xfId="0" applyNumberFormat="1" applyFont="1" applyBorder="1" applyAlignment="1">
      <alignment horizontal="center" vertical="center" wrapText="1"/>
    </xf>
    <xf numFmtId="4" fontId="9" fillId="4" borderId="18" xfId="0" applyNumberFormat="1" applyFont="1" applyFill="1" applyBorder="1" applyAlignment="1">
      <alignment horizontal="right" vertical="top" wrapText="1"/>
    </xf>
    <xf numFmtId="4" fontId="9" fillId="4" borderId="2" xfId="0" applyNumberFormat="1" applyFont="1" applyFill="1" applyBorder="1" applyAlignment="1">
      <alignment horizontal="right" vertical="top" wrapText="1"/>
    </xf>
    <xf numFmtId="4" fontId="3" fillId="3" borderId="16" xfId="0" applyNumberFormat="1" applyFont="1" applyFill="1" applyBorder="1" applyAlignment="1">
      <alignment horizontal="center" vertical="top" wrapText="1"/>
    </xf>
    <xf numFmtId="4" fontId="3" fillId="0" borderId="7" xfId="0" applyNumberFormat="1" applyFont="1" applyBorder="1" applyAlignment="1">
      <alignment horizontal="center" vertical="top" wrapText="1"/>
    </xf>
    <xf numFmtId="4" fontId="9" fillId="6" borderId="18" xfId="0" applyNumberFormat="1" applyFont="1" applyFill="1" applyBorder="1" applyAlignment="1">
      <alignment horizontal="center" vertical="top" wrapText="1"/>
    </xf>
    <xf numFmtId="4" fontId="9" fillId="6" borderId="2" xfId="0" applyNumberFormat="1" applyFont="1" applyFill="1" applyBorder="1" applyAlignment="1">
      <alignment horizontal="center" vertical="top" wrapText="1"/>
    </xf>
    <xf numFmtId="4" fontId="3" fillId="0" borderId="0" xfId="0" applyNumberFormat="1" applyFont="1" applyAlignment="1">
      <alignment horizontal="center"/>
    </xf>
    <xf numFmtId="4" fontId="3" fillId="3" borderId="4" xfId="0" applyNumberFormat="1" applyFont="1" applyFill="1" applyBorder="1" applyAlignment="1">
      <alignment horizontal="center" vertical="center" wrapText="1"/>
    </xf>
    <xf numFmtId="4" fontId="3" fillId="3" borderId="23" xfId="0" applyNumberFormat="1" applyFont="1" applyFill="1" applyBorder="1" applyAlignment="1">
      <alignment horizontal="center" vertical="top" wrapText="1"/>
    </xf>
    <xf numFmtId="4" fontId="3" fillId="3" borderId="7" xfId="0" applyNumberFormat="1" applyFont="1" applyFill="1" applyBorder="1" applyAlignment="1">
      <alignment horizontal="center" vertical="center" wrapText="1"/>
    </xf>
    <xf numFmtId="4" fontId="3" fillId="8" borderId="29" xfId="0" applyNumberFormat="1" applyFont="1" applyFill="1" applyBorder="1" applyAlignment="1">
      <alignment horizontal="center" vertical="center" wrapText="1"/>
    </xf>
    <xf numFmtId="4" fontId="3" fillId="8" borderId="7" xfId="0" applyNumberFormat="1" applyFont="1" applyFill="1" applyBorder="1" applyAlignment="1">
      <alignment horizontal="center" vertical="center" wrapText="1"/>
    </xf>
    <xf numFmtId="4" fontId="3" fillId="3" borderId="18" xfId="0" applyNumberFormat="1" applyFont="1" applyFill="1" applyBorder="1" applyAlignment="1">
      <alignment horizontal="center" vertical="top" wrapText="1"/>
    </xf>
    <xf numFmtId="4" fontId="3" fillId="3" borderId="1" xfId="0" applyNumberFormat="1" applyFont="1" applyFill="1" applyBorder="1" applyAlignment="1">
      <alignment vertical="center" wrapText="1"/>
    </xf>
    <xf numFmtId="4" fontId="3" fillId="3" borderId="7" xfId="0" applyNumberFormat="1" applyFont="1" applyFill="1" applyBorder="1" applyAlignment="1">
      <alignment horizontal="left" vertical="top" wrapText="1"/>
    </xf>
    <xf numFmtId="4" fontId="3" fillId="3" borderId="0" xfId="0" applyNumberFormat="1" applyFont="1" applyFill="1" applyAlignment="1">
      <alignment horizontal="center" vertical="top"/>
    </xf>
    <xf numFmtId="4" fontId="3" fillId="3" borderId="12" xfId="0" applyNumberFormat="1" applyFont="1" applyFill="1" applyBorder="1" applyAlignment="1">
      <alignment horizontal="left" vertical="top" wrapText="1"/>
    </xf>
    <xf numFmtId="4" fontId="11" fillId="0" borderId="0" xfId="0" applyNumberFormat="1" applyFont="1" applyAlignment="1">
      <alignment vertical="top"/>
    </xf>
    <xf numFmtId="4" fontId="9" fillId="3" borderId="17" xfId="0" applyNumberFormat="1" applyFont="1" applyFill="1" applyBorder="1" applyAlignment="1">
      <alignment horizontal="center" vertical="top" wrapText="1"/>
    </xf>
    <xf numFmtId="4" fontId="9" fillId="3" borderId="1" xfId="0" applyNumberFormat="1" applyFont="1" applyFill="1" applyBorder="1" applyAlignment="1">
      <alignment horizontal="left" vertical="top" wrapText="1"/>
    </xf>
    <xf numFmtId="4" fontId="3" fillId="0" borderId="1" xfId="0" applyNumberFormat="1" applyFont="1" applyBorder="1" applyAlignment="1">
      <alignment horizontal="center" vertical="top" textRotation="90" wrapText="1"/>
    </xf>
    <xf numFmtId="4" fontId="9" fillId="5" borderId="1" xfId="0" applyNumberFormat="1" applyFont="1" applyFill="1" applyBorder="1" applyAlignment="1">
      <alignment vertical="top" wrapText="1"/>
    </xf>
    <xf numFmtId="4" fontId="9" fillId="3" borderId="1" xfId="0" applyNumberFormat="1" applyFont="1" applyFill="1" applyBorder="1" applyAlignment="1">
      <alignment vertical="top" wrapText="1"/>
    </xf>
    <xf numFmtId="4" fontId="9" fillId="0" borderId="1" xfId="0" applyNumberFormat="1" applyFont="1" applyBorder="1" applyAlignment="1">
      <alignment vertical="top" wrapText="1"/>
    </xf>
    <xf numFmtId="4" fontId="9" fillId="6" borderId="24" xfId="0" applyNumberFormat="1" applyFont="1" applyFill="1" applyBorder="1" applyAlignment="1">
      <alignment horizontal="right" vertical="top" wrapText="1"/>
    </xf>
    <xf numFmtId="4" fontId="9" fillId="4" borderId="13" xfId="0" applyNumberFormat="1" applyFont="1" applyFill="1" applyBorder="1" applyAlignment="1">
      <alignment horizontal="right" vertical="top" wrapText="1"/>
    </xf>
    <xf numFmtId="4" fontId="9" fillId="4" borderId="32" xfId="0" applyNumberFormat="1" applyFont="1" applyFill="1" applyBorder="1" applyAlignment="1">
      <alignment horizontal="center" vertical="top" wrapText="1"/>
    </xf>
    <xf numFmtId="4" fontId="9" fillId="4" borderId="33" xfId="0" applyNumberFormat="1" applyFont="1" applyFill="1" applyBorder="1" applyAlignment="1">
      <alignment horizontal="center" vertical="top" wrapText="1"/>
    </xf>
    <xf numFmtId="4" fontId="14" fillId="7" borderId="25" xfId="0" applyNumberFormat="1" applyFont="1" applyFill="1" applyBorder="1"/>
    <xf numFmtId="4" fontId="14" fillId="0" borderId="0" xfId="0" applyNumberFormat="1" applyFont="1"/>
    <xf numFmtId="4" fontId="3" fillId="3" borderId="0" xfId="0" applyNumberFormat="1" applyFont="1" applyFill="1"/>
    <xf numFmtId="4" fontId="1" fillId="3" borderId="0" xfId="0" applyNumberFormat="1" applyFont="1" applyFill="1"/>
    <xf numFmtId="4" fontId="1" fillId="0" borderId="0" xfId="0" applyNumberFormat="1" applyFont="1" applyAlignment="1">
      <alignment horizontal="center"/>
    </xf>
    <xf numFmtId="4" fontId="19" fillId="0" borderId="0" xfId="0" applyNumberFormat="1" applyFont="1" applyAlignment="1">
      <alignment horizontal="center" wrapText="1"/>
    </xf>
    <xf numFmtId="4" fontId="4" fillId="0" borderId="0" xfId="0" applyNumberFormat="1" applyFont="1" applyAlignment="1">
      <alignment horizontal="left" vertical="top" wrapText="1"/>
    </xf>
    <xf numFmtId="4" fontId="4" fillId="0" borderId="0" xfId="0" applyNumberFormat="1" applyFont="1" applyAlignment="1">
      <alignment horizontal="center" wrapText="1"/>
    </xf>
    <xf numFmtId="4" fontId="4" fillId="3" borderId="7" xfId="0" applyNumberFormat="1" applyFont="1" applyFill="1" applyBorder="1" applyAlignment="1">
      <alignment horizontal="center" vertical="top" wrapText="1"/>
    </xf>
    <xf numFmtId="4" fontId="4" fillId="3" borderId="2" xfId="0" applyNumberFormat="1" applyFont="1" applyFill="1" applyBorder="1" applyAlignment="1">
      <alignment horizontal="center" vertical="top" wrapText="1"/>
    </xf>
    <xf numFmtId="4" fontId="16" fillId="6" borderId="1" xfId="0" applyNumberFormat="1" applyFont="1" applyFill="1" applyBorder="1" applyAlignment="1">
      <alignment horizontal="center" vertical="top" wrapText="1"/>
    </xf>
    <xf numFmtId="4" fontId="4" fillId="0" borderId="1" xfId="0" applyNumberFormat="1" applyFont="1" applyBorder="1" applyAlignment="1">
      <alignment horizontal="center" vertical="top" wrapText="1"/>
    </xf>
    <xf numFmtId="4" fontId="16" fillId="4" borderId="32" xfId="0" applyNumberFormat="1" applyFont="1" applyFill="1" applyBorder="1" applyAlignment="1">
      <alignment horizontal="center" vertical="top" wrapText="1"/>
    </xf>
    <xf numFmtId="4" fontId="18" fillId="0" borderId="0" xfId="0" applyNumberFormat="1" applyFont="1" applyAlignment="1">
      <alignment wrapText="1"/>
    </xf>
    <xf numFmtId="4" fontId="4" fillId="3" borderId="6" xfId="0" applyNumberFormat="1" applyFont="1" applyFill="1" applyBorder="1" applyAlignment="1">
      <alignment horizontal="center" vertical="top"/>
    </xf>
    <xf numFmtId="4" fontId="4" fillId="3" borderId="40" xfId="0" applyNumberFormat="1" applyFont="1" applyFill="1" applyBorder="1" applyAlignment="1">
      <alignment horizontal="center" vertical="top"/>
    </xf>
    <xf numFmtId="4" fontId="4" fillId="3" borderId="2" xfId="0" applyNumberFormat="1" applyFont="1" applyFill="1" applyBorder="1" applyAlignment="1">
      <alignment horizontal="center" vertical="top"/>
    </xf>
    <xf numFmtId="4" fontId="4" fillId="3" borderId="4" xfId="0" applyNumberFormat="1" applyFont="1" applyFill="1" applyBorder="1" applyAlignment="1">
      <alignment horizontal="center" vertical="top"/>
    </xf>
    <xf numFmtId="4" fontId="4" fillId="0" borderId="0" xfId="0" applyNumberFormat="1" applyFont="1" applyAlignment="1">
      <alignment horizontal="center"/>
    </xf>
    <xf numFmtId="4" fontId="20" fillId="0" borderId="0" xfId="0" applyNumberFormat="1" applyFont="1" applyAlignment="1">
      <alignment horizontal="right" vertical="top" wrapText="1"/>
    </xf>
    <xf numFmtId="4" fontId="4" fillId="3" borderId="7" xfId="0" applyNumberFormat="1" applyFont="1" applyFill="1" applyBorder="1" applyAlignment="1">
      <alignment horizontal="center" vertical="top"/>
    </xf>
    <xf numFmtId="4" fontId="21" fillId="3" borderId="1" xfId="0" applyNumberFormat="1" applyFont="1" applyFill="1" applyBorder="1" applyAlignment="1">
      <alignment vertical="top"/>
    </xf>
    <xf numFmtId="4" fontId="21" fillId="3" borderId="4" xfId="0" applyNumberFormat="1" applyFont="1" applyFill="1" applyBorder="1" applyAlignment="1">
      <alignment vertical="top"/>
    </xf>
    <xf numFmtId="4" fontId="21" fillId="0" borderId="1" xfId="0" applyNumberFormat="1" applyFont="1" applyBorder="1" applyAlignment="1">
      <alignment vertical="top"/>
    </xf>
    <xf numFmtId="4" fontId="21" fillId="0" borderId="4" xfId="0" applyNumberFormat="1" applyFont="1" applyBorder="1" applyAlignment="1">
      <alignment vertical="top"/>
    </xf>
    <xf numFmtId="4" fontId="4" fillId="0" borderId="0" xfId="0" applyNumberFormat="1" applyFont="1" applyAlignment="1">
      <alignment horizontal="right"/>
    </xf>
    <xf numFmtId="4" fontId="4" fillId="3" borderId="30" xfId="0" applyNumberFormat="1" applyFont="1" applyFill="1" applyBorder="1" applyAlignment="1">
      <alignment horizontal="center" vertical="top" wrapText="1"/>
    </xf>
    <xf numFmtId="4" fontId="4" fillId="3" borderId="30" xfId="0" applyNumberFormat="1" applyFont="1" applyFill="1" applyBorder="1" applyAlignment="1">
      <alignment horizontal="center" vertical="top"/>
    </xf>
    <xf numFmtId="4" fontId="4" fillId="0" borderId="10" xfId="0" applyNumberFormat="1" applyFont="1" applyBorder="1" applyAlignment="1">
      <alignment horizontal="center" vertical="top" wrapText="1"/>
    </xf>
    <xf numFmtId="4" fontId="16" fillId="6" borderId="10" xfId="0" applyNumberFormat="1" applyFont="1" applyFill="1" applyBorder="1" applyAlignment="1">
      <alignment horizontal="center" vertical="top" wrapText="1"/>
    </xf>
    <xf numFmtId="4" fontId="21" fillId="0" borderId="10" xfId="0" applyNumberFormat="1" applyFont="1" applyBorder="1" applyAlignment="1">
      <alignment vertical="top"/>
    </xf>
    <xf numFmtId="4" fontId="21" fillId="0" borderId="12" xfId="0" applyNumberFormat="1" applyFont="1" applyBorder="1" applyAlignment="1">
      <alignment vertical="top"/>
    </xf>
    <xf numFmtId="4" fontId="16" fillId="4" borderId="33" xfId="0" applyNumberFormat="1" applyFont="1" applyFill="1" applyBorder="1" applyAlignment="1">
      <alignment horizontal="center" vertical="top" wrapText="1"/>
    </xf>
    <xf numFmtId="4" fontId="9" fillId="6" borderId="32" xfId="0" applyNumberFormat="1" applyFont="1" applyFill="1" applyBorder="1" applyAlignment="1">
      <alignment horizontal="center" vertical="top" wrapText="1"/>
    </xf>
    <xf numFmtId="4" fontId="16" fillId="6" borderId="32" xfId="0" applyNumberFormat="1" applyFont="1" applyFill="1" applyBorder="1" applyAlignment="1">
      <alignment horizontal="center" vertical="top" wrapText="1"/>
    </xf>
    <xf numFmtId="49" fontId="10" fillId="0" borderId="0" xfId="0" applyNumberFormat="1" applyFont="1" applyAlignment="1">
      <alignment horizontal="center" vertical="top" wrapText="1"/>
    </xf>
    <xf numFmtId="49" fontId="9" fillId="0" borderId="8" xfId="0" applyNumberFormat="1" applyFont="1" applyBorder="1" applyAlignment="1">
      <alignment horizontal="center" vertical="top" wrapText="1"/>
    </xf>
    <xf numFmtId="49" fontId="9" fillId="4" borderId="2" xfId="0" applyNumberFormat="1" applyFont="1" applyFill="1" applyBorder="1" applyAlignment="1">
      <alignment horizontal="right" vertical="top" wrapText="1"/>
    </xf>
    <xf numFmtId="49" fontId="9" fillId="6" borderId="2" xfId="0" applyNumberFormat="1" applyFont="1" applyFill="1" applyBorder="1" applyAlignment="1">
      <alignment horizontal="center" vertical="top" wrapText="1"/>
    </xf>
    <xf numFmtId="49" fontId="9" fillId="0" borderId="5" xfId="0" applyNumberFormat="1" applyFont="1" applyBorder="1" applyAlignment="1">
      <alignment horizontal="center" vertical="top"/>
    </xf>
    <xf numFmtId="49" fontId="9" fillId="3" borderId="4" xfId="0" applyNumberFormat="1" applyFont="1" applyFill="1" applyBorder="1" applyAlignment="1">
      <alignment horizontal="center" vertical="top"/>
    </xf>
    <xf numFmtId="49" fontId="9" fillId="4" borderId="13" xfId="0" applyNumberFormat="1" applyFont="1" applyFill="1" applyBorder="1" applyAlignment="1">
      <alignment horizontal="right" vertical="top" wrapText="1"/>
    </xf>
    <xf numFmtId="49" fontId="10" fillId="0" borderId="0" xfId="0" applyNumberFormat="1" applyFont="1" applyAlignment="1">
      <alignment horizontal="center" wrapText="1"/>
    </xf>
    <xf numFmtId="49" fontId="1" fillId="0" borderId="0" xfId="0" applyNumberFormat="1" applyFont="1" applyAlignment="1">
      <alignment horizontal="center" wrapText="1"/>
    </xf>
    <xf numFmtId="49" fontId="3" fillId="3" borderId="8" xfId="0" applyNumberFormat="1" applyFont="1" applyFill="1" applyBorder="1" applyAlignment="1">
      <alignment horizontal="center" vertical="top" wrapText="1"/>
    </xf>
    <xf numFmtId="49" fontId="9" fillId="6" borderId="3" xfId="0" applyNumberFormat="1" applyFont="1" applyFill="1" applyBorder="1" applyAlignment="1">
      <alignment horizontal="center" vertical="top" wrapText="1"/>
    </xf>
    <xf numFmtId="49" fontId="3" fillId="0" borderId="1" xfId="0" applyNumberFormat="1" applyFont="1" applyBorder="1" applyAlignment="1">
      <alignment horizontal="center" vertical="top" wrapText="1" readingOrder="1"/>
    </xf>
    <xf numFmtId="49" fontId="3" fillId="3" borderId="2" xfId="0" applyNumberFormat="1" applyFont="1" applyFill="1" applyBorder="1" applyAlignment="1">
      <alignment horizontal="center" vertical="top" wrapText="1"/>
    </xf>
    <xf numFmtId="49" fontId="9" fillId="4" borderId="31" xfId="0" applyNumberFormat="1" applyFont="1" applyFill="1" applyBorder="1" applyAlignment="1">
      <alignment horizontal="right" vertical="top" wrapText="1"/>
    </xf>
    <xf numFmtId="4" fontId="3" fillId="0" borderId="0" xfId="0" applyNumberFormat="1" applyFont="1" applyAlignment="1">
      <alignment horizontal="right"/>
    </xf>
    <xf numFmtId="4" fontId="9" fillId="3" borderId="4" xfId="0" applyNumberFormat="1" applyFont="1" applyFill="1" applyBorder="1" applyAlignment="1">
      <alignment vertical="top" wrapText="1"/>
    </xf>
    <xf numFmtId="4" fontId="3" fillId="0" borderId="4" xfId="0" applyNumberFormat="1" applyFont="1" applyBorder="1" applyAlignment="1">
      <alignment horizontal="center" vertical="top"/>
    </xf>
    <xf numFmtId="4" fontId="3" fillId="3" borderId="4" xfId="0" applyNumberFormat="1" applyFont="1" applyFill="1" applyBorder="1" applyAlignment="1">
      <alignment vertical="top" wrapText="1"/>
    </xf>
    <xf numFmtId="4" fontId="3" fillId="0" borderId="12" xfId="0" applyNumberFormat="1" applyFont="1" applyBorder="1" applyAlignment="1">
      <alignment horizontal="center" vertical="top" wrapText="1"/>
    </xf>
    <xf numFmtId="4" fontId="3" fillId="3" borderId="42" xfId="0" applyNumberFormat="1" applyFont="1" applyFill="1" applyBorder="1" applyAlignment="1">
      <alignment horizontal="center" vertical="top" wrapText="1"/>
    </xf>
    <xf numFmtId="4" fontId="3" fillId="3" borderId="11" xfId="0" applyNumberFormat="1" applyFont="1" applyFill="1" applyBorder="1" applyAlignment="1">
      <alignment vertical="top" wrapText="1"/>
    </xf>
    <xf numFmtId="4" fontId="3" fillId="8" borderId="40" xfId="0" applyNumberFormat="1" applyFont="1" applyFill="1" applyBorder="1" applyAlignment="1">
      <alignment horizontal="center" vertical="center" wrapText="1"/>
    </xf>
    <xf numFmtId="4" fontId="3" fillId="3" borderId="5" xfId="0" applyNumberFormat="1" applyFont="1" applyFill="1" applyBorder="1" applyAlignment="1">
      <alignment horizontal="left" vertical="top" wrapText="1"/>
    </xf>
    <xf numFmtId="4" fontId="1" fillId="3" borderId="43" xfId="0" applyNumberFormat="1" applyFont="1" applyFill="1" applyBorder="1"/>
    <xf numFmtId="4" fontId="1" fillId="3" borderId="45" xfId="0" applyNumberFormat="1" applyFont="1" applyFill="1" applyBorder="1"/>
    <xf numFmtId="4" fontId="17" fillId="7" borderId="46" xfId="0" applyNumberFormat="1" applyFont="1" applyFill="1" applyBorder="1" applyAlignment="1">
      <alignment horizontal="center" vertical="center" wrapText="1"/>
    </xf>
    <xf numFmtId="4" fontId="3" fillId="0" borderId="43" xfId="0" applyNumberFormat="1" applyFont="1" applyBorder="1"/>
    <xf numFmtId="4" fontId="3" fillId="0" borderId="44" xfId="0" applyNumberFormat="1" applyFont="1" applyBorder="1"/>
    <xf numFmtId="4" fontId="3" fillId="0" borderId="44" xfId="0" applyNumberFormat="1" applyFont="1" applyBorder="1" applyAlignment="1">
      <alignment horizontal="center"/>
    </xf>
    <xf numFmtId="4" fontId="11" fillId="0" borderId="44" xfId="0" applyNumberFormat="1" applyFont="1" applyBorder="1" applyAlignment="1">
      <alignment vertical="top"/>
    </xf>
    <xf numFmtId="4" fontId="14" fillId="0" borderId="45" xfId="0" applyNumberFormat="1" applyFont="1" applyBorder="1"/>
    <xf numFmtId="4" fontId="1" fillId="3" borderId="44" xfId="0" applyNumberFormat="1" applyFont="1" applyFill="1" applyBorder="1" applyAlignment="1">
      <alignment horizontal="center" vertical="top"/>
    </xf>
    <xf numFmtId="4" fontId="4" fillId="3" borderId="1" xfId="0" applyNumberFormat="1" applyFont="1" applyFill="1" applyBorder="1" applyAlignment="1">
      <alignment horizontal="left" vertical="top" wrapText="1"/>
    </xf>
    <xf numFmtId="4" fontId="3" fillId="0" borderId="48" xfId="0" applyNumberFormat="1" applyFont="1" applyBorder="1" applyAlignment="1">
      <alignment vertical="top" wrapText="1"/>
    </xf>
    <xf numFmtId="0" fontId="3" fillId="0" borderId="47" xfId="0" applyFont="1" applyBorder="1" applyAlignment="1">
      <alignment vertical="top" wrapText="1"/>
    </xf>
    <xf numFmtId="49" fontId="15" fillId="6" borderId="3" xfId="0" applyNumberFormat="1" applyFont="1" applyFill="1" applyBorder="1" applyAlignment="1">
      <alignment horizontal="right" vertical="top" wrapText="1"/>
    </xf>
    <xf numFmtId="4" fontId="3" fillId="0" borderId="47" xfId="0" applyNumberFormat="1" applyFont="1" applyBorder="1" applyAlignment="1">
      <alignment vertical="top" wrapText="1"/>
    </xf>
    <xf numFmtId="4" fontId="15" fillId="6" borderId="18" xfId="0" applyNumberFormat="1" applyFont="1" applyFill="1" applyBorder="1" applyAlignment="1">
      <alignment horizontal="right" vertical="top" wrapText="1"/>
    </xf>
    <xf numFmtId="4" fontId="15" fillId="6" borderId="2" xfId="0" applyNumberFormat="1" applyFont="1" applyFill="1" applyBorder="1" applyAlignment="1">
      <alignment horizontal="right" vertical="top" wrapText="1"/>
    </xf>
    <xf numFmtId="49" fontId="15" fillId="6" borderId="2" xfId="0" applyNumberFormat="1" applyFont="1" applyFill="1" applyBorder="1" applyAlignment="1">
      <alignment horizontal="right" vertical="top" wrapText="1"/>
    </xf>
    <xf numFmtId="4" fontId="14" fillId="0" borderId="44" xfId="0" applyNumberFormat="1" applyFont="1" applyBorder="1"/>
    <xf numFmtId="4" fontId="15" fillId="6" borderId="1" xfId="0" applyNumberFormat="1" applyFont="1" applyFill="1" applyBorder="1" applyAlignment="1">
      <alignment vertical="center" wrapText="1"/>
    </xf>
    <xf numFmtId="4" fontId="17" fillId="6" borderId="1" xfId="0" applyNumberFormat="1" applyFont="1" applyFill="1" applyBorder="1" applyAlignment="1">
      <alignment vertical="center" wrapText="1"/>
    </xf>
    <xf numFmtId="4" fontId="17" fillId="6" borderId="10" xfId="0" applyNumberFormat="1" applyFont="1" applyFill="1" applyBorder="1" applyAlignment="1">
      <alignment vertical="center" wrapText="1"/>
    </xf>
    <xf numFmtId="4" fontId="4" fillId="0" borderId="1" xfId="0" applyNumberFormat="1" applyFont="1" applyBorder="1" applyAlignment="1">
      <alignment horizontal="center" vertical="top" wrapText="1" readingOrder="1"/>
    </xf>
    <xf numFmtId="4" fontId="3" fillId="0" borderId="44" xfId="0" applyNumberFormat="1" applyFont="1" applyBorder="1" applyAlignment="1">
      <alignment vertical="top" wrapText="1"/>
    </xf>
    <xf numFmtId="4" fontId="4" fillId="3" borderId="1" xfId="0" applyNumberFormat="1" applyFont="1" applyFill="1" applyBorder="1" applyAlignment="1">
      <alignment vertical="top" wrapText="1"/>
    </xf>
    <xf numFmtId="164" fontId="3" fillId="0" borderId="0" xfId="0" applyNumberFormat="1" applyFont="1"/>
    <xf numFmtId="164" fontId="3" fillId="0" borderId="0" xfId="0" applyNumberFormat="1" applyFont="1" applyAlignment="1">
      <alignment horizontal="center"/>
    </xf>
    <xf numFmtId="164" fontId="3" fillId="0" borderId="6" xfId="0" applyNumberFormat="1" applyFont="1" applyBorder="1" applyAlignment="1">
      <alignment horizontal="center" vertical="center" wrapText="1"/>
    </xf>
    <xf numFmtId="164" fontId="3" fillId="3" borderId="6" xfId="0" applyNumberFormat="1" applyFont="1" applyFill="1" applyBorder="1" applyAlignment="1">
      <alignment horizontal="center" vertical="top" wrapText="1"/>
    </xf>
    <xf numFmtId="164" fontId="3" fillId="3" borderId="1" xfId="0" applyNumberFormat="1" applyFont="1" applyFill="1" applyBorder="1" applyAlignment="1">
      <alignment horizontal="center" vertical="top" wrapText="1"/>
    </xf>
    <xf numFmtId="164" fontId="4" fillId="3" borderId="1" xfId="0" applyNumberFormat="1" applyFont="1" applyFill="1" applyBorder="1" applyAlignment="1">
      <alignment horizontal="center" vertical="top" wrapText="1"/>
    </xf>
    <xf numFmtId="164" fontId="3" fillId="3" borderId="5" xfId="0" applyNumberFormat="1" applyFont="1" applyFill="1" applyBorder="1" applyAlignment="1">
      <alignment horizontal="center" vertical="top" wrapText="1"/>
    </xf>
    <xf numFmtId="164" fontId="3" fillId="0" borderId="5" xfId="0" applyNumberFormat="1" applyFont="1" applyBorder="1" applyAlignment="1">
      <alignment horizontal="left" vertical="top" wrapText="1"/>
    </xf>
    <xf numFmtId="164" fontId="3" fillId="0" borderId="4" xfId="0" applyNumberFormat="1" applyFont="1" applyBorder="1" applyAlignment="1">
      <alignment horizontal="center" vertical="top" wrapText="1"/>
    </xf>
    <xf numFmtId="164" fontId="3" fillId="0" borderId="1" xfId="0" applyNumberFormat="1" applyFont="1" applyBorder="1" applyAlignment="1">
      <alignment horizontal="left" vertical="top" wrapText="1"/>
    </xf>
    <xf numFmtId="164" fontId="3" fillId="3" borderId="1" xfId="0" applyNumberFormat="1" applyFont="1" applyFill="1" applyBorder="1" applyAlignment="1">
      <alignment horizontal="center" vertical="top"/>
    </xf>
    <xf numFmtId="164" fontId="4" fillId="3" borderId="1" xfId="0" applyNumberFormat="1" applyFont="1" applyFill="1" applyBorder="1" applyAlignment="1">
      <alignment horizontal="center" vertical="top"/>
    </xf>
    <xf numFmtId="164" fontId="3" fillId="3" borderId="4" xfId="0" applyNumberFormat="1" applyFont="1" applyFill="1" applyBorder="1" applyAlignment="1">
      <alignment horizontal="center" vertical="top" wrapText="1"/>
    </xf>
    <xf numFmtId="164" fontId="3" fillId="0" borderId="5" xfId="0" applyNumberFormat="1" applyFont="1" applyBorder="1" applyAlignment="1">
      <alignment horizontal="center" vertical="top" wrapText="1"/>
    </xf>
    <xf numFmtId="164" fontId="3" fillId="0" borderId="1" xfId="0" applyNumberFormat="1" applyFont="1" applyBorder="1" applyAlignment="1">
      <alignment vertical="top" wrapText="1"/>
    </xf>
    <xf numFmtId="164" fontId="3" fillId="3" borderId="1" xfId="0" applyNumberFormat="1" applyFont="1" applyFill="1" applyBorder="1" applyAlignment="1">
      <alignment horizontal="center" vertical="center" wrapText="1"/>
    </xf>
    <xf numFmtId="164" fontId="3" fillId="3" borderId="7" xfId="0" applyNumberFormat="1" applyFont="1" applyFill="1" applyBorder="1" applyAlignment="1">
      <alignment horizontal="center" vertical="top" wrapText="1"/>
    </xf>
    <xf numFmtId="164" fontId="3" fillId="0" borderId="5" xfId="0" applyNumberFormat="1" applyFont="1" applyBorder="1" applyAlignment="1">
      <alignment vertical="top" wrapText="1"/>
    </xf>
    <xf numFmtId="164" fontId="3" fillId="3" borderId="5" xfId="0" applyNumberFormat="1" applyFont="1" applyFill="1" applyBorder="1" applyAlignment="1">
      <alignment horizontal="center" vertical="top"/>
    </xf>
    <xf numFmtId="164" fontId="3" fillId="0" borderId="1" xfId="0" applyNumberFormat="1" applyFont="1" applyBorder="1" applyAlignment="1">
      <alignment horizontal="center" vertical="center" wrapText="1"/>
    </xf>
    <xf numFmtId="164" fontId="4" fillId="3" borderId="7" xfId="0" applyNumberFormat="1" applyFont="1" applyFill="1" applyBorder="1" applyAlignment="1">
      <alignment horizontal="center" vertical="top" wrapText="1"/>
    </xf>
    <xf numFmtId="164" fontId="4" fillId="3" borderId="2" xfId="0" applyNumberFormat="1" applyFont="1" applyFill="1" applyBorder="1" applyAlignment="1">
      <alignment horizontal="center" vertical="top"/>
    </xf>
    <xf numFmtId="164" fontId="4" fillId="3" borderId="0" xfId="0" applyNumberFormat="1" applyFont="1" applyFill="1" applyAlignment="1">
      <alignment horizontal="center" vertical="top" wrapText="1"/>
    </xf>
    <xf numFmtId="164" fontId="4" fillId="3" borderId="3" xfId="0" applyNumberFormat="1" applyFont="1" applyFill="1" applyBorder="1" applyAlignment="1">
      <alignment horizontal="center" vertical="top"/>
    </xf>
    <xf numFmtId="164" fontId="3" fillId="3" borderId="3" xfId="0" applyNumberFormat="1" applyFont="1" applyFill="1" applyBorder="1" applyAlignment="1">
      <alignment horizontal="center" vertical="top"/>
    </xf>
    <xf numFmtId="164" fontId="3" fillId="3" borderId="1" xfId="0" applyNumberFormat="1" applyFont="1" applyFill="1" applyBorder="1" applyAlignment="1">
      <alignment vertical="top" wrapText="1"/>
    </xf>
    <xf numFmtId="164" fontId="11" fillId="0" borderId="0" xfId="0" applyNumberFormat="1" applyFont="1" applyAlignment="1">
      <alignment vertical="top"/>
    </xf>
    <xf numFmtId="164" fontId="3" fillId="3" borderId="1" xfId="0" applyNumberFormat="1" applyFont="1" applyFill="1" applyBorder="1" applyAlignment="1">
      <alignment horizontal="center" vertical="top" wrapText="1" readingOrder="1"/>
    </xf>
    <xf numFmtId="164" fontId="3" fillId="0" borderId="2" xfId="0" applyNumberFormat="1" applyFont="1" applyBorder="1" applyAlignment="1">
      <alignment horizontal="left" vertical="top" wrapText="1"/>
    </xf>
    <xf numFmtId="164" fontId="3" fillId="3" borderId="2" xfId="0" applyNumberFormat="1" applyFont="1" applyFill="1" applyBorder="1" applyAlignment="1">
      <alignment horizontal="center" vertical="top" wrapText="1" readingOrder="1"/>
    </xf>
    <xf numFmtId="164" fontId="3" fillId="3" borderId="3" xfId="0" applyNumberFormat="1" applyFont="1" applyFill="1" applyBorder="1" applyAlignment="1">
      <alignment horizontal="center" vertical="top" wrapText="1"/>
    </xf>
    <xf numFmtId="164" fontId="3" fillId="0" borderId="1" xfId="0" applyNumberFormat="1" applyFont="1" applyBorder="1" applyAlignment="1">
      <alignment horizontal="center" vertical="top"/>
    </xf>
    <xf numFmtId="164" fontId="3" fillId="3" borderId="4" xfId="0" applyNumberFormat="1" applyFont="1" applyFill="1" applyBorder="1" applyAlignment="1">
      <alignment horizontal="center" vertical="top"/>
    </xf>
    <xf numFmtId="164" fontId="3" fillId="0" borderId="4" xfId="0" applyNumberFormat="1" applyFont="1" applyBorder="1" applyAlignment="1">
      <alignment horizontal="center" vertical="top"/>
    </xf>
    <xf numFmtId="164" fontId="3" fillId="0" borderId="0" xfId="0" applyNumberFormat="1" applyFont="1" applyAlignment="1">
      <alignment vertical="top"/>
    </xf>
    <xf numFmtId="49" fontId="3" fillId="0" borderId="1" xfId="0" applyNumberFormat="1" applyFont="1" applyBorder="1" applyAlignment="1">
      <alignment horizontal="center" vertical="top"/>
    </xf>
    <xf numFmtId="49" fontId="3" fillId="0" borderId="5" xfId="0" applyNumberFormat="1" applyFont="1" applyBorder="1" applyAlignment="1">
      <alignment horizontal="center" vertical="top"/>
    </xf>
    <xf numFmtId="164" fontId="3" fillId="3" borderId="7" xfId="0" applyNumberFormat="1" applyFont="1" applyFill="1" applyBorder="1" applyAlignment="1">
      <alignment horizontal="center" vertical="top"/>
    </xf>
    <xf numFmtId="164" fontId="3" fillId="3" borderId="5" xfId="0" applyNumberFormat="1" applyFont="1" applyFill="1" applyBorder="1" applyAlignment="1">
      <alignment vertical="center" wrapText="1"/>
    </xf>
    <xf numFmtId="164" fontId="3" fillId="3" borderId="6" xfId="0" applyNumberFormat="1" applyFont="1" applyFill="1" applyBorder="1" applyAlignment="1">
      <alignment vertical="center" wrapText="1"/>
    </xf>
    <xf numFmtId="164" fontId="3" fillId="3" borderId="6" xfId="0" applyNumberFormat="1" applyFont="1" applyFill="1" applyBorder="1" applyAlignment="1">
      <alignment horizontal="center" vertical="top"/>
    </xf>
    <xf numFmtId="49" fontId="3" fillId="3" borderId="4" xfId="0" applyNumberFormat="1" applyFont="1" applyFill="1" applyBorder="1" applyAlignment="1">
      <alignment horizontal="center" vertical="top"/>
    </xf>
    <xf numFmtId="164" fontId="3" fillId="3" borderId="4" xfId="0" applyNumberFormat="1" applyFont="1" applyFill="1" applyBorder="1" applyAlignment="1">
      <alignment vertical="top" wrapText="1"/>
    </xf>
    <xf numFmtId="164" fontId="3" fillId="3" borderId="5" xfId="0" applyNumberFormat="1" applyFont="1" applyFill="1" applyBorder="1" applyAlignment="1">
      <alignment vertical="top" wrapText="1"/>
    </xf>
    <xf numFmtId="164" fontId="3" fillId="3" borderId="1" xfId="0" applyNumberFormat="1" applyFont="1" applyFill="1" applyBorder="1" applyAlignment="1">
      <alignment horizontal="left" vertical="top" wrapText="1"/>
    </xf>
    <xf numFmtId="164" fontId="3" fillId="3" borderId="0" xfId="0" applyNumberFormat="1" applyFont="1" applyFill="1" applyAlignment="1">
      <alignment horizontal="center" vertical="top"/>
    </xf>
    <xf numFmtId="164" fontId="3" fillId="3" borderId="2" xfId="0" applyNumberFormat="1" applyFont="1" applyFill="1" applyBorder="1" applyAlignment="1">
      <alignment horizontal="center" vertical="top"/>
    </xf>
    <xf numFmtId="164" fontId="3" fillId="3" borderId="0" xfId="0" applyNumberFormat="1" applyFont="1" applyFill="1" applyAlignment="1">
      <alignment horizontal="center" vertical="top" wrapText="1"/>
    </xf>
    <xf numFmtId="164" fontId="3" fillId="3" borderId="10" xfId="0" applyNumberFormat="1" applyFont="1" applyFill="1" applyBorder="1" applyAlignment="1">
      <alignment horizontal="center" vertical="top" wrapText="1"/>
    </xf>
    <xf numFmtId="164" fontId="3" fillId="3" borderId="10" xfId="0" applyNumberFormat="1" applyFont="1" applyFill="1" applyBorder="1" applyAlignment="1">
      <alignment horizontal="center" vertical="top"/>
    </xf>
    <xf numFmtId="164" fontId="21" fillId="3" borderId="0" xfId="0" applyNumberFormat="1" applyFont="1" applyFill="1" applyAlignment="1">
      <alignment vertical="top"/>
    </xf>
    <xf numFmtId="164" fontId="3" fillId="0" borderId="10" xfId="0" applyNumberFormat="1" applyFont="1" applyBorder="1" applyAlignment="1">
      <alignment vertical="top" wrapText="1"/>
    </xf>
    <xf numFmtId="164" fontId="3" fillId="3" borderId="2" xfId="0" applyNumberFormat="1" applyFont="1" applyFill="1" applyBorder="1" applyAlignment="1">
      <alignment horizontal="center" vertical="top" wrapText="1"/>
    </xf>
    <xf numFmtId="49" fontId="3" fillId="3" borderId="3" xfId="0" applyNumberFormat="1" applyFont="1" applyFill="1" applyBorder="1" applyAlignment="1">
      <alignment horizontal="center" vertical="top" wrapText="1"/>
    </xf>
    <xf numFmtId="164" fontId="4" fillId="0" borderId="0" xfId="0" applyNumberFormat="1" applyFont="1"/>
    <xf numFmtId="49" fontId="3" fillId="0" borderId="5" xfId="0" applyNumberFormat="1" applyFont="1" applyBorder="1" applyAlignment="1">
      <alignment horizontal="center" vertical="top" wrapText="1"/>
    </xf>
    <xf numFmtId="164" fontId="23" fillId="0" borderId="0" xfId="0" applyNumberFormat="1" applyFont="1" applyAlignment="1">
      <alignment horizontal="center"/>
    </xf>
    <xf numFmtId="164" fontId="24" fillId="9" borderId="2" xfId="0" applyNumberFormat="1" applyFont="1" applyFill="1" applyBorder="1" applyAlignment="1">
      <alignment horizontal="right" vertical="top" wrapText="1"/>
    </xf>
    <xf numFmtId="49" fontId="24" fillId="9" borderId="2" xfId="0" applyNumberFormat="1" applyFont="1" applyFill="1" applyBorder="1" applyAlignment="1">
      <alignment horizontal="right" vertical="top" wrapText="1"/>
    </xf>
    <xf numFmtId="49" fontId="24" fillId="9" borderId="1" xfId="0" applyNumberFormat="1" applyFont="1" applyFill="1" applyBorder="1" applyAlignment="1">
      <alignment horizontal="right" vertical="top" wrapText="1"/>
    </xf>
    <xf numFmtId="164" fontId="24" fillId="9" borderId="1" xfId="0" applyNumberFormat="1" applyFont="1" applyFill="1" applyBorder="1" applyAlignment="1">
      <alignment horizontal="center" vertical="center" wrapText="1"/>
    </xf>
    <xf numFmtId="164" fontId="24" fillId="10" borderId="2" xfId="0" applyNumberFormat="1" applyFont="1" applyFill="1" applyBorder="1" applyAlignment="1">
      <alignment horizontal="right" vertical="top" wrapText="1"/>
    </xf>
    <xf numFmtId="49" fontId="24" fillId="10" borderId="2" xfId="0" applyNumberFormat="1" applyFont="1" applyFill="1" applyBorder="1" applyAlignment="1">
      <alignment horizontal="right" vertical="top" wrapText="1"/>
    </xf>
    <xf numFmtId="49" fontId="24" fillId="10" borderId="3" xfId="0" applyNumberFormat="1" applyFont="1" applyFill="1" applyBorder="1" applyAlignment="1">
      <alignment horizontal="right" vertical="top" wrapText="1"/>
    </xf>
    <xf numFmtId="164" fontId="24" fillId="10" borderId="1" xfId="0" applyNumberFormat="1" applyFont="1" applyFill="1" applyBorder="1" applyAlignment="1">
      <alignment horizontal="center" vertical="center" wrapText="1"/>
    </xf>
    <xf numFmtId="49" fontId="24" fillId="9" borderId="3" xfId="0" applyNumberFormat="1" applyFont="1" applyFill="1" applyBorder="1" applyAlignment="1">
      <alignment horizontal="right" vertical="top" wrapText="1"/>
    </xf>
    <xf numFmtId="164" fontId="24" fillId="9" borderId="1" xfId="0" applyNumberFormat="1" applyFont="1" applyFill="1" applyBorder="1" applyAlignment="1">
      <alignment horizontal="center" vertical="top" wrapText="1"/>
    </xf>
    <xf numFmtId="164" fontId="24" fillId="10" borderId="1" xfId="0" applyNumberFormat="1" applyFont="1" applyFill="1" applyBorder="1" applyAlignment="1">
      <alignment horizontal="center" vertical="top" wrapText="1"/>
    </xf>
    <xf numFmtId="1" fontId="3" fillId="0" borderId="0" xfId="0" applyNumberFormat="1" applyFont="1" applyAlignment="1">
      <alignment horizontal="center"/>
    </xf>
    <xf numFmtId="49" fontId="3" fillId="0" borderId="9" xfId="0" applyNumberFormat="1" applyFont="1" applyBorder="1"/>
    <xf numFmtId="164" fontId="3" fillId="0" borderId="5" xfId="0" applyNumberFormat="1" applyFont="1" applyBorder="1" applyAlignment="1">
      <alignment horizontal="center" vertical="center" wrapText="1"/>
    </xf>
    <xf numFmtId="164" fontId="3" fillId="0" borderId="1" xfId="0" applyNumberFormat="1" applyFont="1" applyBorder="1" applyAlignment="1">
      <alignment horizontal="center" vertical="top" wrapText="1"/>
    </xf>
    <xf numFmtId="164" fontId="9" fillId="0" borderId="0" xfId="0" applyNumberFormat="1" applyFont="1" applyAlignment="1">
      <alignment horizontal="center"/>
    </xf>
    <xf numFmtId="164" fontId="9" fillId="0" borderId="6" xfId="0" applyNumberFormat="1" applyFont="1" applyBorder="1" applyAlignment="1">
      <alignment horizontal="center" vertical="top" wrapText="1"/>
    </xf>
    <xf numFmtId="164" fontId="9" fillId="3" borderId="1" xfId="0" applyNumberFormat="1" applyFont="1" applyFill="1" applyBorder="1" applyAlignment="1">
      <alignment horizontal="center" vertical="top" wrapText="1"/>
    </xf>
    <xf numFmtId="164" fontId="9" fillId="3" borderId="5" xfId="0" applyNumberFormat="1" applyFont="1" applyFill="1" applyBorder="1" applyAlignment="1">
      <alignment horizontal="center" vertical="top" wrapText="1"/>
    </xf>
    <xf numFmtId="164" fontId="9" fillId="0" borderId="5" xfId="0" applyNumberFormat="1" applyFont="1" applyBorder="1" applyAlignment="1">
      <alignment horizontal="center" vertical="top" wrapText="1"/>
    </xf>
    <xf numFmtId="164" fontId="9" fillId="3" borderId="4" xfId="0" applyNumberFormat="1" applyFont="1" applyFill="1" applyBorder="1" applyAlignment="1">
      <alignment horizontal="center" vertical="top" wrapText="1"/>
    </xf>
    <xf numFmtId="164" fontId="9" fillId="0" borderId="4" xfId="0" applyNumberFormat="1" applyFont="1" applyBorder="1" applyAlignment="1">
      <alignment horizontal="center" vertical="top" wrapText="1"/>
    </xf>
    <xf numFmtId="164" fontId="9" fillId="0" borderId="7" xfId="0" applyNumberFormat="1" applyFont="1" applyBorder="1" applyAlignment="1">
      <alignment horizontal="center" vertical="top" wrapText="1"/>
    </xf>
    <xf numFmtId="1" fontId="3" fillId="3" borderId="1" xfId="0" applyNumberFormat="1" applyFont="1" applyFill="1" applyBorder="1" applyAlignment="1">
      <alignment horizontal="center" vertical="top" wrapText="1"/>
    </xf>
    <xf numFmtId="1" fontId="3" fillId="3" borderId="7" xfId="0" applyNumberFormat="1" applyFont="1" applyFill="1" applyBorder="1" applyAlignment="1">
      <alignment horizontal="center" vertical="top" wrapText="1"/>
    </xf>
    <xf numFmtId="1" fontId="24" fillId="9" borderId="10" xfId="0" applyNumberFormat="1" applyFont="1" applyFill="1" applyBorder="1" applyAlignment="1">
      <alignment horizontal="center" vertical="top" wrapText="1"/>
    </xf>
    <xf numFmtId="1" fontId="3" fillId="0" borderId="1" xfId="0" applyNumberFormat="1" applyFont="1" applyBorder="1" applyAlignment="1">
      <alignment horizontal="center" vertical="top" wrapText="1"/>
    </xf>
    <xf numFmtId="1" fontId="24" fillId="10" borderId="10" xfId="0" applyNumberFormat="1" applyFont="1" applyFill="1" applyBorder="1" applyAlignment="1">
      <alignment horizontal="center" vertical="top" wrapText="1"/>
    </xf>
    <xf numFmtId="1" fontId="3" fillId="3" borderId="29" xfId="0" applyNumberFormat="1" applyFont="1" applyFill="1" applyBorder="1" applyAlignment="1">
      <alignment horizontal="center" vertical="top" wrapText="1"/>
    </xf>
    <xf numFmtId="1" fontId="3" fillId="3" borderId="10" xfId="0" applyNumberFormat="1" applyFont="1" applyFill="1" applyBorder="1" applyAlignment="1">
      <alignment horizontal="center" vertical="top" wrapText="1"/>
    </xf>
    <xf numFmtId="164" fontId="4" fillId="3" borderId="5" xfId="0" applyNumberFormat="1" applyFont="1" applyFill="1" applyBorder="1" applyAlignment="1">
      <alignment horizontal="center" vertical="top" wrapText="1"/>
    </xf>
    <xf numFmtId="164" fontId="3" fillId="0" borderId="6" xfId="0" applyNumberFormat="1" applyFont="1" applyBorder="1" applyAlignment="1">
      <alignment horizontal="left" vertical="top" wrapText="1"/>
    </xf>
    <xf numFmtId="49" fontId="3" fillId="0" borderId="6" xfId="0" applyNumberFormat="1" applyFont="1" applyBorder="1" applyAlignment="1">
      <alignment horizontal="center" vertical="top"/>
    </xf>
    <xf numFmtId="164" fontId="3" fillId="0" borderId="6" xfId="0" applyNumberFormat="1" applyFont="1" applyBorder="1" applyAlignment="1">
      <alignment horizontal="center" vertical="top"/>
    </xf>
    <xf numFmtId="164" fontId="25" fillId="0" borderId="9" xfId="0" applyNumberFormat="1" applyFont="1" applyBorder="1" applyAlignment="1">
      <alignment horizontal="center"/>
    </xf>
    <xf numFmtId="164" fontId="23" fillId="0" borderId="9" xfId="0" applyNumberFormat="1" applyFont="1" applyBorder="1" applyAlignment="1">
      <alignment horizontal="center"/>
    </xf>
    <xf numFmtId="1" fontId="24" fillId="7" borderId="28" xfId="0" applyNumberFormat="1" applyFont="1" applyFill="1" applyBorder="1" applyAlignment="1">
      <alignment horizontal="center" vertical="top"/>
    </xf>
    <xf numFmtId="1" fontId="9" fillId="9" borderId="10" xfId="0" applyNumberFormat="1" applyFont="1" applyFill="1" applyBorder="1" applyAlignment="1">
      <alignment horizontal="center" vertical="top" wrapText="1"/>
    </xf>
    <xf numFmtId="1" fontId="3" fillId="3" borderId="5" xfId="0" applyNumberFormat="1" applyFont="1" applyFill="1" applyBorder="1" applyAlignment="1">
      <alignment horizontal="center" vertical="center" wrapText="1"/>
    </xf>
    <xf numFmtId="49" fontId="3" fillId="3" borderId="4" xfId="0" applyNumberFormat="1" applyFont="1" applyFill="1" applyBorder="1" applyAlignment="1">
      <alignment horizontal="center" vertical="center" wrapText="1"/>
    </xf>
    <xf numFmtId="164" fontId="26" fillId="0" borderId="0" xfId="0" applyNumberFormat="1" applyFont="1" applyAlignment="1">
      <alignment horizontal="center"/>
    </xf>
    <xf numFmtId="164" fontId="27" fillId="0" borderId="0" xfId="0" applyNumberFormat="1" applyFont="1" applyAlignment="1">
      <alignment horizontal="center"/>
    </xf>
    <xf numFmtId="0" fontId="3" fillId="3" borderId="7" xfId="0" applyFont="1" applyFill="1" applyBorder="1" applyAlignment="1">
      <alignment horizontal="left" vertical="top" wrapText="1"/>
    </xf>
    <xf numFmtId="164" fontId="3" fillId="3" borderId="3" xfId="0" applyNumberFormat="1" applyFont="1" applyFill="1" applyBorder="1" applyAlignment="1">
      <alignment horizontal="left" vertical="top" wrapText="1"/>
    </xf>
    <xf numFmtId="164" fontId="24" fillId="10" borderId="3" xfId="0" applyNumberFormat="1" applyFont="1" applyFill="1" applyBorder="1" applyAlignment="1">
      <alignment horizontal="left" vertical="top" wrapText="1"/>
    </xf>
    <xf numFmtId="164" fontId="24" fillId="9" borderId="3" xfId="0" applyNumberFormat="1" applyFont="1" applyFill="1" applyBorder="1" applyAlignment="1">
      <alignment horizontal="left" vertical="top" wrapText="1"/>
    </xf>
    <xf numFmtId="1" fontId="3" fillId="3" borderId="5" xfId="0" applyNumberFormat="1" applyFont="1" applyFill="1" applyBorder="1" applyAlignment="1">
      <alignment horizontal="center" vertical="top" wrapText="1"/>
    </xf>
    <xf numFmtId="164" fontId="9" fillId="0" borderId="1" xfId="0" applyNumberFormat="1" applyFont="1" applyBorder="1" applyAlignment="1">
      <alignment horizontal="center" vertical="top" wrapText="1"/>
    </xf>
    <xf numFmtId="164" fontId="3" fillId="3" borderId="42" xfId="0" applyNumberFormat="1" applyFont="1" applyFill="1" applyBorder="1" applyAlignment="1">
      <alignment horizontal="center" vertical="top" wrapText="1"/>
    </xf>
    <xf numFmtId="164" fontId="4" fillId="3" borderId="1" xfId="0" applyNumberFormat="1" applyFont="1" applyFill="1" applyBorder="1" applyAlignment="1">
      <alignment horizontal="left" vertical="top" wrapText="1"/>
    </xf>
    <xf numFmtId="164" fontId="9" fillId="0" borderId="2" xfId="0" applyNumberFormat="1" applyFont="1" applyBorder="1" applyAlignment="1">
      <alignment horizontal="center" vertical="top" wrapText="1"/>
    </xf>
    <xf numFmtId="164" fontId="9" fillId="3" borderId="2" xfId="0" applyNumberFormat="1" applyFont="1" applyFill="1" applyBorder="1" applyAlignment="1">
      <alignment horizontal="center" vertical="top" wrapText="1"/>
    </xf>
    <xf numFmtId="164" fontId="9" fillId="3" borderId="0" xfId="0" applyNumberFormat="1" applyFont="1" applyFill="1" applyAlignment="1">
      <alignment horizontal="center" vertical="top" wrapText="1"/>
    </xf>
    <xf numFmtId="164" fontId="9" fillId="3" borderId="10" xfId="0" applyNumberFormat="1" applyFont="1" applyFill="1" applyBorder="1" applyAlignment="1">
      <alignment horizontal="center" vertical="top" wrapText="1"/>
    </xf>
    <xf numFmtId="164" fontId="24" fillId="9" borderId="0" xfId="0" applyNumberFormat="1" applyFont="1" applyFill="1" applyAlignment="1">
      <alignment horizontal="left" vertical="center" wrapText="1"/>
    </xf>
    <xf numFmtId="164" fontId="24" fillId="10" borderId="0" xfId="0" applyNumberFormat="1" applyFont="1" applyFill="1" applyAlignment="1">
      <alignment horizontal="left" vertical="top"/>
    </xf>
    <xf numFmtId="164" fontId="24" fillId="9" borderId="0" xfId="0" applyNumberFormat="1" applyFont="1" applyFill="1" applyAlignment="1">
      <alignment horizontal="left" vertical="top" wrapText="1"/>
    </xf>
    <xf numFmtId="164" fontId="24" fillId="10" borderId="0" xfId="0" applyNumberFormat="1" applyFont="1" applyFill="1" applyAlignment="1">
      <alignment horizontal="left" vertical="top" wrapText="1"/>
    </xf>
    <xf numFmtId="164" fontId="9" fillId="3" borderId="3" xfId="0" applyNumberFormat="1" applyFont="1" applyFill="1" applyBorder="1" applyAlignment="1">
      <alignment horizontal="center" vertical="center" wrapText="1"/>
    </xf>
    <xf numFmtId="1" fontId="3" fillId="3" borderId="7" xfId="0" applyNumberFormat="1" applyFont="1" applyFill="1" applyBorder="1" applyAlignment="1">
      <alignment horizontal="center" vertical="center" wrapText="1"/>
    </xf>
    <xf numFmtId="164" fontId="3" fillId="3" borderId="7" xfId="0" applyNumberFormat="1" applyFont="1" applyFill="1" applyBorder="1" applyAlignment="1">
      <alignment vertical="center" wrapText="1"/>
    </xf>
    <xf numFmtId="0" fontId="3" fillId="3" borderId="1" xfId="0" applyFont="1" applyFill="1" applyBorder="1" applyAlignment="1">
      <alignment horizontal="center" vertical="top" wrapText="1"/>
    </xf>
    <xf numFmtId="164" fontId="16" fillId="0" borderId="1" xfId="0" applyNumberFormat="1" applyFont="1" applyBorder="1" applyAlignment="1">
      <alignment horizontal="center" vertical="top" wrapText="1"/>
    </xf>
    <xf numFmtId="164" fontId="9" fillId="7" borderId="5" xfId="0" applyNumberFormat="1" applyFont="1" applyFill="1" applyBorder="1" applyAlignment="1">
      <alignment horizontal="center" vertical="center" wrapText="1"/>
    </xf>
    <xf numFmtId="164" fontId="9" fillId="0" borderId="10" xfId="0" applyNumberFormat="1" applyFont="1" applyBorder="1" applyAlignment="1">
      <alignment horizontal="center" vertical="center" wrapText="1"/>
    </xf>
    <xf numFmtId="164" fontId="9" fillId="0" borderId="2" xfId="0" applyNumberFormat="1" applyFont="1" applyBorder="1" applyAlignment="1">
      <alignment horizontal="center" vertical="center" wrapText="1"/>
    </xf>
    <xf numFmtId="164" fontId="9" fillId="3" borderId="10" xfId="0" applyNumberFormat="1" applyFont="1" applyFill="1" applyBorder="1" applyAlignment="1">
      <alignment horizontal="center" vertical="center" wrapText="1"/>
    </xf>
    <xf numFmtId="164" fontId="9" fillId="3" borderId="2" xfId="0" applyNumberFormat="1" applyFont="1" applyFill="1" applyBorder="1" applyAlignment="1">
      <alignment horizontal="center" vertical="center" wrapText="1"/>
    </xf>
    <xf numFmtId="164" fontId="16" fillId="3" borderId="1" xfId="0" applyNumberFormat="1" applyFont="1" applyFill="1" applyBorder="1" applyAlignment="1">
      <alignment horizontal="center" vertical="top" wrapText="1"/>
    </xf>
    <xf numFmtId="164" fontId="4" fillId="3" borderId="1" xfId="0" applyNumberFormat="1" applyFont="1" applyFill="1" applyBorder="1" applyAlignment="1">
      <alignment vertical="top" wrapText="1"/>
    </xf>
    <xf numFmtId="1" fontId="3" fillId="3" borderId="4" xfId="0" applyNumberFormat="1" applyFont="1" applyFill="1" applyBorder="1" applyAlignment="1">
      <alignment horizontal="center" vertical="top" wrapText="1"/>
    </xf>
    <xf numFmtId="164" fontId="9" fillId="7" borderId="5" xfId="0" applyNumberFormat="1" applyFont="1" applyFill="1" applyBorder="1" applyAlignment="1">
      <alignment horizontal="center" vertical="top" wrapText="1"/>
    </xf>
    <xf numFmtId="164" fontId="9" fillId="7" borderId="1" xfId="0" applyNumberFormat="1" applyFont="1" applyFill="1" applyBorder="1" applyAlignment="1">
      <alignment horizontal="center" vertical="top" wrapText="1"/>
    </xf>
    <xf numFmtId="164" fontId="30" fillId="7" borderId="2" xfId="0" applyNumberFormat="1" applyFont="1" applyFill="1" applyBorder="1" applyAlignment="1">
      <alignment horizontal="center" vertical="top"/>
    </xf>
    <xf numFmtId="164" fontId="30" fillId="7" borderId="5" xfId="0" applyNumberFormat="1" applyFont="1" applyFill="1" applyBorder="1" applyAlignment="1">
      <alignment horizontal="center" vertical="top" wrapText="1"/>
    </xf>
    <xf numFmtId="164" fontId="4" fillId="3" borderId="10" xfId="0" applyNumberFormat="1" applyFont="1" applyFill="1" applyBorder="1" applyAlignment="1">
      <alignment horizontal="center" vertical="top"/>
    </xf>
    <xf numFmtId="164" fontId="4" fillId="3" borderId="10" xfId="0" applyNumberFormat="1" applyFont="1" applyFill="1" applyBorder="1" applyAlignment="1">
      <alignment horizontal="center" vertical="top" wrapText="1"/>
    </xf>
    <xf numFmtId="164" fontId="4" fillId="3" borderId="3" xfId="0" applyNumberFormat="1" applyFont="1" applyFill="1" applyBorder="1" applyAlignment="1">
      <alignment horizontal="center" vertical="top" wrapText="1"/>
    </xf>
    <xf numFmtId="164" fontId="9" fillId="3" borderId="7" xfId="0" applyNumberFormat="1" applyFont="1" applyFill="1" applyBorder="1" applyAlignment="1">
      <alignment horizontal="center" vertical="top" wrapText="1"/>
    </xf>
    <xf numFmtId="164" fontId="3" fillId="0" borderId="4" xfId="0" applyNumberFormat="1" applyFont="1" applyBorder="1" applyAlignment="1">
      <alignment horizontal="left" vertical="top" wrapText="1"/>
    </xf>
    <xf numFmtId="49" fontId="3" fillId="3" borderId="10" xfId="0" applyNumberFormat="1" applyFont="1" applyFill="1" applyBorder="1" applyAlignment="1">
      <alignment horizontal="center" vertical="center" wrapText="1"/>
    </xf>
    <xf numFmtId="49" fontId="3" fillId="3" borderId="3" xfId="0" applyNumberFormat="1" applyFont="1" applyFill="1" applyBorder="1" applyAlignment="1">
      <alignment horizontal="center" vertical="center" wrapText="1"/>
    </xf>
    <xf numFmtId="164" fontId="9" fillId="0" borderId="3" xfId="0" applyNumberFormat="1" applyFont="1" applyBorder="1" applyAlignment="1">
      <alignment horizontal="center" vertical="top" wrapText="1"/>
    </xf>
    <xf numFmtId="164" fontId="4" fillId="0" borderId="6" xfId="0" applyNumberFormat="1" applyFont="1" applyBorder="1" applyAlignment="1">
      <alignment vertical="top" wrapText="1"/>
    </xf>
    <xf numFmtId="164" fontId="3" fillId="7" borderId="6" xfId="0" applyNumberFormat="1" applyFont="1" applyFill="1" applyBorder="1" applyAlignment="1">
      <alignment horizontal="center" vertical="center" wrapText="1"/>
    </xf>
    <xf numFmtId="164" fontId="4" fillId="3" borderId="6" xfId="0" applyNumberFormat="1" applyFont="1" applyFill="1" applyBorder="1" applyAlignment="1">
      <alignment vertical="top" wrapText="1"/>
    </xf>
    <xf numFmtId="164" fontId="3" fillId="3" borderId="6" xfId="0" applyNumberFormat="1" applyFont="1" applyFill="1" applyBorder="1" applyAlignment="1">
      <alignment horizontal="left" vertical="top" wrapText="1"/>
    </xf>
    <xf numFmtId="164" fontId="16" fillId="3" borderId="4" xfId="0" applyNumberFormat="1" applyFont="1" applyFill="1" applyBorder="1" applyAlignment="1">
      <alignment horizontal="center" vertical="top" wrapText="1"/>
    </xf>
    <xf numFmtId="164" fontId="4" fillId="3" borderId="4" xfId="0" applyNumberFormat="1" applyFont="1" applyFill="1" applyBorder="1" applyAlignment="1">
      <alignment horizontal="center" vertical="top"/>
    </xf>
    <xf numFmtId="164" fontId="3" fillId="3" borderId="7" xfId="0" applyNumberFormat="1" applyFont="1" applyFill="1" applyBorder="1" applyAlignment="1">
      <alignment vertical="top" wrapText="1"/>
    </xf>
    <xf numFmtId="49" fontId="4" fillId="3" borderId="1" xfId="0" applyNumberFormat="1" applyFont="1" applyFill="1" applyBorder="1" applyAlignment="1">
      <alignment horizontal="center" vertical="top" wrapText="1"/>
    </xf>
    <xf numFmtId="164" fontId="24" fillId="10" borderId="10" xfId="0" applyNumberFormat="1" applyFont="1" applyFill="1" applyBorder="1" applyAlignment="1">
      <alignment horizontal="left" vertical="center" wrapText="1"/>
    </xf>
    <xf numFmtId="164" fontId="24" fillId="10" borderId="2" xfId="0" applyNumberFormat="1" applyFont="1" applyFill="1" applyBorder="1" applyAlignment="1">
      <alignment horizontal="left" vertical="center" wrapText="1"/>
    </xf>
    <xf numFmtId="164" fontId="3" fillId="3" borderId="7" xfId="0" applyNumberFormat="1" applyFont="1" applyFill="1" applyBorder="1" applyAlignment="1">
      <alignment horizontal="left" vertical="top" wrapText="1"/>
    </xf>
    <xf numFmtId="164" fontId="3" fillId="3" borderId="5" xfId="0" applyNumberFormat="1" applyFont="1" applyFill="1" applyBorder="1" applyAlignment="1">
      <alignment horizontal="left" vertical="top" wrapText="1"/>
    </xf>
    <xf numFmtId="164" fontId="4" fillId="0" borderId="1" xfId="0" applyNumberFormat="1" applyFont="1" applyBorder="1" applyAlignment="1">
      <alignment horizontal="left" vertical="top" wrapText="1"/>
    </xf>
    <xf numFmtId="164" fontId="4" fillId="3" borderId="4" xfId="0" applyNumberFormat="1" applyFont="1" applyFill="1" applyBorder="1" applyAlignment="1">
      <alignment horizontal="center" vertical="top" wrapText="1"/>
    </xf>
    <xf numFmtId="164" fontId="16" fillId="0" borderId="4" xfId="0" applyNumberFormat="1" applyFont="1" applyBorder="1" applyAlignment="1">
      <alignment horizontal="center" vertical="top" wrapText="1"/>
    </xf>
    <xf numFmtId="164" fontId="4" fillId="0" borderId="1" xfId="0" applyNumberFormat="1" applyFont="1" applyBorder="1" applyAlignment="1">
      <alignment vertical="top" wrapText="1"/>
    </xf>
    <xf numFmtId="164" fontId="4" fillId="0" borderId="1" xfId="0" applyNumberFormat="1" applyFont="1" applyBorder="1" applyAlignment="1">
      <alignment horizontal="center" vertical="top" wrapText="1"/>
    </xf>
    <xf numFmtId="1" fontId="4" fillId="3" borderId="1" xfId="0" applyNumberFormat="1" applyFont="1" applyFill="1" applyBorder="1" applyAlignment="1">
      <alignment horizontal="center" vertical="top" wrapText="1"/>
    </xf>
    <xf numFmtId="164" fontId="4" fillId="0" borderId="4" xfId="0" applyNumberFormat="1" applyFont="1" applyBorder="1" applyAlignment="1">
      <alignment horizontal="center" vertical="top"/>
    </xf>
    <xf numFmtId="164" fontId="4" fillId="3" borderId="4" xfId="0" applyNumberFormat="1" applyFont="1" applyFill="1" applyBorder="1" applyAlignment="1">
      <alignment vertical="top" wrapText="1"/>
    </xf>
    <xf numFmtId="164" fontId="4" fillId="3" borderId="5" xfId="0" applyNumberFormat="1" applyFont="1" applyFill="1" applyBorder="1" applyAlignment="1">
      <alignment vertical="top" wrapText="1"/>
    </xf>
    <xf numFmtId="164" fontId="3" fillId="3" borderId="4" xfId="0" applyNumberFormat="1" applyFont="1" applyFill="1" applyBorder="1" applyAlignment="1">
      <alignment horizontal="center" vertical="center" wrapText="1"/>
    </xf>
    <xf numFmtId="164" fontId="16" fillId="3" borderId="6" xfId="0" applyNumberFormat="1" applyFont="1" applyFill="1" applyBorder="1" applyAlignment="1">
      <alignment horizontal="center" vertical="top" wrapText="1"/>
    </xf>
    <xf numFmtId="164" fontId="4" fillId="3" borderId="6" xfId="0" applyNumberFormat="1" applyFont="1" applyFill="1" applyBorder="1" applyAlignment="1">
      <alignment horizontal="center" vertical="top" wrapText="1"/>
    </xf>
    <xf numFmtId="49" fontId="4" fillId="3" borderId="1" xfId="0" applyNumberFormat="1" applyFont="1" applyFill="1" applyBorder="1" applyAlignment="1">
      <alignment horizontal="center" vertical="top"/>
    </xf>
    <xf numFmtId="164" fontId="9" fillId="3" borderId="6" xfId="0" applyNumberFormat="1" applyFont="1" applyFill="1" applyBorder="1" applyAlignment="1">
      <alignment horizontal="center" vertical="top" wrapText="1"/>
    </xf>
    <xf numFmtId="164" fontId="3" fillId="0" borderId="29" xfId="0" applyNumberFormat="1" applyFont="1" applyBorder="1"/>
    <xf numFmtId="164" fontId="9" fillId="3" borderId="3" xfId="0" applyNumberFormat="1" applyFont="1" applyFill="1" applyBorder="1" applyAlignment="1">
      <alignment horizontal="center" vertical="top" wrapText="1"/>
    </xf>
    <xf numFmtId="164" fontId="4" fillId="3" borderId="5" xfId="0" applyNumberFormat="1" applyFont="1" applyFill="1" applyBorder="1" applyAlignment="1">
      <alignment vertical="center" wrapText="1"/>
    </xf>
    <xf numFmtId="164" fontId="4" fillId="0" borderId="1" xfId="0" applyNumberFormat="1" applyFont="1" applyBorder="1" applyAlignment="1">
      <alignment horizontal="center" vertical="center" wrapText="1"/>
    </xf>
    <xf numFmtId="164" fontId="4" fillId="3" borderId="6" xfId="0" applyNumberFormat="1" applyFont="1" applyFill="1" applyBorder="1" applyAlignment="1">
      <alignment horizontal="center" vertical="top"/>
    </xf>
    <xf numFmtId="164" fontId="4" fillId="3" borderId="5" xfId="0" applyNumberFormat="1" applyFont="1" applyFill="1" applyBorder="1" applyAlignment="1">
      <alignment horizontal="center" vertical="top"/>
    </xf>
    <xf numFmtId="164" fontId="16" fillId="3" borderId="7" xfId="0" applyNumberFormat="1" applyFont="1" applyFill="1" applyBorder="1" applyAlignment="1">
      <alignment horizontal="center" vertical="top" wrapText="1"/>
    </xf>
    <xf numFmtId="164" fontId="4" fillId="3" borderId="4" xfId="0" applyNumberFormat="1" applyFont="1" applyFill="1" applyBorder="1" applyAlignment="1">
      <alignment horizontal="center" vertical="center" wrapText="1"/>
    </xf>
    <xf numFmtId="49" fontId="4" fillId="3" borderId="4" xfId="0" applyNumberFormat="1" applyFont="1" applyFill="1" applyBorder="1" applyAlignment="1">
      <alignment horizontal="center" vertical="top" wrapText="1"/>
    </xf>
    <xf numFmtId="1" fontId="3" fillId="3" borderId="1" xfId="0" applyNumberFormat="1" applyFont="1" applyFill="1" applyBorder="1" applyAlignment="1">
      <alignment horizontal="left" vertical="top" wrapText="1"/>
    </xf>
    <xf numFmtId="0" fontId="3" fillId="3" borderId="1" xfId="0" applyFont="1" applyFill="1" applyBorder="1" applyAlignment="1">
      <alignment vertical="top" wrapText="1"/>
    </xf>
    <xf numFmtId="164" fontId="3" fillId="3" borderId="1" xfId="0" applyNumberFormat="1" applyFont="1" applyFill="1" applyBorder="1" applyAlignment="1">
      <alignment vertical="top"/>
    </xf>
    <xf numFmtId="1" fontId="3" fillId="3" borderId="0" xfId="0" applyNumberFormat="1" applyFont="1" applyFill="1" applyAlignment="1">
      <alignment horizontal="center"/>
    </xf>
    <xf numFmtId="164" fontId="3" fillId="3" borderId="0" xfId="0" applyNumberFormat="1" applyFont="1" applyFill="1"/>
    <xf numFmtId="164" fontId="3" fillId="3" borderId="0" xfId="0" applyNumberFormat="1" applyFont="1" applyFill="1" applyAlignment="1">
      <alignment horizontal="center"/>
    </xf>
    <xf numFmtId="164" fontId="3" fillId="3" borderId="0" xfId="0" applyNumberFormat="1" applyFont="1" applyFill="1" applyAlignment="1">
      <alignment horizontal="left" vertical="top" wrapText="1"/>
    </xf>
    <xf numFmtId="164" fontId="11" fillId="3" borderId="0" xfId="0" applyNumberFormat="1" applyFont="1" applyFill="1" applyAlignment="1">
      <alignment vertical="top"/>
    </xf>
    <xf numFmtId="1" fontId="3" fillId="3" borderId="1" xfId="0" applyNumberFormat="1" applyFont="1" applyFill="1" applyBorder="1" applyAlignment="1">
      <alignment horizontal="center" vertical="top"/>
    </xf>
    <xf numFmtId="4" fontId="3" fillId="3" borderId="1" xfId="3" applyNumberFormat="1" applyFont="1" applyFill="1" applyBorder="1" applyAlignment="1" applyProtection="1">
      <alignment horizontal="right" vertical="top"/>
      <protection locked="0"/>
    </xf>
    <xf numFmtId="165" fontId="3" fillId="3" borderId="1" xfId="0" applyNumberFormat="1" applyFont="1" applyFill="1" applyBorder="1" applyAlignment="1">
      <alignment horizontal="right" vertical="top"/>
    </xf>
    <xf numFmtId="4" fontId="3" fillId="3" borderId="1" xfId="0" applyNumberFormat="1" applyFont="1" applyFill="1" applyBorder="1" applyAlignment="1">
      <alignment horizontal="right" vertical="top"/>
    </xf>
    <xf numFmtId="43" fontId="3" fillId="3" borderId="1" xfId="1" applyFont="1" applyFill="1" applyBorder="1" applyAlignment="1">
      <alignment horizontal="right" vertical="top"/>
    </xf>
    <xf numFmtId="2" fontId="3" fillId="3" borderId="1" xfId="0" applyNumberFormat="1" applyFont="1" applyFill="1" applyBorder="1" applyAlignment="1">
      <alignment horizontal="right" vertical="top"/>
    </xf>
    <xf numFmtId="0" fontId="3" fillId="3" borderId="0" xfId="0" applyFont="1" applyFill="1" applyAlignment="1">
      <alignment horizontal="left" vertical="top"/>
    </xf>
    <xf numFmtId="0" fontId="12" fillId="3" borderId="0" xfId="0" applyFont="1" applyFill="1" applyAlignment="1">
      <alignment horizontal="center" vertical="top"/>
    </xf>
    <xf numFmtId="0" fontId="12" fillId="3" borderId="0" xfId="0" applyFont="1" applyFill="1"/>
    <xf numFmtId="0" fontId="12" fillId="3" borderId="0" xfId="0" applyFont="1" applyFill="1" applyAlignment="1">
      <alignment horizontal="center"/>
    </xf>
    <xf numFmtId="0" fontId="3" fillId="3" borderId="0" xfId="0" applyFont="1" applyFill="1"/>
    <xf numFmtId="164" fontId="3" fillId="3" borderId="2" xfId="0" applyNumberFormat="1" applyFont="1" applyFill="1" applyBorder="1" applyAlignment="1">
      <alignment horizontal="left" vertical="top" wrapText="1"/>
    </xf>
    <xf numFmtId="0" fontId="3" fillId="3" borderId="36" xfId="0" applyFont="1" applyFill="1" applyBorder="1" applyAlignment="1">
      <alignment vertical="top" wrapText="1"/>
    </xf>
    <xf numFmtId="0" fontId="1" fillId="0" borderId="1" xfId="0" applyFont="1" applyBorder="1"/>
    <xf numFmtId="1" fontId="3" fillId="3" borderId="49" xfId="0" applyNumberFormat="1" applyFont="1" applyFill="1" applyBorder="1" applyAlignment="1">
      <alignment horizontal="left" vertical="top" wrapText="1"/>
    </xf>
    <xf numFmtId="1" fontId="9" fillId="11" borderId="1" xfId="0" applyNumberFormat="1" applyFont="1" applyFill="1" applyBorder="1" applyAlignment="1">
      <alignment horizontal="left" vertical="top" wrapText="1"/>
    </xf>
    <xf numFmtId="1" fontId="9" fillId="11" borderId="1" xfId="0" applyNumberFormat="1" applyFont="1" applyFill="1" applyBorder="1" applyAlignment="1">
      <alignment horizontal="left" vertical="top"/>
    </xf>
    <xf numFmtId="1" fontId="9" fillId="11" borderId="10" xfId="0" applyNumberFormat="1" applyFont="1" applyFill="1" applyBorder="1" applyAlignment="1">
      <alignment horizontal="left" vertical="top" wrapText="1"/>
    </xf>
    <xf numFmtId="1" fontId="9" fillId="11" borderId="2" xfId="0" applyNumberFormat="1" applyFont="1" applyFill="1" applyBorder="1" applyAlignment="1">
      <alignment horizontal="left" vertical="top" wrapText="1"/>
    </xf>
    <xf numFmtId="1" fontId="9" fillId="11" borderId="3" xfId="0" applyNumberFormat="1" applyFont="1" applyFill="1" applyBorder="1" applyAlignment="1">
      <alignment horizontal="left" vertical="top" wrapText="1"/>
    </xf>
    <xf numFmtId="1" fontId="9" fillId="12" borderId="1" xfId="0" applyNumberFormat="1" applyFont="1" applyFill="1" applyBorder="1" applyAlignment="1">
      <alignment horizontal="left" vertical="top" wrapText="1"/>
    </xf>
    <xf numFmtId="164" fontId="9" fillId="3" borderId="0" xfId="0" applyNumberFormat="1" applyFont="1" applyFill="1" applyAlignment="1">
      <alignment horizontal="center" vertical="top" wrapText="1"/>
    </xf>
    <xf numFmtId="164" fontId="9" fillId="3" borderId="4" xfId="0" applyNumberFormat="1" applyFont="1" applyFill="1" applyBorder="1" applyAlignment="1">
      <alignment horizontal="center" vertical="top" wrapText="1"/>
    </xf>
    <xf numFmtId="164" fontId="9" fillId="3" borderId="5" xfId="0" applyNumberFormat="1" applyFont="1" applyFill="1" applyBorder="1" applyAlignment="1">
      <alignment horizontal="center" vertical="top" wrapText="1"/>
    </xf>
    <xf numFmtId="164" fontId="9" fillId="3" borderId="1" xfId="0" applyNumberFormat="1" applyFont="1" applyFill="1" applyBorder="1" applyAlignment="1">
      <alignment horizontal="center" vertical="top" wrapText="1"/>
    </xf>
    <xf numFmtId="4" fontId="29" fillId="0" borderId="0" xfId="0" applyNumberFormat="1" applyFont="1" applyAlignment="1">
      <alignment horizontal="right" vertical="top" wrapText="1"/>
    </xf>
    <xf numFmtId="4" fontId="28" fillId="0" borderId="0" xfId="0" applyNumberFormat="1" applyFont="1" applyAlignment="1">
      <alignment horizontal="right" vertical="top" wrapText="1"/>
    </xf>
    <xf numFmtId="164" fontId="3" fillId="0" borderId="9" xfId="0" applyNumberFormat="1" applyFont="1" applyBorder="1" applyAlignment="1">
      <alignment horizontal="right"/>
    </xf>
    <xf numFmtId="164" fontId="3" fillId="0" borderId="4" xfId="0" applyNumberFormat="1" applyFont="1" applyBorder="1" applyAlignment="1">
      <alignment horizontal="center" vertical="center" wrapText="1"/>
    </xf>
    <xf numFmtId="164" fontId="3" fillId="0" borderId="7" xfId="0" applyNumberFormat="1" applyFont="1" applyBorder="1" applyAlignment="1">
      <alignment horizontal="center" vertical="center" wrapText="1"/>
    </xf>
    <xf numFmtId="164" fontId="3" fillId="0" borderId="5" xfId="0" applyNumberFormat="1" applyFont="1" applyBorder="1" applyAlignment="1">
      <alignment horizontal="center" vertical="center" wrapText="1"/>
    </xf>
    <xf numFmtId="164" fontId="9" fillId="3" borderId="10" xfId="0" applyNumberFormat="1" applyFont="1" applyFill="1" applyBorder="1" applyAlignment="1">
      <alignment horizontal="center" vertical="center" wrapText="1"/>
    </xf>
    <xf numFmtId="164" fontId="9" fillId="3" borderId="2" xfId="0" applyNumberFormat="1" applyFont="1" applyFill="1" applyBorder="1" applyAlignment="1">
      <alignment horizontal="center" vertical="center" wrapText="1"/>
    </xf>
    <xf numFmtId="164" fontId="9" fillId="3" borderId="3" xfId="0" applyNumberFormat="1" applyFont="1" applyFill="1" applyBorder="1" applyAlignment="1">
      <alignment horizontal="center" vertical="center" wrapText="1"/>
    </xf>
    <xf numFmtId="164" fontId="3" fillId="0" borderId="12" xfId="0" applyNumberFormat="1" applyFont="1" applyBorder="1" applyAlignment="1">
      <alignment horizontal="center" vertical="center" wrapText="1"/>
    </xf>
    <xf numFmtId="164" fontId="3" fillId="0" borderId="49" xfId="0" applyNumberFormat="1" applyFont="1" applyBorder="1" applyAlignment="1">
      <alignment horizontal="center" vertical="center" wrapText="1"/>
    </xf>
    <xf numFmtId="164" fontId="3" fillId="0" borderId="42" xfId="0" applyNumberFormat="1" applyFont="1" applyBorder="1" applyAlignment="1">
      <alignment horizontal="center" vertical="center" wrapText="1"/>
    </xf>
    <xf numFmtId="164" fontId="3" fillId="0" borderId="28" xfId="0" applyNumberFormat="1" applyFont="1" applyBorder="1" applyAlignment="1">
      <alignment horizontal="center" vertical="center" wrapText="1"/>
    </xf>
    <xf numFmtId="164" fontId="3" fillId="0" borderId="9" xfId="0" applyNumberFormat="1" applyFont="1" applyBorder="1" applyAlignment="1">
      <alignment horizontal="center" vertical="center" wrapText="1"/>
    </xf>
    <xf numFmtId="164" fontId="3" fillId="0" borderId="36" xfId="0" applyNumberFormat="1" applyFont="1" applyBorder="1" applyAlignment="1">
      <alignment horizontal="center" vertical="center" wrapText="1"/>
    </xf>
    <xf numFmtId="164" fontId="3" fillId="0" borderId="12" xfId="0" applyNumberFormat="1" applyFont="1" applyBorder="1" applyAlignment="1">
      <alignment horizontal="center" vertical="top" wrapText="1"/>
    </xf>
    <xf numFmtId="0" fontId="0" fillId="0" borderId="49" xfId="0" applyBorder="1" applyAlignment="1">
      <alignment horizontal="center" vertical="top" wrapText="1"/>
    </xf>
    <xf numFmtId="0" fontId="0" fillId="0" borderId="42" xfId="0" applyBorder="1" applyAlignment="1">
      <alignment horizontal="center" vertical="top" wrapText="1"/>
    </xf>
    <xf numFmtId="164" fontId="3" fillId="0" borderId="28" xfId="0" applyNumberFormat="1" applyFont="1" applyBorder="1" applyAlignment="1">
      <alignment horizontal="center" vertical="top" wrapText="1"/>
    </xf>
    <xf numFmtId="0" fontId="0" fillId="0" borderId="9" xfId="0" applyBorder="1" applyAlignment="1">
      <alignment horizontal="center" vertical="top" wrapText="1"/>
    </xf>
    <xf numFmtId="0" fontId="0" fillId="0" borderId="36" xfId="0" applyBorder="1" applyAlignment="1">
      <alignment horizontal="center" vertical="top" wrapText="1"/>
    </xf>
    <xf numFmtId="164" fontId="22" fillId="0" borderId="0" xfId="0" applyNumberFormat="1" applyFont="1" applyAlignment="1">
      <alignment horizontal="center" wrapText="1"/>
    </xf>
    <xf numFmtId="49" fontId="3" fillId="3" borderId="12" xfId="0" applyNumberFormat="1" applyFont="1" applyFill="1" applyBorder="1" applyAlignment="1">
      <alignment horizontal="center" vertical="center" wrapText="1"/>
    </xf>
    <xf numFmtId="49" fontId="3" fillId="3" borderId="42" xfId="0" applyNumberFormat="1" applyFont="1" applyFill="1" applyBorder="1" applyAlignment="1">
      <alignment horizontal="center" vertical="center" wrapText="1"/>
    </xf>
    <xf numFmtId="49" fontId="3" fillId="3" borderId="29" xfId="0" applyNumberFormat="1" applyFont="1" applyFill="1" applyBorder="1" applyAlignment="1">
      <alignment horizontal="center" vertical="center" wrapText="1"/>
    </xf>
    <xf numFmtId="49" fontId="3" fillId="3" borderId="40" xfId="0" applyNumberFormat="1" applyFont="1" applyFill="1" applyBorder="1" applyAlignment="1">
      <alignment horizontal="center" vertical="center" wrapText="1"/>
    </xf>
    <xf numFmtId="4" fontId="2" fillId="0" borderId="10" xfId="0" applyNumberFormat="1" applyFont="1" applyBorder="1" applyAlignment="1">
      <alignment horizontal="center" vertical="center" wrapText="1"/>
    </xf>
    <xf numFmtId="4" fontId="2" fillId="0" borderId="2" xfId="0" applyNumberFormat="1" applyFont="1" applyBorder="1" applyAlignment="1">
      <alignment horizontal="center" vertical="center" wrapText="1"/>
    </xf>
    <xf numFmtId="4" fontId="0" fillId="0" borderId="3" xfId="0" applyNumberFormat="1" applyBorder="1" applyAlignment="1">
      <alignment horizontal="center" vertical="center" wrapText="1"/>
    </xf>
    <xf numFmtId="164" fontId="3" fillId="0" borderId="1" xfId="0" applyNumberFormat="1" applyFont="1" applyBorder="1" applyAlignment="1">
      <alignment horizontal="center" vertical="top" wrapText="1"/>
    </xf>
    <xf numFmtId="164" fontId="9" fillId="3" borderId="28" xfId="0" applyNumberFormat="1" applyFont="1" applyFill="1" applyBorder="1" applyAlignment="1">
      <alignment horizontal="center" vertical="center" wrapText="1"/>
    </xf>
    <xf numFmtId="164" fontId="9" fillId="3" borderId="9" xfId="0" applyNumberFormat="1" applyFont="1" applyFill="1" applyBorder="1" applyAlignment="1">
      <alignment horizontal="center" vertical="center" wrapText="1"/>
    </xf>
    <xf numFmtId="164" fontId="9" fillId="3" borderId="36" xfId="0" applyNumberFormat="1" applyFont="1" applyFill="1" applyBorder="1" applyAlignment="1">
      <alignment horizontal="center" vertical="center" wrapText="1"/>
    </xf>
    <xf numFmtId="1" fontId="3" fillId="3" borderId="4" xfId="0" applyNumberFormat="1" applyFont="1" applyFill="1" applyBorder="1" applyAlignment="1">
      <alignment horizontal="center" vertical="center" textRotation="90" wrapText="1"/>
    </xf>
    <xf numFmtId="1" fontId="3" fillId="3" borderId="7" xfId="0" applyNumberFormat="1" applyFont="1" applyFill="1" applyBorder="1" applyAlignment="1">
      <alignment horizontal="center" vertical="center" textRotation="90" wrapText="1"/>
    </xf>
    <xf numFmtId="164" fontId="3" fillId="3" borderId="4" xfId="0" applyNumberFormat="1" applyFont="1" applyFill="1" applyBorder="1" applyAlignment="1">
      <alignment horizontal="center" wrapText="1"/>
    </xf>
    <xf numFmtId="164" fontId="3" fillId="3" borderId="7" xfId="0" applyNumberFormat="1" applyFont="1" applyFill="1" applyBorder="1" applyAlignment="1">
      <alignment horizontal="center" wrapText="1"/>
    </xf>
    <xf numFmtId="164" fontId="3" fillId="3" borderId="4" xfId="0" applyNumberFormat="1" applyFont="1" applyFill="1" applyBorder="1" applyAlignment="1">
      <alignment horizontal="center" textRotation="90" wrapText="1"/>
    </xf>
    <xf numFmtId="164" fontId="12" fillId="3" borderId="7" xfId="0" applyNumberFormat="1" applyFont="1" applyFill="1" applyBorder="1" applyAlignment="1">
      <alignment horizontal="center" textRotation="90" wrapText="1"/>
    </xf>
    <xf numFmtId="164" fontId="24" fillId="7" borderId="9" xfId="0" applyNumberFormat="1" applyFont="1" applyFill="1" applyBorder="1" applyAlignment="1">
      <alignment vertical="top" wrapText="1"/>
    </xf>
    <xf numFmtId="164" fontId="24" fillId="10" borderId="10" xfId="0" applyNumberFormat="1" applyFont="1" applyFill="1" applyBorder="1" applyAlignment="1">
      <alignment horizontal="left" vertical="top"/>
    </xf>
    <xf numFmtId="164" fontId="24" fillId="10" borderId="2" xfId="0" applyNumberFormat="1" applyFont="1" applyFill="1" applyBorder="1" applyAlignment="1">
      <alignment horizontal="left" vertical="top"/>
    </xf>
    <xf numFmtId="164" fontId="24" fillId="10" borderId="3" xfId="0" applyNumberFormat="1" applyFont="1" applyFill="1" applyBorder="1" applyAlignment="1">
      <alignment horizontal="left" vertical="top"/>
    </xf>
    <xf numFmtId="164" fontId="24" fillId="9" borderId="10" xfId="0" applyNumberFormat="1" applyFont="1" applyFill="1" applyBorder="1" applyAlignment="1">
      <alignment horizontal="left" vertical="top" wrapText="1"/>
    </xf>
    <xf numFmtId="164" fontId="24" fillId="9" borderId="2" xfId="0" applyNumberFormat="1" applyFont="1" applyFill="1" applyBorder="1" applyAlignment="1">
      <alignment horizontal="left" vertical="top" wrapText="1"/>
    </xf>
    <xf numFmtId="164" fontId="24" fillId="9" borderId="3" xfId="0" applyNumberFormat="1" applyFont="1" applyFill="1" applyBorder="1" applyAlignment="1">
      <alignment horizontal="left" vertical="top" wrapText="1"/>
    </xf>
    <xf numFmtId="164" fontId="24" fillId="10" borderId="10" xfId="0" applyNumberFormat="1" applyFont="1" applyFill="1" applyBorder="1" applyAlignment="1">
      <alignment horizontal="left" vertical="top" wrapText="1"/>
    </xf>
    <xf numFmtId="164" fontId="24" fillId="10" borderId="2" xfId="0" applyNumberFormat="1" applyFont="1" applyFill="1" applyBorder="1" applyAlignment="1">
      <alignment horizontal="left" vertical="top" wrapText="1"/>
    </xf>
    <xf numFmtId="164" fontId="24" fillId="10" borderId="3" xfId="0" applyNumberFormat="1" applyFont="1" applyFill="1" applyBorder="1" applyAlignment="1">
      <alignment horizontal="left" vertical="top" wrapText="1"/>
    </xf>
    <xf numFmtId="4" fontId="5" fillId="0" borderId="12" xfId="0" applyNumberFormat="1" applyFont="1" applyBorder="1" applyAlignment="1">
      <alignment horizontal="center" vertical="center" wrapText="1"/>
    </xf>
    <xf numFmtId="4" fontId="5" fillId="0" borderId="49" xfId="0" applyNumberFormat="1" applyFont="1" applyBorder="1" applyAlignment="1">
      <alignment horizontal="center" vertical="center" wrapText="1"/>
    </xf>
    <xf numFmtId="4" fontId="0" fillId="0" borderId="42" xfId="0" applyNumberFormat="1" applyBorder="1" applyAlignment="1">
      <alignment horizontal="center" vertical="center" wrapText="1"/>
    </xf>
    <xf numFmtId="4" fontId="5" fillId="0" borderId="28" xfId="0" applyNumberFormat="1" applyFont="1" applyBorder="1" applyAlignment="1">
      <alignment horizontal="center" vertical="center" wrapText="1"/>
    </xf>
    <xf numFmtId="4" fontId="5" fillId="0" borderId="9" xfId="0" applyNumberFormat="1" applyFont="1" applyBorder="1" applyAlignment="1">
      <alignment horizontal="center" vertical="center" wrapText="1"/>
    </xf>
    <xf numFmtId="4" fontId="0" fillId="0" borderId="36" xfId="0" applyNumberFormat="1" applyBorder="1" applyAlignment="1">
      <alignment horizontal="center" vertical="center" wrapText="1"/>
    </xf>
    <xf numFmtId="164" fontId="3" fillId="3" borderId="4" xfId="0" applyNumberFormat="1" applyFont="1" applyFill="1" applyBorder="1" applyAlignment="1">
      <alignment horizontal="left" vertical="top"/>
    </xf>
    <xf numFmtId="164" fontId="3" fillId="3" borderId="5" xfId="0" applyNumberFormat="1" applyFont="1" applyFill="1" applyBorder="1" applyAlignment="1">
      <alignment horizontal="left" vertical="top"/>
    </xf>
    <xf numFmtId="164" fontId="3" fillId="3" borderId="4" xfId="0" applyNumberFormat="1" applyFont="1" applyFill="1" applyBorder="1" applyAlignment="1">
      <alignment horizontal="left" vertical="top" wrapText="1"/>
    </xf>
    <xf numFmtId="164" fontId="3" fillId="3" borderId="5" xfId="0" applyNumberFormat="1" applyFont="1" applyFill="1" applyBorder="1" applyAlignment="1">
      <alignment horizontal="left" vertical="top" wrapText="1"/>
    </xf>
    <xf numFmtId="164" fontId="24" fillId="9" borderId="10" xfId="0" applyNumberFormat="1" applyFont="1" applyFill="1" applyBorder="1" applyAlignment="1">
      <alignment horizontal="left" vertical="center" wrapText="1"/>
    </xf>
    <xf numFmtId="164" fontId="24" fillId="9" borderId="2" xfId="0" applyNumberFormat="1" applyFont="1" applyFill="1" applyBorder="1" applyAlignment="1">
      <alignment horizontal="left" vertical="center" wrapText="1"/>
    </xf>
    <xf numFmtId="164" fontId="24" fillId="9" borderId="3" xfId="0" applyNumberFormat="1" applyFont="1" applyFill="1" applyBorder="1" applyAlignment="1">
      <alignment horizontal="left" vertical="center" wrapText="1"/>
    </xf>
    <xf numFmtId="164" fontId="24" fillId="10" borderId="10" xfId="0" applyNumberFormat="1" applyFont="1" applyFill="1" applyBorder="1" applyAlignment="1">
      <alignment horizontal="left" vertical="center" wrapText="1"/>
    </xf>
    <xf numFmtId="164" fontId="24" fillId="10" borderId="2" xfId="0" applyNumberFormat="1" applyFont="1" applyFill="1" applyBorder="1" applyAlignment="1">
      <alignment horizontal="left" vertical="center" wrapText="1"/>
    </xf>
    <xf numFmtId="164" fontId="24" fillId="10" borderId="3" xfId="0" applyNumberFormat="1" applyFont="1" applyFill="1" applyBorder="1" applyAlignment="1">
      <alignment horizontal="left" vertical="center" wrapText="1"/>
    </xf>
    <xf numFmtId="4" fontId="1" fillId="0" borderId="0" xfId="0" applyNumberFormat="1" applyFont="1" applyAlignment="1">
      <alignment horizontal="center"/>
    </xf>
    <xf numFmtId="4" fontId="5" fillId="0" borderId="34" xfId="0" applyNumberFormat="1" applyFont="1" applyBorder="1" applyAlignment="1">
      <alignment horizontal="center" vertical="center" wrapText="1"/>
    </xf>
    <xf numFmtId="4" fontId="5" fillId="0" borderId="37" xfId="0" applyNumberFormat="1" applyFont="1" applyBorder="1" applyAlignment="1">
      <alignment horizontal="center" vertical="center" wrapText="1"/>
    </xf>
    <xf numFmtId="4" fontId="0" fillId="0" borderId="35" xfId="0" applyNumberFormat="1" applyBorder="1" applyAlignment="1">
      <alignment horizontal="center" vertical="center" wrapText="1"/>
    </xf>
    <xf numFmtId="4" fontId="9" fillId="2" borderId="18" xfId="0" applyNumberFormat="1" applyFont="1" applyFill="1" applyBorder="1" applyAlignment="1">
      <alignment horizontal="left" vertical="top" wrapText="1"/>
    </xf>
    <xf numFmtId="4" fontId="9" fillId="2" borderId="2" xfId="0" applyNumberFormat="1" applyFont="1" applyFill="1" applyBorder="1" applyAlignment="1">
      <alignment horizontal="left" vertical="top" wrapText="1"/>
    </xf>
    <xf numFmtId="4" fontId="15" fillId="7" borderId="26" xfId="0" applyNumberFormat="1" applyFont="1" applyFill="1" applyBorder="1" applyAlignment="1">
      <alignment horizontal="right" vertical="center" wrapText="1"/>
    </xf>
    <xf numFmtId="4" fontId="2" fillId="3" borderId="10" xfId="0" applyNumberFormat="1" applyFont="1" applyFill="1" applyBorder="1" applyAlignment="1">
      <alignment horizontal="center" vertical="center" wrapText="1"/>
    </xf>
    <xf numFmtId="4" fontId="0" fillId="0" borderId="2" xfId="0" applyNumberFormat="1" applyBorder="1" applyAlignment="1">
      <alignment horizontal="center" vertical="center" wrapText="1"/>
    </xf>
    <xf numFmtId="4" fontId="0" fillId="0" borderId="19" xfId="0" applyNumberFormat="1" applyBorder="1" applyAlignment="1">
      <alignment horizontal="center" vertical="center" wrapText="1"/>
    </xf>
    <xf numFmtId="4" fontId="5" fillId="0" borderId="15" xfId="0" applyNumberFormat="1" applyFont="1" applyBorder="1" applyAlignment="1">
      <alignment horizontal="center" vertical="center" wrapText="1"/>
    </xf>
    <xf numFmtId="4" fontId="5" fillId="0" borderId="7" xfId="0" applyNumberFormat="1" applyFont="1" applyBorder="1" applyAlignment="1">
      <alignment horizontal="center" vertical="center" wrapText="1"/>
    </xf>
    <xf numFmtId="4" fontId="0" fillId="0" borderId="5" xfId="0" applyNumberFormat="1" applyBorder="1" applyAlignment="1">
      <alignment vertical="center" wrapText="1"/>
    </xf>
    <xf numFmtId="4" fontId="5" fillId="3" borderId="14" xfId="0" applyNumberFormat="1" applyFont="1" applyFill="1" applyBorder="1" applyAlignment="1">
      <alignment horizontal="justify" vertical="center" textRotation="90" wrapText="1"/>
    </xf>
    <xf numFmtId="4" fontId="5" fillId="3" borderId="23" xfId="0" applyNumberFormat="1" applyFont="1" applyFill="1" applyBorder="1" applyAlignment="1">
      <alignment horizontal="justify" vertical="center" textRotation="90" wrapText="1"/>
    </xf>
    <xf numFmtId="4" fontId="9" fillId="2" borderId="18" xfId="0" applyNumberFormat="1" applyFont="1" applyFill="1" applyBorder="1" applyAlignment="1">
      <alignment horizontal="left" vertical="center" wrapText="1"/>
    </xf>
    <xf numFmtId="4" fontId="9" fillId="2" borderId="2" xfId="0" applyNumberFormat="1" applyFont="1" applyFill="1" applyBorder="1" applyAlignment="1">
      <alignment horizontal="left" vertical="center" wrapText="1"/>
    </xf>
    <xf numFmtId="4" fontId="3" fillId="3" borderId="20" xfId="0" applyNumberFormat="1" applyFont="1" applyFill="1" applyBorder="1" applyAlignment="1">
      <alignment horizontal="center" vertical="top" wrapText="1"/>
    </xf>
    <xf numFmtId="4" fontId="12" fillId="3" borderId="16" xfId="0" applyNumberFormat="1" applyFont="1" applyFill="1" applyBorder="1" applyAlignment="1">
      <alignment horizontal="center" vertical="top" wrapText="1"/>
    </xf>
    <xf numFmtId="4" fontId="3" fillId="0" borderId="4" xfId="0" applyNumberFormat="1" applyFont="1" applyBorder="1" applyAlignment="1">
      <alignment horizontal="left" vertical="top" wrapText="1"/>
    </xf>
    <xf numFmtId="4" fontId="3" fillId="0" borderId="5" xfId="0" applyNumberFormat="1" applyFont="1" applyBorder="1" applyAlignment="1">
      <alignment horizontal="left" vertical="top" wrapText="1"/>
    </xf>
    <xf numFmtId="49" fontId="5" fillId="0" borderId="38" xfId="0" applyNumberFormat="1" applyFont="1" applyBorder="1" applyAlignment="1">
      <alignment horizontal="center" vertical="center" wrapText="1"/>
    </xf>
    <xf numFmtId="49" fontId="0" fillId="0" borderId="41" xfId="0" applyNumberFormat="1" applyBorder="1" applyAlignment="1">
      <alignment horizontal="center" vertical="center" wrapText="1"/>
    </xf>
    <xf numFmtId="49" fontId="5" fillId="0" borderId="15" xfId="0" applyNumberFormat="1" applyFont="1" applyBorder="1" applyAlignment="1">
      <alignment horizontal="center" vertical="center" textRotation="90" wrapText="1"/>
    </xf>
    <xf numFmtId="49" fontId="0" fillId="0" borderId="7" xfId="0" applyNumberFormat="1" applyBorder="1" applyAlignment="1">
      <alignment wrapText="1"/>
    </xf>
    <xf numFmtId="49" fontId="0" fillId="0" borderId="5" xfId="0" applyNumberFormat="1" applyBorder="1" applyAlignment="1">
      <alignment wrapText="1"/>
    </xf>
    <xf numFmtId="4" fontId="13" fillId="0" borderId="0" xfId="0" applyNumberFormat="1" applyFont="1" applyAlignment="1">
      <alignment horizontal="right" vertical="top" wrapText="1"/>
    </xf>
    <xf numFmtId="4" fontId="0" fillId="0" borderId="0" xfId="0" applyNumberFormat="1" applyAlignment="1">
      <alignment horizontal="right" vertical="top" wrapText="1"/>
    </xf>
    <xf numFmtId="4" fontId="0" fillId="0" borderId="37" xfId="0" applyNumberFormat="1" applyBorder="1" applyAlignment="1">
      <alignment horizontal="center" vertical="center" wrapText="1"/>
    </xf>
    <xf numFmtId="4" fontId="0" fillId="0" borderId="39" xfId="0" applyNumberFormat="1" applyBorder="1" applyAlignment="1">
      <alignment horizontal="center" vertical="center" wrapText="1"/>
    </xf>
    <xf numFmtId="4" fontId="0" fillId="0" borderId="9" xfId="0" applyNumberFormat="1" applyBorder="1" applyAlignment="1">
      <alignment horizontal="center" vertical="center" wrapText="1"/>
    </xf>
    <xf numFmtId="4" fontId="0" fillId="0" borderId="22" xfId="0" applyNumberFormat="1" applyBorder="1" applyAlignment="1">
      <alignment horizontal="center" vertical="center" wrapText="1"/>
    </xf>
    <xf numFmtId="4" fontId="10" fillId="0" borderId="0" xfId="0" applyNumberFormat="1" applyFont="1" applyAlignment="1">
      <alignment horizontal="center" wrapText="1"/>
    </xf>
    <xf numFmtId="4" fontId="1" fillId="0" borderId="0" xfId="0" applyNumberFormat="1" applyFont="1" applyAlignment="1">
      <alignment horizontal="left" vertical="top" wrapText="1"/>
    </xf>
    <xf numFmtId="4" fontId="0" fillId="0" borderId="0" xfId="0" applyNumberFormat="1" applyAlignment="1">
      <alignment wrapText="1"/>
    </xf>
    <xf numFmtId="4" fontId="1" fillId="0" borderId="0" xfId="0" applyNumberFormat="1" applyFont="1" applyAlignment="1">
      <alignment wrapText="1"/>
    </xf>
    <xf numFmtId="4" fontId="5" fillId="0" borderId="15" xfId="0" applyNumberFormat="1" applyFont="1" applyBorder="1" applyAlignment="1">
      <alignment horizontal="center" vertical="center" textRotation="90" wrapText="1"/>
    </xf>
    <xf numFmtId="4" fontId="0" fillId="0" borderId="7" xfId="0" applyNumberFormat="1" applyBorder="1" applyAlignment="1">
      <alignment wrapText="1"/>
    </xf>
    <xf numFmtId="4" fontId="0" fillId="0" borderId="5" xfId="0" applyNumberFormat="1" applyBorder="1" applyAlignment="1">
      <alignment wrapText="1"/>
    </xf>
    <xf numFmtId="49" fontId="5" fillId="0" borderId="4" xfId="0" applyNumberFormat="1" applyFont="1" applyBorder="1" applyAlignment="1">
      <alignment horizontal="center" vertical="center" textRotation="90" wrapText="1"/>
    </xf>
    <xf numFmtId="4" fontId="9" fillId="2" borderId="18" xfId="0" applyNumberFormat="1" applyFont="1" applyFill="1" applyBorder="1" applyAlignment="1">
      <alignment horizontal="left" vertical="top"/>
    </xf>
    <xf numFmtId="4" fontId="9" fillId="2" borderId="2" xfId="0" applyNumberFormat="1" applyFont="1" applyFill="1" applyBorder="1" applyAlignment="1">
      <alignment horizontal="left" vertical="top"/>
    </xf>
    <xf numFmtId="4" fontId="11" fillId="0" borderId="44" xfId="0" applyNumberFormat="1" applyFont="1" applyBorder="1" applyAlignment="1">
      <alignment horizontal="left" vertical="top" wrapText="1"/>
    </xf>
    <xf numFmtId="4" fontId="3" fillId="0" borderId="44" xfId="0" applyNumberFormat="1" applyFont="1" applyBorder="1" applyAlignment="1">
      <alignment horizontal="left" vertical="top" wrapText="1"/>
    </xf>
    <xf numFmtId="4" fontId="9" fillId="2" borderId="21" xfId="0" applyNumberFormat="1" applyFont="1" applyFill="1" applyBorder="1" applyAlignment="1">
      <alignment horizontal="left" vertical="top" wrapText="1"/>
    </xf>
    <xf numFmtId="4" fontId="9" fillId="2" borderId="9" xfId="0" applyNumberFormat="1" applyFont="1" applyFill="1" applyBorder="1" applyAlignment="1">
      <alignment horizontal="left" vertical="top" wrapText="1"/>
    </xf>
  </cellXfs>
  <cellStyles count="7">
    <cellStyle name="Excel Built-in Normal" xfId="4"/>
    <cellStyle name="Įprastas" xfId="0" builtinId="0"/>
    <cellStyle name="Įprastas 2" xfId="5"/>
    <cellStyle name="Kablelis" xfId="1" builtinId="3"/>
    <cellStyle name="Kablelis 2" xfId="6"/>
    <cellStyle name="Normal 2 2" xfId="3"/>
    <cellStyle name="Paprastas 2 2" xfId="2"/>
  </cellStyles>
  <dxfs count="1">
    <dxf>
      <fill>
        <patternFill patternType="none">
          <bgColor indexed="65"/>
        </patternFill>
      </fill>
    </dxf>
  </dxfs>
  <tableStyles count="0" defaultTableStyle="TableStyleMedium2" defaultPivotStyle="PivotStyleLight16"/>
  <colors>
    <mruColors>
      <color rgb="FFCCFFCC"/>
      <color rgb="FFFFFF99"/>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gif"/><Relationship Id="rId1" Type="http://schemas.openxmlformats.org/officeDocument/2006/relationships/hyperlink" Target="javascript:void('0')"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64</xdr:row>
      <xdr:rowOff>0</xdr:rowOff>
    </xdr:from>
    <xdr:to>
      <xdr:col>1</xdr:col>
      <xdr:colOff>9525</xdr:colOff>
      <xdr:row>64</xdr:row>
      <xdr:rowOff>9525</xdr:rowOff>
    </xdr:to>
    <xdr:pic>
      <xdr:nvPicPr>
        <xdr:cNvPr id="2" name="Picture 1">
          <a:hlinkClick xmlns:r="http://schemas.openxmlformats.org/officeDocument/2006/relationships" r:id="rId1"/>
          <a:extLst>
            <a:ext uri="{FF2B5EF4-FFF2-40B4-BE49-F238E27FC236}">
              <a16:creationId xmlns:a16="http://schemas.microsoft.com/office/drawing/2014/main" id="{2A472358-ECEB-45B1-B7F3-4383865E98E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9100" y="57054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D117"/>
  <sheetViews>
    <sheetView tabSelected="1" zoomScale="130" zoomScaleNormal="130" zoomScaleSheetLayoutView="100" workbookViewId="0">
      <selection activeCell="B110" sqref="B110"/>
    </sheetView>
  </sheetViews>
  <sheetFormatPr defaultColWidth="8.85546875" defaultRowHeight="15" x14ac:dyDescent="0.25"/>
  <cols>
    <col min="1" max="1" width="5.85546875" style="440" customWidth="1"/>
    <col min="2" max="2" width="66.42578125" style="439" customWidth="1"/>
    <col min="3" max="3" width="23.7109375" style="440" customWidth="1"/>
    <col min="4" max="4" width="44.28515625" style="439" customWidth="1"/>
    <col min="5" max="16384" width="8.85546875" style="439"/>
  </cols>
  <sheetData>
    <row r="1" spans="1:4" s="427" customFormat="1" ht="66.599999999999994" customHeight="1" x14ac:dyDescent="0.2">
      <c r="A1" s="426"/>
      <c r="C1" s="428"/>
      <c r="D1" s="429" t="s">
        <v>437</v>
      </c>
    </row>
    <row r="2" spans="1:4" s="427" customFormat="1" ht="23.45" customHeight="1" x14ac:dyDescent="0.2">
      <c r="A2" s="452" t="s">
        <v>438</v>
      </c>
      <c r="B2" s="452"/>
      <c r="C2" s="452"/>
      <c r="D2" s="452"/>
    </row>
    <row r="3" spans="1:4" s="427" customFormat="1" ht="22.5" customHeight="1" x14ac:dyDescent="0.2">
      <c r="A3" s="453" t="s">
        <v>160</v>
      </c>
      <c r="B3" s="455" t="s">
        <v>391</v>
      </c>
      <c r="C3" s="455" t="s">
        <v>371</v>
      </c>
      <c r="D3" s="455" t="s">
        <v>393</v>
      </c>
    </row>
    <row r="4" spans="1:4" s="427" customFormat="1" ht="12.75" customHeight="1" x14ac:dyDescent="0.2">
      <c r="A4" s="454"/>
      <c r="B4" s="455"/>
      <c r="C4" s="455"/>
      <c r="D4" s="455"/>
    </row>
    <row r="5" spans="1:4" s="427" customFormat="1" ht="15.75" customHeight="1" x14ac:dyDescent="0.2">
      <c r="A5" s="451" t="s">
        <v>373</v>
      </c>
      <c r="B5" s="451"/>
      <c r="C5" s="451"/>
      <c r="D5" s="451"/>
    </row>
    <row r="6" spans="1:4" s="427" customFormat="1" ht="16.5" customHeight="1" x14ac:dyDescent="0.2">
      <c r="A6" s="446" t="s">
        <v>377</v>
      </c>
      <c r="B6" s="446"/>
      <c r="C6" s="446"/>
      <c r="D6" s="446"/>
    </row>
    <row r="7" spans="1:4" s="427" customFormat="1" ht="18.75" customHeight="1" x14ac:dyDescent="0.2">
      <c r="A7" s="328">
        <v>1</v>
      </c>
      <c r="B7" s="442" t="s">
        <v>125</v>
      </c>
      <c r="C7" s="252" t="s">
        <v>372</v>
      </c>
      <c r="D7" s="292" t="s">
        <v>386</v>
      </c>
    </row>
    <row r="8" spans="1:4" s="427" customFormat="1" ht="25.5" x14ac:dyDescent="0.2">
      <c r="A8" s="328">
        <v>2</v>
      </c>
      <c r="B8" s="442" t="s">
        <v>439</v>
      </c>
      <c r="C8" s="252" t="s">
        <v>372</v>
      </c>
      <c r="D8" s="292" t="s">
        <v>386</v>
      </c>
    </row>
    <row r="9" spans="1:4" s="427" customFormat="1" ht="12.75" x14ac:dyDescent="0.2">
      <c r="A9" s="328">
        <v>3</v>
      </c>
      <c r="B9" s="442" t="s">
        <v>440</v>
      </c>
      <c r="C9" s="252" t="s">
        <v>372</v>
      </c>
      <c r="D9" s="292" t="s">
        <v>386</v>
      </c>
    </row>
    <row r="10" spans="1:4" s="427" customFormat="1" ht="18" customHeight="1" x14ac:dyDescent="0.2">
      <c r="A10" s="446" t="s">
        <v>378</v>
      </c>
      <c r="B10" s="446"/>
      <c r="C10" s="446"/>
      <c r="D10" s="446"/>
    </row>
    <row r="11" spans="1:4" s="430" customFormat="1" x14ac:dyDescent="0.25">
      <c r="A11" s="328">
        <v>1</v>
      </c>
      <c r="B11" s="292" t="s">
        <v>40</v>
      </c>
      <c r="C11" s="252" t="s">
        <v>372</v>
      </c>
      <c r="D11" s="292" t="s">
        <v>441</v>
      </c>
    </row>
    <row r="12" spans="1:4" s="430" customFormat="1" ht="63.75" x14ac:dyDescent="0.25">
      <c r="A12" s="328">
        <v>2</v>
      </c>
      <c r="B12" s="292" t="s">
        <v>442</v>
      </c>
      <c r="C12" s="252" t="s">
        <v>372</v>
      </c>
      <c r="D12" s="292" t="s">
        <v>441</v>
      </c>
    </row>
    <row r="13" spans="1:4" s="430" customFormat="1" x14ac:dyDescent="0.25">
      <c r="A13" s="328">
        <v>3</v>
      </c>
      <c r="B13" s="292" t="s">
        <v>443</v>
      </c>
      <c r="C13" s="252" t="s">
        <v>372</v>
      </c>
      <c r="D13" s="292" t="s">
        <v>441</v>
      </c>
    </row>
    <row r="14" spans="1:4" s="430" customFormat="1" ht="19.149999999999999" customHeight="1" x14ac:dyDescent="0.25">
      <c r="A14" s="448" t="s">
        <v>379</v>
      </c>
      <c r="B14" s="449"/>
      <c r="C14" s="449"/>
      <c r="D14" s="450"/>
    </row>
    <row r="15" spans="1:4" s="427" customFormat="1" ht="12.75" x14ac:dyDescent="0.2">
      <c r="A15" s="328">
        <v>1</v>
      </c>
      <c r="B15" s="292" t="s">
        <v>47</v>
      </c>
      <c r="C15" s="252" t="s">
        <v>372</v>
      </c>
      <c r="D15" s="292" t="s">
        <v>390</v>
      </c>
    </row>
    <row r="16" spans="1:4" s="427" customFormat="1" ht="12.75" x14ac:dyDescent="0.2">
      <c r="A16" s="328">
        <v>2</v>
      </c>
      <c r="B16" s="424" t="s">
        <v>404</v>
      </c>
      <c r="C16" s="252" t="s">
        <v>372</v>
      </c>
      <c r="D16" s="292" t="s">
        <v>390</v>
      </c>
    </row>
    <row r="17" spans="1:4" s="427" customFormat="1" ht="12.75" x14ac:dyDescent="0.2">
      <c r="A17" s="328">
        <v>3</v>
      </c>
      <c r="B17" s="424" t="s">
        <v>405</v>
      </c>
      <c r="C17" s="252" t="s">
        <v>372</v>
      </c>
      <c r="D17" s="292" t="s">
        <v>390</v>
      </c>
    </row>
    <row r="18" spans="1:4" s="427" customFormat="1" ht="12.75" x14ac:dyDescent="0.2">
      <c r="A18" s="328">
        <v>4</v>
      </c>
      <c r="B18" s="424" t="s">
        <v>444</v>
      </c>
      <c r="C18" s="252" t="s">
        <v>372</v>
      </c>
      <c r="D18" s="292" t="s">
        <v>390</v>
      </c>
    </row>
    <row r="19" spans="1:4" s="427" customFormat="1" ht="18" customHeight="1" x14ac:dyDescent="0.2">
      <c r="A19" s="446" t="s">
        <v>380</v>
      </c>
      <c r="B19" s="446"/>
      <c r="C19" s="446"/>
      <c r="D19" s="446"/>
    </row>
    <row r="20" spans="1:4" s="427" customFormat="1" ht="25.5" x14ac:dyDescent="0.2">
      <c r="A20" s="328">
        <v>1</v>
      </c>
      <c r="B20" s="292" t="s">
        <v>445</v>
      </c>
      <c r="C20" s="252" t="s">
        <v>372</v>
      </c>
      <c r="D20" s="292" t="s">
        <v>387</v>
      </c>
    </row>
    <row r="21" spans="1:4" s="427" customFormat="1" ht="12.75" x14ac:dyDescent="0.2">
      <c r="A21" s="328">
        <v>2</v>
      </c>
      <c r="B21" s="273" t="s">
        <v>446</v>
      </c>
      <c r="C21" s="252" t="s">
        <v>372</v>
      </c>
      <c r="D21" s="292" t="s">
        <v>387</v>
      </c>
    </row>
    <row r="22" spans="1:4" s="427" customFormat="1" ht="20.25" customHeight="1" x14ac:dyDescent="0.2">
      <c r="A22" s="446" t="s">
        <v>381</v>
      </c>
      <c r="B22" s="446"/>
      <c r="C22" s="446"/>
      <c r="D22" s="446"/>
    </row>
    <row r="23" spans="1:4" s="427" customFormat="1" ht="25.5" x14ac:dyDescent="0.2">
      <c r="A23" s="328">
        <v>1</v>
      </c>
      <c r="B23" s="292" t="s">
        <v>149</v>
      </c>
      <c r="C23" s="252" t="s">
        <v>372</v>
      </c>
      <c r="D23" s="292" t="s">
        <v>389</v>
      </c>
    </row>
    <row r="24" spans="1:4" s="427" customFormat="1" ht="17.25" customHeight="1" x14ac:dyDescent="0.2">
      <c r="A24" s="451" t="s">
        <v>376</v>
      </c>
      <c r="B24" s="451"/>
      <c r="C24" s="451"/>
      <c r="D24" s="451"/>
    </row>
    <row r="25" spans="1:4" s="427" customFormat="1" ht="17.25" customHeight="1" x14ac:dyDescent="0.2">
      <c r="A25" s="446" t="s">
        <v>392</v>
      </c>
      <c r="B25" s="446"/>
      <c r="C25" s="446"/>
      <c r="D25" s="446"/>
    </row>
    <row r="26" spans="1:4" s="427" customFormat="1" ht="46.5" customHeight="1" x14ac:dyDescent="0.2">
      <c r="A26" s="328">
        <v>1</v>
      </c>
      <c r="B26" s="423" t="s">
        <v>408</v>
      </c>
      <c r="C26" s="252" t="s">
        <v>372</v>
      </c>
      <c r="D26" s="423" t="s">
        <v>384</v>
      </c>
    </row>
    <row r="27" spans="1:4" s="427" customFormat="1" ht="17.25" customHeight="1" x14ac:dyDescent="0.2">
      <c r="A27" s="446" t="s">
        <v>418</v>
      </c>
      <c r="B27" s="446"/>
      <c r="C27" s="446"/>
      <c r="D27" s="446"/>
    </row>
    <row r="28" spans="1:4" s="427" customFormat="1" ht="25.5" x14ac:dyDescent="0.2">
      <c r="A28" s="328">
        <v>1</v>
      </c>
      <c r="B28" s="257" t="s">
        <v>447</v>
      </c>
      <c r="C28" s="252" t="s">
        <v>372</v>
      </c>
      <c r="D28" s="292" t="s">
        <v>374</v>
      </c>
    </row>
    <row r="29" spans="1:4" s="427" customFormat="1" ht="12.75" x14ac:dyDescent="0.2">
      <c r="A29" s="328">
        <v>2</v>
      </c>
      <c r="B29" s="399" t="s">
        <v>448</v>
      </c>
      <c r="C29" s="252" t="s">
        <v>372</v>
      </c>
      <c r="D29" s="292" t="s">
        <v>374</v>
      </c>
    </row>
    <row r="30" spans="1:4" s="427" customFormat="1" ht="12.75" x14ac:dyDescent="0.2">
      <c r="A30" s="328">
        <v>3</v>
      </c>
      <c r="B30" s="399" t="s">
        <v>449</v>
      </c>
      <c r="C30" s="252"/>
      <c r="D30" s="292" t="s">
        <v>374</v>
      </c>
    </row>
    <row r="31" spans="1:4" s="427" customFormat="1" ht="25.5" x14ac:dyDescent="0.2">
      <c r="A31" s="328">
        <v>4</v>
      </c>
      <c r="B31" s="399" t="s">
        <v>450</v>
      </c>
      <c r="C31" s="252"/>
      <c r="D31" s="292" t="s">
        <v>374</v>
      </c>
    </row>
    <row r="32" spans="1:4" s="427" customFormat="1" ht="17.25" customHeight="1" x14ac:dyDescent="0.2">
      <c r="A32" s="446" t="s">
        <v>382</v>
      </c>
      <c r="B32" s="446"/>
      <c r="C32" s="446"/>
      <c r="D32" s="446"/>
    </row>
    <row r="33" spans="1:4" s="427" customFormat="1" ht="12.75" x14ac:dyDescent="0.2">
      <c r="A33" s="328">
        <v>1</v>
      </c>
      <c r="B33" s="273" t="s">
        <v>313</v>
      </c>
      <c r="C33" s="252" t="s">
        <v>372</v>
      </c>
      <c r="D33" s="292" t="s">
        <v>375</v>
      </c>
    </row>
    <row r="34" spans="1:4" s="427" customFormat="1" ht="12.75" x14ac:dyDescent="0.2">
      <c r="A34" s="328">
        <v>2</v>
      </c>
      <c r="B34" s="265" t="s">
        <v>451</v>
      </c>
      <c r="C34" s="252" t="s">
        <v>372</v>
      </c>
      <c r="D34" s="292" t="s">
        <v>375</v>
      </c>
    </row>
    <row r="35" spans="1:4" s="427" customFormat="1" ht="12.75" x14ac:dyDescent="0.2">
      <c r="A35" s="328">
        <v>3</v>
      </c>
      <c r="B35" s="273" t="s">
        <v>288</v>
      </c>
      <c r="C35" s="252" t="s">
        <v>372</v>
      </c>
      <c r="D35" s="292" t="s">
        <v>375</v>
      </c>
    </row>
    <row r="36" spans="1:4" s="427" customFormat="1" ht="12.75" x14ac:dyDescent="0.2">
      <c r="A36" s="328">
        <v>4</v>
      </c>
      <c r="B36" s="273" t="s">
        <v>452</v>
      </c>
      <c r="C36" s="252" t="s">
        <v>372</v>
      </c>
      <c r="D36" s="292" t="s">
        <v>375</v>
      </c>
    </row>
    <row r="37" spans="1:4" s="427" customFormat="1" ht="12.75" x14ac:dyDescent="0.2">
      <c r="A37" s="328">
        <v>5</v>
      </c>
      <c r="B37" s="291" t="s">
        <v>370</v>
      </c>
      <c r="C37" s="252" t="s">
        <v>372</v>
      </c>
      <c r="D37" s="292" t="s">
        <v>375</v>
      </c>
    </row>
    <row r="38" spans="1:4" s="427" customFormat="1" ht="12.75" x14ac:dyDescent="0.2">
      <c r="A38" s="328">
        <v>6</v>
      </c>
      <c r="B38" s="290" t="s">
        <v>148</v>
      </c>
      <c r="C38" s="252" t="s">
        <v>372</v>
      </c>
      <c r="D38" s="292" t="s">
        <v>375</v>
      </c>
    </row>
    <row r="39" spans="1:4" s="427" customFormat="1" ht="25.5" x14ac:dyDescent="0.2">
      <c r="A39" s="328">
        <v>7</v>
      </c>
      <c r="B39" s="290" t="s">
        <v>388</v>
      </c>
      <c r="C39" s="252" t="s">
        <v>372</v>
      </c>
      <c r="D39" s="292" t="s">
        <v>375</v>
      </c>
    </row>
    <row r="40" spans="1:4" s="427" customFormat="1" ht="12.75" x14ac:dyDescent="0.2">
      <c r="A40" s="328">
        <v>9</v>
      </c>
      <c r="B40" s="273" t="s">
        <v>406</v>
      </c>
      <c r="C40" s="252" t="s">
        <v>372</v>
      </c>
      <c r="D40" s="292" t="s">
        <v>375</v>
      </c>
    </row>
    <row r="41" spans="1:4" s="427" customFormat="1" ht="12.75" x14ac:dyDescent="0.2">
      <c r="A41" s="328">
        <v>10</v>
      </c>
      <c r="B41" s="443" t="s">
        <v>407</v>
      </c>
      <c r="C41" s="252" t="s">
        <v>372</v>
      </c>
      <c r="D41" s="292" t="s">
        <v>375</v>
      </c>
    </row>
    <row r="42" spans="1:4" s="427" customFormat="1" ht="12.75" x14ac:dyDescent="0.2">
      <c r="A42" s="328">
        <v>11</v>
      </c>
      <c r="B42" s="292" t="s">
        <v>453</v>
      </c>
      <c r="C42" s="252" t="s">
        <v>372</v>
      </c>
      <c r="D42" s="292" t="s">
        <v>375</v>
      </c>
    </row>
    <row r="43" spans="1:4" s="427" customFormat="1" ht="12.75" x14ac:dyDescent="0.2">
      <c r="A43" s="328">
        <v>12</v>
      </c>
      <c r="B43" s="292" t="s">
        <v>454</v>
      </c>
      <c r="C43" s="252" t="s">
        <v>372</v>
      </c>
      <c r="D43" s="292" t="s">
        <v>375</v>
      </c>
    </row>
    <row r="44" spans="1:4" s="427" customFormat="1" ht="25.5" x14ac:dyDescent="0.2">
      <c r="A44" s="328">
        <v>13</v>
      </c>
      <c r="B44" s="292" t="s">
        <v>455</v>
      </c>
      <c r="C44" s="252" t="s">
        <v>372</v>
      </c>
      <c r="D44" s="292" t="s">
        <v>375</v>
      </c>
    </row>
    <row r="45" spans="1:4" s="427" customFormat="1" ht="25.5" x14ac:dyDescent="0.2">
      <c r="A45" s="328">
        <v>14</v>
      </c>
      <c r="B45" s="292" t="s">
        <v>456</v>
      </c>
      <c r="C45" s="252" t="s">
        <v>372</v>
      </c>
      <c r="D45" s="292" t="s">
        <v>375</v>
      </c>
    </row>
    <row r="46" spans="1:4" s="427" customFormat="1" ht="12.75" x14ac:dyDescent="0.2">
      <c r="A46" s="328">
        <v>15</v>
      </c>
      <c r="B46" s="292" t="s">
        <v>457</v>
      </c>
      <c r="C46" s="252" t="s">
        <v>372</v>
      </c>
      <c r="D46" s="292" t="s">
        <v>375</v>
      </c>
    </row>
    <row r="47" spans="1:4" s="427" customFormat="1" ht="25.5" x14ac:dyDescent="0.2">
      <c r="A47" s="328">
        <v>16</v>
      </c>
      <c r="B47" s="292" t="s">
        <v>417</v>
      </c>
      <c r="C47" s="252" t="s">
        <v>372</v>
      </c>
      <c r="D47" s="292" t="s">
        <v>375</v>
      </c>
    </row>
    <row r="48" spans="1:4" s="430" customFormat="1" ht="15.75" customHeight="1" x14ac:dyDescent="0.25">
      <c r="A48" s="446" t="s">
        <v>435</v>
      </c>
      <c r="B48" s="446"/>
      <c r="C48" s="446"/>
      <c r="D48" s="446"/>
    </row>
    <row r="49" spans="1:4" s="430" customFormat="1" x14ac:dyDescent="0.25">
      <c r="A49" s="328">
        <v>1</v>
      </c>
      <c r="B49" s="292" t="s">
        <v>419</v>
      </c>
      <c r="C49" s="366" t="s">
        <v>394</v>
      </c>
      <c r="D49" s="423"/>
    </row>
    <row r="50" spans="1:4" s="427" customFormat="1" ht="25.5" x14ac:dyDescent="0.2">
      <c r="A50" s="328">
        <v>2</v>
      </c>
      <c r="B50" s="292" t="s">
        <v>458</v>
      </c>
      <c r="C50" s="366" t="s">
        <v>394</v>
      </c>
      <c r="D50" s="292"/>
    </row>
    <row r="51" spans="1:4" s="427" customFormat="1" ht="12.75" x14ac:dyDescent="0.2">
      <c r="A51" s="328">
        <v>3</v>
      </c>
      <c r="B51" s="292" t="s">
        <v>459</v>
      </c>
      <c r="C51" s="366" t="s">
        <v>394</v>
      </c>
      <c r="D51" s="292"/>
    </row>
    <row r="52" spans="1:4" s="427" customFormat="1" ht="16.149999999999999" customHeight="1" x14ac:dyDescent="0.2">
      <c r="A52" s="328">
        <v>4</v>
      </c>
      <c r="B52" s="292" t="s">
        <v>420</v>
      </c>
      <c r="C52" s="366" t="s">
        <v>394</v>
      </c>
      <c r="D52" s="292"/>
    </row>
    <row r="53" spans="1:4" s="427" customFormat="1" ht="12.75" x14ac:dyDescent="0.2">
      <c r="A53" s="328">
        <v>5</v>
      </c>
      <c r="B53" s="292" t="s">
        <v>421</v>
      </c>
      <c r="C53" s="366" t="s">
        <v>394</v>
      </c>
      <c r="D53" s="292"/>
    </row>
    <row r="54" spans="1:4" s="427" customFormat="1" ht="16.899999999999999" customHeight="1" x14ac:dyDescent="0.2">
      <c r="A54" s="328">
        <v>6</v>
      </c>
      <c r="B54" s="292" t="s">
        <v>398</v>
      </c>
      <c r="C54" s="366" t="s">
        <v>394</v>
      </c>
      <c r="D54" s="292"/>
    </row>
    <row r="55" spans="1:4" s="427" customFormat="1" ht="29.25" customHeight="1" x14ac:dyDescent="0.2">
      <c r="A55" s="328">
        <v>7</v>
      </c>
      <c r="B55" s="292" t="s">
        <v>460</v>
      </c>
      <c r="C55" s="366" t="s">
        <v>394</v>
      </c>
      <c r="D55" s="292"/>
    </row>
    <row r="56" spans="1:4" s="427" customFormat="1" ht="12.75" x14ac:dyDescent="0.2">
      <c r="A56" s="328">
        <v>8</v>
      </c>
      <c r="B56" s="292" t="s">
        <v>461</v>
      </c>
      <c r="C56" s="366" t="s">
        <v>394</v>
      </c>
      <c r="D56" s="292"/>
    </row>
    <row r="57" spans="1:4" s="427" customFormat="1" ht="12.75" x14ac:dyDescent="0.2">
      <c r="A57" s="328">
        <v>9</v>
      </c>
      <c r="B57" s="292" t="s">
        <v>383</v>
      </c>
      <c r="C57" s="366" t="s">
        <v>394</v>
      </c>
      <c r="D57" s="292"/>
    </row>
    <row r="58" spans="1:4" s="427" customFormat="1" ht="28.5" customHeight="1" x14ac:dyDescent="0.2">
      <c r="A58" s="328">
        <v>10</v>
      </c>
      <c r="B58" s="292" t="s">
        <v>422</v>
      </c>
      <c r="C58" s="366" t="s">
        <v>394</v>
      </c>
      <c r="D58" s="292"/>
    </row>
    <row r="59" spans="1:4" s="427" customFormat="1" ht="12.75" x14ac:dyDescent="0.2">
      <c r="A59" s="328">
        <v>11</v>
      </c>
      <c r="B59" s="292" t="s">
        <v>423</v>
      </c>
      <c r="C59" s="366" t="s">
        <v>394</v>
      </c>
      <c r="D59" s="292"/>
    </row>
    <row r="60" spans="1:4" s="427" customFormat="1" ht="25.5" x14ac:dyDescent="0.2">
      <c r="A60" s="328">
        <v>12</v>
      </c>
      <c r="B60" s="292" t="s">
        <v>424</v>
      </c>
      <c r="C60" s="366" t="s">
        <v>394</v>
      </c>
      <c r="D60" s="292"/>
    </row>
    <row r="61" spans="1:4" s="427" customFormat="1" ht="12.75" x14ac:dyDescent="0.2">
      <c r="A61" s="328">
        <v>13</v>
      </c>
      <c r="B61" s="292" t="s">
        <v>425</v>
      </c>
      <c r="C61" s="366" t="s">
        <v>394</v>
      </c>
      <c r="D61" s="425"/>
    </row>
    <row r="62" spans="1:4" s="427" customFormat="1" ht="12.75" x14ac:dyDescent="0.2">
      <c r="A62" s="328">
        <v>14</v>
      </c>
      <c r="B62" s="292" t="s">
        <v>426</v>
      </c>
      <c r="C62" s="366" t="s">
        <v>394</v>
      </c>
      <c r="D62" s="425"/>
    </row>
    <row r="63" spans="1:4" s="427" customFormat="1" ht="25.5" x14ac:dyDescent="0.2">
      <c r="A63" s="328">
        <v>15</v>
      </c>
      <c r="B63" s="292" t="s">
        <v>462</v>
      </c>
      <c r="C63" s="366" t="s">
        <v>394</v>
      </c>
      <c r="D63" s="425"/>
    </row>
    <row r="64" spans="1:4" s="427" customFormat="1" ht="27" customHeight="1" x14ac:dyDescent="0.2">
      <c r="A64" s="328">
        <v>16</v>
      </c>
      <c r="B64" s="292" t="s">
        <v>463</v>
      </c>
      <c r="C64" s="366" t="s">
        <v>394</v>
      </c>
      <c r="D64" s="425"/>
    </row>
    <row r="65" spans="1:4" s="427" customFormat="1" ht="25.5" x14ac:dyDescent="0.2">
      <c r="A65" s="328">
        <v>17</v>
      </c>
      <c r="B65" s="292" t="s">
        <v>464</v>
      </c>
      <c r="C65" s="366" t="s">
        <v>394</v>
      </c>
      <c r="D65" s="425"/>
    </row>
    <row r="66" spans="1:4" s="427" customFormat="1" ht="12.75" x14ac:dyDescent="0.2">
      <c r="A66" s="328">
        <v>18</v>
      </c>
      <c r="B66" s="292" t="s">
        <v>465</v>
      </c>
      <c r="C66" s="366" t="s">
        <v>394</v>
      </c>
      <c r="D66" s="425"/>
    </row>
    <row r="67" spans="1:4" s="427" customFormat="1" ht="12.75" x14ac:dyDescent="0.2">
      <c r="A67" s="447" t="s">
        <v>434</v>
      </c>
      <c r="B67" s="447"/>
      <c r="C67" s="447"/>
      <c r="D67" s="447"/>
    </row>
    <row r="68" spans="1:4" s="427" customFormat="1" ht="12.75" x14ac:dyDescent="0.2">
      <c r="A68" s="431">
        <v>1</v>
      </c>
      <c r="B68" s="444" t="s">
        <v>427</v>
      </c>
      <c r="C68" s="252" t="s">
        <v>395</v>
      </c>
      <c r="D68" s="432"/>
    </row>
    <row r="69" spans="1:4" s="427" customFormat="1" ht="12.75" x14ac:dyDescent="0.2">
      <c r="A69" s="431">
        <v>2</v>
      </c>
      <c r="B69" s="444" t="s">
        <v>410</v>
      </c>
      <c r="C69" s="252" t="s">
        <v>395</v>
      </c>
      <c r="D69" s="432"/>
    </row>
    <row r="70" spans="1:4" s="427" customFormat="1" ht="12.75" x14ac:dyDescent="0.2">
      <c r="A70" s="431">
        <v>3</v>
      </c>
      <c r="B70" s="444" t="s">
        <v>414</v>
      </c>
      <c r="C70" s="252" t="s">
        <v>395</v>
      </c>
      <c r="D70" s="432"/>
    </row>
    <row r="71" spans="1:4" s="427" customFormat="1" ht="12.75" x14ac:dyDescent="0.2">
      <c r="A71" s="431">
        <v>4</v>
      </c>
      <c r="B71" s="444" t="s">
        <v>428</v>
      </c>
      <c r="C71" s="252" t="s">
        <v>396</v>
      </c>
      <c r="D71" s="432"/>
    </row>
    <row r="72" spans="1:4" s="427" customFormat="1" ht="12.75" x14ac:dyDescent="0.2">
      <c r="A72" s="431">
        <v>5</v>
      </c>
      <c r="B72" s="444" t="s">
        <v>429</v>
      </c>
      <c r="C72" s="252" t="s">
        <v>395</v>
      </c>
      <c r="D72" s="432"/>
    </row>
    <row r="73" spans="1:4" s="427" customFormat="1" ht="12.75" x14ac:dyDescent="0.2">
      <c r="A73" s="431">
        <v>6</v>
      </c>
      <c r="B73" s="444" t="s">
        <v>466</v>
      </c>
      <c r="C73" s="252" t="s">
        <v>395</v>
      </c>
      <c r="D73" s="432"/>
    </row>
    <row r="74" spans="1:4" s="427" customFormat="1" ht="12.75" x14ac:dyDescent="0.2">
      <c r="A74" s="431">
        <v>7</v>
      </c>
      <c r="B74" s="444" t="s">
        <v>415</v>
      </c>
      <c r="C74" s="252" t="s">
        <v>395</v>
      </c>
      <c r="D74" s="432"/>
    </row>
    <row r="75" spans="1:4" s="427" customFormat="1" ht="12.75" x14ac:dyDescent="0.2">
      <c r="A75" s="431">
        <v>8</v>
      </c>
      <c r="B75" s="444" t="s">
        <v>467</v>
      </c>
      <c r="C75" s="252" t="s">
        <v>395</v>
      </c>
      <c r="D75" s="432"/>
    </row>
    <row r="76" spans="1:4" s="427" customFormat="1" ht="19.899999999999999" customHeight="1" x14ac:dyDescent="0.2">
      <c r="A76" s="431">
        <v>9</v>
      </c>
      <c r="B76" s="444" t="s">
        <v>468</v>
      </c>
      <c r="C76" s="252" t="s">
        <v>385</v>
      </c>
      <c r="D76" s="433"/>
    </row>
    <row r="77" spans="1:4" s="427" customFormat="1" ht="19.149999999999999" customHeight="1" x14ac:dyDescent="0.2">
      <c r="A77" s="431">
        <v>10</v>
      </c>
      <c r="B77" s="444" t="s">
        <v>430</v>
      </c>
      <c r="C77" s="252" t="s">
        <v>395</v>
      </c>
      <c r="D77" s="432"/>
    </row>
    <row r="78" spans="1:4" s="427" customFormat="1" ht="18" customHeight="1" x14ac:dyDescent="0.2">
      <c r="A78" s="431">
        <v>11</v>
      </c>
      <c r="B78" s="444" t="s">
        <v>399</v>
      </c>
      <c r="C78" s="252" t="s">
        <v>395</v>
      </c>
      <c r="D78" s="432"/>
    </row>
    <row r="79" spans="1:4" s="427" customFormat="1" ht="19.149999999999999" customHeight="1" x14ac:dyDescent="0.2">
      <c r="A79" s="431">
        <v>12</v>
      </c>
      <c r="B79" s="444" t="s">
        <v>469</v>
      </c>
      <c r="C79" s="252" t="s">
        <v>395</v>
      </c>
      <c r="D79" s="432"/>
    </row>
    <row r="80" spans="1:4" s="427" customFormat="1" ht="19.149999999999999" customHeight="1" x14ac:dyDescent="0.2">
      <c r="A80" s="431">
        <v>13</v>
      </c>
      <c r="B80" s="444" t="s">
        <v>470</v>
      </c>
      <c r="C80" s="252" t="s">
        <v>395</v>
      </c>
      <c r="D80" s="432"/>
    </row>
    <row r="81" spans="1:4" s="427" customFormat="1" ht="19.149999999999999" customHeight="1" x14ac:dyDescent="0.2">
      <c r="A81" s="431">
        <v>14</v>
      </c>
      <c r="B81" s="444" t="s">
        <v>471</v>
      </c>
      <c r="C81" s="252" t="s">
        <v>395</v>
      </c>
      <c r="D81" s="432"/>
    </row>
    <row r="82" spans="1:4" s="427" customFormat="1" ht="19.149999999999999" customHeight="1" x14ac:dyDescent="0.2">
      <c r="A82" s="431">
        <v>15</v>
      </c>
      <c r="B82" s="444" t="s">
        <v>472</v>
      </c>
      <c r="C82" s="252" t="s">
        <v>395</v>
      </c>
      <c r="D82" s="432"/>
    </row>
    <row r="83" spans="1:4" s="427" customFormat="1" ht="19.149999999999999" customHeight="1" x14ac:dyDescent="0.2">
      <c r="A83" s="431">
        <v>16</v>
      </c>
      <c r="B83" s="444" t="s">
        <v>400</v>
      </c>
      <c r="C83" s="252" t="s">
        <v>395</v>
      </c>
      <c r="D83" s="432"/>
    </row>
    <row r="84" spans="1:4" s="427" customFormat="1" ht="19.149999999999999" customHeight="1" x14ac:dyDescent="0.2">
      <c r="A84" s="431">
        <v>17</v>
      </c>
      <c r="B84" s="444" t="s">
        <v>409</v>
      </c>
      <c r="C84" s="252" t="s">
        <v>395</v>
      </c>
      <c r="D84" s="432"/>
    </row>
    <row r="85" spans="1:4" s="427" customFormat="1" ht="19.149999999999999" customHeight="1" x14ac:dyDescent="0.2">
      <c r="A85" s="431">
        <v>18</v>
      </c>
      <c r="B85" s="444" t="s">
        <v>473</v>
      </c>
      <c r="C85" s="252" t="s">
        <v>395</v>
      </c>
      <c r="D85" s="432"/>
    </row>
    <row r="86" spans="1:4" s="427" customFormat="1" ht="19.149999999999999" customHeight="1" x14ac:dyDescent="0.2">
      <c r="A86" s="431">
        <v>19</v>
      </c>
      <c r="B86" s="444" t="s">
        <v>411</v>
      </c>
      <c r="C86" s="252" t="s">
        <v>395</v>
      </c>
      <c r="D86" s="432"/>
    </row>
    <row r="87" spans="1:4" s="427" customFormat="1" ht="19.149999999999999" customHeight="1" x14ac:dyDescent="0.2">
      <c r="A87" s="431">
        <v>20</v>
      </c>
      <c r="B87" s="444" t="s">
        <v>474</v>
      </c>
      <c r="C87" s="252" t="s">
        <v>395</v>
      </c>
      <c r="D87" s="432"/>
    </row>
    <row r="88" spans="1:4" s="427" customFormat="1" ht="12.75" x14ac:dyDescent="0.2">
      <c r="A88" s="431">
        <v>21</v>
      </c>
      <c r="B88" s="444" t="s">
        <v>401</v>
      </c>
      <c r="C88" s="252" t="s">
        <v>395</v>
      </c>
      <c r="D88" s="432"/>
    </row>
    <row r="89" spans="1:4" s="427" customFormat="1" ht="12.75" x14ac:dyDescent="0.2">
      <c r="A89" s="431">
        <v>22</v>
      </c>
      <c r="B89" s="444" t="s">
        <v>475</v>
      </c>
      <c r="C89" s="252" t="s">
        <v>395</v>
      </c>
      <c r="D89" s="432"/>
    </row>
    <row r="90" spans="1:4" s="427" customFormat="1" ht="20.45" customHeight="1" x14ac:dyDescent="0.2">
      <c r="A90" s="431">
        <v>23</v>
      </c>
      <c r="B90" s="444" t="s">
        <v>476</v>
      </c>
      <c r="C90" s="252" t="s">
        <v>395</v>
      </c>
      <c r="D90" s="434"/>
    </row>
    <row r="91" spans="1:4" s="427" customFormat="1" ht="20.45" customHeight="1" x14ac:dyDescent="0.2">
      <c r="A91" s="431">
        <v>24</v>
      </c>
      <c r="B91" s="444" t="s">
        <v>402</v>
      </c>
      <c r="C91" s="252" t="s">
        <v>395</v>
      </c>
      <c r="D91" s="432"/>
    </row>
    <row r="92" spans="1:4" s="427" customFormat="1" ht="20.45" customHeight="1" x14ac:dyDescent="0.2">
      <c r="A92" s="431">
        <v>25</v>
      </c>
      <c r="B92" s="444" t="s">
        <v>477</v>
      </c>
      <c r="C92" s="252" t="s">
        <v>395</v>
      </c>
      <c r="D92" s="435"/>
    </row>
    <row r="93" spans="1:4" s="427" customFormat="1" ht="20.45" customHeight="1" x14ac:dyDescent="0.2">
      <c r="A93" s="431">
        <v>26</v>
      </c>
      <c r="B93" s="444" t="s">
        <v>412</v>
      </c>
      <c r="C93" s="252" t="s">
        <v>395</v>
      </c>
      <c r="D93" s="435"/>
    </row>
    <row r="94" spans="1:4" s="427" customFormat="1" ht="12.75" x14ac:dyDescent="0.2">
      <c r="A94" s="431">
        <v>27</v>
      </c>
      <c r="B94" s="444" t="s">
        <v>478</v>
      </c>
      <c r="C94" s="252" t="s">
        <v>395</v>
      </c>
      <c r="D94" s="436"/>
    </row>
    <row r="95" spans="1:4" s="427" customFormat="1" ht="12.75" x14ac:dyDescent="0.2">
      <c r="A95" s="431">
        <v>28</v>
      </c>
      <c r="B95" s="444" t="s">
        <v>403</v>
      </c>
      <c r="C95" s="252" t="s">
        <v>395</v>
      </c>
      <c r="D95" s="436"/>
    </row>
    <row r="96" spans="1:4" s="427" customFormat="1" ht="12.75" x14ac:dyDescent="0.2">
      <c r="A96" s="431">
        <v>29</v>
      </c>
      <c r="B96" s="444" t="s">
        <v>479</v>
      </c>
      <c r="C96" s="252" t="s">
        <v>395</v>
      </c>
      <c r="D96" s="436"/>
    </row>
    <row r="97" spans="1:4" s="427" customFormat="1" ht="12.75" x14ac:dyDescent="0.2">
      <c r="A97" s="431">
        <v>30</v>
      </c>
      <c r="B97" s="444" t="s">
        <v>413</v>
      </c>
      <c r="C97" s="252" t="s">
        <v>395</v>
      </c>
      <c r="D97" s="436"/>
    </row>
    <row r="98" spans="1:4" s="427" customFormat="1" ht="18" customHeight="1" x14ac:dyDescent="0.2">
      <c r="A98" s="431">
        <v>31</v>
      </c>
      <c r="B98" s="444" t="s">
        <v>480</v>
      </c>
      <c r="C98" s="252" t="s">
        <v>395</v>
      </c>
      <c r="D98" s="436"/>
    </row>
    <row r="99" spans="1:4" s="427" customFormat="1" ht="18" customHeight="1" x14ac:dyDescent="0.2">
      <c r="A99" s="431">
        <v>32</v>
      </c>
      <c r="B99" s="444" t="s">
        <v>481</v>
      </c>
      <c r="C99" s="252" t="s">
        <v>395</v>
      </c>
      <c r="D99" s="436"/>
    </row>
    <row r="100" spans="1:4" s="427" customFormat="1" ht="18" customHeight="1" x14ac:dyDescent="0.2">
      <c r="A100" s="431">
        <v>33</v>
      </c>
      <c r="B100" s="444" t="s">
        <v>431</v>
      </c>
      <c r="C100" s="252" t="s">
        <v>395</v>
      </c>
      <c r="D100" s="436"/>
    </row>
    <row r="101" spans="1:4" s="427" customFormat="1" ht="18" customHeight="1" x14ac:dyDescent="0.2">
      <c r="A101" s="431">
        <v>34</v>
      </c>
      <c r="B101" s="444" t="s">
        <v>432</v>
      </c>
      <c r="C101" s="252" t="s">
        <v>395</v>
      </c>
      <c r="D101" s="436"/>
    </row>
    <row r="102" spans="1:4" s="427" customFormat="1" ht="18" customHeight="1" x14ac:dyDescent="0.2">
      <c r="A102" s="431">
        <v>35</v>
      </c>
      <c r="B102" s="444" t="s">
        <v>433</v>
      </c>
      <c r="C102" s="252" t="s">
        <v>395</v>
      </c>
      <c r="D102" s="436"/>
    </row>
    <row r="103" spans="1:4" s="427" customFormat="1" ht="18" customHeight="1" x14ac:dyDescent="0.2">
      <c r="A103" s="431">
        <v>36</v>
      </c>
      <c r="B103" s="444" t="s">
        <v>482</v>
      </c>
      <c r="C103" s="252" t="s">
        <v>395</v>
      </c>
      <c r="D103" s="436"/>
    </row>
    <row r="104" spans="1:4" s="427" customFormat="1" ht="18" customHeight="1" x14ac:dyDescent="0.2">
      <c r="A104" s="431">
        <v>37</v>
      </c>
      <c r="B104" s="444" t="s">
        <v>483</v>
      </c>
      <c r="C104" s="252" t="s">
        <v>395</v>
      </c>
      <c r="D104" s="436"/>
    </row>
    <row r="105" spans="1:4" s="427" customFormat="1" ht="18" customHeight="1" x14ac:dyDescent="0.2">
      <c r="A105" s="431">
        <v>38</v>
      </c>
      <c r="B105" s="444" t="s">
        <v>484</v>
      </c>
      <c r="C105" s="252" t="s">
        <v>395</v>
      </c>
      <c r="D105" s="436"/>
    </row>
    <row r="106" spans="1:4" s="427" customFormat="1" ht="18" customHeight="1" x14ac:dyDescent="0.2">
      <c r="A106" s="431">
        <v>39</v>
      </c>
      <c r="B106" s="444" t="s">
        <v>485</v>
      </c>
      <c r="C106" s="252" t="s">
        <v>395</v>
      </c>
      <c r="D106" s="436"/>
    </row>
    <row r="107" spans="1:4" s="427" customFormat="1" ht="18" customHeight="1" x14ac:dyDescent="0.2">
      <c r="A107" s="431">
        <v>40</v>
      </c>
      <c r="B107" s="444" t="s">
        <v>486</v>
      </c>
      <c r="C107" s="252" t="s">
        <v>395</v>
      </c>
      <c r="D107" s="436"/>
    </row>
    <row r="108" spans="1:4" s="427" customFormat="1" ht="18" customHeight="1" x14ac:dyDescent="0.2">
      <c r="A108" s="431">
        <v>41</v>
      </c>
      <c r="B108" s="444" t="s">
        <v>487</v>
      </c>
      <c r="C108" s="252" t="s">
        <v>395</v>
      </c>
      <c r="D108" s="436"/>
    </row>
    <row r="109" spans="1:4" s="427" customFormat="1" ht="18" customHeight="1" x14ac:dyDescent="0.2">
      <c r="A109" s="431">
        <v>42</v>
      </c>
      <c r="B109" s="444" t="s">
        <v>488</v>
      </c>
      <c r="C109" s="252" t="s">
        <v>395</v>
      </c>
      <c r="D109" s="436"/>
    </row>
    <row r="110" spans="1:4" s="427" customFormat="1" ht="18" customHeight="1" x14ac:dyDescent="0.2">
      <c r="A110" s="431">
        <v>43</v>
      </c>
      <c r="B110" s="444" t="s">
        <v>489</v>
      </c>
      <c r="C110" s="252" t="s">
        <v>395</v>
      </c>
      <c r="D110" s="436"/>
    </row>
    <row r="111" spans="1:4" s="427" customFormat="1" ht="25.5" customHeight="1" x14ac:dyDescent="0.2">
      <c r="A111" s="445"/>
      <c r="B111" s="445"/>
      <c r="C111" s="445"/>
      <c r="D111" s="445"/>
    </row>
    <row r="112" spans="1:4" x14ac:dyDescent="0.25">
      <c r="A112" s="437" t="s">
        <v>416</v>
      </c>
      <c r="B112" s="437"/>
      <c r="C112" s="438"/>
    </row>
    <row r="113" spans="1:3" x14ac:dyDescent="0.25">
      <c r="A113" s="437" t="s">
        <v>436</v>
      </c>
      <c r="B113" s="437"/>
      <c r="C113" s="438"/>
    </row>
    <row r="114" spans="1:3" x14ac:dyDescent="0.25">
      <c r="A114" s="437" t="s">
        <v>397</v>
      </c>
      <c r="B114" s="437"/>
      <c r="C114" s="438"/>
    </row>
    <row r="115" spans="1:3" x14ac:dyDescent="0.25">
      <c r="A115" s="437"/>
      <c r="C115" s="440" t="s">
        <v>490</v>
      </c>
    </row>
    <row r="116" spans="1:3" x14ac:dyDescent="0.25">
      <c r="A116" s="437"/>
    </row>
    <row r="117" spans="1:3" x14ac:dyDescent="0.25">
      <c r="A117" s="437"/>
      <c r="B117" s="441"/>
    </row>
  </sheetData>
  <mergeCells count="18">
    <mergeCell ref="A10:D10"/>
    <mergeCell ref="A6:D6"/>
    <mergeCell ref="A5:D5"/>
    <mergeCell ref="A2:D2"/>
    <mergeCell ref="A3:A4"/>
    <mergeCell ref="B3:B4"/>
    <mergeCell ref="C3:C4"/>
    <mergeCell ref="D3:D4"/>
    <mergeCell ref="A111:D111"/>
    <mergeCell ref="A48:D48"/>
    <mergeCell ref="A67:D67"/>
    <mergeCell ref="A14:D14"/>
    <mergeCell ref="A19:D19"/>
    <mergeCell ref="A22:D22"/>
    <mergeCell ref="A25:D25"/>
    <mergeCell ref="A24:D24"/>
    <mergeCell ref="A27:D27"/>
    <mergeCell ref="A32:D32"/>
  </mergeCells>
  <conditionalFormatting sqref="D90">
    <cfRule type="expression" dxfId="0" priority="12" stopIfTrue="1">
      <formula>LEN(TRIM(D90))&gt;0</formula>
    </cfRule>
  </conditionalFormatting>
  <printOptions horizontalCentered="1"/>
  <pageMargins left="0.39370078740157483" right="0.39370078740157483" top="0.98425196850393704" bottom="0.39370078740157483" header="0.31496062992125984" footer="0.31496062992125984"/>
  <pageSetup paperSize="9" scale="95" orientation="landscape" r:id="rId1"/>
  <headerFooter>
    <oddFooter>&amp;C&amp;P</oddFooter>
  </headerFooter>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Y131"/>
  <sheetViews>
    <sheetView zoomScaleNormal="100" zoomScaleSheetLayoutView="100" workbookViewId="0">
      <pane ySplit="7" topLeftCell="A20" activePane="bottomLeft" state="frozen"/>
      <selection pane="bottomLeft" activeCell="G34" sqref="G34"/>
    </sheetView>
  </sheetViews>
  <sheetFormatPr defaultColWidth="9.140625" defaultRowHeight="12.75" x14ac:dyDescent="0.2"/>
  <cols>
    <col min="1" max="1" width="3.42578125" style="316" customWidth="1"/>
    <col min="2" max="2" width="31.5703125" style="248" customWidth="1"/>
    <col min="3" max="3" width="4.140625" style="248" hidden="1" customWidth="1"/>
    <col min="4" max="4" width="6.42578125" style="76" customWidth="1"/>
    <col min="5" max="5" width="8.140625" style="76" customWidth="1"/>
    <col min="6" max="6" width="9.140625" style="320" customWidth="1"/>
    <col min="7" max="7" width="10.5703125" style="320" customWidth="1"/>
    <col min="8" max="8" width="9.140625" style="320" customWidth="1"/>
    <col min="9" max="11" width="9.42578125" style="249" customWidth="1"/>
    <col min="12" max="13" width="9.5703125" style="249" customWidth="1"/>
    <col min="14" max="14" width="8.42578125" style="249" customWidth="1"/>
    <col min="15" max="16" width="9.140625" style="248" customWidth="1"/>
    <col min="17" max="17" width="9.42578125" style="248" customWidth="1"/>
    <col min="18" max="23" width="9.5703125" style="248" customWidth="1"/>
    <col min="24" max="24" width="32.5703125" style="248" customWidth="1"/>
    <col min="25" max="25" width="9.42578125" style="248" customWidth="1"/>
    <col min="26" max="16384" width="9.140625" style="248"/>
  </cols>
  <sheetData>
    <row r="1" spans="1:25" ht="26.45" customHeight="1" x14ac:dyDescent="0.2">
      <c r="L1" s="456" t="s">
        <v>97</v>
      </c>
      <c r="M1" s="456"/>
      <c r="N1" s="456"/>
      <c r="O1" s="456"/>
      <c r="P1" s="457"/>
      <c r="Q1" s="457"/>
      <c r="R1" s="457"/>
      <c r="S1" s="457"/>
      <c r="T1" s="457"/>
      <c r="U1" s="457"/>
      <c r="V1" s="457"/>
      <c r="W1" s="457"/>
      <c r="X1" s="457"/>
    </row>
    <row r="2" spans="1:25" ht="16.5" customHeight="1" x14ac:dyDescent="0.25">
      <c r="A2" s="477" t="s">
        <v>260</v>
      </c>
      <c r="B2" s="477"/>
      <c r="C2" s="477"/>
      <c r="D2" s="477"/>
      <c r="E2" s="477"/>
      <c r="F2" s="477"/>
      <c r="G2" s="477"/>
      <c r="H2" s="477"/>
      <c r="I2" s="477"/>
      <c r="J2" s="477"/>
      <c r="K2" s="477"/>
      <c r="L2" s="477"/>
      <c r="M2" s="477"/>
      <c r="N2" s="477"/>
      <c r="O2" s="477"/>
      <c r="P2" s="477"/>
      <c r="Q2" s="477"/>
      <c r="R2" s="477"/>
      <c r="S2" s="477"/>
      <c r="T2" s="477"/>
      <c r="U2" s="477"/>
      <c r="V2" s="477"/>
      <c r="W2" s="477"/>
      <c r="X2" s="477"/>
    </row>
    <row r="3" spans="1:25" ht="12" customHeight="1" x14ac:dyDescent="0.2">
      <c r="O3" s="249"/>
      <c r="P3" s="249"/>
      <c r="Q3" s="249"/>
      <c r="R3" s="249"/>
      <c r="S3" s="249"/>
      <c r="T3" s="249"/>
      <c r="U3" s="458" t="s">
        <v>304</v>
      </c>
      <c r="V3" s="458"/>
      <c r="W3" s="458"/>
      <c r="X3" s="458"/>
    </row>
    <row r="4" spans="1:25" ht="22.5" customHeight="1" x14ac:dyDescent="0.2">
      <c r="A4" s="489" t="s">
        <v>160</v>
      </c>
      <c r="B4" s="491" t="s">
        <v>0</v>
      </c>
      <c r="C4" s="493" t="s">
        <v>27</v>
      </c>
      <c r="D4" s="478" t="s">
        <v>16</v>
      </c>
      <c r="E4" s="479"/>
      <c r="F4" s="505" t="s">
        <v>18</v>
      </c>
      <c r="G4" s="506"/>
      <c r="H4" s="507"/>
      <c r="I4" s="505" t="s">
        <v>1</v>
      </c>
      <c r="J4" s="506"/>
      <c r="K4" s="507"/>
      <c r="L4" s="465" t="s">
        <v>334</v>
      </c>
      <c r="M4" s="466"/>
      <c r="N4" s="467"/>
      <c r="O4" s="465" t="s">
        <v>2</v>
      </c>
      <c r="P4" s="466"/>
      <c r="Q4" s="467"/>
      <c r="R4" s="471" t="s">
        <v>3</v>
      </c>
      <c r="S4" s="472"/>
      <c r="T4" s="473"/>
      <c r="U4" s="485" t="s">
        <v>22</v>
      </c>
      <c r="V4" s="485"/>
      <c r="W4" s="485"/>
      <c r="X4" s="459" t="s">
        <v>290</v>
      </c>
    </row>
    <row r="5" spans="1:25" ht="15.75" customHeight="1" x14ac:dyDescent="0.2">
      <c r="A5" s="490"/>
      <c r="B5" s="492"/>
      <c r="C5" s="494"/>
      <c r="D5" s="480"/>
      <c r="E5" s="481"/>
      <c r="F5" s="508"/>
      <c r="G5" s="509"/>
      <c r="H5" s="510"/>
      <c r="I5" s="508"/>
      <c r="J5" s="509"/>
      <c r="K5" s="510"/>
      <c r="L5" s="468"/>
      <c r="M5" s="469"/>
      <c r="N5" s="470"/>
      <c r="O5" s="468"/>
      <c r="P5" s="469"/>
      <c r="Q5" s="470"/>
      <c r="R5" s="474"/>
      <c r="S5" s="475"/>
      <c r="T5" s="476"/>
      <c r="U5" s="485"/>
      <c r="V5" s="485"/>
      <c r="W5" s="485"/>
      <c r="X5" s="460"/>
    </row>
    <row r="6" spans="1:25" ht="15.75" customHeight="1" x14ac:dyDescent="0.2">
      <c r="A6" s="364"/>
      <c r="B6" s="365"/>
      <c r="C6" s="365"/>
      <c r="D6" s="385"/>
      <c r="E6" s="386"/>
      <c r="F6" s="482" t="s">
        <v>17</v>
      </c>
      <c r="G6" s="483"/>
      <c r="H6" s="484"/>
      <c r="I6" s="482" t="s">
        <v>6</v>
      </c>
      <c r="J6" s="483"/>
      <c r="K6" s="484"/>
      <c r="L6" s="369"/>
      <c r="M6" s="370" t="s">
        <v>7</v>
      </c>
      <c r="N6" s="370"/>
      <c r="O6" s="462" t="s">
        <v>8</v>
      </c>
      <c r="P6" s="463"/>
      <c r="Q6" s="464"/>
      <c r="R6" s="371"/>
      <c r="S6" s="372" t="s">
        <v>9</v>
      </c>
      <c r="T6" s="363"/>
      <c r="U6" s="486" t="s">
        <v>78</v>
      </c>
      <c r="V6" s="487"/>
      <c r="W6" s="488"/>
      <c r="X6" s="461"/>
    </row>
    <row r="7" spans="1:25" ht="42.6" customHeight="1" x14ac:dyDescent="0.2">
      <c r="A7" s="343"/>
      <c r="B7" s="286"/>
      <c r="C7" s="286"/>
      <c r="D7" s="344" t="s">
        <v>4</v>
      </c>
      <c r="E7" s="344" t="s">
        <v>5</v>
      </c>
      <c r="F7" s="22" t="s">
        <v>283</v>
      </c>
      <c r="G7" s="98" t="s">
        <v>284</v>
      </c>
      <c r="H7" s="22" t="s">
        <v>282</v>
      </c>
      <c r="I7" s="22" t="s">
        <v>283</v>
      </c>
      <c r="J7" s="22" t="s">
        <v>284</v>
      </c>
      <c r="K7" s="22" t="s">
        <v>282</v>
      </c>
      <c r="L7" s="22" t="s">
        <v>283</v>
      </c>
      <c r="M7" s="98" t="s">
        <v>284</v>
      </c>
      <c r="N7" s="22" t="s">
        <v>282</v>
      </c>
      <c r="O7" s="22" t="s">
        <v>283</v>
      </c>
      <c r="P7" s="22" t="s">
        <v>284</v>
      </c>
      <c r="Q7" s="22" t="s">
        <v>282</v>
      </c>
      <c r="R7" s="22" t="s">
        <v>283</v>
      </c>
      <c r="S7" s="98" t="s">
        <v>284</v>
      </c>
      <c r="T7" s="22" t="s">
        <v>282</v>
      </c>
      <c r="U7" s="22" t="s">
        <v>283</v>
      </c>
      <c r="V7" s="22" t="s">
        <v>284</v>
      </c>
      <c r="W7" s="22" t="s">
        <v>282</v>
      </c>
      <c r="X7" s="319"/>
    </row>
    <row r="8" spans="1:25" ht="15" customHeight="1" x14ac:dyDescent="0.2">
      <c r="A8" s="515" t="s">
        <v>338</v>
      </c>
      <c r="B8" s="516"/>
      <c r="C8" s="516"/>
      <c r="D8" s="516"/>
      <c r="E8" s="516"/>
      <c r="F8" s="516"/>
      <c r="G8" s="516"/>
      <c r="H8" s="516"/>
      <c r="I8" s="516"/>
      <c r="J8" s="516"/>
      <c r="K8" s="516"/>
      <c r="L8" s="516"/>
      <c r="M8" s="516"/>
      <c r="N8" s="516"/>
      <c r="O8" s="516"/>
      <c r="P8" s="516"/>
      <c r="Q8" s="516"/>
      <c r="R8" s="516"/>
      <c r="S8" s="516"/>
      <c r="T8" s="516"/>
      <c r="U8" s="517"/>
      <c r="V8" s="359"/>
      <c r="W8" s="359"/>
      <c r="X8" s="359"/>
    </row>
    <row r="9" spans="1:25" ht="42" customHeight="1" x14ac:dyDescent="0.2">
      <c r="A9" s="375" t="s">
        <v>140</v>
      </c>
      <c r="B9" s="390" t="s">
        <v>150</v>
      </c>
      <c r="C9" s="389" t="s">
        <v>124</v>
      </c>
      <c r="D9" s="29" t="s">
        <v>37</v>
      </c>
      <c r="E9" s="29" t="s">
        <v>26</v>
      </c>
      <c r="F9" s="413">
        <f>I9+L9+O9+R9+U9</f>
        <v>654.1</v>
      </c>
      <c r="G9" s="413">
        <f>J9+M9+P9+S9+V9</f>
        <v>654.1</v>
      </c>
      <c r="H9" s="413">
        <f>+G9-F9</f>
        <v>0</v>
      </c>
      <c r="I9" s="411">
        <v>21.6</v>
      </c>
      <c r="J9" s="411">
        <v>32</v>
      </c>
      <c r="K9" s="411">
        <f>+J9-I9</f>
        <v>10.399999999999999</v>
      </c>
      <c r="L9" s="411">
        <v>555.4</v>
      </c>
      <c r="M9" s="411">
        <v>555.6</v>
      </c>
      <c r="N9" s="411">
        <f>+M9-L9</f>
        <v>0.20000000000004547</v>
      </c>
      <c r="O9" s="411"/>
      <c r="P9" s="411"/>
      <c r="Q9" s="411"/>
      <c r="R9" s="411"/>
      <c r="S9" s="411"/>
      <c r="T9" s="411"/>
      <c r="U9" s="411">
        <v>77.099999999999994</v>
      </c>
      <c r="V9" s="411">
        <v>66.5</v>
      </c>
      <c r="W9" s="411">
        <f>+V9-U9</f>
        <v>-10.599999999999994</v>
      </c>
      <c r="X9" s="391" t="s">
        <v>351</v>
      </c>
    </row>
    <row r="10" spans="1:25" ht="54.75" customHeight="1" x14ac:dyDescent="0.2">
      <c r="A10" s="328" t="s">
        <v>105</v>
      </c>
      <c r="B10" s="273" t="s">
        <v>131</v>
      </c>
      <c r="C10" s="263" t="s">
        <v>124</v>
      </c>
      <c r="D10" s="28" t="s">
        <v>37</v>
      </c>
      <c r="E10" s="28" t="s">
        <v>26</v>
      </c>
      <c r="F10" s="413">
        <f t="shared" ref="F10:G12" si="0">I10+L10+O10+R10+U10</f>
        <v>69.400000000000006</v>
      </c>
      <c r="G10" s="413">
        <f t="shared" si="0"/>
        <v>69.400000000000006</v>
      </c>
      <c r="H10" s="413">
        <f>+G10-F10</f>
        <v>0</v>
      </c>
      <c r="I10" s="251">
        <v>10.4</v>
      </c>
      <c r="J10" s="251">
        <f>10.4</f>
        <v>10.4</v>
      </c>
      <c r="K10" s="251"/>
      <c r="L10" s="251">
        <v>59</v>
      </c>
      <c r="M10" s="251">
        <v>59</v>
      </c>
      <c r="N10" s="251"/>
      <c r="O10" s="251"/>
      <c r="P10" s="251"/>
      <c r="Q10" s="251"/>
      <c r="R10" s="251"/>
      <c r="S10" s="251"/>
      <c r="T10" s="251"/>
      <c r="U10" s="251"/>
      <c r="V10" s="251"/>
      <c r="W10" s="251"/>
      <c r="X10" s="391"/>
    </row>
    <row r="11" spans="1:25" ht="42" customHeight="1" x14ac:dyDescent="0.2">
      <c r="A11" s="329" t="s">
        <v>161</v>
      </c>
      <c r="B11" s="265" t="s">
        <v>328</v>
      </c>
      <c r="C11" s="318" t="s">
        <v>63</v>
      </c>
      <c r="D11" s="13" t="s">
        <v>23</v>
      </c>
      <c r="E11" s="13" t="s">
        <v>75</v>
      </c>
      <c r="F11" s="321">
        <f t="shared" si="0"/>
        <v>1523</v>
      </c>
      <c r="G11" s="321">
        <f t="shared" si="0"/>
        <v>1523</v>
      </c>
      <c r="H11" s="326">
        <f>+G11-F11</f>
        <v>0</v>
      </c>
      <c r="I11" s="252">
        <v>1023</v>
      </c>
      <c r="J11" s="252">
        <v>1023</v>
      </c>
      <c r="K11" s="252"/>
      <c r="L11" s="252"/>
      <c r="M11" s="252"/>
      <c r="N11" s="252"/>
      <c r="O11" s="252"/>
      <c r="P11" s="252"/>
      <c r="Q11" s="252"/>
      <c r="R11" s="252"/>
      <c r="S11" s="252"/>
      <c r="T11" s="252"/>
      <c r="U11" s="252">
        <v>500</v>
      </c>
      <c r="V11" s="252">
        <v>500</v>
      </c>
      <c r="W11" s="252"/>
      <c r="X11" s="252"/>
    </row>
    <row r="12" spans="1:25" ht="59.25" customHeight="1" x14ac:dyDescent="0.2">
      <c r="A12" s="375" t="s">
        <v>162</v>
      </c>
      <c r="B12" s="388" t="s">
        <v>14</v>
      </c>
      <c r="C12" s="250" t="s">
        <v>116</v>
      </c>
      <c r="D12" s="28" t="s">
        <v>25</v>
      </c>
      <c r="E12" s="28" t="s">
        <v>26</v>
      </c>
      <c r="F12" s="410">
        <f t="shared" si="0"/>
        <v>3035.8</v>
      </c>
      <c r="G12" s="410">
        <f>J12+M12+P12+S12+V12</f>
        <v>3038.2000000000003</v>
      </c>
      <c r="H12" s="392">
        <f>+G12-F12</f>
        <v>2.4000000000000909</v>
      </c>
      <c r="I12" s="253">
        <v>1260.5</v>
      </c>
      <c r="J12" s="253">
        <f>1260.5+2.4</f>
        <v>1262.9000000000001</v>
      </c>
      <c r="K12" s="253">
        <f>+J12-I12</f>
        <v>2.4000000000000909</v>
      </c>
      <c r="L12" s="252">
        <v>1621.9</v>
      </c>
      <c r="M12" s="252">
        <v>1621.9</v>
      </c>
      <c r="N12" s="252"/>
      <c r="O12" s="252">
        <v>143.1</v>
      </c>
      <c r="P12" s="252">
        <v>143.1</v>
      </c>
      <c r="Q12" s="260"/>
      <c r="R12" s="251"/>
      <c r="S12" s="251"/>
      <c r="T12" s="251"/>
      <c r="U12" s="251">
        <v>10.3</v>
      </c>
      <c r="V12" s="251">
        <v>10.3</v>
      </c>
      <c r="W12" s="251"/>
      <c r="X12" s="391" t="s">
        <v>352</v>
      </c>
    </row>
    <row r="13" spans="1:25" ht="16.5" customHeight="1" x14ac:dyDescent="0.2">
      <c r="A13" s="330" t="s">
        <v>318</v>
      </c>
      <c r="B13" s="350" t="s">
        <v>322</v>
      </c>
      <c r="C13" s="305"/>
      <c r="D13" s="306"/>
      <c r="E13" s="307" t="s">
        <v>17</v>
      </c>
      <c r="F13" s="308">
        <f>SUM(F9:F12)</f>
        <v>5282.3</v>
      </c>
      <c r="G13" s="308">
        <f>SUM(G9:G12)</f>
        <v>5284.7000000000007</v>
      </c>
      <c r="H13" s="308"/>
      <c r="I13" s="308">
        <f>SUM(I9:I12)</f>
        <v>2315.5</v>
      </c>
      <c r="J13" s="308">
        <f>SUM(J9:J12)</f>
        <v>2328.3000000000002</v>
      </c>
      <c r="K13" s="308"/>
      <c r="L13" s="308">
        <f>SUM(L9:L12)</f>
        <v>2236.3000000000002</v>
      </c>
      <c r="M13" s="308">
        <f>SUM(M9:M12)</f>
        <v>2236.5</v>
      </c>
      <c r="N13" s="308"/>
      <c r="O13" s="308">
        <f>SUM(O9:O12)</f>
        <v>143.1</v>
      </c>
      <c r="P13" s="308">
        <f>SUM(P9:P12)</f>
        <v>143.1</v>
      </c>
      <c r="Q13" s="308"/>
      <c r="R13" s="308">
        <f>SUM(R9:R12)</f>
        <v>0</v>
      </c>
      <c r="S13" s="308">
        <f>SUM(S9:S12)</f>
        <v>0</v>
      </c>
      <c r="T13" s="308"/>
      <c r="U13" s="308">
        <f>SUM(U9:U12)</f>
        <v>587.4</v>
      </c>
      <c r="V13" s="308">
        <f>SUM(V9:V12)</f>
        <v>576.79999999999995</v>
      </c>
      <c r="W13" s="308"/>
      <c r="X13" s="308"/>
    </row>
    <row r="14" spans="1:25" ht="17.25" customHeight="1" x14ac:dyDescent="0.2">
      <c r="A14" s="518" t="s">
        <v>19</v>
      </c>
      <c r="B14" s="519"/>
      <c r="C14" s="519"/>
      <c r="D14" s="519"/>
      <c r="E14" s="519"/>
      <c r="F14" s="519"/>
      <c r="G14" s="519"/>
      <c r="H14" s="519"/>
      <c r="I14" s="519"/>
      <c r="J14" s="519"/>
      <c r="K14" s="519"/>
      <c r="L14" s="519"/>
      <c r="M14" s="519"/>
      <c r="N14" s="519"/>
      <c r="O14" s="519"/>
      <c r="P14" s="519"/>
      <c r="Q14" s="519"/>
      <c r="R14" s="519"/>
      <c r="S14" s="519"/>
      <c r="T14" s="519"/>
      <c r="U14" s="520"/>
      <c r="V14" s="397"/>
      <c r="W14" s="397"/>
      <c r="X14" s="396"/>
    </row>
    <row r="15" spans="1:25" ht="55.5" customHeight="1" x14ac:dyDescent="0.2">
      <c r="A15" s="351" t="s">
        <v>140</v>
      </c>
      <c r="B15" s="255" t="s">
        <v>261</v>
      </c>
      <c r="C15" s="256" t="s">
        <v>63</v>
      </c>
      <c r="D15" s="28">
        <v>2016</v>
      </c>
      <c r="E15" s="28" t="s">
        <v>68</v>
      </c>
      <c r="F15" s="352">
        <f>I15+L15+O15+R15+U15</f>
        <v>741.6</v>
      </c>
      <c r="G15" s="352">
        <f>J15+M15+P15+S15+V15</f>
        <v>741.6</v>
      </c>
      <c r="H15" s="324">
        <f>G15-F15</f>
        <v>0</v>
      </c>
      <c r="I15" s="254">
        <v>741.6</v>
      </c>
      <c r="J15" s="254">
        <v>741.6</v>
      </c>
      <c r="K15" s="254"/>
      <c r="L15" s="254"/>
      <c r="M15" s="254"/>
      <c r="N15" s="254"/>
      <c r="O15" s="254"/>
      <c r="P15" s="254"/>
      <c r="Q15" s="254"/>
      <c r="R15" s="254"/>
      <c r="S15" s="254"/>
      <c r="T15" s="254"/>
      <c r="U15" s="254"/>
      <c r="V15" s="254"/>
      <c r="W15" s="254"/>
      <c r="X15" s="254"/>
      <c r="Y15" s="282"/>
    </row>
    <row r="16" spans="1:25" ht="42.75" customHeight="1" x14ac:dyDescent="0.2">
      <c r="A16" s="331" t="s">
        <v>105</v>
      </c>
      <c r="B16" s="292" t="s">
        <v>85</v>
      </c>
      <c r="C16" s="253"/>
      <c r="D16" s="10" t="s">
        <v>26</v>
      </c>
      <c r="E16" s="10" t="s">
        <v>73</v>
      </c>
      <c r="F16" s="352">
        <f t="shared" ref="F16:G28" si="1">I16+L16+O16+R16+U16</f>
        <v>1097.8</v>
      </c>
      <c r="G16" s="352">
        <f t="shared" si="1"/>
        <v>1097.8</v>
      </c>
      <c r="H16" s="322">
        <f t="shared" ref="H16:H28" si="2">+G16-F16</f>
        <v>0</v>
      </c>
      <c r="I16" s="258">
        <v>965.1</v>
      </c>
      <c r="J16" s="258">
        <v>965.1</v>
      </c>
      <c r="K16" s="258"/>
      <c r="L16" s="258"/>
      <c r="M16" s="258"/>
      <c r="N16" s="258"/>
      <c r="O16" s="258"/>
      <c r="P16" s="258"/>
      <c r="Q16" s="258"/>
      <c r="R16" s="258"/>
      <c r="S16" s="258"/>
      <c r="T16" s="258"/>
      <c r="U16" s="258">
        <v>132.69999999999999</v>
      </c>
      <c r="V16" s="258">
        <v>132.69999999999999</v>
      </c>
      <c r="W16" s="258"/>
      <c r="X16" s="258"/>
    </row>
    <row r="17" spans="1:24" ht="42.75" customHeight="1" x14ac:dyDescent="0.2">
      <c r="A17" s="351" t="s">
        <v>161</v>
      </c>
      <c r="B17" s="292" t="s">
        <v>306</v>
      </c>
      <c r="C17" s="401"/>
      <c r="D17" s="28">
        <v>2022</v>
      </c>
      <c r="E17" s="28" t="s">
        <v>75</v>
      </c>
      <c r="F17" s="322">
        <f t="shared" si="1"/>
        <v>322.5</v>
      </c>
      <c r="G17" s="322">
        <f t="shared" si="1"/>
        <v>322.5</v>
      </c>
      <c r="H17" s="323">
        <f t="shared" si="2"/>
        <v>0</v>
      </c>
      <c r="I17" s="254">
        <v>322.5</v>
      </c>
      <c r="J17" s="254">
        <v>322.5</v>
      </c>
      <c r="K17" s="254"/>
      <c r="L17" s="254"/>
      <c r="M17" s="254"/>
      <c r="N17" s="254"/>
      <c r="O17" s="252"/>
      <c r="P17" s="252"/>
      <c r="Q17" s="252"/>
      <c r="R17" s="252"/>
      <c r="S17" s="252"/>
      <c r="T17" s="252"/>
      <c r="U17" s="252"/>
      <c r="V17" s="252"/>
      <c r="W17" s="252"/>
      <c r="X17" s="252"/>
    </row>
    <row r="18" spans="1:24" ht="42" customHeight="1" x14ac:dyDescent="0.2">
      <c r="A18" s="351" t="s">
        <v>162</v>
      </c>
      <c r="B18" s="399" t="s">
        <v>132</v>
      </c>
      <c r="C18" s="260" t="s">
        <v>63</v>
      </c>
      <c r="D18" s="28">
        <v>2016</v>
      </c>
      <c r="E18" s="28" t="s">
        <v>26</v>
      </c>
      <c r="F18" s="322">
        <f t="shared" si="1"/>
        <v>497.9</v>
      </c>
      <c r="G18" s="322">
        <f t="shared" si="1"/>
        <v>497.9</v>
      </c>
      <c r="H18" s="323">
        <f t="shared" si="2"/>
        <v>0</v>
      </c>
      <c r="I18" s="254">
        <v>225.4</v>
      </c>
      <c r="J18" s="254">
        <v>225.4</v>
      </c>
      <c r="K18" s="254"/>
      <c r="L18" s="254">
        <v>272.5</v>
      </c>
      <c r="M18" s="254">
        <v>272.5</v>
      </c>
      <c r="N18" s="254"/>
      <c r="O18" s="254"/>
      <c r="P18" s="254"/>
      <c r="Q18" s="254"/>
      <c r="R18" s="254"/>
      <c r="S18" s="254"/>
      <c r="T18" s="254"/>
      <c r="U18" s="254"/>
      <c r="V18" s="254"/>
      <c r="W18" s="254"/>
      <c r="X18" s="254"/>
    </row>
    <row r="19" spans="1:24" ht="42.75" customHeight="1" x14ac:dyDescent="0.2">
      <c r="A19" s="351" t="s">
        <v>24</v>
      </c>
      <c r="B19" s="354" t="s">
        <v>36</v>
      </c>
      <c r="C19" s="253" t="s">
        <v>74</v>
      </c>
      <c r="D19" s="10" t="s">
        <v>25</v>
      </c>
      <c r="E19" s="10" t="s">
        <v>26</v>
      </c>
      <c r="F19" s="322">
        <f t="shared" si="1"/>
        <v>2953.7000000000003</v>
      </c>
      <c r="G19" s="322">
        <f>J19+M19+P19+S19+V19</f>
        <v>2953.7</v>
      </c>
      <c r="H19" s="373">
        <f t="shared" si="2"/>
        <v>0</v>
      </c>
      <c r="I19" s="259">
        <v>633.79999999999995</v>
      </c>
      <c r="J19" s="259">
        <v>715.8</v>
      </c>
      <c r="K19" s="259">
        <f>+J19-I19</f>
        <v>82</v>
      </c>
      <c r="L19" s="259">
        <v>2131.8000000000002</v>
      </c>
      <c r="M19" s="259">
        <v>2056.4</v>
      </c>
      <c r="N19" s="259">
        <f>+M19-L19</f>
        <v>-75.400000000000091</v>
      </c>
      <c r="O19" s="259">
        <v>188.1</v>
      </c>
      <c r="P19" s="259">
        <v>181.5</v>
      </c>
      <c r="Q19" s="259">
        <f>+P19-O19</f>
        <v>-6.5999999999999943</v>
      </c>
      <c r="R19" s="258"/>
      <c r="S19" s="258"/>
      <c r="T19" s="258"/>
      <c r="U19" s="258"/>
      <c r="V19" s="258"/>
      <c r="W19" s="258"/>
      <c r="X19" s="292" t="s">
        <v>351</v>
      </c>
    </row>
    <row r="20" spans="1:24" ht="44.25" customHeight="1" x14ac:dyDescent="0.2">
      <c r="A20" s="351" t="s">
        <v>31</v>
      </c>
      <c r="B20" s="292" t="s">
        <v>305</v>
      </c>
      <c r="C20" s="252" t="s">
        <v>118</v>
      </c>
      <c r="D20" s="10" t="s">
        <v>25</v>
      </c>
      <c r="E20" s="10" t="s">
        <v>156</v>
      </c>
      <c r="F20" s="322">
        <f t="shared" si="1"/>
        <v>2993.2000000000003</v>
      </c>
      <c r="G20" s="322">
        <f>J20+M20+P20+S20+V20</f>
        <v>2993.2000000000003</v>
      </c>
      <c r="H20" s="322">
        <f t="shared" si="2"/>
        <v>0</v>
      </c>
      <c r="I20" s="258">
        <v>2094.3000000000002</v>
      </c>
      <c r="J20" s="258">
        <v>2094.3000000000002</v>
      </c>
      <c r="K20" s="258"/>
      <c r="L20" s="258">
        <v>826</v>
      </c>
      <c r="M20" s="258">
        <f>826</f>
        <v>826</v>
      </c>
      <c r="N20" s="259"/>
      <c r="O20" s="258">
        <v>72.900000000000006</v>
      </c>
      <c r="P20" s="258">
        <v>72.900000000000006</v>
      </c>
      <c r="Q20" s="259"/>
      <c r="R20" s="258"/>
      <c r="S20" s="258"/>
      <c r="T20" s="258"/>
      <c r="U20" s="258"/>
      <c r="V20" s="258"/>
      <c r="W20" s="258"/>
      <c r="X20" s="292"/>
    </row>
    <row r="21" spans="1:24" ht="29.25" customHeight="1" x14ac:dyDescent="0.2">
      <c r="A21" s="351" t="s">
        <v>163</v>
      </c>
      <c r="B21" s="255" t="s">
        <v>302</v>
      </c>
      <c r="C21" s="256"/>
      <c r="D21" s="28" t="s">
        <v>37</v>
      </c>
      <c r="E21" s="28" t="s">
        <v>26</v>
      </c>
      <c r="F21" s="352">
        <f t="shared" si="1"/>
        <v>1246.0999999999999</v>
      </c>
      <c r="G21" s="352">
        <f t="shared" si="1"/>
        <v>1246.0999999999999</v>
      </c>
      <c r="H21" s="324">
        <f t="shared" si="2"/>
        <v>0</v>
      </c>
      <c r="I21" s="254">
        <v>1246.0999999999999</v>
      </c>
      <c r="J21" s="254">
        <v>1246.0999999999999</v>
      </c>
      <c r="K21" s="254"/>
      <c r="L21" s="254"/>
      <c r="M21" s="254"/>
      <c r="N21" s="254"/>
      <c r="O21" s="254"/>
      <c r="P21" s="254"/>
      <c r="Q21" s="254"/>
      <c r="R21" s="254"/>
      <c r="S21" s="254"/>
      <c r="T21" s="254"/>
      <c r="U21" s="254"/>
      <c r="V21" s="254"/>
      <c r="W21" s="254"/>
      <c r="X21" s="254"/>
    </row>
    <row r="22" spans="1:24" ht="43.35" customHeight="1" x14ac:dyDescent="0.2">
      <c r="A22" s="351" t="s">
        <v>174</v>
      </c>
      <c r="B22" s="257" t="s">
        <v>110</v>
      </c>
      <c r="C22" s="256" t="s">
        <v>45</v>
      </c>
      <c r="D22" s="28" t="s">
        <v>68</v>
      </c>
      <c r="E22" s="28" t="s">
        <v>155</v>
      </c>
      <c r="F22" s="352">
        <f t="shared" si="1"/>
        <v>1243.2</v>
      </c>
      <c r="G22" s="352">
        <f t="shared" si="1"/>
        <v>1243.2</v>
      </c>
      <c r="H22" s="352">
        <f t="shared" si="2"/>
        <v>0</v>
      </c>
      <c r="I22" s="252">
        <v>1243.2</v>
      </c>
      <c r="J22" s="252">
        <v>1243.2</v>
      </c>
      <c r="K22" s="252"/>
      <c r="L22" s="252"/>
      <c r="M22" s="252"/>
      <c r="N22" s="252"/>
      <c r="O22" s="252"/>
      <c r="P22" s="252"/>
      <c r="Q22" s="252"/>
      <c r="R22" s="252"/>
      <c r="S22" s="252"/>
      <c r="T22" s="252"/>
      <c r="U22" s="252"/>
      <c r="V22" s="252"/>
      <c r="W22" s="252"/>
      <c r="X22" s="252"/>
    </row>
    <row r="23" spans="1:24" ht="43.5" customHeight="1" x14ac:dyDescent="0.2">
      <c r="A23" s="351" t="s">
        <v>175</v>
      </c>
      <c r="B23" s="257" t="s">
        <v>272</v>
      </c>
      <c r="C23" s="260" t="s">
        <v>64</v>
      </c>
      <c r="D23" s="28" t="s">
        <v>25</v>
      </c>
      <c r="E23" s="28" t="s">
        <v>155</v>
      </c>
      <c r="F23" s="352">
        <f t="shared" si="1"/>
        <v>2000</v>
      </c>
      <c r="G23" s="352">
        <f t="shared" si="1"/>
        <v>2000</v>
      </c>
      <c r="H23" s="352">
        <f t="shared" si="2"/>
        <v>0</v>
      </c>
      <c r="I23" s="258">
        <v>2000</v>
      </c>
      <c r="J23" s="258">
        <v>2000</v>
      </c>
      <c r="K23" s="258"/>
      <c r="L23" s="252"/>
      <c r="M23" s="252"/>
      <c r="N23" s="252"/>
      <c r="O23" s="252"/>
      <c r="P23" s="252"/>
      <c r="Q23" s="252"/>
      <c r="R23" s="252"/>
      <c r="S23" s="252"/>
      <c r="T23" s="252"/>
      <c r="U23" s="252"/>
      <c r="V23" s="252"/>
      <c r="W23" s="252"/>
      <c r="X23" s="252"/>
    </row>
    <row r="24" spans="1:24" ht="45" customHeight="1" x14ac:dyDescent="0.2">
      <c r="A24" s="351" t="s">
        <v>176</v>
      </c>
      <c r="B24" s="257" t="s">
        <v>329</v>
      </c>
      <c r="C24" s="256"/>
      <c r="D24" s="28" t="s">
        <v>26</v>
      </c>
      <c r="E24" s="28" t="s">
        <v>75</v>
      </c>
      <c r="F24" s="352">
        <f t="shared" si="1"/>
        <v>50</v>
      </c>
      <c r="G24" s="352">
        <f t="shared" si="1"/>
        <v>50</v>
      </c>
      <c r="H24" s="352">
        <f t="shared" si="2"/>
        <v>0</v>
      </c>
      <c r="I24" s="252">
        <v>50</v>
      </c>
      <c r="J24" s="252">
        <v>50</v>
      </c>
      <c r="K24" s="252"/>
      <c r="L24" s="252"/>
      <c r="M24" s="252"/>
      <c r="N24" s="252"/>
      <c r="O24" s="252"/>
      <c r="P24" s="252"/>
      <c r="Q24" s="252"/>
      <c r="R24" s="252"/>
      <c r="S24" s="252"/>
      <c r="T24" s="252"/>
      <c r="U24" s="252"/>
      <c r="V24" s="252"/>
      <c r="W24" s="252"/>
      <c r="X24" s="252"/>
    </row>
    <row r="25" spans="1:24" ht="30" customHeight="1" x14ac:dyDescent="0.2">
      <c r="A25" s="351" t="s">
        <v>177</v>
      </c>
      <c r="B25" s="257" t="s">
        <v>145</v>
      </c>
      <c r="C25" s="256"/>
      <c r="D25" s="28" t="s">
        <v>68</v>
      </c>
      <c r="E25" s="28" t="s">
        <v>155</v>
      </c>
      <c r="F25" s="352">
        <f t="shared" si="1"/>
        <v>1065</v>
      </c>
      <c r="G25" s="352">
        <f t="shared" si="1"/>
        <v>1065</v>
      </c>
      <c r="H25" s="352">
        <f t="shared" si="2"/>
        <v>0</v>
      </c>
      <c r="I25" s="252"/>
      <c r="J25" s="252"/>
      <c r="K25" s="252"/>
      <c r="L25" s="252"/>
      <c r="M25" s="252"/>
      <c r="N25" s="252"/>
      <c r="O25" s="252"/>
      <c r="P25" s="252"/>
      <c r="Q25" s="252"/>
      <c r="R25" s="252"/>
      <c r="S25" s="252"/>
      <c r="T25" s="252"/>
      <c r="U25" s="252">
        <v>1065</v>
      </c>
      <c r="V25" s="252">
        <v>1065</v>
      </c>
      <c r="W25" s="252"/>
      <c r="X25" s="252"/>
    </row>
    <row r="26" spans="1:24" ht="91.5" customHeight="1" x14ac:dyDescent="0.2">
      <c r="A26" s="351" t="s">
        <v>178</v>
      </c>
      <c r="B26" s="257" t="s">
        <v>311</v>
      </c>
      <c r="C26" s="256"/>
      <c r="D26" s="28" t="s">
        <v>37</v>
      </c>
      <c r="E26" s="28" t="s">
        <v>26</v>
      </c>
      <c r="F26" s="352">
        <f t="shared" si="1"/>
        <v>612</v>
      </c>
      <c r="G26" s="352">
        <f t="shared" si="1"/>
        <v>612</v>
      </c>
      <c r="H26" s="324">
        <f t="shared" si="2"/>
        <v>0</v>
      </c>
      <c r="I26" s="254"/>
      <c r="J26" s="254"/>
      <c r="K26" s="254"/>
      <c r="L26" s="254"/>
      <c r="M26" s="254"/>
      <c r="N26" s="254"/>
      <c r="O26" s="252"/>
      <c r="P26" s="252"/>
      <c r="Q26" s="252"/>
      <c r="R26" s="252"/>
      <c r="S26" s="252"/>
      <c r="T26" s="252"/>
      <c r="U26" s="252">
        <v>612</v>
      </c>
      <c r="V26" s="252">
        <v>612</v>
      </c>
      <c r="W26" s="252"/>
      <c r="X26" s="252"/>
    </row>
    <row r="27" spans="1:24" ht="45.75" customHeight="1" x14ac:dyDescent="0.2">
      <c r="A27" s="351" t="s">
        <v>179</v>
      </c>
      <c r="B27" s="257" t="s">
        <v>20</v>
      </c>
      <c r="C27" s="256" t="s">
        <v>63</v>
      </c>
      <c r="D27" s="28">
        <v>2016</v>
      </c>
      <c r="E27" s="28" t="s">
        <v>26</v>
      </c>
      <c r="F27" s="322">
        <f t="shared" si="1"/>
        <v>1638.5</v>
      </c>
      <c r="G27" s="322">
        <f t="shared" si="1"/>
        <v>1638.5</v>
      </c>
      <c r="H27" s="323">
        <f t="shared" si="2"/>
        <v>0</v>
      </c>
      <c r="I27" s="254">
        <v>245.8</v>
      </c>
      <c r="J27" s="254">
        <v>245.8</v>
      </c>
      <c r="K27" s="254"/>
      <c r="L27" s="254">
        <v>1392.7</v>
      </c>
      <c r="M27" s="254">
        <v>1392.7</v>
      </c>
      <c r="N27" s="254"/>
      <c r="O27" s="252"/>
      <c r="P27" s="252"/>
      <c r="Q27" s="252"/>
      <c r="R27" s="252"/>
      <c r="S27" s="252"/>
      <c r="T27" s="252"/>
      <c r="U27" s="252"/>
      <c r="V27" s="252"/>
      <c r="W27" s="252"/>
      <c r="X27" s="252"/>
    </row>
    <row r="28" spans="1:24" ht="57" customHeight="1" x14ac:dyDescent="0.2">
      <c r="A28" s="351" t="s">
        <v>180</v>
      </c>
      <c r="B28" s="257" t="s">
        <v>330</v>
      </c>
      <c r="C28" s="256"/>
      <c r="D28" s="28" t="s">
        <v>26</v>
      </c>
      <c r="E28" s="28" t="s">
        <v>68</v>
      </c>
      <c r="F28" s="352">
        <f t="shared" si="1"/>
        <v>471.8</v>
      </c>
      <c r="G28" s="352">
        <f t="shared" si="1"/>
        <v>471.8</v>
      </c>
      <c r="H28" s="324">
        <f t="shared" si="2"/>
        <v>0</v>
      </c>
      <c r="I28" s="254">
        <v>471.8</v>
      </c>
      <c r="J28" s="254">
        <v>471.8</v>
      </c>
      <c r="K28" s="254"/>
      <c r="L28" s="254"/>
      <c r="M28" s="254"/>
      <c r="N28" s="254"/>
      <c r="O28" s="252"/>
      <c r="P28" s="252"/>
      <c r="Q28" s="252"/>
      <c r="R28" s="252"/>
      <c r="S28" s="252"/>
      <c r="T28" s="252"/>
      <c r="U28" s="252"/>
      <c r="V28" s="252"/>
      <c r="W28" s="252"/>
      <c r="X28" s="252"/>
    </row>
    <row r="29" spans="1:24" ht="14.25" customHeight="1" x14ac:dyDescent="0.2">
      <c r="A29" s="332" t="s">
        <v>180</v>
      </c>
      <c r="B29" s="349" t="s">
        <v>323</v>
      </c>
      <c r="C29" s="309"/>
      <c r="D29" s="310"/>
      <c r="E29" s="311" t="s">
        <v>17</v>
      </c>
      <c r="F29" s="312">
        <f>SUM(F15:F28)</f>
        <v>16933.3</v>
      </c>
      <c r="G29" s="312">
        <f>SUM(G15:G28)</f>
        <v>16933.3</v>
      </c>
      <c r="H29" s="312">
        <f>SUM(H15:H28)</f>
        <v>0</v>
      </c>
      <c r="I29" s="312">
        <f>SUM(I15:I28)</f>
        <v>10239.599999999999</v>
      </c>
      <c r="J29" s="312">
        <f>SUM(J15:J28)</f>
        <v>10321.599999999999</v>
      </c>
      <c r="K29" s="312">
        <f t="shared" ref="K29:W29" si="3">SUM(K15:K28)</f>
        <v>82</v>
      </c>
      <c r="L29" s="312">
        <f t="shared" si="3"/>
        <v>4623</v>
      </c>
      <c r="M29" s="312">
        <f t="shared" si="3"/>
        <v>4547.6000000000004</v>
      </c>
      <c r="N29" s="312">
        <f t="shared" si="3"/>
        <v>-75.400000000000091</v>
      </c>
      <c r="O29" s="312">
        <f t="shared" si="3"/>
        <v>261</v>
      </c>
      <c r="P29" s="312">
        <f t="shared" si="3"/>
        <v>254.4</v>
      </c>
      <c r="Q29" s="312">
        <f t="shared" si="3"/>
        <v>-6.5999999999999943</v>
      </c>
      <c r="R29" s="312">
        <f t="shared" si="3"/>
        <v>0</v>
      </c>
      <c r="S29" s="312">
        <f t="shared" si="3"/>
        <v>0</v>
      </c>
      <c r="T29" s="312">
        <f t="shared" si="3"/>
        <v>0</v>
      </c>
      <c r="U29" s="312">
        <f t="shared" si="3"/>
        <v>1809.7</v>
      </c>
      <c r="V29" s="312">
        <f t="shared" si="3"/>
        <v>1809.7</v>
      </c>
      <c r="W29" s="312">
        <f t="shared" si="3"/>
        <v>0</v>
      </c>
      <c r="X29" s="312"/>
    </row>
    <row r="30" spans="1:24" ht="14.25" customHeight="1" x14ac:dyDescent="0.2">
      <c r="A30" s="515" t="s">
        <v>10</v>
      </c>
      <c r="B30" s="516"/>
      <c r="C30" s="516"/>
      <c r="D30" s="516"/>
      <c r="E30" s="516"/>
      <c r="F30" s="516"/>
      <c r="G30" s="516"/>
      <c r="H30" s="516"/>
      <c r="I30" s="516"/>
      <c r="J30" s="516"/>
      <c r="K30" s="516"/>
      <c r="L30" s="516"/>
      <c r="M30" s="516"/>
      <c r="N30" s="516"/>
      <c r="O30" s="516"/>
      <c r="P30" s="516"/>
      <c r="Q30" s="516"/>
      <c r="R30" s="516"/>
      <c r="S30" s="516"/>
      <c r="T30" s="516"/>
      <c r="U30" s="517"/>
      <c r="V30" s="359"/>
      <c r="W30" s="359"/>
      <c r="X30" s="359"/>
    </row>
    <row r="31" spans="1:24" ht="30" customHeight="1" x14ac:dyDescent="0.2">
      <c r="A31" s="375" t="s">
        <v>140</v>
      </c>
      <c r="B31" s="407" t="s">
        <v>313</v>
      </c>
      <c r="C31" s="260" t="s">
        <v>69</v>
      </c>
      <c r="D31" s="289" t="s">
        <v>37</v>
      </c>
      <c r="E31" s="289" t="s">
        <v>75</v>
      </c>
      <c r="F31" s="325">
        <f>I31+L31+O31+R31+U31</f>
        <v>39000</v>
      </c>
      <c r="G31" s="325">
        <f>J31+M31+P31+S31+V31</f>
        <v>39000</v>
      </c>
      <c r="H31" s="325">
        <f>G31-F31</f>
        <v>0</v>
      </c>
      <c r="I31" s="393">
        <v>2408.8000000000002</v>
      </c>
      <c r="J31" s="393">
        <v>4077.7</v>
      </c>
      <c r="K31" s="393">
        <f>+J31-I31</f>
        <v>1668.8999999999996</v>
      </c>
      <c r="L31" s="393"/>
      <c r="M31" s="393"/>
      <c r="N31" s="393"/>
      <c r="O31" s="393">
        <v>21056.799999999999</v>
      </c>
      <c r="P31" s="393">
        <v>19650</v>
      </c>
      <c r="Q31" s="393">
        <f>+P31-O31</f>
        <v>-1406.7999999999993</v>
      </c>
      <c r="R31" s="393">
        <f>10000+4992.4</f>
        <v>14992.4</v>
      </c>
      <c r="S31" s="393">
        <v>12272.3</v>
      </c>
      <c r="T31" s="393">
        <f>+S31-R31</f>
        <v>-2720.1000000000004</v>
      </c>
      <c r="U31" s="393">
        <v>542</v>
      </c>
      <c r="V31" s="393">
        <v>3000</v>
      </c>
      <c r="W31" s="393">
        <f>+V31-U31</f>
        <v>2458</v>
      </c>
      <c r="X31" s="273" t="s">
        <v>351</v>
      </c>
    </row>
    <row r="32" spans="1:24" ht="54.75" customHeight="1" x14ac:dyDescent="0.2">
      <c r="A32" s="375" t="s">
        <v>105</v>
      </c>
      <c r="B32" s="407" t="s">
        <v>336</v>
      </c>
      <c r="C32" s="421" t="s">
        <v>65</v>
      </c>
      <c r="D32" s="422" t="s">
        <v>25</v>
      </c>
      <c r="E32" s="422" t="s">
        <v>68</v>
      </c>
      <c r="F32" s="392">
        <f t="shared" ref="F32:G58" si="4">I32+L32+O32+R32+U32</f>
        <v>6656.5</v>
      </c>
      <c r="G32" s="392">
        <f t="shared" si="4"/>
        <v>6656.5</v>
      </c>
      <c r="H32" s="392">
        <f>G32-F32</f>
        <v>0</v>
      </c>
      <c r="I32" s="401">
        <v>2062.3000000000002</v>
      </c>
      <c r="J32" s="401">
        <v>1483.5</v>
      </c>
      <c r="K32" s="393">
        <f t="shared" ref="K32:K39" si="5">+J32-I32</f>
        <v>-578.80000000000018</v>
      </c>
      <c r="L32" s="401">
        <v>1980.6</v>
      </c>
      <c r="M32" s="401">
        <v>1980.7</v>
      </c>
      <c r="N32" s="401">
        <f>+M32-L32</f>
        <v>0.10000000000013642</v>
      </c>
      <c r="O32" s="401"/>
      <c r="P32" s="401"/>
      <c r="Q32" s="393">
        <f>+P32-O32</f>
        <v>0</v>
      </c>
      <c r="R32" s="401">
        <v>1798.3</v>
      </c>
      <c r="S32" s="401">
        <v>1836</v>
      </c>
      <c r="T32" s="393">
        <f>+S32-R32</f>
        <v>37.700000000000045</v>
      </c>
      <c r="U32" s="401">
        <v>815.3</v>
      </c>
      <c r="V32" s="401">
        <v>1356.3</v>
      </c>
      <c r="W32" s="393">
        <f>+V32-U32</f>
        <v>541</v>
      </c>
      <c r="X32" s="273" t="s">
        <v>369</v>
      </c>
    </row>
    <row r="33" spans="1:25" ht="43.5" customHeight="1" x14ac:dyDescent="0.2">
      <c r="A33" s="328" t="s">
        <v>161</v>
      </c>
      <c r="B33" s="374" t="s">
        <v>12</v>
      </c>
      <c r="C33" s="253" t="s">
        <v>71</v>
      </c>
      <c r="D33" s="412" t="s">
        <v>23</v>
      </c>
      <c r="E33" s="412" t="s">
        <v>68</v>
      </c>
      <c r="F33" s="392">
        <f t="shared" si="4"/>
        <v>2500</v>
      </c>
      <c r="G33" s="392">
        <f t="shared" si="4"/>
        <v>2428.2999999999997</v>
      </c>
      <c r="H33" s="373">
        <f>G33-F33</f>
        <v>-71.700000000000273</v>
      </c>
      <c r="I33" s="259">
        <v>657.8</v>
      </c>
      <c r="J33" s="259">
        <v>166.7</v>
      </c>
      <c r="K33" s="393">
        <f t="shared" si="5"/>
        <v>-491.09999999999997</v>
      </c>
      <c r="L33" s="259"/>
      <c r="M33" s="259"/>
      <c r="N33" s="259"/>
      <c r="O33" s="259"/>
      <c r="P33" s="259"/>
      <c r="Q33" s="393"/>
      <c r="R33" s="259">
        <v>1842.2</v>
      </c>
      <c r="S33" s="259">
        <v>2261.6</v>
      </c>
      <c r="T33" s="393">
        <f>+S33-R33</f>
        <v>419.39999999999986</v>
      </c>
      <c r="U33" s="259"/>
      <c r="V33" s="259"/>
      <c r="W33" s="393"/>
      <c r="X33" s="273" t="s">
        <v>358</v>
      </c>
    </row>
    <row r="34" spans="1:25" ht="39.75" customHeight="1" x14ac:dyDescent="0.2">
      <c r="A34" s="375" t="s">
        <v>162</v>
      </c>
      <c r="B34" s="374" t="s">
        <v>86</v>
      </c>
      <c r="C34" s="263" t="s">
        <v>71</v>
      </c>
      <c r="D34" s="28" t="s">
        <v>38</v>
      </c>
      <c r="E34" s="28" t="s">
        <v>26</v>
      </c>
      <c r="F34" s="392">
        <f t="shared" si="4"/>
        <v>2954.1</v>
      </c>
      <c r="G34" s="392">
        <f t="shared" si="4"/>
        <v>2936.1</v>
      </c>
      <c r="H34" s="367">
        <f>+G34-F34</f>
        <v>-18</v>
      </c>
      <c r="I34" s="253">
        <f>1373.7-25.8</f>
        <v>1347.9</v>
      </c>
      <c r="J34" s="253">
        <f>1347.9-18</f>
        <v>1329.9</v>
      </c>
      <c r="K34" s="393">
        <f>+J34-I34</f>
        <v>-18</v>
      </c>
      <c r="L34" s="252"/>
      <c r="M34" s="252"/>
      <c r="N34" s="252"/>
      <c r="O34" s="252"/>
      <c r="P34" s="252"/>
      <c r="Q34" s="252"/>
      <c r="R34" s="252">
        <v>1443.8</v>
      </c>
      <c r="S34" s="252">
        <v>1443.8</v>
      </c>
      <c r="T34" s="253"/>
      <c r="U34" s="252">
        <v>162.4</v>
      </c>
      <c r="V34" s="252">
        <v>162.4</v>
      </c>
      <c r="W34" s="252"/>
      <c r="X34" s="273" t="s">
        <v>368</v>
      </c>
    </row>
    <row r="35" spans="1:25" ht="45.75" customHeight="1" x14ac:dyDescent="0.2">
      <c r="A35" s="328" t="s">
        <v>24</v>
      </c>
      <c r="B35" s="374" t="s">
        <v>127</v>
      </c>
      <c r="C35" s="263" t="s">
        <v>70</v>
      </c>
      <c r="D35" s="28" t="s">
        <v>37</v>
      </c>
      <c r="E35" s="28" t="s">
        <v>73</v>
      </c>
      <c r="F35" s="392">
        <f t="shared" si="4"/>
        <v>2713.4</v>
      </c>
      <c r="G35" s="392">
        <f t="shared" si="4"/>
        <v>3531</v>
      </c>
      <c r="H35" s="373">
        <f>+G35-F35</f>
        <v>817.59999999999991</v>
      </c>
      <c r="I35" s="253">
        <v>584.6</v>
      </c>
      <c r="J35" s="253">
        <v>1402.2</v>
      </c>
      <c r="K35" s="393">
        <f t="shared" si="5"/>
        <v>817.6</v>
      </c>
      <c r="L35" s="252">
        <v>2128.8000000000002</v>
      </c>
      <c r="M35" s="252">
        <v>2128.8000000000002</v>
      </c>
      <c r="N35" s="252"/>
      <c r="O35" s="252"/>
      <c r="P35" s="252"/>
      <c r="Q35" s="252"/>
      <c r="R35" s="252"/>
      <c r="S35" s="252"/>
      <c r="T35" s="252"/>
      <c r="U35" s="252"/>
      <c r="V35" s="252"/>
      <c r="W35" s="252"/>
      <c r="X35" s="273" t="s">
        <v>344</v>
      </c>
    </row>
    <row r="36" spans="1:25" ht="16.350000000000001" customHeight="1" x14ac:dyDescent="0.2">
      <c r="A36" s="331" t="s">
        <v>31</v>
      </c>
      <c r="B36" s="265" t="s">
        <v>288</v>
      </c>
      <c r="C36" s="318"/>
      <c r="D36" s="303">
        <v>2019</v>
      </c>
      <c r="E36" s="303" t="s">
        <v>73</v>
      </c>
      <c r="F36" s="325">
        <f t="shared" si="4"/>
        <v>1364</v>
      </c>
      <c r="G36" s="325">
        <f t="shared" si="4"/>
        <v>1364</v>
      </c>
      <c r="H36" s="324">
        <f>+G36-F36</f>
        <v>0</v>
      </c>
      <c r="I36" s="261">
        <v>864</v>
      </c>
      <c r="J36" s="261">
        <v>864</v>
      </c>
      <c r="K36" s="280"/>
      <c r="L36" s="261">
        <v>500</v>
      </c>
      <c r="M36" s="261">
        <v>500</v>
      </c>
      <c r="N36" s="261"/>
      <c r="O36" s="261"/>
      <c r="P36" s="261"/>
      <c r="Q36" s="261"/>
      <c r="R36" s="261"/>
      <c r="S36" s="261"/>
      <c r="T36" s="261"/>
      <c r="U36" s="261"/>
      <c r="V36" s="261"/>
      <c r="W36" s="261"/>
      <c r="X36" s="394"/>
      <c r="Y36" s="302"/>
    </row>
    <row r="37" spans="1:25" ht="45.75" customHeight="1" x14ac:dyDescent="0.2">
      <c r="A37" s="375" t="s">
        <v>163</v>
      </c>
      <c r="B37" s="374" t="s">
        <v>28</v>
      </c>
      <c r="C37" s="263" t="s">
        <v>72</v>
      </c>
      <c r="D37" s="28" t="s">
        <v>60</v>
      </c>
      <c r="E37" s="28">
        <v>2022</v>
      </c>
      <c r="F37" s="392">
        <f t="shared" si="4"/>
        <v>3800</v>
      </c>
      <c r="G37" s="392">
        <f t="shared" si="4"/>
        <v>3400</v>
      </c>
      <c r="H37" s="373">
        <f>+G37-F37</f>
        <v>-400</v>
      </c>
      <c r="I37" s="253">
        <v>3372.6</v>
      </c>
      <c r="J37" s="253">
        <f>3492.6-400</f>
        <v>3092.6</v>
      </c>
      <c r="K37" s="393">
        <f t="shared" si="5"/>
        <v>-280</v>
      </c>
      <c r="L37" s="253"/>
      <c r="M37" s="253"/>
      <c r="N37" s="253"/>
      <c r="O37" s="253"/>
      <c r="P37" s="253"/>
      <c r="Q37" s="253"/>
      <c r="R37" s="253">
        <v>427.4</v>
      </c>
      <c r="S37" s="253">
        <v>307.39999999999998</v>
      </c>
      <c r="T37" s="253">
        <f>+S37-R37</f>
        <v>-120</v>
      </c>
      <c r="U37" s="252"/>
      <c r="V37" s="252"/>
      <c r="W37" s="252"/>
      <c r="X37" s="273" t="s">
        <v>355</v>
      </c>
    </row>
    <row r="38" spans="1:25" ht="29.25" customHeight="1" x14ac:dyDescent="0.2">
      <c r="A38" s="328" t="s">
        <v>174</v>
      </c>
      <c r="B38" s="374" t="s">
        <v>96</v>
      </c>
      <c r="C38" s="263" t="s">
        <v>72</v>
      </c>
      <c r="D38" s="28" t="s">
        <v>67</v>
      </c>
      <c r="E38" s="28" t="s">
        <v>156</v>
      </c>
      <c r="F38" s="325">
        <f t="shared" si="4"/>
        <v>7692.2999999999993</v>
      </c>
      <c r="G38" s="325">
        <f t="shared" si="4"/>
        <v>7692.3</v>
      </c>
      <c r="H38" s="415">
        <f>G38-F38</f>
        <v>0</v>
      </c>
      <c r="I38" s="271">
        <v>4959.2</v>
      </c>
      <c r="J38" s="271">
        <v>5022.8</v>
      </c>
      <c r="K38" s="393">
        <f t="shared" si="5"/>
        <v>63.600000000000364</v>
      </c>
      <c r="L38" s="253"/>
      <c r="M38" s="253"/>
      <c r="N38" s="253"/>
      <c r="O38" s="253"/>
      <c r="P38" s="253"/>
      <c r="Q38" s="253"/>
      <c r="R38" s="253">
        <v>2733.1</v>
      </c>
      <c r="S38" s="253">
        <v>2669.5</v>
      </c>
      <c r="T38" s="253">
        <f>+S38-R38</f>
        <v>-63.599999999999909</v>
      </c>
      <c r="U38" s="253"/>
      <c r="V38" s="253"/>
      <c r="W38" s="253"/>
      <c r="X38" s="273" t="s">
        <v>351</v>
      </c>
    </row>
    <row r="39" spans="1:25" ht="55.5" customHeight="1" x14ac:dyDescent="0.2">
      <c r="A39" s="375" t="s">
        <v>175</v>
      </c>
      <c r="B39" s="416" t="s">
        <v>333</v>
      </c>
      <c r="C39" s="254" t="s">
        <v>70</v>
      </c>
      <c r="D39" s="13" t="s">
        <v>37</v>
      </c>
      <c r="E39" s="13" t="s">
        <v>73</v>
      </c>
      <c r="F39" s="325">
        <f t="shared" si="4"/>
        <v>2832.5</v>
      </c>
      <c r="G39" s="325">
        <f t="shared" si="4"/>
        <v>2832.5</v>
      </c>
      <c r="H39" s="323">
        <f>G39-F39</f>
        <v>0</v>
      </c>
      <c r="I39" s="335">
        <v>291</v>
      </c>
      <c r="J39" s="335">
        <v>342.1</v>
      </c>
      <c r="K39" s="393">
        <f t="shared" si="5"/>
        <v>51.100000000000023</v>
      </c>
      <c r="L39" s="335">
        <v>1505.2</v>
      </c>
      <c r="M39" s="335">
        <v>1537.7</v>
      </c>
      <c r="N39" s="335">
        <f>+M39-L39</f>
        <v>32.5</v>
      </c>
      <c r="O39" s="335"/>
      <c r="P39" s="335"/>
      <c r="Q39" s="335"/>
      <c r="R39" s="335">
        <v>496.3</v>
      </c>
      <c r="S39" s="335">
        <v>412.7</v>
      </c>
      <c r="T39" s="335">
        <f>+S39-R39</f>
        <v>-83.600000000000023</v>
      </c>
      <c r="U39" s="335">
        <v>540</v>
      </c>
      <c r="V39" s="335">
        <v>540</v>
      </c>
      <c r="W39" s="335"/>
      <c r="X39" s="273" t="s">
        <v>351</v>
      </c>
    </row>
    <row r="40" spans="1:25" ht="41.25" customHeight="1" x14ac:dyDescent="0.2">
      <c r="A40" s="328" t="s">
        <v>176</v>
      </c>
      <c r="B40" s="273" t="s">
        <v>345</v>
      </c>
      <c r="C40" s="263" t="s">
        <v>70</v>
      </c>
      <c r="D40" s="28" t="s">
        <v>25</v>
      </c>
      <c r="E40" s="28" t="s">
        <v>298</v>
      </c>
      <c r="F40" s="325">
        <f t="shared" si="4"/>
        <v>2930</v>
      </c>
      <c r="G40" s="325">
        <f t="shared" si="4"/>
        <v>2930</v>
      </c>
      <c r="H40" s="352">
        <f t="shared" ref="H40:H59" si="6">+G40-F40</f>
        <v>0</v>
      </c>
      <c r="I40" s="252">
        <v>1880</v>
      </c>
      <c r="J40" s="252">
        <v>1880</v>
      </c>
      <c r="K40" s="252"/>
      <c r="L40" s="252"/>
      <c r="M40" s="252"/>
      <c r="N40" s="252"/>
      <c r="O40" s="252"/>
      <c r="P40" s="252"/>
      <c r="Q40" s="252"/>
      <c r="R40" s="252">
        <v>1050</v>
      </c>
      <c r="S40" s="252">
        <v>1050</v>
      </c>
      <c r="T40" s="252"/>
      <c r="U40" s="252"/>
      <c r="V40" s="252"/>
      <c r="W40" s="252"/>
      <c r="X40" s="252"/>
    </row>
    <row r="41" spans="1:25" ht="80.25" customHeight="1" x14ac:dyDescent="0.2">
      <c r="A41" s="328" t="s">
        <v>177</v>
      </c>
      <c r="B41" s="374" t="s">
        <v>299</v>
      </c>
      <c r="C41" s="417"/>
      <c r="D41" s="10" t="s">
        <v>26</v>
      </c>
      <c r="E41" s="10" t="s">
        <v>73</v>
      </c>
      <c r="F41" s="392">
        <f t="shared" si="4"/>
        <v>475</v>
      </c>
      <c r="G41" s="392">
        <f t="shared" si="4"/>
        <v>420</v>
      </c>
      <c r="H41" s="373">
        <f t="shared" si="6"/>
        <v>-55</v>
      </c>
      <c r="I41" s="259">
        <v>175</v>
      </c>
      <c r="J41" s="259">
        <v>175</v>
      </c>
      <c r="K41" s="259"/>
      <c r="L41" s="259"/>
      <c r="M41" s="259"/>
      <c r="N41" s="259"/>
      <c r="O41" s="259"/>
      <c r="P41" s="259"/>
      <c r="Q41" s="259"/>
      <c r="R41" s="259">
        <v>300</v>
      </c>
      <c r="S41" s="259">
        <v>245</v>
      </c>
      <c r="T41" s="259">
        <f>+S41-R41</f>
        <v>-55</v>
      </c>
      <c r="U41" s="259"/>
      <c r="V41" s="259"/>
      <c r="W41" s="259"/>
      <c r="X41" s="292" t="s">
        <v>359</v>
      </c>
    </row>
    <row r="42" spans="1:25" ht="42" customHeight="1" x14ac:dyDescent="0.2">
      <c r="A42" s="375" t="s">
        <v>178</v>
      </c>
      <c r="B42" s="273" t="s">
        <v>332</v>
      </c>
      <c r="C42" s="267"/>
      <c r="D42" s="10" t="s">
        <v>26</v>
      </c>
      <c r="E42" s="10" t="s">
        <v>73</v>
      </c>
      <c r="F42" s="325">
        <f t="shared" si="4"/>
        <v>573</v>
      </c>
      <c r="G42" s="325">
        <f t="shared" si="4"/>
        <v>573</v>
      </c>
      <c r="H42" s="352">
        <f t="shared" si="6"/>
        <v>0</v>
      </c>
      <c r="I42" s="258">
        <v>440.5</v>
      </c>
      <c r="J42" s="258">
        <v>440.5</v>
      </c>
      <c r="K42" s="258"/>
      <c r="L42" s="258"/>
      <c r="M42" s="258"/>
      <c r="N42" s="258"/>
      <c r="O42" s="258"/>
      <c r="P42" s="258"/>
      <c r="Q42" s="258"/>
      <c r="R42" s="258"/>
      <c r="S42" s="258"/>
      <c r="T42" s="258"/>
      <c r="U42" s="258">
        <v>132.5</v>
      </c>
      <c r="V42" s="258">
        <v>132.5</v>
      </c>
      <c r="W42" s="258"/>
      <c r="X42" s="258"/>
    </row>
    <row r="43" spans="1:25" ht="39" customHeight="1" x14ac:dyDescent="0.2">
      <c r="A43" s="328" t="s">
        <v>179</v>
      </c>
      <c r="B43" s="374" t="s">
        <v>324</v>
      </c>
      <c r="C43" s="252" t="s">
        <v>69</v>
      </c>
      <c r="D43" s="10" t="s">
        <v>26</v>
      </c>
      <c r="E43" s="10" t="s">
        <v>156</v>
      </c>
      <c r="F43" s="392">
        <f t="shared" si="4"/>
        <v>1900</v>
      </c>
      <c r="G43" s="392">
        <f t="shared" si="4"/>
        <v>1910</v>
      </c>
      <c r="H43" s="373">
        <f t="shared" si="6"/>
        <v>10</v>
      </c>
      <c r="I43" s="259">
        <v>1900</v>
      </c>
      <c r="J43" s="259">
        <v>1910</v>
      </c>
      <c r="K43" s="259">
        <f>+J43-I43</f>
        <v>10</v>
      </c>
      <c r="L43" s="258"/>
      <c r="M43" s="258"/>
      <c r="N43" s="258"/>
      <c r="O43" s="258"/>
      <c r="P43" s="258"/>
      <c r="Q43" s="258"/>
      <c r="R43" s="258"/>
      <c r="S43" s="258"/>
      <c r="T43" s="258"/>
      <c r="U43" s="258"/>
      <c r="V43" s="258"/>
      <c r="W43" s="258"/>
      <c r="X43" s="292" t="s">
        <v>367</v>
      </c>
    </row>
    <row r="44" spans="1:25" ht="32.1" customHeight="1" x14ac:dyDescent="0.2">
      <c r="A44" s="375" t="s">
        <v>180</v>
      </c>
      <c r="B44" s="290" t="s">
        <v>331</v>
      </c>
      <c r="C44" s="409"/>
      <c r="D44" s="30" t="s">
        <v>26</v>
      </c>
      <c r="E44" s="28" t="s">
        <v>68</v>
      </c>
      <c r="F44" s="392">
        <f t="shared" si="4"/>
        <v>150</v>
      </c>
      <c r="G44" s="392">
        <f t="shared" si="4"/>
        <v>160</v>
      </c>
      <c r="H44" s="373">
        <f t="shared" si="6"/>
        <v>10</v>
      </c>
      <c r="I44" s="253">
        <v>150</v>
      </c>
      <c r="J44" s="253">
        <v>160</v>
      </c>
      <c r="K44" s="259">
        <f>+J44-I44</f>
        <v>10</v>
      </c>
      <c r="L44" s="252"/>
      <c r="M44" s="252"/>
      <c r="N44" s="252"/>
      <c r="O44" s="252"/>
      <c r="P44" s="252"/>
      <c r="Q44" s="260"/>
      <c r="R44" s="260"/>
      <c r="S44" s="260"/>
      <c r="T44" s="260"/>
      <c r="U44" s="260"/>
      <c r="V44" s="260"/>
      <c r="W44" s="260"/>
      <c r="X44" s="292" t="s">
        <v>366</v>
      </c>
    </row>
    <row r="45" spans="1:25" ht="40.5" customHeight="1" x14ac:dyDescent="0.2">
      <c r="A45" s="328" t="s">
        <v>181</v>
      </c>
      <c r="B45" s="273" t="s">
        <v>307</v>
      </c>
      <c r="C45" s="252" t="s">
        <v>45</v>
      </c>
      <c r="D45" s="28" t="s">
        <v>67</v>
      </c>
      <c r="E45" s="28" t="s">
        <v>26</v>
      </c>
      <c r="F45" s="325">
        <f t="shared" si="4"/>
        <v>789.3</v>
      </c>
      <c r="G45" s="325">
        <f t="shared" si="4"/>
        <v>789.3</v>
      </c>
      <c r="H45" s="355">
        <f t="shared" si="6"/>
        <v>0</v>
      </c>
      <c r="I45" s="279">
        <v>595.79999999999995</v>
      </c>
      <c r="J45" s="279">
        <v>595.79999999999995</v>
      </c>
      <c r="K45" s="279"/>
      <c r="L45" s="252"/>
      <c r="M45" s="252"/>
      <c r="N45" s="252"/>
      <c r="O45" s="252"/>
      <c r="P45" s="252"/>
      <c r="Q45" s="252"/>
      <c r="R45" s="252">
        <v>193.5</v>
      </c>
      <c r="S45" s="252">
        <v>193.5</v>
      </c>
      <c r="T45" s="252"/>
      <c r="U45" s="252"/>
      <c r="V45" s="252"/>
      <c r="W45" s="252"/>
      <c r="X45" s="252"/>
    </row>
    <row r="46" spans="1:25" ht="44.25" customHeight="1" x14ac:dyDescent="0.2">
      <c r="A46" s="328" t="s">
        <v>182</v>
      </c>
      <c r="B46" s="273" t="s">
        <v>32</v>
      </c>
      <c r="C46" s="267"/>
      <c r="D46" s="10" t="s">
        <v>38</v>
      </c>
      <c r="E46" s="10" t="s">
        <v>155</v>
      </c>
      <c r="F46" s="325">
        <f t="shared" si="4"/>
        <v>1700</v>
      </c>
      <c r="G46" s="325">
        <f t="shared" si="4"/>
        <v>1700</v>
      </c>
      <c r="H46" s="352">
        <f t="shared" si="6"/>
        <v>0</v>
      </c>
      <c r="I46" s="258">
        <v>1700</v>
      </c>
      <c r="J46" s="258">
        <v>1700</v>
      </c>
      <c r="K46" s="258"/>
      <c r="L46" s="258"/>
      <c r="M46" s="258"/>
      <c r="N46" s="258"/>
      <c r="O46" s="258"/>
      <c r="P46" s="258"/>
      <c r="Q46" s="258"/>
      <c r="R46" s="258"/>
      <c r="S46" s="258"/>
      <c r="T46" s="258"/>
      <c r="U46" s="258"/>
      <c r="V46" s="258"/>
      <c r="W46" s="258"/>
      <c r="X46" s="258"/>
    </row>
    <row r="47" spans="1:25" ht="40.5" customHeight="1" x14ac:dyDescent="0.2">
      <c r="A47" s="375" t="s">
        <v>183</v>
      </c>
      <c r="B47" s="291" t="s">
        <v>152</v>
      </c>
      <c r="C47" s="254" t="s">
        <v>71</v>
      </c>
      <c r="D47" s="13" t="s">
        <v>23</v>
      </c>
      <c r="E47" s="13" t="s">
        <v>73</v>
      </c>
      <c r="F47" s="325">
        <f t="shared" si="4"/>
        <v>140.1</v>
      </c>
      <c r="G47" s="325">
        <f t="shared" si="4"/>
        <v>140.1</v>
      </c>
      <c r="H47" s="324">
        <f t="shared" si="6"/>
        <v>0</v>
      </c>
      <c r="I47" s="254">
        <v>19.7</v>
      </c>
      <c r="J47" s="254">
        <v>19.7</v>
      </c>
      <c r="K47" s="254"/>
      <c r="L47" s="254">
        <v>90.3</v>
      </c>
      <c r="M47" s="254">
        <v>90.3</v>
      </c>
      <c r="N47" s="254"/>
      <c r="O47" s="254">
        <v>30.1</v>
      </c>
      <c r="P47" s="254">
        <v>30.1</v>
      </c>
      <c r="Q47" s="254"/>
      <c r="R47" s="254"/>
      <c r="S47" s="254"/>
      <c r="T47" s="254"/>
      <c r="U47" s="254"/>
      <c r="V47" s="254"/>
      <c r="W47" s="254"/>
      <c r="X47" s="254"/>
    </row>
    <row r="48" spans="1:25" ht="54" customHeight="1" x14ac:dyDescent="0.2">
      <c r="A48" s="328" t="s">
        <v>184</v>
      </c>
      <c r="B48" s="273" t="s">
        <v>317</v>
      </c>
      <c r="C48" s="252"/>
      <c r="D48" s="10" t="s">
        <v>23</v>
      </c>
      <c r="E48" s="10" t="s">
        <v>26</v>
      </c>
      <c r="F48" s="325">
        <f t="shared" si="4"/>
        <v>33</v>
      </c>
      <c r="G48" s="325">
        <f t="shared" si="4"/>
        <v>33</v>
      </c>
      <c r="H48" s="322">
        <f t="shared" si="6"/>
        <v>0</v>
      </c>
      <c r="I48" s="258"/>
      <c r="J48" s="258"/>
      <c r="K48" s="258"/>
      <c r="L48" s="258"/>
      <c r="M48" s="258"/>
      <c r="N48" s="258"/>
      <c r="O48" s="258"/>
      <c r="P48" s="258"/>
      <c r="Q48" s="258"/>
      <c r="R48" s="258">
        <v>33</v>
      </c>
      <c r="S48" s="258">
        <v>33</v>
      </c>
      <c r="T48" s="258"/>
      <c r="U48" s="258"/>
      <c r="V48" s="258"/>
      <c r="W48" s="258"/>
      <c r="X48" s="258"/>
    </row>
    <row r="49" spans="1:25" ht="30" customHeight="1" x14ac:dyDescent="0.2">
      <c r="A49" s="328" t="s">
        <v>185</v>
      </c>
      <c r="B49" s="273" t="s">
        <v>309</v>
      </c>
      <c r="C49" s="253"/>
      <c r="D49" s="10" t="s">
        <v>26</v>
      </c>
      <c r="E49" s="10" t="s">
        <v>68</v>
      </c>
      <c r="F49" s="325">
        <f t="shared" si="4"/>
        <v>310</v>
      </c>
      <c r="G49" s="325">
        <f t="shared" si="4"/>
        <v>310</v>
      </c>
      <c r="H49" s="325">
        <f t="shared" si="6"/>
        <v>0</v>
      </c>
      <c r="I49" s="280">
        <v>310</v>
      </c>
      <c r="J49" s="280">
        <v>310</v>
      </c>
      <c r="K49" s="280"/>
      <c r="L49" s="280"/>
      <c r="M49" s="280"/>
      <c r="N49" s="280"/>
      <c r="O49" s="280"/>
      <c r="P49" s="280"/>
      <c r="Q49" s="280"/>
      <c r="R49" s="280"/>
      <c r="S49" s="280"/>
      <c r="T49" s="280"/>
      <c r="U49" s="280"/>
      <c r="V49" s="280"/>
      <c r="W49" s="280"/>
      <c r="X49" s="280"/>
    </row>
    <row r="50" spans="1:25" ht="68.25" customHeight="1" x14ac:dyDescent="0.2">
      <c r="A50" s="333">
        <v>20</v>
      </c>
      <c r="B50" s="347" t="s">
        <v>337</v>
      </c>
      <c r="C50" s="268"/>
      <c r="D50" s="52" t="s">
        <v>26</v>
      </c>
      <c r="E50" s="52" t="s">
        <v>73</v>
      </c>
      <c r="F50" s="325">
        <f t="shared" si="4"/>
        <v>533.19999999999993</v>
      </c>
      <c r="G50" s="325">
        <f t="shared" si="4"/>
        <v>533.19999999999993</v>
      </c>
      <c r="H50" s="325">
        <f t="shared" si="6"/>
        <v>0</v>
      </c>
      <c r="I50" s="280"/>
      <c r="J50" s="280"/>
      <c r="K50" s="280"/>
      <c r="L50" s="280"/>
      <c r="M50" s="280"/>
      <c r="N50" s="280"/>
      <c r="O50" s="280"/>
      <c r="P50" s="280"/>
      <c r="Q50" s="280"/>
      <c r="R50" s="280">
        <f>520.3+12.9</f>
        <v>533.19999999999993</v>
      </c>
      <c r="S50" s="280">
        <f>520.3+12.9</f>
        <v>533.19999999999993</v>
      </c>
      <c r="T50" s="280"/>
      <c r="U50" s="280"/>
      <c r="V50" s="280"/>
      <c r="W50" s="280"/>
      <c r="X50" s="280"/>
    </row>
    <row r="51" spans="1:25" ht="33" customHeight="1" x14ac:dyDescent="0.2">
      <c r="A51" s="334">
        <v>21</v>
      </c>
      <c r="B51" s="273" t="s">
        <v>308</v>
      </c>
      <c r="C51" s="252"/>
      <c r="D51" s="10" t="s">
        <v>26</v>
      </c>
      <c r="E51" s="10" t="s">
        <v>73</v>
      </c>
      <c r="F51" s="325">
        <f t="shared" si="4"/>
        <v>517.6</v>
      </c>
      <c r="G51" s="325">
        <f t="shared" si="4"/>
        <v>517.6</v>
      </c>
      <c r="H51" s="322">
        <f t="shared" si="6"/>
        <v>0</v>
      </c>
      <c r="I51" s="258"/>
      <c r="J51" s="258"/>
      <c r="K51" s="258"/>
      <c r="L51" s="258"/>
      <c r="M51" s="258"/>
      <c r="N51" s="258"/>
      <c r="O51" s="258"/>
      <c r="P51" s="258"/>
      <c r="Q51" s="258"/>
      <c r="R51" s="258">
        <v>517.6</v>
      </c>
      <c r="S51" s="258">
        <v>517.6</v>
      </c>
      <c r="T51" s="258"/>
      <c r="U51" s="258"/>
      <c r="V51" s="258"/>
      <c r="W51" s="258"/>
      <c r="X51" s="258"/>
    </row>
    <row r="52" spans="1:25" ht="44.25" customHeight="1" x14ac:dyDescent="0.2">
      <c r="A52" s="334">
        <v>22</v>
      </c>
      <c r="B52" s="273" t="s">
        <v>112</v>
      </c>
      <c r="C52" s="252" t="s">
        <v>120</v>
      </c>
      <c r="D52" s="10" t="s">
        <v>37</v>
      </c>
      <c r="E52" s="10" t="s">
        <v>26</v>
      </c>
      <c r="F52" s="325">
        <f t="shared" si="4"/>
        <v>1063.5</v>
      </c>
      <c r="G52" s="325">
        <f t="shared" si="4"/>
        <v>1063.5</v>
      </c>
      <c r="H52" s="322">
        <f t="shared" si="6"/>
        <v>0</v>
      </c>
      <c r="I52" s="258">
        <v>1063.5</v>
      </c>
      <c r="J52" s="258">
        <v>1063.5</v>
      </c>
      <c r="K52" s="258"/>
      <c r="L52" s="258"/>
      <c r="M52" s="258"/>
      <c r="N52" s="258"/>
      <c r="O52" s="258"/>
      <c r="P52" s="258"/>
      <c r="Q52" s="258"/>
      <c r="R52" s="258"/>
      <c r="S52" s="258"/>
      <c r="T52" s="258"/>
      <c r="U52" s="258"/>
      <c r="V52" s="258"/>
      <c r="W52" s="258"/>
      <c r="X52" s="258"/>
    </row>
    <row r="53" spans="1:25" ht="41.25" customHeight="1" x14ac:dyDescent="0.2">
      <c r="A53" s="334">
        <v>23</v>
      </c>
      <c r="B53" s="273" t="s">
        <v>153</v>
      </c>
      <c r="C53" s="252" t="s">
        <v>64</v>
      </c>
      <c r="D53" s="10" t="s">
        <v>37</v>
      </c>
      <c r="E53" s="10" t="s">
        <v>73</v>
      </c>
      <c r="F53" s="325">
        <f t="shared" si="4"/>
        <v>280.2</v>
      </c>
      <c r="G53" s="325">
        <f t="shared" si="4"/>
        <v>280.2</v>
      </c>
      <c r="H53" s="322">
        <f t="shared" si="6"/>
        <v>0</v>
      </c>
      <c r="I53" s="258">
        <f>180.2+100</f>
        <v>280.2</v>
      </c>
      <c r="J53" s="258">
        <f>180.2+100</f>
        <v>280.2</v>
      </c>
      <c r="K53" s="258"/>
      <c r="L53" s="258"/>
      <c r="M53" s="258"/>
      <c r="N53" s="258"/>
      <c r="O53" s="258"/>
      <c r="P53" s="258"/>
      <c r="Q53" s="258"/>
      <c r="R53" s="258"/>
      <c r="S53" s="258"/>
      <c r="T53" s="258"/>
      <c r="U53" s="258"/>
      <c r="V53" s="258"/>
      <c r="W53" s="258"/>
      <c r="X53" s="258"/>
    </row>
    <row r="54" spans="1:25" ht="57" customHeight="1" x14ac:dyDescent="0.2">
      <c r="A54" s="334">
        <v>24</v>
      </c>
      <c r="B54" s="374" t="s">
        <v>346</v>
      </c>
      <c r="C54" s="252" t="s">
        <v>64</v>
      </c>
      <c r="D54" s="10" t="s">
        <v>38</v>
      </c>
      <c r="E54" s="10" t="s">
        <v>73</v>
      </c>
      <c r="F54" s="392">
        <f t="shared" si="4"/>
        <v>1081</v>
      </c>
      <c r="G54" s="392">
        <f t="shared" si="4"/>
        <v>1530.1</v>
      </c>
      <c r="H54" s="373">
        <f t="shared" si="6"/>
        <v>449.09999999999991</v>
      </c>
      <c r="I54" s="259">
        <v>1081</v>
      </c>
      <c r="J54" s="259">
        <v>1530.1</v>
      </c>
      <c r="K54" s="259">
        <f>+J54-I54</f>
        <v>449.09999999999991</v>
      </c>
      <c r="L54" s="258"/>
      <c r="M54" s="258"/>
      <c r="N54" s="258"/>
      <c r="O54" s="258"/>
      <c r="P54" s="258"/>
      <c r="Q54" s="258"/>
      <c r="R54" s="258"/>
      <c r="S54" s="258"/>
      <c r="T54" s="258"/>
      <c r="U54" s="258"/>
      <c r="V54" s="258"/>
      <c r="W54" s="258"/>
      <c r="X54" s="292" t="s">
        <v>365</v>
      </c>
    </row>
    <row r="55" spans="1:25" ht="29.45" customHeight="1" x14ac:dyDescent="0.2">
      <c r="A55" s="334">
        <v>25</v>
      </c>
      <c r="B55" s="273" t="s">
        <v>122</v>
      </c>
      <c r="C55" s="252"/>
      <c r="D55" s="10" t="s">
        <v>23</v>
      </c>
      <c r="E55" s="28" t="s">
        <v>73</v>
      </c>
      <c r="F55" s="325">
        <f t="shared" si="4"/>
        <v>255.4</v>
      </c>
      <c r="G55" s="325">
        <f t="shared" si="4"/>
        <v>255.4</v>
      </c>
      <c r="H55" s="322">
        <f t="shared" si="6"/>
        <v>0</v>
      </c>
      <c r="I55" s="258">
        <v>255.4</v>
      </c>
      <c r="J55" s="258">
        <v>255.4</v>
      </c>
      <c r="K55" s="258"/>
      <c r="L55" s="258"/>
      <c r="M55" s="258"/>
      <c r="N55" s="258"/>
      <c r="O55" s="258"/>
      <c r="P55" s="258"/>
      <c r="Q55" s="258"/>
      <c r="R55" s="258"/>
      <c r="S55" s="258"/>
      <c r="T55" s="258"/>
      <c r="U55" s="258"/>
      <c r="V55" s="258"/>
      <c r="W55" s="258"/>
      <c r="X55" s="258"/>
    </row>
    <row r="56" spans="1:25" ht="44.25" customHeight="1" x14ac:dyDescent="0.2">
      <c r="A56" s="375">
        <v>26</v>
      </c>
      <c r="B56" s="390" t="s">
        <v>347</v>
      </c>
      <c r="C56" s="287" t="s">
        <v>74</v>
      </c>
      <c r="D56" s="60" t="s">
        <v>38</v>
      </c>
      <c r="E56" s="60" t="s">
        <v>26</v>
      </c>
      <c r="F56" s="410">
        <f>I56+L56+O56+R56+U56</f>
        <v>1996.3000000000002</v>
      </c>
      <c r="G56" s="410">
        <f t="shared" si="4"/>
        <v>1513.3000000000002</v>
      </c>
      <c r="H56" s="410">
        <f t="shared" si="6"/>
        <v>-483</v>
      </c>
      <c r="I56" s="418">
        <v>1127.4000000000001</v>
      </c>
      <c r="J56" s="418">
        <v>643.1</v>
      </c>
      <c r="K56" s="418">
        <f>+J56-I56</f>
        <v>-484.30000000000007</v>
      </c>
      <c r="L56" s="418">
        <v>868.9</v>
      </c>
      <c r="M56" s="418">
        <v>870.2</v>
      </c>
      <c r="N56" s="418">
        <f>+M56-L56</f>
        <v>1.3000000000000682</v>
      </c>
      <c r="O56" s="288"/>
      <c r="P56" s="288"/>
      <c r="Q56" s="288"/>
      <c r="R56" s="288"/>
      <c r="S56" s="288"/>
      <c r="T56" s="288"/>
      <c r="U56" s="288"/>
      <c r="V56" s="288"/>
      <c r="W56" s="288"/>
      <c r="X56" s="511" t="s">
        <v>357</v>
      </c>
    </row>
    <row r="57" spans="1:25" ht="28.5" customHeight="1" x14ac:dyDescent="0.2">
      <c r="A57" s="351"/>
      <c r="B57" s="408" t="s">
        <v>310</v>
      </c>
      <c r="C57" s="286"/>
      <c r="D57" s="24" t="s">
        <v>73</v>
      </c>
      <c r="E57" s="24" t="s">
        <v>75</v>
      </c>
      <c r="F57" s="420">
        <f t="shared" si="4"/>
        <v>2553.4</v>
      </c>
      <c r="G57" s="420">
        <f t="shared" si="4"/>
        <v>3036.4</v>
      </c>
      <c r="H57" s="420">
        <f t="shared" si="6"/>
        <v>483</v>
      </c>
      <c r="I57" s="419">
        <v>2553.4</v>
      </c>
      <c r="J57" s="419">
        <v>3036.4</v>
      </c>
      <c r="K57" s="419">
        <f>+J57-I57</f>
        <v>483</v>
      </c>
      <c r="L57" s="266"/>
      <c r="M57" s="266"/>
      <c r="N57" s="266"/>
      <c r="O57" s="266"/>
      <c r="P57" s="266"/>
      <c r="Q57" s="266"/>
      <c r="R57" s="266"/>
      <c r="S57" s="266"/>
      <c r="T57" s="266"/>
      <c r="U57" s="266"/>
      <c r="V57" s="266"/>
      <c r="W57" s="266"/>
      <c r="X57" s="512"/>
    </row>
    <row r="58" spans="1:25" ht="41.25" customHeight="1" x14ac:dyDescent="0.2">
      <c r="A58" s="328">
        <v>27</v>
      </c>
      <c r="B58" s="374" t="s">
        <v>348</v>
      </c>
      <c r="C58" s="263" t="s">
        <v>63</v>
      </c>
      <c r="D58" s="10" t="s">
        <v>38</v>
      </c>
      <c r="E58" s="10" t="s">
        <v>68</v>
      </c>
      <c r="F58" s="325">
        <f t="shared" si="4"/>
        <v>642.20000000000005</v>
      </c>
      <c r="G58" s="325">
        <f t="shared" si="4"/>
        <v>642.20000000000005</v>
      </c>
      <c r="H58" s="322">
        <f t="shared" si="6"/>
        <v>0</v>
      </c>
      <c r="I58" s="259">
        <v>216.2</v>
      </c>
      <c r="J58" s="259">
        <v>217</v>
      </c>
      <c r="K58" s="419">
        <f>+J58-I58</f>
        <v>0.80000000000001137</v>
      </c>
      <c r="L58" s="259">
        <v>426</v>
      </c>
      <c r="M58" s="259">
        <v>425.2</v>
      </c>
      <c r="N58" s="259">
        <f>+M58-L58</f>
        <v>-0.80000000000001137</v>
      </c>
      <c r="O58" s="258"/>
      <c r="P58" s="258"/>
      <c r="Q58" s="258"/>
      <c r="R58" s="258"/>
      <c r="S58" s="258"/>
      <c r="T58" s="258"/>
      <c r="U58" s="258"/>
      <c r="V58" s="258"/>
      <c r="W58" s="258"/>
      <c r="X58" s="258" t="s">
        <v>351</v>
      </c>
    </row>
    <row r="59" spans="1:25" ht="82.5" customHeight="1" x14ac:dyDescent="0.2">
      <c r="A59" s="328">
        <v>28</v>
      </c>
      <c r="B59" s="374" t="s">
        <v>349</v>
      </c>
      <c r="C59" s="263"/>
      <c r="D59" s="412" t="s">
        <v>25</v>
      </c>
      <c r="E59" s="412"/>
      <c r="F59" s="392">
        <f>I59+L59+O59+R59+U59</f>
        <v>0</v>
      </c>
      <c r="G59" s="392">
        <f>J59+M59+P59+S59+V59</f>
        <v>31063.3</v>
      </c>
      <c r="H59" s="373">
        <f t="shared" si="6"/>
        <v>31063.3</v>
      </c>
      <c r="I59" s="259">
        <v>0</v>
      </c>
      <c r="J59" s="259">
        <v>2994.3</v>
      </c>
      <c r="K59" s="259">
        <f>+J59-I59</f>
        <v>2994.3</v>
      </c>
      <c r="L59" s="259">
        <v>0</v>
      </c>
      <c r="M59" s="259">
        <v>0</v>
      </c>
      <c r="N59" s="259"/>
      <c r="O59" s="259"/>
      <c r="P59" s="259">
        <v>28000</v>
      </c>
      <c r="Q59" s="259">
        <f>+P59-O59</f>
        <v>28000</v>
      </c>
      <c r="R59" s="259"/>
      <c r="S59" s="259">
        <v>69</v>
      </c>
      <c r="T59" s="259">
        <f>+S59-R59</f>
        <v>69</v>
      </c>
      <c r="U59" s="259"/>
      <c r="V59" s="259"/>
      <c r="W59" s="259"/>
      <c r="X59" s="292" t="s">
        <v>364</v>
      </c>
    </row>
    <row r="60" spans="1:25" ht="15" customHeight="1" x14ac:dyDescent="0.2">
      <c r="A60" s="332">
        <v>28</v>
      </c>
      <c r="B60" s="349" t="s">
        <v>322</v>
      </c>
      <c r="C60" s="309"/>
      <c r="D60" s="310"/>
      <c r="E60" s="311" t="s">
        <v>17</v>
      </c>
      <c r="F60" s="312">
        <f>SUM(F31:F59)</f>
        <v>87436</v>
      </c>
      <c r="G60" s="312">
        <f t="shared" ref="G60:W60" si="7">SUM(G31:G59)</f>
        <v>119241.3</v>
      </c>
      <c r="H60" s="312">
        <f t="shared" si="7"/>
        <v>31805.3</v>
      </c>
      <c r="I60" s="312">
        <f t="shared" si="7"/>
        <v>30296.300000000007</v>
      </c>
      <c r="J60" s="312">
        <f t="shared" si="7"/>
        <v>34992.5</v>
      </c>
      <c r="K60" s="312">
        <f t="shared" si="7"/>
        <v>4696.2</v>
      </c>
      <c r="L60" s="312">
        <f t="shared" si="7"/>
        <v>7499.7999999999993</v>
      </c>
      <c r="M60" s="312">
        <f t="shared" si="7"/>
        <v>7532.9</v>
      </c>
      <c r="N60" s="312">
        <f t="shared" si="7"/>
        <v>33.100000000000193</v>
      </c>
      <c r="O60" s="312">
        <f t="shared" si="7"/>
        <v>21086.899999999998</v>
      </c>
      <c r="P60" s="312">
        <f t="shared" si="7"/>
        <v>47680.1</v>
      </c>
      <c r="Q60" s="312">
        <f t="shared" si="7"/>
        <v>26593.200000000001</v>
      </c>
      <c r="R60" s="312">
        <f t="shared" si="7"/>
        <v>26360.799999999999</v>
      </c>
      <c r="S60" s="312">
        <f t="shared" si="7"/>
        <v>23844.600000000002</v>
      </c>
      <c r="T60" s="312">
        <f t="shared" si="7"/>
        <v>-2516.2000000000007</v>
      </c>
      <c r="U60" s="312">
        <f t="shared" si="7"/>
        <v>2192.1999999999998</v>
      </c>
      <c r="V60" s="312">
        <f t="shared" si="7"/>
        <v>5191.2</v>
      </c>
      <c r="W60" s="312">
        <f t="shared" si="7"/>
        <v>2999</v>
      </c>
      <c r="X60" s="312"/>
    </row>
    <row r="61" spans="1:25" ht="18" customHeight="1" x14ac:dyDescent="0.2">
      <c r="A61" s="496" t="s">
        <v>55</v>
      </c>
      <c r="B61" s="497"/>
      <c r="C61" s="497"/>
      <c r="D61" s="497"/>
      <c r="E61" s="497"/>
      <c r="F61" s="497"/>
      <c r="G61" s="497"/>
      <c r="H61" s="497"/>
      <c r="I61" s="497"/>
      <c r="J61" s="497"/>
      <c r="K61" s="497"/>
      <c r="L61" s="497"/>
      <c r="M61" s="497"/>
      <c r="N61" s="497"/>
      <c r="O61" s="497"/>
      <c r="P61" s="497"/>
      <c r="Q61" s="497"/>
      <c r="R61" s="497"/>
      <c r="S61" s="497"/>
      <c r="T61" s="497"/>
      <c r="U61" s="498"/>
      <c r="V61" s="360"/>
      <c r="W61" s="360"/>
      <c r="X61" s="360"/>
      <c r="Y61" s="414"/>
    </row>
    <row r="62" spans="1:25" ht="40.5" customHeight="1" x14ac:dyDescent="0.2">
      <c r="A62" s="375" t="s">
        <v>140</v>
      </c>
      <c r="B62" s="292" t="s">
        <v>99</v>
      </c>
      <c r="C62" s="319" t="s">
        <v>119</v>
      </c>
      <c r="D62" s="283" t="s">
        <v>38</v>
      </c>
      <c r="E62" s="10" t="s">
        <v>75</v>
      </c>
      <c r="F62" s="352">
        <f>I62+L62+O62+R62+U62</f>
        <v>16532.5</v>
      </c>
      <c r="G62" s="352">
        <f>J62+M62+P62+S62+V62</f>
        <v>16532.5</v>
      </c>
      <c r="H62" s="387">
        <f>G62-F62</f>
        <v>0</v>
      </c>
      <c r="I62" s="272">
        <f>16314.9+200+17.6</f>
        <v>16532.5</v>
      </c>
      <c r="J62" s="272">
        <f>16314.9+200+17.6</f>
        <v>16532.5</v>
      </c>
      <c r="K62" s="272"/>
      <c r="L62" s="258">
        <v>0</v>
      </c>
      <c r="M62" s="258">
        <v>0</v>
      </c>
      <c r="N62" s="258"/>
      <c r="O62" s="258">
        <v>0</v>
      </c>
      <c r="P62" s="258">
        <v>0</v>
      </c>
      <c r="Q62" s="258"/>
      <c r="R62" s="258"/>
      <c r="S62" s="258"/>
      <c r="T62" s="258"/>
      <c r="U62" s="258"/>
      <c r="V62" s="258"/>
      <c r="W62" s="258"/>
      <c r="X62" s="273"/>
    </row>
    <row r="63" spans="1:25" ht="42.75" customHeight="1" x14ac:dyDescent="0.2">
      <c r="A63" s="375" t="s">
        <v>105</v>
      </c>
      <c r="B63" s="292" t="s">
        <v>100</v>
      </c>
      <c r="C63" s="319" t="s">
        <v>119</v>
      </c>
      <c r="D63" s="283" t="s">
        <v>37</v>
      </c>
      <c r="E63" s="10" t="s">
        <v>68</v>
      </c>
      <c r="F63" s="352">
        <f t="shared" ref="F63:G80" si="8">I63+L63+O63+R63+U63</f>
        <v>11483.5</v>
      </c>
      <c r="G63" s="352">
        <f t="shared" si="8"/>
        <v>11483.5</v>
      </c>
      <c r="H63" s="387">
        <f>G63-F63</f>
        <v>0</v>
      </c>
      <c r="I63" s="258">
        <v>4662.8999999999996</v>
      </c>
      <c r="J63" s="258">
        <v>4662.8999999999996</v>
      </c>
      <c r="K63" s="272"/>
      <c r="L63" s="258">
        <v>6267.5</v>
      </c>
      <c r="M63" s="258">
        <v>6267.5</v>
      </c>
      <c r="N63" s="258"/>
      <c r="O63" s="258">
        <v>553.1</v>
      </c>
      <c r="P63" s="258">
        <v>553.1</v>
      </c>
      <c r="Q63" s="259"/>
      <c r="R63" s="266"/>
      <c r="S63" s="266"/>
      <c r="T63" s="266"/>
      <c r="U63" s="266"/>
      <c r="V63" s="266"/>
      <c r="W63" s="266"/>
      <c r="X63" s="273"/>
    </row>
    <row r="64" spans="1:25" ht="66.599999999999994" customHeight="1" x14ac:dyDescent="0.2">
      <c r="A64" s="375" t="s">
        <v>161</v>
      </c>
      <c r="B64" s="354" t="s">
        <v>101</v>
      </c>
      <c r="C64" s="261" t="s">
        <v>118</v>
      </c>
      <c r="D64" s="283" t="s">
        <v>38</v>
      </c>
      <c r="E64" s="10" t="s">
        <v>68</v>
      </c>
      <c r="F64" s="373">
        <f t="shared" si="8"/>
        <v>3403.3</v>
      </c>
      <c r="G64" s="373">
        <f t="shared" si="8"/>
        <v>3440.3</v>
      </c>
      <c r="H64" s="373">
        <f>+G64-F64</f>
        <v>37</v>
      </c>
      <c r="I64" s="259">
        <v>786.7</v>
      </c>
      <c r="J64" s="259">
        <v>823.7</v>
      </c>
      <c r="K64" s="259">
        <f>+J64-I64</f>
        <v>37</v>
      </c>
      <c r="L64" s="259">
        <v>2404.4</v>
      </c>
      <c r="M64" s="259">
        <v>2404.4</v>
      </c>
      <c r="N64" s="259"/>
      <c r="O64" s="259">
        <v>212.2</v>
      </c>
      <c r="P64" s="259">
        <v>212.2</v>
      </c>
      <c r="Q64" s="258"/>
      <c r="R64" s="258"/>
      <c r="S64" s="258"/>
      <c r="T64" s="258"/>
      <c r="U64" s="258"/>
      <c r="V64" s="258"/>
      <c r="W64" s="258"/>
      <c r="X64" s="273" t="s">
        <v>356</v>
      </c>
    </row>
    <row r="65" spans="1:25" ht="46.5" customHeight="1" x14ac:dyDescent="0.2">
      <c r="A65" s="375" t="s">
        <v>162</v>
      </c>
      <c r="B65" s="399" t="s">
        <v>316</v>
      </c>
      <c r="C65" s="261" t="s">
        <v>118</v>
      </c>
      <c r="D65" s="284" t="s">
        <v>38</v>
      </c>
      <c r="E65" s="24" t="s">
        <v>73</v>
      </c>
      <c r="F65" s="352">
        <f>I65+L65+O65+R65+U65</f>
        <v>3107.4</v>
      </c>
      <c r="G65" s="352">
        <f>J65+M65+P65+S65+V65</f>
        <v>3107.4</v>
      </c>
      <c r="H65" s="323">
        <f>G65-F65</f>
        <v>0</v>
      </c>
      <c r="I65" s="266">
        <f>1594.4+144.6-924.9+2107.3+186</f>
        <v>3107.4</v>
      </c>
      <c r="J65" s="266">
        <f>1594.4+144.6-924.9+2107.3+186</f>
        <v>3107.4</v>
      </c>
      <c r="K65" s="266"/>
      <c r="L65" s="266">
        <v>0</v>
      </c>
      <c r="M65" s="266">
        <v>0</v>
      </c>
      <c r="N65" s="266"/>
      <c r="O65" s="266">
        <v>0</v>
      </c>
      <c r="P65" s="266">
        <v>0</v>
      </c>
      <c r="Q65" s="266"/>
      <c r="R65" s="258"/>
      <c r="S65" s="258"/>
      <c r="T65" s="258"/>
      <c r="U65" s="258"/>
      <c r="V65" s="258"/>
      <c r="W65" s="258"/>
      <c r="X65" s="291"/>
    </row>
    <row r="66" spans="1:25" ht="40.5" customHeight="1" x14ac:dyDescent="0.2">
      <c r="A66" s="375" t="s">
        <v>24</v>
      </c>
      <c r="B66" s="354" t="s">
        <v>103</v>
      </c>
      <c r="C66" s="261" t="s">
        <v>287</v>
      </c>
      <c r="D66" s="283" t="s">
        <v>38</v>
      </c>
      <c r="E66" s="10" t="s">
        <v>68</v>
      </c>
      <c r="F66" s="373">
        <f t="shared" si="8"/>
        <v>1803.0000000000002</v>
      </c>
      <c r="G66" s="373">
        <f t="shared" si="8"/>
        <v>1826.0000000000002</v>
      </c>
      <c r="H66" s="373">
        <f>+G66-F66</f>
        <v>23</v>
      </c>
      <c r="I66" s="259">
        <v>380.7</v>
      </c>
      <c r="J66" s="259">
        <v>405.4</v>
      </c>
      <c r="K66" s="259">
        <f>+J66-I66</f>
        <v>24.699999999999989</v>
      </c>
      <c r="L66" s="259">
        <v>1306.9000000000001</v>
      </c>
      <c r="M66" s="259">
        <v>1305.4000000000001</v>
      </c>
      <c r="N66" s="259">
        <f>+M66-L66</f>
        <v>-1.5</v>
      </c>
      <c r="O66" s="259">
        <v>115.4</v>
      </c>
      <c r="P66" s="259">
        <v>115.2</v>
      </c>
      <c r="Q66" s="259">
        <f>+P66-O66</f>
        <v>-0.20000000000000284</v>
      </c>
      <c r="R66" s="258"/>
      <c r="S66" s="258"/>
      <c r="T66" s="258"/>
      <c r="U66" s="258"/>
      <c r="V66" s="258"/>
      <c r="W66" s="258"/>
      <c r="X66" s="292" t="s">
        <v>354</v>
      </c>
    </row>
    <row r="67" spans="1:25" ht="41.25" customHeight="1" x14ac:dyDescent="0.2">
      <c r="A67" s="375" t="s">
        <v>31</v>
      </c>
      <c r="B67" s="292" t="s">
        <v>263</v>
      </c>
      <c r="C67" s="319" t="s">
        <v>121</v>
      </c>
      <c r="D67" s="283" t="s">
        <v>23</v>
      </c>
      <c r="E67" s="10" t="s">
        <v>68</v>
      </c>
      <c r="F67" s="352">
        <f t="shared" si="8"/>
        <v>94</v>
      </c>
      <c r="G67" s="352">
        <f t="shared" si="8"/>
        <v>94</v>
      </c>
      <c r="H67" s="352">
        <f>+G67-F67</f>
        <v>0</v>
      </c>
      <c r="I67" s="252">
        <v>94</v>
      </c>
      <c r="J67" s="252">
        <v>94</v>
      </c>
      <c r="K67" s="252"/>
      <c r="L67" s="258"/>
      <c r="M67" s="258"/>
      <c r="N67" s="258"/>
      <c r="O67" s="258"/>
      <c r="P67" s="258"/>
      <c r="Q67" s="258"/>
      <c r="R67" s="258"/>
      <c r="S67" s="258"/>
      <c r="T67" s="258"/>
      <c r="U67" s="258"/>
      <c r="V67" s="258"/>
      <c r="W67" s="258"/>
      <c r="X67" s="258"/>
    </row>
    <row r="68" spans="1:25" ht="31.5" customHeight="1" x14ac:dyDescent="0.2">
      <c r="A68" s="375" t="s">
        <v>163</v>
      </c>
      <c r="B68" s="292" t="s">
        <v>39</v>
      </c>
      <c r="C68" s="273" t="s">
        <v>76</v>
      </c>
      <c r="D68" s="10" t="s">
        <v>37</v>
      </c>
      <c r="E68" s="10" t="s">
        <v>155</v>
      </c>
      <c r="F68" s="352">
        <f t="shared" si="8"/>
        <v>1458.8</v>
      </c>
      <c r="G68" s="352">
        <f t="shared" si="8"/>
        <v>1458.8</v>
      </c>
      <c r="H68" s="352">
        <f>+G68-F68</f>
        <v>0</v>
      </c>
      <c r="I68" s="258">
        <v>1458.8</v>
      </c>
      <c r="J68" s="258">
        <v>1458.8</v>
      </c>
      <c r="K68" s="258"/>
      <c r="L68" s="258"/>
      <c r="M68" s="258"/>
      <c r="N68" s="258"/>
      <c r="O68" s="258"/>
      <c r="P68" s="258"/>
      <c r="Q68" s="258"/>
      <c r="R68" s="258"/>
      <c r="S68" s="258"/>
      <c r="T68" s="258"/>
      <c r="U68" s="258"/>
      <c r="V68" s="258"/>
      <c r="W68" s="258"/>
      <c r="X68" s="258"/>
    </row>
    <row r="69" spans="1:25" ht="39.75" customHeight="1" x14ac:dyDescent="0.2">
      <c r="A69" s="375" t="s">
        <v>174</v>
      </c>
      <c r="B69" s="292" t="s">
        <v>300</v>
      </c>
      <c r="C69" s="273"/>
      <c r="D69" s="10" t="s">
        <v>26</v>
      </c>
      <c r="E69" s="10" t="s">
        <v>75</v>
      </c>
      <c r="F69" s="352">
        <f t="shared" si="8"/>
        <v>314.8</v>
      </c>
      <c r="G69" s="352">
        <f t="shared" si="8"/>
        <v>314.8</v>
      </c>
      <c r="H69" s="352">
        <f>+G69-F69</f>
        <v>0</v>
      </c>
      <c r="I69" s="258">
        <v>314.8</v>
      </c>
      <c r="J69" s="258">
        <v>314.8</v>
      </c>
      <c r="K69" s="258"/>
      <c r="L69" s="258"/>
      <c r="M69" s="258"/>
      <c r="N69" s="258"/>
      <c r="O69" s="258"/>
      <c r="P69" s="258"/>
      <c r="Q69" s="258"/>
      <c r="R69" s="258"/>
      <c r="S69" s="258"/>
      <c r="T69" s="258"/>
      <c r="U69" s="258"/>
      <c r="V69" s="258"/>
      <c r="W69" s="258"/>
      <c r="X69" s="258"/>
    </row>
    <row r="70" spans="1:25" ht="22.5" customHeight="1" x14ac:dyDescent="0.2">
      <c r="A70" s="375" t="s">
        <v>175</v>
      </c>
      <c r="B70" s="398" t="s">
        <v>35</v>
      </c>
      <c r="C70" s="264" t="s">
        <v>61</v>
      </c>
      <c r="D70" s="52" t="s">
        <v>37</v>
      </c>
      <c r="E70" s="52" t="s">
        <v>68</v>
      </c>
      <c r="F70" s="352">
        <f t="shared" si="8"/>
        <v>890</v>
      </c>
      <c r="G70" s="352">
        <f t="shared" si="8"/>
        <v>890</v>
      </c>
      <c r="H70" s="383">
        <f>G70-F70</f>
        <v>0</v>
      </c>
      <c r="I70" s="285">
        <f>791+99</f>
        <v>890</v>
      </c>
      <c r="J70" s="285">
        <f>791+99</f>
        <v>890</v>
      </c>
      <c r="K70" s="285"/>
      <c r="L70" s="285"/>
      <c r="M70" s="285"/>
      <c r="N70" s="285"/>
      <c r="O70" s="285"/>
      <c r="P70" s="285"/>
      <c r="Q70" s="285"/>
      <c r="R70" s="285"/>
      <c r="S70" s="285"/>
      <c r="T70" s="285"/>
      <c r="U70" s="266"/>
      <c r="V70" s="266"/>
      <c r="W70" s="266"/>
      <c r="X70" s="399"/>
    </row>
    <row r="71" spans="1:25" ht="16.350000000000001" customHeight="1" x14ac:dyDescent="0.2">
      <c r="A71" s="375" t="s">
        <v>176</v>
      </c>
      <c r="B71" s="292" t="s">
        <v>170</v>
      </c>
      <c r="C71" s="258" t="s">
        <v>61</v>
      </c>
      <c r="D71" s="10" t="s">
        <v>37</v>
      </c>
      <c r="E71" s="10" t="s">
        <v>75</v>
      </c>
      <c r="F71" s="352">
        <f t="shared" si="8"/>
        <v>1473</v>
      </c>
      <c r="G71" s="352">
        <f t="shared" si="8"/>
        <v>1473</v>
      </c>
      <c r="H71" s="322">
        <f t="shared" ref="H71:H78" si="9">+G71-F71</f>
        <v>0</v>
      </c>
      <c r="I71" s="258">
        <v>1473</v>
      </c>
      <c r="J71" s="258">
        <v>1473</v>
      </c>
      <c r="K71" s="258"/>
      <c r="L71" s="259"/>
      <c r="M71" s="259"/>
      <c r="N71" s="259"/>
      <c r="O71" s="259"/>
      <c r="P71" s="259"/>
      <c r="Q71" s="380"/>
      <c r="R71" s="259"/>
      <c r="S71" s="259"/>
      <c r="T71" s="271"/>
      <c r="U71" s="259"/>
      <c r="V71" s="259"/>
      <c r="W71" s="259"/>
      <c r="X71" s="259"/>
    </row>
    <row r="72" spans="1:25" ht="39.75" customHeight="1" x14ac:dyDescent="0.2">
      <c r="A72" s="375" t="s">
        <v>177</v>
      </c>
      <c r="B72" s="292" t="s">
        <v>314</v>
      </c>
      <c r="C72" s="293"/>
      <c r="D72" s="10" t="s">
        <v>68</v>
      </c>
      <c r="E72" s="6" t="s">
        <v>73</v>
      </c>
      <c r="F72" s="352">
        <f t="shared" si="8"/>
        <v>400</v>
      </c>
      <c r="G72" s="352">
        <f t="shared" si="8"/>
        <v>400</v>
      </c>
      <c r="H72" s="356">
        <f t="shared" si="9"/>
        <v>0</v>
      </c>
      <c r="I72" s="258">
        <v>400</v>
      </c>
      <c r="J72" s="258">
        <v>400</v>
      </c>
      <c r="K72" s="294"/>
      <c r="L72" s="259"/>
      <c r="M72" s="259"/>
      <c r="N72" s="259"/>
      <c r="O72" s="259"/>
      <c r="P72" s="259"/>
      <c r="Q72" s="269"/>
      <c r="R72" s="259"/>
      <c r="S72" s="259"/>
      <c r="T72" s="269"/>
      <c r="U72" s="259"/>
      <c r="V72" s="259"/>
      <c r="W72" s="259"/>
      <c r="X72" s="259"/>
    </row>
    <row r="73" spans="1:25" ht="30" customHeight="1" x14ac:dyDescent="0.2">
      <c r="A73" s="375" t="s">
        <v>178</v>
      </c>
      <c r="B73" s="292" t="s">
        <v>154</v>
      </c>
      <c r="C73" s="293"/>
      <c r="D73" s="10" t="s">
        <v>37</v>
      </c>
      <c r="E73" s="6" t="s">
        <v>26</v>
      </c>
      <c r="F73" s="352">
        <f t="shared" si="8"/>
        <v>400</v>
      </c>
      <c r="G73" s="352">
        <f t="shared" si="8"/>
        <v>400</v>
      </c>
      <c r="H73" s="356">
        <f t="shared" si="9"/>
        <v>0</v>
      </c>
      <c r="I73" s="258">
        <v>400</v>
      </c>
      <c r="J73" s="258">
        <v>400</v>
      </c>
      <c r="K73" s="294"/>
      <c r="L73" s="259"/>
      <c r="M73" s="259"/>
      <c r="N73" s="259"/>
      <c r="O73" s="259"/>
      <c r="P73" s="259"/>
      <c r="Q73" s="269"/>
      <c r="R73" s="259"/>
      <c r="S73" s="259"/>
      <c r="T73" s="269"/>
      <c r="U73" s="259"/>
      <c r="V73" s="259"/>
      <c r="W73" s="259"/>
      <c r="X73" s="259"/>
    </row>
    <row r="74" spans="1:25" ht="17.45" customHeight="1" x14ac:dyDescent="0.2">
      <c r="A74" s="375" t="s">
        <v>179</v>
      </c>
      <c r="B74" s="292" t="s">
        <v>321</v>
      </c>
      <c r="C74" s="295"/>
      <c r="D74" s="50" t="s">
        <v>68</v>
      </c>
      <c r="E74" s="69" t="s">
        <v>73</v>
      </c>
      <c r="F74" s="352">
        <f t="shared" si="8"/>
        <v>3178.3</v>
      </c>
      <c r="G74" s="352">
        <f t="shared" si="8"/>
        <v>3178.3</v>
      </c>
      <c r="H74" s="357">
        <f t="shared" si="9"/>
        <v>0</v>
      </c>
      <c r="I74" s="252">
        <v>3178.3</v>
      </c>
      <c r="J74" s="252">
        <v>3178.3</v>
      </c>
      <c r="K74" s="295"/>
      <c r="L74" s="264"/>
      <c r="M74" s="264"/>
      <c r="N74" s="264"/>
      <c r="O74" s="268"/>
      <c r="P74" s="268"/>
      <c r="Q74" s="270"/>
      <c r="R74" s="253"/>
      <c r="S74" s="253"/>
      <c r="T74" s="270"/>
      <c r="U74" s="335"/>
      <c r="V74" s="335"/>
      <c r="W74" s="335"/>
      <c r="X74" s="335"/>
    </row>
    <row r="75" spans="1:25" ht="28.5" customHeight="1" x14ac:dyDescent="0.2">
      <c r="A75" s="375" t="s">
        <v>180</v>
      </c>
      <c r="B75" s="292" t="s">
        <v>171</v>
      </c>
      <c r="C75" s="252" t="s">
        <v>61</v>
      </c>
      <c r="D75" s="28" t="s">
        <v>23</v>
      </c>
      <c r="E75" s="28" t="s">
        <v>156</v>
      </c>
      <c r="F75" s="352">
        <f t="shared" si="8"/>
        <v>597</v>
      </c>
      <c r="G75" s="352">
        <f t="shared" si="8"/>
        <v>597</v>
      </c>
      <c r="H75" s="322">
        <f t="shared" si="9"/>
        <v>0</v>
      </c>
      <c r="I75" s="258">
        <v>597</v>
      </c>
      <c r="J75" s="258">
        <v>597</v>
      </c>
      <c r="K75" s="258"/>
      <c r="L75" s="253"/>
      <c r="M75" s="253"/>
      <c r="N75" s="253"/>
      <c r="O75" s="253"/>
      <c r="P75" s="253"/>
      <c r="Q75" s="381"/>
      <c r="R75" s="253"/>
      <c r="S75" s="253"/>
      <c r="T75" s="382"/>
      <c r="U75" s="253"/>
      <c r="V75" s="253"/>
      <c r="W75" s="253"/>
      <c r="X75" s="253"/>
    </row>
    <row r="76" spans="1:25" ht="41.45" customHeight="1" x14ac:dyDescent="0.2">
      <c r="A76" s="375" t="s">
        <v>181</v>
      </c>
      <c r="B76" s="292" t="s">
        <v>315</v>
      </c>
      <c r="C76" s="296" t="s">
        <v>115</v>
      </c>
      <c r="D76" s="10" t="s">
        <v>68</v>
      </c>
      <c r="E76" s="71" t="s">
        <v>73</v>
      </c>
      <c r="F76" s="352">
        <f t="shared" si="8"/>
        <v>918.4</v>
      </c>
      <c r="G76" s="352">
        <f t="shared" si="8"/>
        <v>918.4</v>
      </c>
      <c r="H76" s="358">
        <f t="shared" si="9"/>
        <v>0</v>
      </c>
      <c r="I76" s="297">
        <v>918.4</v>
      </c>
      <c r="J76" s="297">
        <v>918.4</v>
      </c>
      <c r="K76" s="297"/>
      <c r="L76" s="259"/>
      <c r="M76" s="259"/>
      <c r="N76" s="259"/>
      <c r="O76" s="259"/>
      <c r="P76" s="259"/>
      <c r="Q76" s="269"/>
      <c r="R76" s="259"/>
      <c r="S76" s="259"/>
      <c r="T76" s="271"/>
      <c r="U76" s="259"/>
      <c r="V76" s="259"/>
      <c r="W76" s="259"/>
      <c r="X76" s="259"/>
    </row>
    <row r="77" spans="1:25" ht="43.35" customHeight="1" x14ac:dyDescent="0.2">
      <c r="A77" s="375" t="s">
        <v>182</v>
      </c>
      <c r="B77" s="292" t="s">
        <v>141</v>
      </c>
      <c r="C77" s="252" t="s">
        <v>173</v>
      </c>
      <c r="D77" s="10" t="s">
        <v>23</v>
      </c>
      <c r="E77" s="10" t="s">
        <v>73</v>
      </c>
      <c r="F77" s="352">
        <f t="shared" si="8"/>
        <v>416.7</v>
      </c>
      <c r="G77" s="352">
        <f t="shared" si="8"/>
        <v>416.7</v>
      </c>
      <c r="H77" s="322">
        <f t="shared" si="9"/>
        <v>0</v>
      </c>
      <c r="I77" s="258">
        <v>416.7</v>
      </c>
      <c r="J77" s="258">
        <v>416.7</v>
      </c>
      <c r="K77" s="258"/>
      <c r="L77" s="258"/>
      <c r="M77" s="258"/>
      <c r="N77" s="258"/>
      <c r="O77" s="259"/>
      <c r="P77" s="259"/>
      <c r="Q77" s="259"/>
      <c r="R77" s="259"/>
      <c r="S77" s="259"/>
      <c r="T77" s="259"/>
      <c r="U77" s="259"/>
      <c r="V77" s="259"/>
      <c r="W77" s="259"/>
      <c r="X77" s="259"/>
    </row>
    <row r="78" spans="1:25" ht="33" customHeight="1" x14ac:dyDescent="0.2">
      <c r="A78" s="375" t="s">
        <v>183</v>
      </c>
      <c r="B78" s="336" t="s">
        <v>159</v>
      </c>
      <c r="C78" s="250" t="s">
        <v>142</v>
      </c>
      <c r="D78" s="337" t="s">
        <v>25</v>
      </c>
      <c r="E78" s="337" t="s">
        <v>73</v>
      </c>
      <c r="F78" s="352">
        <f t="shared" si="8"/>
        <v>7051.6</v>
      </c>
      <c r="G78" s="352">
        <f t="shared" si="8"/>
        <v>7051.6</v>
      </c>
      <c r="H78" s="327">
        <f t="shared" si="9"/>
        <v>0</v>
      </c>
      <c r="I78" s="285">
        <f>3600+3451.6</f>
        <v>7051.6</v>
      </c>
      <c r="J78" s="285">
        <f>3600+3451.6</f>
        <v>7051.6</v>
      </c>
      <c r="K78" s="285"/>
      <c r="L78" s="288"/>
      <c r="M78" s="288"/>
      <c r="N78" s="288"/>
      <c r="O78" s="288"/>
      <c r="P78" s="288"/>
      <c r="Q78" s="288"/>
      <c r="R78" s="338"/>
      <c r="S78" s="338"/>
      <c r="T78" s="338"/>
      <c r="U78" s="338"/>
      <c r="V78" s="338"/>
      <c r="W78" s="338"/>
      <c r="X78" s="338"/>
      <c r="Y78" s="302"/>
    </row>
    <row r="79" spans="1:25" ht="41.25" customHeight="1" x14ac:dyDescent="0.2">
      <c r="A79" s="375" t="s">
        <v>184</v>
      </c>
      <c r="B79" s="354" t="s">
        <v>104</v>
      </c>
      <c r="C79" s="319" t="s">
        <v>119</v>
      </c>
      <c r="D79" s="283" t="s">
        <v>38</v>
      </c>
      <c r="E79" s="10" t="s">
        <v>73</v>
      </c>
      <c r="F79" s="322">
        <f t="shared" si="8"/>
        <v>6307.8</v>
      </c>
      <c r="G79" s="322">
        <f t="shared" si="8"/>
        <v>6307.8</v>
      </c>
      <c r="H79" s="373">
        <f>G79-F79</f>
        <v>0</v>
      </c>
      <c r="I79" s="259">
        <v>1488.3</v>
      </c>
      <c r="J79" s="259">
        <v>1220.3</v>
      </c>
      <c r="K79" s="259">
        <f>+J79-I79</f>
        <v>-268</v>
      </c>
      <c r="L79" s="259">
        <v>4428.7</v>
      </c>
      <c r="M79" s="259">
        <v>4675</v>
      </c>
      <c r="N79" s="259">
        <f>+M79-L79</f>
        <v>246.30000000000018</v>
      </c>
      <c r="O79" s="259">
        <v>390.8</v>
      </c>
      <c r="P79" s="259">
        <v>412.5</v>
      </c>
      <c r="Q79" s="259">
        <f>+P79-O79</f>
        <v>21.699999999999989</v>
      </c>
      <c r="R79" s="258"/>
      <c r="S79" s="258"/>
      <c r="T79" s="258"/>
      <c r="U79" s="258"/>
      <c r="V79" s="258"/>
      <c r="W79" s="258"/>
      <c r="X79" s="292" t="s">
        <v>353</v>
      </c>
    </row>
    <row r="80" spans="1:25" ht="41.1" customHeight="1" x14ac:dyDescent="0.2">
      <c r="A80" s="375" t="s">
        <v>185</v>
      </c>
      <c r="B80" s="292" t="s">
        <v>143</v>
      </c>
      <c r="C80" s="252" t="s">
        <v>144</v>
      </c>
      <c r="D80" s="10" t="s">
        <v>26</v>
      </c>
      <c r="E80" s="10" t="s">
        <v>73</v>
      </c>
      <c r="F80" s="352">
        <f t="shared" si="8"/>
        <v>749.8</v>
      </c>
      <c r="G80" s="352">
        <f>J80+M80+P80+S80+V80</f>
        <v>749.8</v>
      </c>
      <c r="H80" s="322">
        <f>+G80-F80</f>
        <v>0</v>
      </c>
      <c r="I80" s="252">
        <v>749.8</v>
      </c>
      <c r="J80" s="252">
        <v>749.8</v>
      </c>
      <c r="K80" s="252"/>
      <c r="L80" s="258"/>
      <c r="M80" s="258"/>
      <c r="N80" s="258"/>
      <c r="O80" s="258"/>
      <c r="P80" s="258"/>
      <c r="Q80" s="258"/>
      <c r="R80" s="258"/>
      <c r="S80" s="258"/>
      <c r="T80" s="258"/>
      <c r="U80" s="258"/>
      <c r="V80" s="258"/>
      <c r="W80" s="258"/>
      <c r="X80" s="258"/>
    </row>
    <row r="81" spans="1:24" ht="15" customHeight="1" x14ac:dyDescent="0.2">
      <c r="A81" s="332" t="s">
        <v>185</v>
      </c>
      <c r="B81" s="349" t="s">
        <v>323</v>
      </c>
      <c r="C81" s="309"/>
      <c r="D81" s="310"/>
      <c r="E81" s="311" t="s">
        <v>17</v>
      </c>
      <c r="F81" s="312">
        <f>SUM(F62:F80)</f>
        <v>60579.900000000009</v>
      </c>
      <c r="G81" s="312">
        <f>SUM(G62:G80)</f>
        <v>60639.900000000009</v>
      </c>
      <c r="H81" s="312">
        <f>SUM(H62:H80)</f>
        <v>60</v>
      </c>
      <c r="I81" s="312">
        <f>SUM(I62:I80)</f>
        <v>44900.900000000009</v>
      </c>
      <c r="J81" s="312">
        <f>SUM(J62:J80)</f>
        <v>44694.600000000006</v>
      </c>
      <c r="K81" s="312">
        <f t="shared" ref="K81:W81" si="10">SUM(K62:K80)</f>
        <v>-206.3</v>
      </c>
      <c r="L81" s="312">
        <f t="shared" si="10"/>
        <v>14407.5</v>
      </c>
      <c r="M81" s="312">
        <f t="shared" si="10"/>
        <v>14652.3</v>
      </c>
      <c r="N81" s="312">
        <f t="shared" si="10"/>
        <v>244.80000000000018</v>
      </c>
      <c r="O81" s="312">
        <f t="shared" si="10"/>
        <v>1271.5</v>
      </c>
      <c r="P81" s="312">
        <f t="shared" si="10"/>
        <v>1293</v>
      </c>
      <c r="Q81" s="312">
        <f t="shared" si="10"/>
        <v>21.499999999999986</v>
      </c>
      <c r="R81" s="312">
        <f t="shared" si="10"/>
        <v>0</v>
      </c>
      <c r="S81" s="312">
        <f t="shared" si="10"/>
        <v>0</v>
      </c>
      <c r="T81" s="312">
        <f t="shared" si="10"/>
        <v>0</v>
      </c>
      <c r="U81" s="312">
        <f t="shared" si="10"/>
        <v>0</v>
      </c>
      <c r="V81" s="312">
        <f t="shared" si="10"/>
        <v>0</v>
      </c>
      <c r="W81" s="312">
        <f t="shared" si="10"/>
        <v>0</v>
      </c>
      <c r="X81" s="312">
        <f>SUM(X62:X80)</f>
        <v>0</v>
      </c>
    </row>
    <row r="82" spans="1:24" s="274" customFormat="1" ht="15" customHeight="1" x14ac:dyDescent="0.25">
      <c r="A82" s="499" t="s">
        <v>53</v>
      </c>
      <c r="B82" s="500"/>
      <c r="C82" s="500"/>
      <c r="D82" s="500"/>
      <c r="E82" s="500"/>
      <c r="F82" s="500"/>
      <c r="G82" s="500"/>
      <c r="H82" s="500"/>
      <c r="I82" s="500"/>
      <c r="J82" s="500"/>
      <c r="K82" s="500"/>
      <c r="L82" s="500"/>
      <c r="M82" s="500"/>
      <c r="N82" s="500"/>
      <c r="O82" s="500"/>
      <c r="P82" s="500"/>
      <c r="Q82" s="500"/>
      <c r="R82" s="500"/>
      <c r="S82" s="500"/>
      <c r="T82" s="500"/>
      <c r="U82" s="501"/>
      <c r="V82" s="361"/>
      <c r="W82" s="361"/>
      <c r="X82" s="361"/>
    </row>
    <row r="83" spans="1:24" s="274" customFormat="1" ht="65.25" customHeight="1" x14ac:dyDescent="0.25">
      <c r="A83" s="328" t="s">
        <v>140</v>
      </c>
      <c r="B83" s="257" t="s">
        <v>91</v>
      </c>
      <c r="C83" s="275" t="s">
        <v>166</v>
      </c>
      <c r="D83" s="33" t="s">
        <v>25</v>
      </c>
      <c r="E83" s="33" t="s">
        <v>26</v>
      </c>
      <c r="F83" s="352">
        <f>+I83+L83</f>
        <v>2081.3000000000002</v>
      </c>
      <c r="G83" s="352">
        <f>+J83+L83</f>
        <v>2081.3000000000002</v>
      </c>
      <c r="H83" s="352"/>
      <c r="I83" s="252">
        <v>882.8</v>
      </c>
      <c r="J83" s="252">
        <v>882.8</v>
      </c>
      <c r="K83" s="252"/>
      <c r="L83" s="252">
        <v>1198.5</v>
      </c>
      <c r="M83" s="252">
        <v>1198.5</v>
      </c>
      <c r="N83" s="252"/>
      <c r="O83" s="252"/>
      <c r="P83" s="252"/>
      <c r="Q83" s="252"/>
      <c r="R83" s="319"/>
      <c r="S83" s="319"/>
      <c r="T83" s="319"/>
      <c r="U83" s="319"/>
      <c r="V83" s="319"/>
      <c r="W83" s="319"/>
      <c r="X83" s="319"/>
    </row>
    <row r="84" spans="1:24" s="274" customFormat="1" ht="29.45" customHeight="1" x14ac:dyDescent="0.25">
      <c r="A84" s="328" t="s">
        <v>105</v>
      </c>
      <c r="B84" s="257" t="s">
        <v>95</v>
      </c>
      <c r="C84" s="275" t="s">
        <v>167</v>
      </c>
      <c r="D84" s="33" t="s">
        <v>38</v>
      </c>
      <c r="E84" s="33" t="s">
        <v>68</v>
      </c>
      <c r="F84" s="352">
        <f>+I84+L84</f>
        <v>900</v>
      </c>
      <c r="G84" s="352">
        <f>+J84+L84</f>
        <v>900</v>
      </c>
      <c r="H84" s="352"/>
      <c r="I84" s="252">
        <v>900</v>
      </c>
      <c r="J84" s="252">
        <v>900</v>
      </c>
      <c r="K84" s="252"/>
      <c r="L84" s="252"/>
      <c r="M84" s="252"/>
      <c r="N84" s="252"/>
      <c r="O84" s="252"/>
      <c r="P84" s="252"/>
      <c r="Q84" s="252"/>
      <c r="R84" s="319"/>
      <c r="S84" s="319"/>
      <c r="T84" s="319"/>
      <c r="U84" s="319"/>
      <c r="V84" s="319"/>
      <c r="W84" s="319"/>
      <c r="X84" s="319"/>
    </row>
    <row r="85" spans="1:24" s="274" customFormat="1" ht="30" customHeight="1" x14ac:dyDescent="0.25">
      <c r="A85" s="328" t="s">
        <v>161</v>
      </c>
      <c r="B85" s="276" t="s">
        <v>134</v>
      </c>
      <c r="C85" s="277" t="s">
        <v>168</v>
      </c>
      <c r="D85" s="33" t="s">
        <v>37</v>
      </c>
      <c r="E85" s="35" t="s">
        <v>73</v>
      </c>
      <c r="F85" s="352">
        <f>+I85+L85</f>
        <v>1000</v>
      </c>
      <c r="G85" s="352">
        <f>+J85+L85</f>
        <v>1000</v>
      </c>
      <c r="H85" s="352"/>
      <c r="I85" s="252">
        <v>1000</v>
      </c>
      <c r="J85" s="252">
        <v>1000</v>
      </c>
      <c r="K85" s="252"/>
      <c r="L85" s="252"/>
      <c r="M85" s="252"/>
      <c r="N85" s="252"/>
      <c r="O85" s="252"/>
      <c r="P85" s="252"/>
      <c r="Q85" s="252"/>
      <c r="R85" s="319"/>
      <c r="S85" s="319"/>
      <c r="T85" s="319"/>
      <c r="U85" s="319"/>
      <c r="V85" s="319"/>
      <c r="W85" s="319"/>
      <c r="X85" s="319"/>
    </row>
    <row r="86" spans="1:24" s="274" customFormat="1" ht="43.5" customHeight="1" x14ac:dyDescent="0.25">
      <c r="A86" s="328" t="s">
        <v>162</v>
      </c>
      <c r="B86" s="276" t="s">
        <v>125</v>
      </c>
      <c r="C86" s="277" t="s">
        <v>126</v>
      </c>
      <c r="D86" s="33" t="s">
        <v>37</v>
      </c>
      <c r="E86" s="35" t="s">
        <v>298</v>
      </c>
      <c r="F86" s="352">
        <f>+I86+L86</f>
        <v>3900</v>
      </c>
      <c r="G86" s="352">
        <f>+J86+L86</f>
        <v>3900</v>
      </c>
      <c r="H86" s="352"/>
      <c r="I86" s="252">
        <v>3900</v>
      </c>
      <c r="J86" s="252">
        <v>3900</v>
      </c>
      <c r="K86" s="252"/>
      <c r="L86" s="252"/>
      <c r="M86" s="252"/>
      <c r="N86" s="252"/>
      <c r="O86" s="252"/>
      <c r="P86" s="252"/>
      <c r="Q86" s="252"/>
      <c r="R86" s="319"/>
      <c r="S86" s="319"/>
      <c r="T86" s="319"/>
      <c r="U86" s="319"/>
      <c r="V86" s="319"/>
      <c r="W86" s="319"/>
      <c r="X86" s="319"/>
    </row>
    <row r="87" spans="1:24" s="274" customFormat="1" ht="30.6" customHeight="1" x14ac:dyDescent="0.25">
      <c r="A87" s="328" t="s">
        <v>24</v>
      </c>
      <c r="B87" s="257" t="s">
        <v>301</v>
      </c>
      <c r="C87" s="277" t="s">
        <v>70</v>
      </c>
      <c r="D87" s="33" t="s">
        <v>73</v>
      </c>
      <c r="E87" s="35" t="s">
        <v>75</v>
      </c>
      <c r="F87" s="352">
        <f>+I87+L87</f>
        <v>120</v>
      </c>
      <c r="G87" s="352">
        <f>+J87+L87</f>
        <v>120</v>
      </c>
      <c r="H87" s="352"/>
      <c r="I87" s="252">
        <v>120</v>
      </c>
      <c r="J87" s="252">
        <v>120</v>
      </c>
      <c r="K87" s="252"/>
      <c r="L87" s="252"/>
      <c r="M87" s="252"/>
      <c r="N87" s="252"/>
      <c r="O87" s="252"/>
      <c r="P87" s="252"/>
      <c r="Q87" s="252"/>
      <c r="R87" s="319"/>
      <c r="S87" s="319"/>
      <c r="T87" s="319"/>
      <c r="U87" s="319"/>
      <c r="V87" s="319"/>
      <c r="W87" s="319"/>
      <c r="X87" s="319"/>
    </row>
    <row r="88" spans="1:24" s="274" customFormat="1" ht="15.75" customHeight="1" x14ac:dyDescent="0.25">
      <c r="A88" s="330">
        <v>5</v>
      </c>
      <c r="B88" s="350" t="s">
        <v>322</v>
      </c>
      <c r="C88" s="305"/>
      <c r="D88" s="306"/>
      <c r="E88" s="313" t="s">
        <v>17</v>
      </c>
      <c r="F88" s="314">
        <f>SUM(F83:F87)</f>
        <v>8001.3</v>
      </c>
      <c r="G88" s="314">
        <f>SUM(G83:G87)</f>
        <v>8001.3</v>
      </c>
      <c r="H88" s="314"/>
      <c r="I88" s="314">
        <f>SUM(I83:I87)</f>
        <v>6802.8</v>
      </c>
      <c r="J88" s="314">
        <f>SUM(J83:J87)</f>
        <v>6802.8</v>
      </c>
      <c r="K88" s="314">
        <f t="shared" ref="K88:W88" si="11">SUM(K83:K87)</f>
        <v>0</v>
      </c>
      <c r="L88" s="314">
        <f t="shared" si="11"/>
        <v>1198.5</v>
      </c>
      <c r="M88" s="314">
        <f t="shared" si="11"/>
        <v>1198.5</v>
      </c>
      <c r="N88" s="314">
        <f t="shared" si="11"/>
        <v>0</v>
      </c>
      <c r="O88" s="314">
        <f t="shared" si="11"/>
        <v>0</v>
      </c>
      <c r="P88" s="314">
        <f t="shared" si="11"/>
        <v>0</v>
      </c>
      <c r="Q88" s="314">
        <f t="shared" si="11"/>
        <v>0</v>
      </c>
      <c r="R88" s="314">
        <f t="shared" si="11"/>
        <v>0</v>
      </c>
      <c r="S88" s="314">
        <f t="shared" si="11"/>
        <v>0</v>
      </c>
      <c r="T88" s="314">
        <f t="shared" si="11"/>
        <v>0</v>
      </c>
      <c r="U88" s="314">
        <f t="shared" si="11"/>
        <v>0</v>
      </c>
      <c r="V88" s="314">
        <f t="shared" si="11"/>
        <v>0</v>
      </c>
      <c r="W88" s="314">
        <f t="shared" si="11"/>
        <v>0</v>
      </c>
      <c r="X88" s="314">
        <f>SUM(X83:X87)</f>
        <v>0</v>
      </c>
    </row>
    <row r="89" spans="1:24" s="274" customFormat="1" ht="18" customHeight="1" x14ac:dyDescent="0.25">
      <c r="A89" s="502" t="s">
        <v>54</v>
      </c>
      <c r="B89" s="503"/>
      <c r="C89" s="503"/>
      <c r="D89" s="503"/>
      <c r="E89" s="503"/>
      <c r="F89" s="503"/>
      <c r="G89" s="503"/>
      <c r="H89" s="503"/>
      <c r="I89" s="503"/>
      <c r="J89" s="503"/>
      <c r="K89" s="503"/>
      <c r="L89" s="503"/>
      <c r="M89" s="503"/>
      <c r="N89" s="503"/>
      <c r="O89" s="503"/>
      <c r="P89" s="503"/>
      <c r="Q89" s="503"/>
      <c r="R89" s="503"/>
      <c r="S89" s="503"/>
      <c r="T89" s="503"/>
      <c r="U89" s="504"/>
      <c r="V89" s="362"/>
      <c r="W89" s="362"/>
      <c r="X89" s="362"/>
    </row>
    <row r="90" spans="1:24" s="274" customFormat="1" ht="81.599999999999994" customHeight="1" x14ac:dyDescent="0.25">
      <c r="A90" s="328" t="s">
        <v>140</v>
      </c>
      <c r="B90" s="257" t="s">
        <v>123</v>
      </c>
      <c r="C90" s="275" t="s">
        <v>77</v>
      </c>
      <c r="D90" s="28">
        <v>2017</v>
      </c>
      <c r="E90" s="28">
        <v>2020</v>
      </c>
      <c r="F90" s="352">
        <f>I90+L90+O90+R90+U90</f>
        <v>1376.1999999999998</v>
      </c>
      <c r="G90" s="352">
        <f>J90+M90+P90+S90+V90</f>
        <v>1376.1999999999998</v>
      </c>
      <c r="H90" s="352"/>
      <c r="I90" s="252">
        <v>257.8</v>
      </c>
      <c r="J90" s="252">
        <v>257.8</v>
      </c>
      <c r="K90" s="252"/>
      <c r="L90" s="252">
        <v>1027.8</v>
      </c>
      <c r="M90" s="252">
        <v>1027.8</v>
      </c>
      <c r="N90" s="252"/>
      <c r="O90" s="252">
        <v>90.6</v>
      </c>
      <c r="P90" s="252">
        <v>90.6</v>
      </c>
      <c r="Q90" s="252"/>
      <c r="R90" s="319"/>
      <c r="S90" s="319"/>
      <c r="T90" s="319"/>
      <c r="U90" s="319"/>
      <c r="V90" s="319"/>
      <c r="W90" s="319"/>
      <c r="X90" s="319"/>
    </row>
    <row r="91" spans="1:24" s="274" customFormat="1" ht="60" customHeight="1" x14ac:dyDescent="0.25">
      <c r="A91" s="328" t="s">
        <v>105</v>
      </c>
      <c r="B91" s="292" t="s">
        <v>40</v>
      </c>
      <c r="C91" s="252" t="s">
        <v>69</v>
      </c>
      <c r="D91" s="30">
        <v>2017</v>
      </c>
      <c r="E91" s="30">
        <v>2021</v>
      </c>
      <c r="F91" s="322">
        <f t="shared" ref="F91:F102" si="12">I91+L91+O91+R91+U91</f>
        <v>12200</v>
      </c>
      <c r="G91" s="322">
        <f t="shared" ref="G91:G102" si="13">J91+M91+P91+S91+V91</f>
        <v>12200</v>
      </c>
      <c r="H91" s="325">
        <f>+G91-F91</f>
        <v>0</v>
      </c>
      <c r="I91" s="260">
        <v>12200</v>
      </c>
      <c r="J91" s="260">
        <f>12200</f>
        <v>12200</v>
      </c>
      <c r="K91" s="260">
        <f>+J91-I91</f>
        <v>0</v>
      </c>
      <c r="L91" s="252"/>
      <c r="M91" s="252"/>
      <c r="N91" s="252"/>
      <c r="O91" s="252"/>
      <c r="P91" s="252"/>
      <c r="Q91" s="252"/>
      <c r="R91" s="252"/>
      <c r="S91" s="252"/>
      <c r="T91" s="252"/>
      <c r="U91" s="252"/>
      <c r="V91" s="252"/>
      <c r="W91" s="252"/>
      <c r="X91" s="292"/>
    </row>
    <row r="92" spans="1:24" s="274" customFormat="1" ht="27" customHeight="1" x14ac:dyDescent="0.25">
      <c r="A92" s="328" t="s">
        <v>161</v>
      </c>
      <c r="B92" s="257" t="s">
        <v>128</v>
      </c>
      <c r="C92" s="252" t="s">
        <v>129</v>
      </c>
      <c r="D92" s="21" t="s">
        <v>26</v>
      </c>
      <c r="E92" s="28" t="s">
        <v>298</v>
      </c>
      <c r="F92" s="352">
        <f t="shared" si="12"/>
        <v>8125</v>
      </c>
      <c r="G92" s="352">
        <f t="shared" si="13"/>
        <v>8125</v>
      </c>
      <c r="H92" s="326"/>
      <c r="I92" s="260">
        <v>8125</v>
      </c>
      <c r="J92" s="260">
        <v>8125</v>
      </c>
      <c r="K92" s="353"/>
      <c r="L92" s="278"/>
      <c r="M92" s="278"/>
      <c r="N92" s="278"/>
      <c r="O92" s="252"/>
      <c r="P92" s="252"/>
      <c r="Q92" s="252"/>
      <c r="R92" s="252"/>
      <c r="S92" s="252"/>
      <c r="T92" s="252"/>
      <c r="U92" s="252"/>
      <c r="V92" s="252"/>
      <c r="W92" s="252"/>
      <c r="X92" s="252"/>
    </row>
    <row r="93" spans="1:24" s="274" customFormat="1" ht="71.45" customHeight="1" x14ac:dyDescent="0.25">
      <c r="A93" s="328" t="s">
        <v>162</v>
      </c>
      <c r="B93" s="292" t="s">
        <v>146</v>
      </c>
      <c r="C93" s="252"/>
      <c r="D93" s="13">
        <v>2018</v>
      </c>
      <c r="E93" s="13" t="s">
        <v>335</v>
      </c>
      <c r="F93" s="352">
        <f t="shared" si="12"/>
        <v>1321.4</v>
      </c>
      <c r="G93" s="352">
        <f t="shared" si="13"/>
        <v>1321.4</v>
      </c>
      <c r="H93" s="322">
        <f>K93+R93+U93+Z93</f>
        <v>0</v>
      </c>
      <c r="I93" s="252">
        <f>1261.4+60</f>
        <v>1321.4</v>
      </c>
      <c r="J93" s="252">
        <f>1261.4+60</f>
        <v>1321.4</v>
      </c>
      <c r="K93" s="252">
        <f>+J93-I93</f>
        <v>0</v>
      </c>
      <c r="L93" s="252"/>
      <c r="M93" s="252"/>
      <c r="N93" s="252"/>
      <c r="O93" s="252"/>
      <c r="P93" s="252"/>
      <c r="Q93" s="252"/>
      <c r="R93" s="319"/>
      <c r="S93" s="319"/>
      <c r="T93" s="319"/>
      <c r="U93" s="319"/>
      <c r="V93" s="319"/>
      <c r="W93" s="319"/>
      <c r="X93" s="292"/>
    </row>
    <row r="94" spans="1:24" s="274" customFormat="1" ht="29.45" customHeight="1" x14ac:dyDescent="0.25">
      <c r="A94" s="328" t="s">
        <v>24</v>
      </c>
      <c r="B94" s="257" t="s">
        <v>135</v>
      </c>
      <c r="C94" s="252" t="s">
        <v>77</v>
      </c>
      <c r="D94" s="28">
        <v>2018</v>
      </c>
      <c r="E94" s="28" t="s">
        <v>75</v>
      </c>
      <c r="F94" s="352">
        <f t="shared" si="12"/>
        <v>2063.6</v>
      </c>
      <c r="G94" s="352">
        <f t="shared" si="13"/>
        <v>2063.6</v>
      </c>
      <c r="H94" s="352"/>
      <c r="I94" s="252">
        <v>309.60000000000002</v>
      </c>
      <c r="J94" s="252">
        <v>309.60000000000002</v>
      </c>
      <c r="K94" s="252"/>
      <c r="L94" s="252"/>
      <c r="M94" s="252"/>
      <c r="N94" s="252"/>
      <c r="O94" s="252">
        <v>1754</v>
      </c>
      <c r="P94" s="252">
        <v>1754</v>
      </c>
      <c r="Q94" s="252"/>
      <c r="R94" s="319"/>
      <c r="S94" s="319"/>
      <c r="T94" s="319"/>
      <c r="U94" s="319"/>
      <c r="V94" s="319"/>
      <c r="W94" s="319"/>
      <c r="X94" s="319"/>
    </row>
    <row r="95" spans="1:24" s="274" customFormat="1" ht="30" customHeight="1" x14ac:dyDescent="0.25">
      <c r="A95" s="328" t="s">
        <v>31</v>
      </c>
      <c r="B95" s="257" t="s">
        <v>137</v>
      </c>
      <c r="C95" s="252" t="s">
        <v>77</v>
      </c>
      <c r="D95" s="28">
        <v>2019</v>
      </c>
      <c r="E95" s="28" t="s">
        <v>75</v>
      </c>
      <c r="F95" s="352">
        <f t="shared" si="12"/>
        <v>2502.3000000000002</v>
      </c>
      <c r="G95" s="352">
        <f t="shared" si="13"/>
        <v>2502.3000000000002</v>
      </c>
      <c r="H95" s="352"/>
      <c r="I95" s="252">
        <v>2.2999999999999998</v>
      </c>
      <c r="J95" s="252">
        <v>2.2999999999999998</v>
      </c>
      <c r="K95" s="252"/>
      <c r="L95" s="252"/>
      <c r="M95" s="252"/>
      <c r="N95" s="252"/>
      <c r="O95" s="252"/>
      <c r="P95" s="252"/>
      <c r="Q95" s="252"/>
      <c r="R95" s="319"/>
      <c r="S95" s="319"/>
      <c r="T95" s="319"/>
      <c r="U95" s="319">
        <v>2500</v>
      </c>
      <c r="V95" s="319">
        <v>2500</v>
      </c>
      <c r="W95" s="319"/>
      <c r="X95" s="319"/>
    </row>
    <row r="96" spans="1:24" s="274" customFormat="1" ht="58.35" customHeight="1" x14ac:dyDescent="0.25">
      <c r="A96" s="328" t="s">
        <v>163</v>
      </c>
      <c r="B96" s="400" t="s">
        <v>164</v>
      </c>
      <c r="C96" s="275" t="s">
        <v>116</v>
      </c>
      <c r="D96" s="28">
        <v>2017</v>
      </c>
      <c r="E96" s="28" t="s">
        <v>156</v>
      </c>
      <c r="F96" s="352">
        <f t="shared" si="12"/>
        <v>4859.8</v>
      </c>
      <c r="G96" s="367">
        <f t="shared" si="13"/>
        <v>4867.2</v>
      </c>
      <c r="H96" s="367">
        <f>+G96-F96</f>
        <v>7.3999999999996362</v>
      </c>
      <c r="I96" s="252">
        <v>4859.8</v>
      </c>
      <c r="J96" s="253">
        <f>4859.8+7.4</f>
        <v>4867.2</v>
      </c>
      <c r="K96" s="253">
        <f>+J96-I96</f>
        <v>7.3999999999996362</v>
      </c>
      <c r="L96" s="252"/>
      <c r="M96" s="252"/>
      <c r="N96" s="252"/>
      <c r="O96" s="252"/>
      <c r="P96" s="252"/>
      <c r="Q96" s="252"/>
      <c r="R96" s="319"/>
      <c r="S96" s="319"/>
      <c r="T96" s="319"/>
      <c r="U96" s="319"/>
      <c r="V96" s="319"/>
      <c r="W96" s="319"/>
      <c r="X96" s="257" t="s">
        <v>339</v>
      </c>
    </row>
    <row r="97" spans="1:25" s="274" customFormat="1" ht="55.35" customHeight="1" x14ac:dyDescent="0.25">
      <c r="A97" s="328" t="s">
        <v>174</v>
      </c>
      <c r="B97" s="292" t="s">
        <v>165</v>
      </c>
      <c r="C97" s="252" t="s">
        <v>116</v>
      </c>
      <c r="D97" s="28">
        <v>2017</v>
      </c>
      <c r="E97" s="28" t="s">
        <v>68</v>
      </c>
      <c r="F97" s="352">
        <f t="shared" si="12"/>
        <v>2617.4</v>
      </c>
      <c r="G97" s="352">
        <f t="shared" si="13"/>
        <v>2617.4</v>
      </c>
      <c r="H97" s="252">
        <f>G97-F97</f>
        <v>0</v>
      </c>
      <c r="I97" s="366">
        <v>1738.3</v>
      </c>
      <c r="J97" s="252">
        <f>1382.3+356</f>
        <v>1738.3</v>
      </c>
      <c r="K97" s="252">
        <f>J97-I97</f>
        <v>0</v>
      </c>
      <c r="L97" s="252">
        <v>879.1</v>
      </c>
      <c r="M97" s="252">
        <v>879.1</v>
      </c>
      <c r="N97" s="252"/>
      <c r="O97" s="252"/>
      <c r="P97" s="252"/>
      <c r="Q97" s="252"/>
      <c r="R97" s="319"/>
      <c r="S97" s="319"/>
      <c r="T97" s="319"/>
      <c r="U97" s="319"/>
      <c r="V97" s="319"/>
      <c r="W97" s="319"/>
      <c r="X97" s="354"/>
    </row>
    <row r="98" spans="1:25" s="274" customFormat="1" ht="27.75" customHeight="1" x14ac:dyDescent="0.25">
      <c r="A98" s="328" t="s">
        <v>175</v>
      </c>
      <c r="B98" s="262" t="s">
        <v>136</v>
      </c>
      <c r="C98" s="252" t="s">
        <v>77</v>
      </c>
      <c r="D98" s="28">
        <v>2018</v>
      </c>
      <c r="E98" s="28" t="s">
        <v>73</v>
      </c>
      <c r="F98" s="352">
        <f t="shared" si="12"/>
        <v>696.3</v>
      </c>
      <c r="G98" s="352">
        <f t="shared" si="13"/>
        <v>696.3</v>
      </c>
      <c r="H98" s="352"/>
      <c r="I98" s="252">
        <v>696.3</v>
      </c>
      <c r="J98" s="252">
        <v>696.3</v>
      </c>
      <c r="K98" s="252"/>
      <c r="L98" s="319"/>
      <c r="M98" s="319"/>
      <c r="N98" s="319"/>
      <c r="O98" s="319"/>
      <c r="P98" s="319"/>
      <c r="Q98" s="319"/>
      <c r="R98" s="319"/>
      <c r="S98" s="319"/>
      <c r="T98" s="319"/>
      <c r="U98" s="319"/>
      <c r="V98" s="319"/>
      <c r="W98" s="319"/>
      <c r="X98" s="319"/>
    </row>
    <row r="99" spans="1:25" s="274" customFormat="1" ht="56.1" customHeight="1" x14ac:dyDescent="0.25">
      <c r="A99" s="328" t="s">
        <v>176</v>
      </c>
      <c r="B99" s="403" t="s">
        <v>43</v>
      </c>
      <c r="C99" s="252" t="s">
        <v>77</v>
      </c>
      <c r="D99" s="28">
        <v>2016</v>
      </c>
      <c r="E99" s="28" t="s">
        <v>68</v>
      </c>
      <c r="F99" s="352">
        <f>I99+L99+O99+R99+U99</f>
        <v>780.5</v>
      </c>
      <c r="G99" s="367">
        <f t="shared" si="13"/>
        <v>780.09999999999991</v>
      </c>
      <c r="H99" s="367">
        <f>+G99-F99</f>
        <v>-0.40000000000009095</v>
      </c>
      <c r="I99" s="252">
        <v>232.7</v>
      </c>
      <c r="J99" s="253">
        <f>232.7-0.4</f>
        <v>232.29999999999998</v>
      </c>
      <c r="K99" s="253">
        <f>+J99-I99</f>
        <v>-0.40000000000000568</v>
      </c>
      <c r="L99" s="252">
        <v>547.79999999999995</v>
      </c>
      <c r="M99" s="252">
        <v>547.79999999999995</v>
      </c>
      <c r="N99" s="252"/>
      <c r="O99" s="319"/>
      <c r="P99" s="319"/>
      <c r="Q99" s="319"/>
      <c r="R99" s="319"/>
      <c r="S99" s="319"/>
      <c r="T99" s="319"/>
      <c r="U99" s="319"/>
      <c r="V99" s="319"/>
      <c r="W99" s="319"/>
      <c r="X99" s="319"/>
    </row>
    <row r="100" spans="1:25" s="274" customFormat="1" ht="43.35" customHeight="1" x14ac:dyDescent="0.25">
      <c r="A100" s="328" t="s">
        <v>177</v>
      </c>
      <c r="B100" s="262" t="s">
        <v>279</v>
      </c>
      <c r="C100" s="252" t="s">
        <v>116</v>
      </c>
      <c r="D100" s="28">
        <v>2016</v>
      </c>
      <c r="E100" s="28" t="s">
        <v>156</v>
      </c>
      <c r="F100" s="352">
        <f t="shared" si="12"/>
        <v>1984.1</v>
      </c>
      <c r="G100" s="352">
        <f t="shared" si="13"/>
        <v>1984.1</v>
      </c>
      <c r="H100" s="352"/>
      <c r="I100" s="252">
        <v>1984.1</v>
      </c>
      <c r="J100" s="252">
        <v>1984.1</v>
      </c>
      <c r="K100" s="252"/>
      <c r="L100" s="252"/>
      <c r="M100" s="252"/>
      <c r="N100" s="252"/>
      <c r="O100" s="252"/>
      <c r="P100" s="252"/>
      <c r="Q100" s="252"/>
      <c r="R100" s="252"/>
      <c r="S100" s="252"/>
      <c r="T100" s="252"/>
      <c r="U100" s="252"/>
      <c r="V100" s="252"/>
      <c r="W100" s="252"/>
      <c r="X100" s="252"/>
    </row>
    <row r="101" spans="1:25" s="274" customFormat="1" ht="101.1" customHeight="1" x14ac:dyDescent="0.25">
      <c r="A101" s="328" t="s">
        <v>178</v>
      </c>
      <c r="B101" s="374" t="s">
        <v>360</v>
      </c>
      <c r="C101" s="252"/>
      <c r="D101" s="28">
        <v>2019</v>
      </c>
      <c r="E101" s="28">
        <v>2020</v>
      </c>
      <c r="F101" s="352">
        <f t="shared" si="12"/>
        <v>942.3</v>
      </c>
      <c r="G101" s="352">
        <f t="shared" si="13"/>
        <v>942.3</v>
      </c>
      <c r="H101" s="373"/>
      <c r="I101" s="252">
        <v>399.2</v>
      </c>
      <c r="J101" s="252">
        <v>399.2</v>
      </c>
      <c r="K101" s="253"/>
      <c r="L101" s="252"/>
      <c r="M101" s="252"/>
      <c r="N101" s="252"/>
      <c r="O101" s="252">
        <v>543.1</v>
      </c>
      <c r="P101" s="252">
        <v>543.1</v>
      </c>
      <c r="Q101" s="253"/>
      <c r="R101" s="252"/>
      <c r="S101" s="252"/>
      <c r="T101" s="252"/>
      <c r="U101" s="252"/>
      <c r="V101" s="252"/>
      <c r="W101" s="252"/>
      <c r="X101" s="292" t="s">
        <v>363</v>
      </c>
    </row>
    <row r="102" spans="1:25" s="274" customFormat="1" ht="69.75" customHeight="1" x14ac:dyDescent="0.25">
      <c r="A102" s="328" t="s">
        <v>179</v>
      </c>
      <c r="B102" s="299" t="s">
        <v>320</v>
      </c>
      <c r="C102" s="300"/>
      <c r="D102" s="28" t="s">
        <v>37</v>
      </c>
      <c r="E102" s="301" t="s">
        <v>73</v>
      </c>
      <c r="F102" s="352">
        <f t="shared" si="12"/>
        <v>821.1</v>
      </c>
      <c r="G102" s="352">
        <f t="shared" si="13"/>
        <v>821.1</v>
      </c>
      <c r="H102" s="352"/>
      <c r="I102" s="252">
        <v>821.1</v>
      </c>
      <c r="J102" s="252">
        <v>821.1</v>
      </c>
      <c r="K102" s="252"/>
      <c r="L102" s="252"/>
      <c r="M102" s="252"/>
      <c r="N102" s="252"/>
      <c r="O102" s="252"/>
      <c r="P102" s="252"/>
      <c r="Q102" s="252"/>
      <c r="R102" s="252"/>
      <c r="S102" s="252"/>
      <c r="T102" s="252"/>
      <c r="U102" s="252"/>
      <c r="V102" s="252"/>
      <c r="W102" s="252"/>
      <c r="X102" s="252"/>
    </row>
    <row r="103" spans="1:25" s="274" customFormat="1" ht="18" customHeight="1" x14ac:dyDescent="0.25">
      <c r="A103" s="332">
        <v>13</v>
      </c>
      <c r="B103" s="349" t="s">
        <v>323</v>
      </c>
      <c r="C103" s="309"/>
      <c r="D103" s="310"/>
      <c r="E103" s="311" t="s">
        <v>17</v>
      </c>
      <c r="F103" s="315">
        <f t="shared" ref="F103:W103" si="14">SUM(F90:F102)</f>
        <v>40290</v>
      </c>
      <c r="G103" s="315">
        <f t="shared" si="14"/>
        <v>40297</v>
      </c>
      <c r="H103" s="315">
        <f t="shared" si="14"/>
        <v>6.9999999999995453</v>
      </c>
      <c r="I103" s="315">
        <f t="shared" si="14"/>
        <v>32947.599999999999</v>
      </c>
      <c r="J103" s="315">
        <f t="shared" si="14"/>
        <v>32954.6</v>
      </c>
      <c r="K103" s="315">
        <f t="shared" si="14"/>
        <v>6.9999999999996305</v>
      </c>
      <c r="L103" s="315">
        <f t="shared" si="14"/>
        <v>2454.6999999999998</v>
      </c>
      <c r="M103" s="315">
        <f t="shared" si="14"/>
        <v>2454.6999999999998</v>
      </c>
      <c r="N103" s="315">
        <f t="shared" si="14"/>
        <v>0</v>
      </c>
      <c r="O103" s="315">
        <f t="shared" si="14"/>
        <v>2387.6999999999998</v>
      </c>
      <c r="P103" s="315">
        <f t="shared" si="14"/>
        <v>2387.6999999999998</v>
      </c>
      <c r="Q103" s="315">
        <f t="shared" si="14"/>
        <v>0</v>
      </c>
      <c r="R103" s="315">
        <f t="shared" si="14"/>
        <v>0</v>
      </c>
      <c r="S103" s="315">
        <f t="shared" si="14"/>
        <v>0</v>
      </c>
      <c r="T103" s="315">
        <f t="shared" si="14"/>
        <v>0</v>
      </c>
      <c r="U103" s="315">
        <f t="shared" si="14"/>
        <v>2500</v>
      </c>
      <c r="V103" s="315">
        <f t="shared" si="14"/>
        <v>2500</v>
      </c>
      <c r="W103" s="315">
        <f t="shared" si="14"/>
        <v>0</v>
      </c>
      <c r="X103" s="315"/>
    </row>
    <row r="104" spans="1:25" s="274" customFormat="1" ht="16.5" customHeight="1" x14ac:dyDescent="0.25">
      <c r="A104" s="499" t="s">
        <v>56</v>
      </c>
      <c r="B104" s="500"/>
      <c r="C104" s="500"/>
      <c r="D104" s="500"/>
      <c r="E104" s="500"/>
      <c r="F104" s="500"/>
      <c r="G104" s="500"/>
      <c r="H104" s="500"/>
      <c r="I104" s="500"/>
      <c r="J104" s="500"/>
      <c r="K104" s="500"/>
      <c r="L104" s="500"/>
      <c r="M104" s="500"/>
      <c r="N104" s="500"/>
      <c r="O104" s="500"/>
      <c r="P104" s="500"/>
      <c r="Q104" s="500"/>
      <c r="R104" s="500"/>
      <c r="S104" s="500"/>
      <c r="T104" s="500"/>
      <c r="U104" s="501"/>
      <c r="V104" s="361"/>
      <c r="W104" s="361"/>
      <c r="X104" s="361"/>
    </row>
    <row r="105" spans="1:25" s="274" customFormat="1" ht="30.75" customHeight="1" x14ac:dyDescent="0.25">
      <c r="A105" s="328" t="s">
        <v>140</v>
      </c>
      <c r="B105" s="403" t="s">
        <v>106</v>
      </c>
      <c r="C105" s="258" t="s">
        <v>74</v>
      </c>
      <c r="D105" s="28">
        <v>2017</v>
      </c>
      <c r="E105" s="28" t="s">
        <v>340</v>
      </c>
      <c r="F105" s="352">
        <f t="shared" ref="F105:F110" si="15">I105+L105+P105+U105</f>
        <v>5359.6</v>
      </c>
      <c r="G105" s="367">
        <f>J105+P105+M105</f>
        <v>5527.7000000000007</v>
      </c>
      <c r="H105" s="367">
        <f>+G105-F105</f>
        <v>168.10000000000036</v>
      </c>
      <c r="I105" s="252">
        <v>4087.3</v>
      </c>
      <c r="J105" s="253">
        <f>4087.3+168.2</f>
        <v>4255.5</v>
      </c>
      <c r="K105" s="253">
        <f>+J105-I105</f>
        <v>168.19999999999982</v>
      </c>
      <c r="L105" s="252">
        <v>1169.2</v>
      </c>
      <c r="M105" s="253">
        <f>1169.2-0.1</f>
        <v>1169.1000000000001</v>
      </c>
      <c r="N105" s="253">
        <f>+M105-L105</f>
        <v>-9.9999999999909051E-2</v>
      </c>
      <c r="O105" s="252">
        <v>103.2</v>
      </c>
      <c r="P105" s="253">
        <f>103.2-0.1</f>
        <v>103.10000000000001</v>
      </c>
      <c r="Q105" s="253">
        <f>+P105-O105</f>
        <v>-9.9999999999994316E-2</v>
      </c>
      <c r="R105" s="252"/>
      <c r="S105" s="252"/>
      <c r="T105" s="252"/>
      <c r="U105" s="252"/>
      <c r="V105" s="252"/>
      <c r="W105" s="252"/>
      <c r="X105" s="513" t="s">
        <v>361</v>
      </c>
    </row>
    <row r="106" spans="1:25" s="274" customFormat="1" ht="30.75" customHeight="1" x14ac:dyDescent="0.25">
      <c r="A106" s="328" t="s">
        <v>105</v>
      </c>
      <c r="B106" s="403" t="s">
        <v>107</v>
      </c>
      <c r="C106" s="258" t="s">
        <v>74</v>
      </c>
      <c r="D106" s="28">
        <v>2017</v>
      </c>
      <c r="E106" s="28" t="s">
        <v>340</v>
      </c>
      <c r="F106" s="352">
        <f t="shared" si="15"/>
        <v>5386.2</v>
      </c>
      <c r="G106" s="367">
        <f>J106+P106+L106</f>
        <v>5206.8999999999996</v>
      </c>
      <c r="H106" s="367">
        <f>+G106-F106</f>
        <v>-179.30000000000018</v>
      </c>
      <c r="I106" s="252">
        <v>5386.2</v>
      </c>
      <c r="J106" s="253">
        <f>5386.2-179.3</f>
        <v>5206.8999999999996</v>
      </c>
      <c r="K106" s="253">
        <f>+J106-I106</f>
        <v>-179.30000000000018</v>
      </c>
      <c r="L106" s="252"/>
      <c r="M106" s="252"/>
      <c r="N106" s="252"/>
      <c r="O106" s="252"/>
      <c r="P106" s="252"/>
      <c r="Q106" s="252"/>
      <c r="R106" s="252"/>
      <c r="S106" s="252"/>
      <c r="T106" s="252"/>
      <c r="U106" s="252"/>
      <c r="V106" s="252"/>
      <c r="W106" s="252"/>
      <c r="X106" s="514"/>
    </row>
    <row r="107" spans="1:25" s="274" customFormat="1" ht="30" customHeight="1" x14ac:dyDescent="0.25">
      <c r="A107" s="328" t="s">
        <v>161</v>
      </c>
      <c r="B107" s="354" t="s">
        <v>343</v>
      </c>
      <c r="C107" s="258" t="s">
        <v>74</v>
      </c>
      <c r="D107" s="28">
        <v>2017</v>
      </c>
      <c r="E107" s="28" t="s">
        <v>155</v>
      </c>
      <c r="F107" s="352">
        <f t="shared" si="15"/>
        <v>6300</v>
      </c>
      <c r="G107" s="367">
        <f>J107+P107+L107</f>
        <v>6303</v>
      </c>
      <c r="H107" s="367">
        <f>+G107-F107</f>
        <v>3</v>
      </c>
      <c r="I107" s="252">
        <v>6300</v>
      </c>
      <c r="J107" s="253">
        <f>6300+3</f>
        <v>6303</v>
      </c>
      <c r="K107" s="253">
        <f>+J107-I107</f>
        <v>3</v>
      </c>
      <c r="L107" s="252"/>
      <c r="M107" s="252"/>
      <c r="N107" s="252"/>
      <c r="O107" s="252"/>
      <c r="P107" s="252"/>
      <c r="Q107" s="252"/>
      <c r="R107" s="252"/>
      <c r="S107" s="252"/>
      <c r="T107" s="252"/>
      <c r="U107" s="252"/>
      <c r="V107" s="252"/>
      <c r="W107" s="252"/>
      <c r="X107" s="292" t="s">
        <v>362</v>
      </c>
    </row>
    <row r="108" spans="1:25" s="274" customFormat="1" ht="25.5" x14ac:dyDescent="0.25">
      <c r="A108" s="328" t="s">
        <v>162</v>
      </c>
      <c r="B108" s="257" t="s">
        <v>108</v>
      </c>
      <c r="C108" s="258" t="s">
        <v>74</v>
      </c>
      <c r="D108" s="213">
        <v>2020</v>
      </c>
      <c r="E108" s="28">
        <v>2022</v>
      </c>
      <c r="F108" s="352">
        <f t="shared" si="15"/>
        <v>1833.6</v>
      </c>
      <c r="G108" s="352">
        <f>J108+P108+L108</f>
        <v>1833.6</v>
      </c>
      <c r="H108" s="352"/>
      <c r="I108" s="252"/>
      <c r="J108" s="252"/>
      <c r="K108" s="252"/>
      <c r="L108" s="252"/>
      <c r="M108" s="252"/>
      <c r="N108" s="252"/>
      <c r="O108" s="252">
        <v>1833.6</v>
      </c>
      <c r="P108" s="252">
        <v>1833.6</v>
      </c>
      <c r="Q108" s="252"/>
      <c r="R108" s="252"/>
      <c r="S108" s="252"/>
      <c r="T108" s="252"/>
      <c r="U108" s="252"/>
      <c r="V108" s="252"/>
      <c r="W108" s="252"/>
      <c r="X108" s="252"/>
    </row>
    <row r="109" spans="1:25" s="274" customFormat="1" ht="29.1" customHeight="1" x14ac:dyDescent="0.25">
      <c r="A109" s="328" t="s">
        <v>24</v>
      </c>
      <c r="B109" s="257" t="s">
        <v>303</v>
      </c>
      <c r="C109" s="258"/>
      <c r="D109" s="213" t="s">
        <v>75</v>
      </c>
      <c r="E109" s="28" t="s">
        <v>155</v>
      </c>
      <c r="F109" s="352">
        <f t="shared" si="15"/>
        <v>12883.5</v>
      </c>
      <c r="G109" s="352">
        <f>J109+P109+L109+U109</f>
        <v>12883.5</v>
      </c>
      <c r="H109" s="352"/>
      <c r="I109" s="252"/>
      <c r="J109" s="252"/>
      <c r="K109" s="252"/>
      <c r="L109" s="252"/>
      <c r="M109" s="252"/>
      <c r="N109" s="252"/>
      <c r="O109" s="252"/>
      <c r="P109" s="252"/>
      <c r="Q109" s="252"/>
      <c r="R109" s="252"/>
      <c r="S109" s="252"/>
      <c r="T109" s="252"/>
      <c r="U109" s="252">
        <v>12883.5</v>
      </c>
      <c r="V109" s="252">
        <v>12883.5</v>
      </c>
      <c r="W109" s="252"/>
      <c r="X109" s="252"/>
      <c r="Y109" s="298"/>
    </row>
    <row r="110" spans="1:25" s="274" customFormat="1" ht="32.25" customHeight="1" x14ac:dyDescent="0.25">
      <c r="A110" s="328" t="s">
        <v>31</v>
      </c>
      <c r="B110" s="348" t="s">
        <v>325</v>
      </c>
      <c r="C110" s="294"/>
      <c r="D110" s="213" t="s">
        <v>37</v>
      </c>
      <c r="E110" s="28" t="s">
        <v>26</v>
      </c>
      <c r="F110" s="352">
        <f t="shared" si="15"/>
        <v>321.7</v>
      </c>
      <c r="G110" s="352">
        <f>J110+P110+L110</f>
        <v>321.7</v>
      </c>
      <c r="H110" s="322"/>
      <c r="I110" s="252">
        <v>321.7</v>
      </c>
      <c r="J110" s="252">
        <v>321.7</v>
      </c>
      <c r="K110" s="252"/>
      <c r="L110" s="252"/>
      <c r="M110" s="252"/>
      <c r="N110" s="252"/>
      <c r="O110" s="252"/>
      <c r="P110" s="252"/>
      <c r="Q110" s="252"/>
      <c r="R110" s="252"/>
      <c r="S110" s="252"/>
      <c r="T110" s="252"/>
      <c r="U110" s="252"/>
      <c r="V110" s="252"/>
      <c r="W110" s="252"/>
      <c r="X110" s="252"/>
      <c r="Y110" s="298"/>
    </row>
    <row r="111" spans="1:25" s="274" customFormat="1" ht="17.25" customHeight="1" x14ac:dyDescent="0.25">
      <c r="A111" s="330">
        <v>5</v>
      </c>
      <c r="B111" s="350" t="s">
        <v>322</v>
      </c>
      <c r="C111" s="305"/>
      <c r="D111" s="306"/>
      <c r="E111" s="313" t="s">
        <v>17</v>
      </c>
      <c r="F111" s="314">
        <f>SUM(F105:F110)</f>
        <v>32084.6</v>
      </c>
      <c r="G111" s="314">
        <f>SUM(G105:G110)</f>
        <v>32076.399999999998</v>
      </c>
      <c r="H111" s="314"/>
      <c r="I111" s="314">
        <f>SUM(I105:I110)</f>
        <v>16095.2</v>
      </c>
      <c r="J111" s="314">
        <f>SUM(J105:J110)</f>
        <v>16087.1</v>
      </c>
      <c r="K111" s="314"/>
      <c r="L111" s="314">
        <f>SUM(L105:L110)</f>
        <v>1169.2</v>
      </c>
      <c r="M111" s="314">
        <f>SUM(M105:M110)</f>
        <v>1169.1000000000001</v>
      </c>
      <c r="N111" s="314"/>
      <c r="O111" s="314">
        <f>SUM(O105:O110)</f>
        <v>1936.8</v>
      </c>
      <c r="P111" s="314">
        <f>SUM(P105:P110)</f>
        <v>1936.6999999999998</v>
      </c>
      <c r="Q111" s="314"/>
      <c r="R111" s="314">
        <f>SUM(R105:R110)</f>
        <v>0</v>
      </c>
      <c r="S111" s="314">
        <f>SUM(S105:S110)</f>
        <v>0</v>
      </c>
      <c r="T111" s="314"/>
      <c r="U111" s="314">
        <f>SUM(U105:U110)</f>
        <v>12883.5</v>
      </c>
      <c r="V111" s="314">
        <f>SUM(V105:V110)</f>
        <v>12883.5</v>
      </c>
      <c r="W111" s="314"/>
      <c r="X111" s="314">
        <f>SUM(X105:X110)</f>
        <v>0</v>
      </c>
    </row>
    <row r="112" spans="1:25" s="274" customFormat="1" ht="17.25" customHeight="1" x14ac:dyDescent="0.25">
      <c r="A112" s="502" t="s">
        <v>57</v>
      </c>
      <c r="B112" s="503"/>
      <c r="C112" s="503"/>
      <c r="D112" s="503"/>
      <c r="E112" s="503"/>
      <c r="F112" s="503"/>
      <c r="G112" s="503"/>
      <c r="H112" s="503"/>
      <c r="I112" s="503"/>
      <c r="J112" s="503"/>
      <c r="K112" s="503"/>
      <c r="L112" s="503"/>
      <c r="M112" s="503"/>
      <c r="N112" s="503"/>
      <c r="O112" s="503"/>
      <c r="P112" s="503"/>
      <c r="Q112" s="503"/>
      <c r="R112" s="503"/>
      <c r="S112" s="503"/>
      <c r="T112" s="503"/>
      <c r="U112" s="504"/>
      <c r="V112" s="362"/>
      <c r="W112" s="362"/>
      <c r="X112" s="362"/>
    </row>
    <row r="113" spans="1:24" s="274" customFormat="1" ht="46.35" customHeight="1" x14ac:dyDescent="0.25">
      <c r="A113" s="328" t="s">
        <v>140</v>
      </c>
      <c r="B113" s="257" t="s">
        <v>50</v>
      </c>
      <c r="C113" s="319" t="s">
        <v>124</v>
      </c>
      <c r="D113" s="21">
        <v>2016</v>
      </c>
      <c r="E113" s="21">
        <v>2020</v>
      </c>
      <c r="F113" s="352">
        <f>+I113+L113</f>
        <v>390.49999999999994</v>
      </c>
      <c r="G113" s="352">
        <f>+J113+M113</f>
        <v>390.49999999999994</v>
      </c>
      <c r="H113" s="352">
        <f>+K113+N113</f>
        <v>0</v>
      </c>
      <c r="I113" s="319">
        <f>56.7+18.5</f>
        <v>75.2</v>
      </c>
      <c r="J113" s="319">
        <f>56.7+18.5</f>
        <v>75.2</v>
      </c>
      <c r="K113" s="404"/>
      <c r="L113" s="319">
        <f>235.7+79.6</f>
        <v>315.29999999999995</v>
      </c>
      <c r="M113" s="319">
        <f>235.7+79.6</f>
        <v>315.29999999999995</v>
      </c>
      <c r="N113" s="404"/>
      <c r="O113" s="319"/>
      <c r="P113" s="319"/>
      <c r="Q113" s="319"/>
      <c r="R113" s="319"/>
      <c r="S113" s="319"/>
      <c r="T113" s="319"/>
      <c r="U113" s="319"/>
      <c r="V113" s="319"/>
      <c r="W113" s="319"/>
      <c r="X113" s="292"/>
    </row>
    <row r="114" spans="1:24" s="274" customFormat="1" ht="53.25" customHeight="1" x14ac:dyDescent="0.25">
      <c r="A114" s="328" t="s">
        <v>105</v>
      </c>
      <c r="B114" s="257" t="s">
        <v>138</v>
      </c>
      <c r="C114" s="319" t="s">
        <v>126</v>
      </c>
      <c r="D114" s="28">
        <v>2017</v>
      </c>
      <c r="E114" s="28" t="s">
        <v>156</v>
      </c>
      <c r="F114" s="352">
        <f>+I114+L114+P114+R114+U114</f>
        <v>3457</v>
      </c>
      <c r="G114" s="352">
        <f>+J114+L114</f>
        <v>3457</v>
      </c>
      <c r="H114" s="352"/>
      <c r="I114" s="252">
        <v>3457</v>
      </c>
      <c r="J114" s="252">
        <v>3457</v>
      </c>
      <c r="K114" s="252"/>
      <c r="L114" s="319"/>
      <c r="M114" s="319"/>
      <c r="N114" s="319"/>
      <c r="O114" s="319"/>
      <c r="P114" s="319"/>
      <c r="Q114" s="319"/>
      <c r="R114" s="319"/>
      <c r="S114" s="319"/>
      <c r="T114" s="319"/>
      <c r="U114" s="319"/>
      <c r="V114" s="319"/>
      <c r="W114" s="319"/>
      <c r="X114" s="319"/>
    </row>
    <row r="115" spans="1:24" s="274" customFormat="1" ht="30" customHeight="1" x14ac:dyDescent="0.25">
      <c r="A115" s="328" t="s">
        <v>161</v>
      </c>
      <c r="B115" s="262" t="s">
        <v>326</v>
      </c>
      <c r="C115" s="319"/>
      <c r="D115" s="21" t="s">
        <v>26</v>
      </c>
      <c r="E115" s="21" t="s">
        <v>68</v>
      </c>
      <c r="F115" s="352">
        <f>+I115+L115</f>
        <v>95</v>
      </c>
      <c r="G115" s="352">
        <f>+J115+L115</f>
        <v>95</v>
      </c>
      <c r="H115" s="352"/>
      <c r="I115" s="319">
        <v>95</v>
      </c>
      <c r="J115" s="319">
        <v>95</v>
      </c>
      <c r="K115" s="319"/>
      <c r="L115" s="319"/>
      <c r="M115" s="319"/>
      <c r="N115" s="319"/>
      <c r="O115" s="319"/>
      <c r="P115" s="319"/>
      <c r="Q115" s="319"/>
      <c r="R115" s="319"/>
      <c r="S115" s="319"/>
      <c r="T115" s="319"/>
      <c r="U115" s="319"/>
      <c r="V115" s="319"/>
      <c r="W115" s="319"/>
      <c r="X115" s="319"/>
    </row>
    <row r="116" spans="1:24" s="274" customFormat="1" ht="44.45" customHeight="1" x14ac:dyDescent="0.25">
      <c r="A116" s="328" t="s">
        <v>162</v>
      </c>
      <c r="B116" s="403" t="s">
        <v>90</v>
      </c>
      <c r="C116" s="319" t="s">
        <v>118</v>
      </c>
      <c r="D116" s="21">
        <v>2016</v>
      </c>
      <c r="E116" s="21" t="s">
        <v>340</v>
      </c>
      <c r="F116" s="352">
        <f>+I116+L116</f>
        <v>4942.8999999999996</v>
      </c>
      <c r="G116" s="352">
        <f>+J116+M116</f>
        <v>4942.8999999999996</v>
      </c>
      <c r="H116" s="352"/>
      <c r="I116" s="319">
        <v>1174.4000000000001</v>
      </c>
      <c r="J116" s="319">
        <v>1174.4000000000001</v>
      </c>
      <c r="K116" s="319"/>
      <c r="L116" s="319">
        <v>3768.5</v>
      </c>
      <c r="M116" s="319">
        <f>3768.5</f>
        <v>3768.5</v>
      </c>
      <c r="N116" s="404"/>
      <c r="O116" s="319"/>
      <c r="P116" s="319"/>
      <c r="Q116" s="319"/>
      <c r="R116" s="319"/>
      <c r="S116" s="319"/>
      <c r="T116" s="319"/>
      <c r="U116" s="319"/>
      <c r="V116" s="319"/>
      <c r="W116" s="319"/>
      <c r="X116" s="257" t="s">
        <v>350</v>
      </c>
    </row>
    <row r="117" spans="1:24" s="274" customFormat="1" ht="42.75" customHeight="1" x14ac:dyDescent="0.25">
      <c r="A117" s="328" t="s">
        <v>24</v>
      </c>
      <c r="B117" s="262" t="s">
        <v>319</v>
      </c>
      <c r="C117" s="319" t="s">
        <v>118</v>
      </c>
      <c r="D117" s="21" t="s">
        <v>26</v>
      </c>
      <c r="E117" s="21" t="s">
        <v>155</v>
      </c>
      <c r="F117" s="352">
        <f>+I117+L117</f>
        <v>100</v>
      </c>
      <c r="G117" s="352">
        <f>+J117+L117</f>
        <v>100</v>
      </c>
      <c r="H117" s="352"/>
      <c r="I117" s="319">
        <v>100</v>
      </c>
      <c r="J117" s="319">
        <v>100</v>
      </c>
      <c r="K117" s="319"/>
      <c r="L117" s="319"/>
      <c r="M117" s="319"/>
      <c r="N117" s="319"/>
      <c r="O117" s="319"/>
      <c r="P117" s="319"/>
      <c r="Q117" s="319"/>
      <c r="R117" s="319"/>
      <c r="S117" s="319"/>
      <c r="T117" s="319"/>
      <c r="U117" s="319"/>
      <c r="V117" s="319"/>
      <c r="W117" s="319"/>
      <c r="X117" s="319"/>
    </row>
    <row r="118" spans="1:24" s="274" customFormat="1" ht="43.5" customHeight="1" x14ac:dyDescent="0.25">
      <c r="A118" s="328" t="s">
        <v>31</v>
      </c>
      <c r="B118" s="262" t="s">
        <v>327</v>
      </c>
      <c r="C118" s="319" t="s">
        <v>118</v>
      </c>
      <c r="D118" s="21" t="s">
        <v>26</v>
      </c>
      <c r="E118" s="21" t="s">
        <v>68</v>
      </c>
      <c r="F118" s="352">
        <f>+I118+L118</f>
        <v>363</v>
      </c>
      <c r="G118" s="352">
        <f>+J118+L118</f>
        <v>363</v>
      </c>
      <c r="H118" s="352"/>
      <c r="I118" s="319"/>
      <c r="J118" s="319"/>
      <c r="K118" s="319"/>
      <c r="L118" s="319">
        <v>363</v>
      </c>
      <c r="M118" s="319">
        <v>363</v>
      </c>
      <c r="N118" s="319"/>
      <c r="O118" s="319"/>
      <c r="P118" s="319"/>
      <c r="Q118" s="319"/>
      <c r="R118" s="319"/>
      <c r="S118" s="319"/>
      <c r="T118" s="319"/>
      <c r="U118" s="319"/>
      <c r="V118" s="319"/>
      <c r="W118" s="319"/>
      <c r="X118" s="319"/>
    </row>
    <row r="119" spans="1:24" s="274" customFormat="1" ht="18" customHeight="1" x14ac:dyDescent="0.25">
      <c r="A119" s="332" t="s">
        <v>31</v>
      </c>
      <c r="B119" s="349" t="s">
        <v>322</v>
      </c>
      <c r="C119" s="309"/>
      <c r="D119" s="310"/>
      <c r="E119" s="311" t="s">
        <v>17</v>
      </c>
      <c r="F119" s="315">
        <f>SUM(F113:F118)</f>
        <v>9348.4</v>
      </c>
      <c r="G119" s="315">
        <f>SUM(G113:G118)</f>
        <v>9348.4</v>
      </c>
      <c r="H119" s="315"/>
      <c r="I119" s="315">
        <f>SUM(I113:I118)</f>
        <v>4901.6000000000004</v>
      </c>
      <c r="J119" s="315">
        <f>SUM(J113:J118)</f>
        <v>4901.6000000000004</v>
      </c>
      <c r="K119" s="315"/>
      <c r="L119" s="315">
        <f>SUM(L113:L118)</f>
        <v>4446.8</v>
      </c>
      <c r="M119" s="315">
        <f>SUM(M113:M118)</f>
        <v>4446.8</v>
      </c>
      <c r="N119" s="315">
        <f>SUM(N113:N118)</f>
        <v>0</v>
      </c>
      <c r="O119" s="315">
        <f>SUM(O113:O118)</f>
        <v>0</v>
      </c>
      <c r="P119" s="315">
        <f>SUM(P113:P118)</f>
        <v>0</v>
      </c>
      <c r="Q119" s="315"/>
      <c r="R119" s="315">
        <f>SUM(R113:R118)</f>
        <v>0</v>
      </c>
      <c r="S119" s="315">
        <f>SUM(S113:S118)</f>
        <v>0</v>
      </c>
      <c r="T119" s="315"/>
      <c r="U119" s="315">
        <f>SUM(U113:U118)</f>
        <v>0</v>
      </c>
      <c r="V119" s="315">
        <f>SUM(V113:V118)</f>
        <v>0</v>
      </c>
      <c r="W119" s="315"/>
      <c r="X119" s="315"/>
    </row>
    <row r="120" spans="1:24" s="274" customFormat="1" ht="16.5" customHeight="1" x14ac:dyDescent="0.25">
      <c r="A120" s="499" t="s">
        <v>58</v>
      </c>
      <c r="B120" s="500"/>
      <c r="C120" s="500"/>
      <c r="D120" s="500"/>
      <c r="E120" s="500"/>
      <c r="F120" s="500"/>
      <c r="G120" s="500"/>
      <c r="H120" s="500"/>
      <c r="I120" s="500"/>
      <c r="J120" s="500"/>
      <c r="K120" s="500"/>
      <c r="L120" s="500"/>
      <c r="M120" s="500"/>
      <c r="N120" s="500"/>
      <c r="O120" s="500"/>
      <c r="P120" s="500"/>
      <c r="Q120" s="500"/>
      <c r="R120" s="500"/>
      <c r="S120" s="500"/>
      <c r="T120" s="500"/>
      <c r="U120" s="501"/>
      <c r="V120" s="361"/>
      <c r="W120" s="361"/>
      <c r="X120" s="361"/>
    </row>
    <row r="121" spans="1:24" s="274" customFormat="1" ht="41.25" customHeight="1" x14ac:dyDescent="0.25">
      <c r="A121" s="328" t="s">
        <v>140</v>
      </c>
      <c r="B121" s="257" t="s">
        <v>89</v>
      </c>
      <c r="C121" s="252" t="s">
        <v>77</v>
      </c>
      <c r="D121" s="28">
        <v>2017</v>
      </c>
      <c r="E121" s="28" t="s">
        <v>68</v>
      </c>
      <c r="F121" s="352">
        <f>+I121+U121</f>
        <v>2361.6999999999998</v>
      </c>
      <c r="G121" s="352">
        <f t="shared" ref="G121:G126" si="16">J121+M121+P121+S121+V121</f>
        <v>2361.6999999999998</v>
      </c>
      <c r="H121" s="352"/>
      <c r="I121" s="252">
        <v>776.7</v>
      </c>
      <c r="J121" s="252">
        <v>776.7</v>
      </c>
      <c r="K121" s="252"/>
      <c r="L121" s="252"/>
      <c r="M121" s="252"/>
      <c r="N121" s="252"/>
      <c r="O121" s="252"/>
      <c r="P121" s="252"/>
      <c r="Q121" s="252"/>
      <c r="R121" s="252"/>
      <c r="S121" s="252"/>
      <c r="T121" s="252"/>
      <c r="U121" s="252">
        <f>2361.7-I121</f>
        <v>1584.9999999999998</v>
      </c>
      <c r="V121" s="252">
        <f>2361.7-J121</f>
        <v>1584.9999999999998</v>
      </c>
      <c r="W121" s="252"/>
      <c r="X121" s="252"/>
    </row>
    <row r="122" spans="1:24" s="274" customFormat="1" ht="42" customHeight="1" x14ac:dyDescent="0.25">
      <c r="A122" s="328" t="s">
        <v>105</v>
      </c>
      <c r="B122" s="400" t="s">
        <v>84</v>
      </c>
      <c r="C122" s="252" t="s">
        <v>69</v>
      </c>
      <c r="D122" s="28">
        <v>2017</v>
      </c>
      <c r="E122" s="28" t="s">
        <v>26</v>
      </c>
      <c r="F122" s="352">
        <f>+I122+U122</f>
        <v>1000</v>
      </c>
      <c r="G122" s="367">
        <f t="shared" si="16"/>
        <v>1150</v>
      </c>
      <c r="H122" s="367">
        <f>+G122-F122</f>
        <v>150</v>
      </c>
      <c r="I122" s="252">
        <v>750</v>
      </c>
      <c r="J122" s="253">
        <f>750+400</f>
        <v>1150</v>
      </c>
      <c r="K122" s="253">
        <f>+J122-I122</f>
        <v>400</v>
      </c>
      <c r="L122" s="252"/>
      <c r="M122" s="252"/>
      <c r="N122" s="252"/>
      <c r="O122" s="252"/>
      <c r="P122" s="252"/>
      <c r="Q122" s="252"/>
      <c r="R122" s="252"/>
      <c r="S122" s="252"/>
      <c r="T122" s="252"/>
      <c r="U122" s="252">
        <v>250</v>
      </c>
      <c r="V122" s="253">
        <f>250-250</f>
        <v>0</v>
      </c>
      <c r="W122" s="253">
        <f>+V122-U122</f>
        <v>-250</v>
      </c>
      <c r="X122" s="252"/>
    </row>
    <row r="123" spans="1:24" s="274" customFormat="1" ht="42" customHeight="1" x14ac:dyDescent="0.25">
      <c r="A123" s="328" t="s">
        <v>161</v>
      </c>
      <c r="B123" s="257" t="s">
        <v>52</v>
      </c>
      <c r="C123" s="252" t="s">
        <v>42</v>
      </c>
      <c r="D123" s="28">
        <v>2017</v>
      </c>
      <c r="E123" s="28" t="s">
        <v>73</v>
      </c>
      <c r="F123" s="352">
        <f>+I123+U123</f>
        <v>595</v>
      </c>
      <c r="G123" s="352">
        <f t="shared" si="16"/>
        <v>595</v>
      </c>
      <c r="H123" s="352"/>
      <c r="I123" s="258"/>
      <c r="J123" s="258"/>
      <c r="K123" s="258"/>
      <c r="L123" s="258"/>
      <c r="M123" s="258"/>
      <c r="N123" s="258"/>
      <c r="O123" s="279"/>
      <c r="P123" s="279"/>
      <c r="Q123" s="279"/>
      <c r="R123" s="279"/>
      <c r="S123" s="279"/>
      <c r="T123" s="279"/>
      <c r="U123" s="279">
        <v>595</v>
      </c>
      <c r="V123" s="279">
        <v>595</v>
      </c>
      <c r="W123" s="279"/>
      <c r="X123" s="279"/>
    </row>
    <row r="124" spans="1:24" s="274" customFormat="1" ht="42" customHeight="1" x14ac:dyDescent="0.25">
      <c r="A124" s="328" t="s">
        <v>162</v>
      </c>
      <c r="B124" s="257" t="s">
        <v>149</v>
      </c>
      <c r="C124" s="252"/>
      <c r="D124" s="28" t="s">
        <v>37</v>
      </c>
      <c r="E124" s="28">
        <v>2025</v>
      </c>
      <c r="F124" s="352">
        <f>+I124+U124</f>
        <v>4401.7</v>
      </c>
      <c r="G124" s="352">
        <f t="shared" si="16"/>
        <v>4401.7</v>
      </c>
      <c r="H124" s="326"/>
      <c r="I124" s="280">
        <v>4401.7</v>
      </c>
      <c r="J124" s="280">
        <v>4401.7</v>
      </c>
      <c r="K124" s="280"/>
      <c r="L124" s="280"/>
      <c r="M124" s="280"/>
      <c r="N124" s="280"/>
      <c r="O124" s="281"/>
      <c r="P124" s="281"/>
      <c r="Q124" s="281"/>
      <c r="R124" s="281"/>
      <c r="S124" s="281"/>
      <c r="T124" s="281"/>
      <c r="U124" s="281"/>
      <c r="V124" s="281"/>
      <c r="W124" s="281"/>
      <c r="X124" s="281"/>
    </row>
    <row r="125" spans="1:24" s="274" customFormat="1" ht="71.099999999999994" customHeight="1" x14ac:dyDescent="0.25">
      <c r="A125" s="328" t="s">
        <v>24</v>
      </c>
      <c r="B125" s="257" t="s">
        <v>312</v>
      </c>
      <c r="C125" s="252"/>
      <c r="D125" s="28" t="s">
        <v>26</v>
      </c>
      <c r="E125" s="28" t="s">
        <v>68</v>
      </c>
      <c r="F125" s="352">
        <f>+I125+O125</f>
        <v>5299</v>
      </c>
      <c r="G125" s="352">
        <f t="shared" si="16"/>
        <v>5299</v>
      </c>
      <c r="H125" s="326">
        <f>+K125+N125+Q125</f>
        <v>0</v>
      </c>
      <c r="I125" s="280"/>
      <c r="J125" s="280"/>
      <c r="K125" s="280"/>
      <c r="L125" s="280"/>
      <c r="M125" s="280"/>
      <c r="N125" s="280"/>
      <c r="O125" s="281">
        <f>3999+1300</f>
        <v>5299</v>
      </c>
      <c r="P125" s="281">
        <f>3999+1300</f>
        <v>5299</v>
      </c>
      <c r="Q125" s="281">
        <f>+P125-O125</f>
        <v>0</v>
      </c>
      <c r="R125" s="281"/>
      <c r="S125" s="281"/>
      <c r="T125" s="281"/>
      <c r="U125" s="281"/>
      <c r="V125" s="281"/>
      <c r="W125" s="281"/>
      <c r="X125" s="384"/>
    </row>
    <row r="126" spans="1:24" s="274" customFormat="1" ht="71.099999999999994" customHeight="1" x14ac:dyDescent="0.25">
      <c r="A126" s="405">
        <v>6</v>
      </c>
      <c r="B126" s="400" t="s">
        <v>341</v>
      </c>
      <c r="C126" s="253"/>
      <c r="D126" s="395" t="s">
        <v>26</v>
      </c>
      <c r="E126" s="395" t="s">
        <v>26</v>
      </c>
      <c r="F126" s="367">
        <f>+I126+O126</f>
        <v>0</v>
      </c>
      <c r="G126" s="367">
        <f t="shared" si="16"/>
        <v>400</v>
      </c>
      <c r="H126" s="402">
        <f>+K126+N126+Q126</f>
        <v>400</v>
      </c>
      <c r="I126" s="393"/>
      <c r="J126" s="393"/>
      <c r="K126" s="393"/>
      <c r="L126" s="393"/>
      <c r="M126" s="393"/>
      <c r="N126" s="393"/>
      <c r="O126" s="406"/>
      <c r="P126" s="406">
        <v>400</v>
      </c>
      <c r="Q126" s="406">
        <f>+P126-O126</f>
        <v>400</v>
      </c>
      <c r="R126" s="406"/>
      <c r="S126" s="281"/>
      <c r="T126" s="281"/>
      <c r="U126" s="281"/>
      <c r="V126" s="281"/>
      <c r="W126" s="281"/>
      <c r="X126" s="384" t="s">
        <v>342</v>
      </c>
    </row>
    <row r="127" spans="1:24" s="274" customFormat="1" ht="18.75" customHeight="1" x14ac:dyDescent="0.25">
      <c r="A127" s="342">
        <v>5</v>
      </c>
      <c r="B127" s="350" t="s">
        <v>322</v>
      </c>
      <c r="C127" s="305"/>
      <c r="D127" s="306"/>
      <c r="E127" s="313" t="s">
        <v>17</v>
      </c>
      <c r="F127" s="314">
        <f>SUM(F121:F126)</f>
        <v>13657.4</v>
      </c>
      <c r="G127" s="314">
        <f t="shared" ref="G127:W127" si="17">SUM(G121:G126)</f>
        <v>14207.4</v>
      </c>
      <c r="H127" s="314">
        <f t="shared" si="17"/>
        <v>550</v>
      </c>
      <c r="I127" s="314">
        <f t="shared" si="17"/>
        <v>5928.4</v>
      </c>
      <c r="J127" s="314">
        <f t="shared" si="17"/>
        <v>6328.4</v>
      </c>
      <c r="K127" s="314">
        <f t="shared" si="17"/>
        <v>400</v>
      </c>
      <c r="L127" s="314">
        <f t="shared" si="17"/>
        <v>0</v>
      </c>
      <c r="M127" s="314">
        <f t="shared" si="17"/>
        <v>0</v>
      </c>
      <c r="N127" s="314">
        <f t="shared" si="17"/>
        <v>0</v>
      </c>
      <c r="O127" s="314">
        <f t="shared" si="17"/>
        <v>5299</v>
      </c>
      <c r="P127" s="314">
        <f t="shared" si="17"/>
        <v>5699</v>
      </c>
      <c r="Q127" s="314">
        <f t="shared" si="17"/>
        <v>400</v>
      </c>
      <c r="R127" s="314">
        <f t="shared" si="17"/>
        <v>0</v>
      </c>
      <c r="S127" s="314">
        <f t="shared" si="17"/>
        <v>0</v>
      </c>
      <c r="T127" s="314">
        <f t="shared" si="17"/>
        <v>0</v>
      </c>
      <c r="U127" s="314">
        <f t="shared" si="17"/>
        <v>2430</v>
      </c>
      <c r="V127" s="314">
        <f t="shared" si="17"/>
        <v>2180</v>
      </c>
      <c r="W127" s="314">
        <f t="shared" si="17"/>
        <v>-250</v>
      </c>
      <c r="X127" s="314"/>
    </row>
    <row r="128" spans="1:24" ht="21" customHeight="1" x14ac:dyDescent="0.2">
      <c r="A128" s="341">
        <f>A127+A119+A111+A103+A88+A81+A59+A29+A13</f>
        <v>99</v>
      </c>
      <c r="B128" s="495" t="s">
        <v>322</v>
      </c>
      <c r="C128" s="495"/>
      <c r="D128" s="495"/>
      <c r="E128" s="495"/>
      <c r="F128" s="376">
        <f>SUMIF(E8:E127,"Iš viso:",F8:F127)</f>
        <v>273613.2</v>
      </c>
      <c r="G128" s="376">
        <f>SUMIF(E8:E127,"Iš viso:",G8:G127)</f>
        <v>306029.70000000007</v>
      </c>
      <c r="H128" s="376">
        <f>SUMIF(E8:E127,"Iš viso:",H8:H127)</f>
        <v>32422.3</v>
      </c>
      <c r="I128" s="377">
        <f>SUMIF(E9:E127,"Iš viso:",I9:I127)</f>
        <v>154427.90000000002</v>
      </c>
      <c r="J128" s="377">
        <f>SUMIF(E9:E127,"Iš viso:",J9:J127)</f>
        <v>159411.5</v>
      </c>
      <c r="K128" s="378">
        <f>+J128-I128</f>
        <v>4983.5999999999767</v>
      </c>
      <c r="L128" s="376">
        <f>SUMIF(E8:E127,"Iš viso:",L8:L127)</f>
        <v>38035.800000000003</v>
      </c>
      <c r="M128" s="376">
        <f>SUMIF(E8:E127,"Iš viso:",M8:M127)</f>
        <v>38238.400000000001</v>
      </c>
      <c r="N128" s="379">
        <f>SUMIF(E8:E127,"Iš viso:",N8:N127)</f>
        <v>202.50000000000028</v>
      </c>
      <c r="O128" s="376">
        <f>SUMIF(E8:E127,"Iš viso:",O8:O127)</f>
        <v>32385.999999999996</v>
      </c>
      <c r="P128" s="376">
        <f>SUMIF(E8:E127,"Iš viso:",P8:P127)</f>
        <v>59393.999999999993</v>
      </c>
      <c r="Q128" s="379">
        <f>SUMIF(E8:E127,"Iš viso:",Q8:Q127)</f>
        <v>27008.100000000002</v>
      </c>
      <c r="R128" s="376">
        <f>SUMIF(E8:E127,"Iš viso:",R8:R127)</f>
        <v>26360.799999999999</v>
      </c>
      <c r="S128" s="376">
        <f>SUMIF(E8:E127,"Iš viso:",S8:S127)</f>
        <v>23844.600000000002</v>
      </c>
      <c r="T128" s="379">
        <f>SUMIF(E8:E127,"Iš viso:",T8:T127)</f>
        <v>-2516.2000000000007</v>
      </c>
      <c r="U128" s="376">
        <f>SUMIF(E8:E127,"Iš viso:",U8:U127)</f>
        <v>22402.799999999999</v>
      </c>
      <c r="V128" s="376">
        <f>SUMIF(E8:E127,"Iš viso:",V8:V127)</f>
        <v>25141.200000000001</v>
      </c>
      <c r="W128" s="379">
        <f>SUMIF(E8:E127,"Iš viso:",W8:W127)</f>
        <v>2749</v>
      </c>
      <c r="X128" s="368"/>
    </row>
    <row r="129" spans="5:24" x14ac:dyDescent="0.2">
      <c r="F129" s="345"/>
      <c r="G129" s="345"/>
      <c r="H129" s="345"/>
      <c r="I129" s="346"/>
      <c r="J129" s="346"/>
      <c r="K129" s="346"/>
      <c r="L129" s="346"/>
      <c r="M129" s="346"/>
      <c r="N129" s="346"/>
      <c r="O129" s="346"/>
      <c r="P129" s="346"/>
      <c r="Q129" s="346"/>
      <c r="R129" s="346"/>
      <c r="S129" s="346"/>
      <c r="T129" s="346"/>
      <c r="U129" s="346"/>
      <c r="V129" s="346"/>
      <c r="W129" s="346"/>
      <c r="X129" s="346"/>
    </row>
    <row r="130" spans="5:24" ht="13.5" customHeight="1" x14ac:dyDescent="0.2">
      <c r="E130" s="249"/>
      <c r="F130" s="345"/>
      <c r="G130" s="345"/>
      <c r="H130" s="345"/>
      <c r="I130" s="346"/>
      <c r="J130" s="346"/>
      <c r="K130" s="346"/>
      <c r="L130" s="346"/>
      <c r="M130" s="346"/>
      <c r="N130" s="346"/>
      <c r="O130" s="346"/>
      <c r="P130" s="346"/>
      <c r="Q130" s="346"/>
      <c r="R130" s="346"/>
      <c r="S130" s="346"/>
      <c r="T130" s="346"/>
      <c r="U130" s="346"/>
      <c r="V130" s="346"/>
      <c r="W130" s="346"/>
      <c r="X130" s="346"/>
    </row>
    <row r="131" spans="5:24" x14ac:dyDescent="0.2">
      <c r="E131" s="317"/>
      <c r="F131" s="339"/>
      <c r="G131" s="339"/>
      <c r="H131" s="339"/>
      <c r="I131" s="340"/>
      <c r="J131" s="340"/>
      <c r="K131" s="340"/>
      <c r="L131" s="340"/>
      <c r="M131" s="340"/>
      <c r="N131" s="340"/>
      <c r="O131" s="340"/>
      <c r="P131" s="340"/>
      <c r="Q131" s="304"/>
      <c r="R131" s="304"/>
      <c r="S131" s="304"/>
      <c r="T131" s="304"/>
      <c r="U131" s="304"/>
      <c r="V131" s="304"/>
      <c r="W131" s="304"/>
      <c r="X131" s="304"/>
    </row>
  </sheetData>
  <mergeCells count="30">
    <mergeCell ref="F4:H5"/>
    <mergeCell ref="I4:K5"/>
    <mergeCell ref="X56:X57"/>
    <mergeCell ref="X105:X106"/>
    <mergeCell ref="A8:U8"/>
    <mergeCell ref="A14:U14"/>
    <mergeCell ref="A30:U30"/>
    <mergeCell ref="B128:E128"/>
    <mergeCell ref="A61:U61"/>
    <mergeCell ref="A82:U82"/>
    <mergeCell ref="A89:U89"/>
    <mergeCell ref="A104:U104"/>
    <mergeCell ref="A112:U112"/>
    <mergeCell ref="A120:U120"/>
    <mergeCell ref="L1:X1"/>
    <mergeCell ref="U3:X3"/>
    <mergeCell ref="X4:X6"/>
    <mergeCell ref="O6:Q6"/>
    <mergeCell ref="O4:Q5"/>
    <mergeCell ref="R4:T5"/>
    <mergeCell ref="A2:X2"/>
    <mergeCell ref="D4:E5"/>
    <mergeCell ref="F6:H6"/>
    <mergeCell ref="I6:K6"/>
    <mergeCell ref="L4:N5"/>
    <mergeCell ref="U4:W5"/>
    <mergeCell ref="U6:W6"/>
    <mergeCell ref="A4:A5"/>
    <mergeCell ref="B4:B5"/>
    <mergeCell ref="C4:C5"/>
  </mergeCells>
  <printOptions horizontalCentered="1"/>
  <pageMargins left="0" right="0" top="0.39370078740157483" bottom="0.19685039370078741" header="0.31496062992125984" footer="0.31496062992125984"/>
  <pageSetup paperSize="9" scale="57" orientation="landscape"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Y141"/>
  <sheetViews>
    <sheetView topLeftCell="I1" zoomScale="90" zoomScaleNormal="90" zoomScaleSheetLayoutView="90" workbookViewId="0">
      <pane ySplit="11" topLeftCell="A126" activePane="bottomLeft" state="frozen"/>
      <selection pane="bottomLeft" activeCell="Y23" sqref="Y23"/>
    </sheetView>
  </sheetViews>
  <sheetFormatPr defaultColWidth="9.140625" defaultRowHeight="12.75" x14ac:dyDescent="0.2"/>
  <cols>
    <col min="1" max="1" width="3.42578125" style="3" customWidth="1"/>
    <col min="2" max="2" width="28.5703125" style="3" customWidth="1"/>
    <col min="3" max="3" width="4.42578125" style="17" customWidth="1"/>
    <col min="4" max="4" width="7.5703125" style="3" hidden="1" customWidth="1"/>
    <col min="5" max="5" width="7.42578125" style="1" customWidth="1"/>
    <col min="6" max="6" width="7.140625" style="1" customWidth="1"/>
    <col min="7" max="7" width="13.5703125" style="3" customWidth="1"/>
    <col min="8" max="8" width="13.140625" style="3" customWidth="1"/>
    <col min="9" max="9" width="11.42578125" style="124" customWidth="1"/>
    <col min="10" max="10" width="13" style="3" customWidth="1"/>
    <col min="11" max="11" width="14.140625" style="3" customWidth="1"/>
    <col min="12" max="12" width="11.5703125" style="124" customWidth="1"/>
    <col min="13" max="13" width="12.5703125" style="3" customWidth="1"/>
    <col min="14" max="14" width="13.140625" style="3" customWidth="1"/>
    <col min="15" max="15" width="9.140625" style="124" customWidth="1"/>
    <col min="16" max="16" width="15.140625" style="3" customWidth="1"/>
    <col min="17" max="17" width="13.5703125" style="3" customWidth="1"/>
    <col min="18" max="18" width="11.5703125" style="124" customWidth="1"/>
    <col min="19" max="19" width="11.85546875" style="3" customWidth="1"/>
    <col min="20" max="20" width="14.42578125" style="3" customWidth="1"/>
    <col min="21" max="21" width="9.85546875" style="124" customWidth="1"/>
    <col min="22" max="22" width="11.5703125" style="3" customWidth="1"/>
    <col min="23" max="23" width="13.42578125" style="3" customWidth="1"/>
    <col min="24" max="24" width="10.85546875" style="124" customWidth="1"/>
    <col min="25" max="25" width="27.5703125" style="3" customWidth="1"/>
    <col min="26" max="16384" width="9.140625" style="3"/>
  </cols>
  <sheetData>
    <row r="1" spans="1:25" ht="16.5" customHeight="1" x14ac:dyDescent="0.2">
      <c r="M1" s="119"/>
      <c r="N1" s="119"/>
      <c r="O1" s="185"/>
      <c r="P1" s="119"/>
      <c r="Q1" s="119"/>
      <c r="R1" s="185"/>
      <c r="S1" s="119"/>
      <c r="T1" s="547" t="s">
        <v>97</v>
      </c>
      <c r="U1" s="548"/>
      <c r="V1" s="548"/>
      <c r="W1" s="548"/>
      <c r="X1" s="548"/>
    </row>
    <row r="2" spans="1:25" ht="15.75" customHeight="1" x14ac:dyDescent="0.25">
      <c r="B2" s="553" t="s">
        <v>260</v>
      </c>
      <c r="C2" s="553"/>
      <c r="D2" s="553"/>
      <c r="E2" s="553"/>
      <c r="F2" s="553"/>
      <c r="G2" s="553"/>
      <c r="H2" s="553"/>
      <c r="I2" s="553"/>
      <c r="J2" s="553"/>
      <c r="K2" s="553"/>
      <c r="L2" s="553"/>
      <c r="M2" s="553"/>
      <c r="N2" s="553"/>
      <c r="O2" s="553"/>
      <c r="P2" s="553"/>
      <c r="Q2" s="553"/>
      <c r="R2" s="553"/>
      <c r="S2" s="553"/>
      <c r="T2" s="553"/>
      <c r="U2" s="553"/>
      <c r="V2" s="553"/>
      <c r="W2" s="553"/>
      <c r="X2" s="553"/>
    </row>
    <row r="3" spans="1:25" ht="9" customHeight="1" x14ac:dyDescent="0.25">
      <c r="B3" s="120"/>
      <c r="C3" s="201"/>
      <c r="D3" s="120"/>
      <c r="E3" s="208"/>
      <c r="F3" s="208"/>
      <c r="G3" s="120"/>
      <c r="H3" s="120"/>
      <c r="I3" s="171"/>
      <c r="J3" s="120"/>
      <c r="K3" s="120"/>
      <c r="L3" s="171"/>
      <c r="M3" s="120"/>
      <c r="N3" s="120"/>
      <c r="O3" s="171"/>
      <c r="P3" s="120"/>
      <c r="Q3" s="120"/>
      <c r="R3" s="171"/>
    </row>
    <row r="4" spans="1:25" ht="13.5" customHeight="1" x14ac:dyDescent="0.2">
      <c r="B4" s="554" t="s">
        <v>92</v>
      </c>
      <c r="C4" s="554"/>
      <c r="D4" s="554"/>
      <c r="E4" s="554"/>
      <c r="F4" s="554"/>
      <c r="G4" s="554"/>
      <c r="H4" s="103"/>
      <c r="I4" s="172"/>
      <c r="J4" s="121"/>
      <c r="K4" s="121"/>
      <c r="L4" s="173"/>
      <c r="M4" s="121"/>
      <c r="N4" s="121"/>
      <c r="O4" s="173"/>
      <c r="P4" s="121"/>
      <c r="Q4" s="121"/>
      <c r="R4" s="173"/>
    </row>
    <row r="5" spans="1:25" ht="16.5" customHeight="1" x14ac:dyDescent="0.25">
      <c r="A5" s="122"/>
      <c r="B5" s="554" t="s">
        <v>93</v>
      </c>
      <c r="C5" s="554"/>
      <c r="D5" s="554"/>
      <c r="E5" s="555"/>
      <c r="F5" s="555"/>
      <c r="G5" s="555"/>
      <c r="H5" s="555"/>
      <c r="I5" s="555"/>
      <c r="J5" s="555"/>
      <c r="K5" s="123"/>
      <c r="L5" s="179"/>
      <c r="M5" s="121"/>
      <c r="N5" s="121"/>
      <c r="O5" s="173"/>
      <c r="P5" s="121"/>
      <c r="Q5" s="121"/>
      <c r="R5" s="173"/>
    </row>
    <row r="6" spans="1:25" ht="15" customHeight="1" x14ac:dyDescent="0.25">
      <c r="A6" s="122"/>
      <c r="B6" s="554" t="s">
        <v>94</v>
      </c>
      <c r="C6" s="556"/>
      <c r="D6" s="555"/>
      <c r="E6" s="555"/>
      <c r="F6" s="209"/>
      <c r="G6" s="121"/>
      <c r="H6" s="121"/>
      <c r="I6" s="173"/>
      <c r="J6" s="121"/>
      <c r="K6" s="121"/>
      <c r="L6" s="173"/>
      <c r="M6" s="121"/>
      <c r="N6" s="121"/>
      <c r="O6" s="173"/>
      <c r="P6" s="121"/>
      <c r="Q6" s="121"/>
      <c r="R6" s="173"/>
    </row>
    <row r="7" spans="1:25" ht="12" customHeight="1" thickBot="1" x14ac:dyDescent="0.25">
      <c r="A7" s="124"/>
      <c r="S7" s="125"/>
      <c r="T7" s="125"/>
      <c r="U7" s="191"/>
      <c r="V7" s="125"/>
      <c r="W7" s="125"/>
      <c r="X7" s="215" t="s">
        <v>15</v>
      </c>
    </row>
    <row r="8" spans="1:25" ht="29.25" customHeight="1" x14ac:dyDescent="0.2">
      <c r="A8" s="534" t="s">
        <v>160</v>
      </c>
      <c r="B8" s="531" t="s">
        <v>0</v>
      </c>
      <c r="C8" s="544" t="s">
        <v>21</v>
      </c>
      <c r="D8" s="557" t="s">
        <v>27</v>
      </c>
      <c r="E8" s="542" t="s">
        <v>16</v>
      </c>
      <c r="F8" s="543"/>
      <c r="G8" s="522" t="s">
        <v>18</v>
      </c>
      <c r="H8" s="523"/>
      <c r="I8" s="524"/>
      <c r="J8" s="522" t="s">
        <v>1</v>
      </c>
      <c r="K8" s="523"/>
      <c r="L8" s="524"/>
      <c r="M8" s="522" t="s">
        <v>285</v>
      </c>
      <c r="N8" s="523"/>
      <c r="O8" s="524"/>
      <c r="P8" s="522" t="s">
        <v>286</v>
      </c>
      <c r="Q8" s="523"/>
      <c r="R8" s="524"/>
      <c r="S8" s="522" t="s">
        <v>3</v>
      </c>
      <c r="T8" s="523"/>
      <c r="U8" s="524"/>
      <c r="V8" s="522" t="s">
        <v>22</v>
      </c>
      <c r="W8" s="549"/>
      <c r="X8" s="550"/>
      <c r="Y8" s="224"/>
    </row>
    <row r="9" spans="1:25" ht="26.25" customHeight="1" x14ac:dyDescent="0.2">
      <c r="A9" s="535"/>
      <c r="B9" s="532"/>
      <c r="C9" s="545"/>
      <c r="D9" s="558"/>
      <c r="E9" s="560" t="s">
        <v>4</v>
      </c>
      <c r="F9" s="560" t="s">
        <v>5</v>
      </c>
      <c r="G9" s="508"/>
      <c r="H9" s="509"/>
      <c r="I9" s="510"/>
      <c r="J9" s="508"/>
      <c r="K9" s="509"/>
      <c r="L9" s="510"/>
      <c r="M9" s="508"/>
      <c r="N9" s="509"/>
      <c r="O9" s="510"/>
      <c r="P9" s="508"/>
      <c r="Q9" s="509"/>
      <c r="R9" s="510"/>
      <c r="S9" s="508"/>
      <c r="T9" s="509"/>
      <c r="U9" s="510"/>
      <c r="V9" s="508"/>
      <c r="W9" s="551"/>
      <c r="X9" s="552"/>
      <c r="Y9" s="232" t="s">
        <v>290</v>
      </c>
    </row>
    <row r="10" spans="1:25" ht="15.75" thickBot="1" x14ac:dyDescent="0.25">
      <c r="A10" s="126"/>
      <c r="B10" s="533"/>
      <c r="C10" s="546"/>
      <c r="D10" s="559"/>
      <c r="E10" s="546"/>
      <c r="F10" s="546"/>
      <c r="G10" s="482" t="s">
        <v>17</v>
      </c>
      <c r="H10" s="483"/>
      <c r="I10" s="484"/>
      <c r="J10" s="482" t="s">
        <v>6</v>
      </c>
      <c r="K10" s="483"/>
      <c r="L10" s="484"/>
      <c r="M10" s="482" t="s">
        <v>7</v>
      </c>
      <c r="N10" s="483"/>
      <c r="O10" s="484"/>
      <c r="P10" s="482" t="s">
        <v>8</v>
      </c>
      <c r="Q10" s="483"/>
      <c r="R10" s="484"/>
      <c r="S10" s="482" t="s">
        <v>9</v>
      </c>
      <c r="T10" s="483"/>
      <c r="U10" s="484"/>
      <c r="V10" s="528" t="s">
        <v>78</v>
      </c>
      <c r="W10" s="529"/>
      <c r="X10" s="530"/>
      <c r="Y10" s="225"/>
    </row>
    <row r="11" spans="1:25" s="77" customFormat="1" ht="27" customHeight="1" x14ac:dyDescent="0.2">
      <c r="A11" s="127"/>
      <c r="B11" s="128"/>
      <c r="C11" s="202"/>
      <c r="D11" s="129"/>
      <c r="E11" s="210"/>
      <c r="F11" s="210"/>
      <c r="G11" s="22" t="s">
        <v>283</v>
      </c>
      <c r="H11" s="98" t="s">
        <v>284</v>
      </c>
      <c r="I11" s="22" t="s">
        <v>282</v>
      </c>
      <c r="J11" s="22" t="s">
        <v>283</v>
      </c>
      <c r="K11" s="22" t="s">
        <v>284</v>
      </c>
      <c r="L11" s="22" t="s">
        <v>282</v>
      </c>
      <c r="M11" s="22" t="s">
        <v>283</v>
      </c>
      <c r="N11" s="22" t="s">
        <v>284</v>
      </c>
      <c r="O11" s="22" t="s">
        <v>282</v>
      </c>
      <c r="P11" s="22" t="s">
        <v>283</v>
      </c>
      <c r="Q11" s="22" t="s">
        <v>284</v>
      </c>
      <c r="R11" s="22" t="s">
        <v>282</v>
      </c>
      <c r="S11" s="22" t="s">
        <v>283</v>
      </c>
      <c r="T11" s="22" t="s">
        <v>284</v>
      </c>
      <c r="U11" s="22" t="s">
        <v>282</v>
      </c>
      <c r="V11" s="22" t="s">
        <v>283</v>
      </c>
      <c r="W11" s="22" t="s">
        <v>284</v>
      </c>
      <c r="X11" s="81" t="s">
        <v>282</v>
      </c>
      <c r="Y11" s="227"/>
    </row>
    <row r="12" spans="1:25" s="77" customFormat="1" ht="17.25" customHeight="1" x14ac:dyDescent="0.2">
      <c r="A12" s="536" t="s">
        <v>13</v>
      </c>
      <c r="B12" s="537"/>
      <c r="C12" s="537"/>
      <c r="D12" s="537"/>
      <c r="E12" s="537"/>
      <c r="F12" s="537"/>
      <c r="G12" s="537"/>
      <c r="H12" s="537"/>
      <c r="I12" s="537"/>
      <c r="J12" s="537"/>
      <c r="K12" s="537"/>
      <c r="L12" s="537"/>
      <c r="M12" s="537"/>
      <c r="N12" s="537"/>
      <c r="O12" s="537"/>
      <c r="P12" s="537"/>
      <c r="Q12" s="537"/>
      <c r="R12" s="537"/>
      <c r="S12" s="537"/>
      <c r="T12" s="537"/>
      <c r="U12" s="537"/>
      <c r="V12" s="537"/>
      <c r="W12" s="537"/>
      <c r="X12" s="537"/>
      <c r="Y12" s="228"/>
    </row>
    <row r="13" spans="1:25" s="77" customFormat="1" ht="46.5" customHeight="1" x14ac:dyDescent="0.2">
      <c r="A13" s="130" t="s">
        <v>140</v>
      </c>
      <c r="B13" s="131" t="s">
        <v>150</v>
      </c>
      <c r="C13" s="18">
        <v>5</v>
      </c>
      <c r="D13" s="132" t="s">
        <v>124</v>
      </c>
      <c r="E13" s="29" t="s">
        <v>37</v>
      </c>
      <c r="F13" s="29" t="s">
        <v>26</v>
      </c>
      <c r="G13" s="22">
        <f t="shared" ref="G13:H16" si="0">J13+M13+P13+S13+V13</f>
        <v>161137.18</v>
      </c>
      <c r="H13" s="98">
        <f t="shared" si="0"/>
        <v>161137.18</v>
      </c>
      <c r="I13" s="89"/>
      <c r="J13" s="8">
        <v>21437.18</v>
      </c>
      <c r="K13" s="8">
        <v>21437.18</v>
      </c>
      <c r="L13" s="89"/>
      <c r="M13" s="8">
        <v>139700</v>
      </c>
      <c r="N13" s="8">
        <v>139700</v>
      </c>
      <c r="O13" s="89"/>
      <c r="P13" s="22"/>
      <c r="Q13" s="22"/>
      <c r="R13" s="89"/>
      <c r="S13" s="22"/>
      <c r="T13" s="22"/>
      <c r="U13" s="192"/>
      <c r="V13" s="81"/>
      <c r="W13" s="81"/>
      <c r="X13" s="192"/>
      <c r="Y13" s="228"/>
    </row>
    <row r="14" spans="1:25" s="77" customFormat="1" ht="67.5" customHeight="1" x14ac:dyDescent="0.2">
      <c r="A14" s="133" t="s">
        <v>105</v>
      </c>
      <c r="B14" s="134" t="s">
        <v>131</v>
      </c>
      <c r="C14" s="5">
        <v>5</v>
      </c>
      <c r="D14" s="135" t="s">
        <v>124</v>
      </c>
      <c r="E14" s="28" t="s">
        <v>37</v>
      </c>
      <c r="F14" s="28" t="s">
        <v>23</v>
      </c>
      <c r="G14" s="22">
        <f t="shared" si="0"/>
        <v>69407.839999999997</v>
      </c>
      <c r="H14" s="98">
        <f t="shared" si="0"/>
        <v>69407.839999999997</v>
      </c>
      <c r="I14" s="89"/>
      <c r="J14" s="22">
        <v>10411.18</v>
      </c>
      <c r="K14" s="22">
        <v>10411.18</v>
      </c>
      <c r="L14" s="89"/>
      <c r="M14" s="22">
        <v>58996.66</v>
      </c>
      <c r="N14" s="22">
        <v>58996.66</v>
      </c>
      <c r="O14" s="89"/>
      <c r="P14" s="22"/>
      <c r="Q14" s="22"/>
      <c r="R14" s="89"/>
      <c r="S14" s="22"/>
      <c r="T14" s="22"/>
      <c r="U14" s="192"/>
      <c r="V14" s="81"/>
      <c r="W14" s="81"/>
      <c r="X14" s="192"/>
      <c r="Y14" s="228"/>
    </row>
    <row r="15" spans="1:25" s="77" customFormat="1" ht="54.75" customHeight="1" x14ac:dyDescent="0.2">
      <c r="A15" s="127" t="s">
        <v>161</v>
      </c>
      <c r="B15" s="136" t="s">
        <v>271</v>
      </c>
      <c r="C15" s="56" t="s">
        <v>24</v>
      </c>
      <c r="D15" s="137" t="s">
        <v>63</v>
      </c>
      <c r="E15" s="13" t="s">
        <v>23</v>
      </c>
      <c r="F15" s="13" t="s">
        <v>75</v>
      </c>
      <c r="G15" s="22">
        <f t="shared" si="0"/>
        <v>1523000</v>
      </c>
      <c r="H15" s="98">
        <f t="shared" si="0"/>
        <v>1523000</v>
      </c>
      <c r="I15" s="79"/>
      <c r="J15" s="9">
        <v>1023000</v>
      </c>
      <c r="K15" s="9">
        <v>1023000</v>
      </c>
      <c r="L15" s="9"/>
      <c r="M15" s="9"/>
      <c r="N15" s="9"/>
      <c r="O15" s="9"/>
      <c r="P15" s="9"/>
      <c r="Q15" s="9"/>
      <c r="R15" s="9"/>
      <c r="S15" s="9"/>
      <c r="T15" s="9"/>
      <c r="U15" s="43"/>
      <c r="V15" s="43">
        <v>500000</v>
      </c>
      <c r="W15" s="43">
        <v>500000</v>
      </c>
      <c r="X15" s="102"/>
      <c r="Y15" s="228"/>
    </row>
    <row r="16" spans="1:25" s="77" customFormat="1" ht="66" customHeight="1" x14ac:dyDescent="0.2">
      <c r="A16" s="133" t="s">
        <v>162</v>
      </c>
      <c r="B16" s="151" t="s">
        <v>14</v>
      </c>
      <c r="C16" s="5">
        <v>5</v>
      </c>
      <c r="D16" s="135" t="s">
        <v>116</v>
      </c>
      <c r="E16" s="28" t="s">
        <v>25</v>
      </c>
      <c r="F16" s="28" t="s">
        <v>26</v>
      </c>
      <c r="G16" s="9">
        <f t="shared" si="0"/>
        <v>3035809.78</v>
      </c>
      <c r="H16" s="14">
        <f t="shared" si="0"/>
        <v>3035809.78</v>
      </c>
      <c r="I16" s="9"/>
      <c r="J16" s="9">
        <f>1182500+78100</f>
        <v>1260600</v>
      </c>
      <c r="K16" s="9">
        <f>1182500+78100</f>
        <v>1260600</v>
      </c>
      <c r="L16" s="80"/>
      <c r="M16" s="110">
        <v>1621843.01</v>
      </c>
      <c r="N16" s="110">
        <v>1621843.01</v>
      </c>
      <c r="O16" s="110"/>
      <c r="P16" s="14">
        <v>143103.81</v>
      </c>
      <c r="Q16" s="14">
        <v>143103.81</v>
      </c>
      <c r="R16" s="14"/>
      <c r="S16" s="9"/>
      <c r="T16" s="9"/>
      <c r="U16" s="43"/>
      <c r="V16" s="43">
        <v>10262.959999999999</v>
      </c>
      <c r="W16" s="43">
        <v>10262.959999999999</v>
      </c>
      <c r="X16" s="102"/>
      <c r="Y16" s="228"/>
    </row>
    <row r="17" spans="1:25" s="77" customFormat="1" ht="18" customHeight="1" x14ac:dyDescent="0.2">
      <c r="A17" s="138"/>
      <c r="B17" s="139"/>
      <c r="C17" s="203"/>
      <c r="D17" s="139"/>
      <c r="E17" s="203"/>
      <c r="F17" s="57" t="s">
        <v>17</v>
      </c>
      <c r="G17" s="58">
        <f>SUM(G13:G16)</f>
        <v>4789354.8</v>
      </c>
      <c r="H17" s="58">
        <f>SUM(H13:H16)</f>
        <v>4789354.8</v>
      </c>
      <c r="I17" s="58">
        <f t="shared" ref="I17:U17" si="1">SUM(I13:I16)</f>
        <v>0</v>
      </c>
      <c r="J17" s="58">
        <f t="shared" si="1"/>
        <v>2315448.3600000003</v>
      </c>
      <c r="K17" s="58">
        <f t="shared" si="1"/>
        <v>2315448.3600000003</v>
      </c>
      <c r="L17" s="58">
        <f t="shared" si="1"/>
        <v>0</v>
      </c>
      <c r="M17" s="58">
        <f t="shared" si="1"/>
        <v>1820539.67</v>
      </c>
      <c r="N17" s="58">
        <f t="shared" si="1"/>
        <v>1820539.67</v>
      </c>
      <c r="O17" s="58">
        <f t="shared" si="1"/>
        <v>0</v>
      </c>
      <c r="P17" s="58">
        <f t="shared" si="1"/>
        <v>143103.81</v>
      </c>
      <c r="Q17" s="58">
        <f t="shared" si="1"/>
        <v>143103.81</v>
      </c>
      <c r="R17" s="58">
        <f t="shared" si="1"/>
        <v>0</v>
      </c>
      <c r="S17" s="58">
        <f t="shared" si="1"/>
        <v>0</v>
      </c>
      <c r="T17" s="58">
        <f t="shared" si="1"/>
        <v>0</v>
      </c>
      <c r="U17" s="58">
        <f t="shared" si="1"/>
        <v>0</v>
      </c>
      <c r="V17" s="82">
        <f>SUM(V13:V16)</f>
        <v>510262.96</v>
      </c>
      <c r="W17" s="82">
        <f>SUM(W13:W16)</f>
        <v>510262.96</v>
      </c>
      <c r="X17" s="82">
        <f>SUM(X13:X16)</f>
        <v>0</v>
      </c>
      <c r="Y17" s="228"/>
    </row>
    <row r="18" spans="1:25" s="77" customFormat="1" ht="15" customHeight="1" x14ac:dyDescent="0.2">
      <c r="A18" s="536" t="s">
        <v>19</v>
      </c>
      <c r="B18" s="537"/>
      <c r="C18" s="537"/>
      <c r="D18" s="537"/>
      <c r="E18" s="537"/>
      <c r="F18" s="537"/>
      <c r="G18" s="537"/>
      <c r="H18" s="537"/>
      <c r="I18" s="537"/>
      <c r="J18" s="537"/>
      <c r="K18" s="537"/>
      <c r="L18" s="537"/>
      <c r="M18" s="537"/>
      <c r="N18" s="537"/>
      <c r="O18" s="537"/>
      <c r="P18" s="537"/>
      <c r="Q18" s="537"/>
      <c r="R18" s="537"/>
      <c r="S18" s="537"/>
      <c r="T18" s="537"/>
      <c r="U18" s="537"/>
      <c r="V18" s="537"/>
      <c r="W18" s="537"/>
      <c r="X18" s="537"/>
      <c r="Y18" s="228"/>
    </row>
    <row r="19" spans="1:25" s="77" customFormat="1" ht="55.5" customHeight="1" x14ac:dyDescent="0.2">
      <c r="A19" s="140" t="s">
        <v>24</v>
      </c>
      <c r="B19" s="107" t="s">
        <v>261</v>
      </c>
      <c r="C19" s="18">
        <v>5</v>
      </c>
      <c r="D19" s="68" t="s">
        <v>63</v>
      </c>
      <c r="E19" s="28">
        <v>2016</v>
      </c>
      <c r="F19" s="28" t="s">
        <v>23</v>
      </c>
      <c r="G19" s="9">
        <f>J19+M19+P19+S19+V19</f>
        <v>720600</v>
      </c>
      <c r="H19" s="14">
        <f>K19+N19+Q19+T19+W19</f>
        <v>720600</v>
      </c>
      <c r="I19" s="92"/>
      <c r="J19" s="80">
        <v>720600</v>
      </c>
      <c r="K19" s="80">
        <v>720600</v>
      </c>
      <c r="L19" s="92"/>
      <c r="M19" s="80"/>
      <c r="N19" s="80"/>
      <c r="O19" s="92"/>
      <c r="P19" s="80"/>
      <c r="Q19" s="80"/>
      <c r="R19" s="92"/>
      <c r="S19" s="80"/>
      <c r="T19" s="80"/>
      <c r="U19" s="93"/>
      <c r="V19" s="41"/>
      <c r="W19" s="41"/>
      <c r="X19" s="102"/>
      <c r="Y19" s="228"/>
    </row>
    <row r="20" spans="1:25" s="77" customFormat="1" ht="18.75" customHeight="1" x14ac:dyDescent="0.2">
      <c r="A20" s="538" t="s">
        <v>31</v>
      </c>
      <c r="B20" s="540" t="s">
        <v>85</v>
      </c>
      <c r="C20" s="59">
        <v>4</v>
      </c>
      <c r="D20" s="98"/>
      <c r="E20" s="60" t="s">
        <v>37</v>
      </c>
      <c r="F20" s="60" t="s">
        <v>23</v>
      </c>
      <c r="G20" s="22">
        <f t="shared" ref="G20:G31" si="2">J20+M20+P20+S20+V20</f>
        <v>15000</v>
      </c>
      <c r="H20" s="98">
        <f t="shared" ref="H20:H31" si="3">K20+N20+Q20+T20+W20</f>
        <v>15000</v>
      </c>
      <c r="I20" s="89"/>
      <c r="J20" s="61">
        <v>15000</v>
      </c>
      <c r="K20" s="61">
        <v>15000</v>
      </c>
      <c r="L20" s="180"/>
      <c r="M20" s="61"/>
      <c r="N20" s="61"/>
      <c r="O20" s="180"/>
      <c r="P20" s="61"/>
      <c r="Q20" s="61"/>
      <c r="R20" s="180"/>
      <c r="S20" s="61"/>
      <c r="T20" s="61"/>
      <c r="U20" s="193"/>
      <c r="V20" s="83"/>
      <c r="W20" s="83"/>
      <c r="X20" s="193"/>
      <c r="Y20" s="228"/>
    </row>
    <row r="21" spans="1:25" s="77" customFormat="1" ht="34.5" customHeight="1" x14ac:dyDescent="0.2">
      <c r="A21" s="539"/>
      <c r="B21" s="541"/>
      <c r="C21" s="62">
        <v>6</v>
      </c>
      <c r="D21" s="141" t="s">
        <v>62</v>
      </c>
      <c r="E21" s="24" t="s">
        <v>38</v>
      </c>
      <c r="F21" s="24" t="s">
        <v>26</v>
      </c>
      <c r="G21" s="80">
        <f t="shared" si="2"/>
        <v>500000</v>
      </c>
      <c r="H21" s="110">
        <f t="shared" si="3"/>
        <v>500000</v>
      </c>
      <c r="I21" s="92"/>
      <c r="J21" s="31">
        <v>389300</v>
      </c>
      <c r="K21" s="31">
        <v>389300</v>
      </c>
      <c r="L21" s="97"/>
      <c r="M21" s="31"/>
      <c r="N21" s="31"/>
      <c r="O21" s="97"/>
      <c r="P21" s="31"/>
      <c r="Q21" s="31"/>
      <c r="R21" s="97"/>
      <c r="S21" s="31"/>
      <c r="T21" s="31"/>
      <c r="U21" s="101"/>
      <c r="V21" s="51">
        <v>110700</v>
      </c>
      <c r="W21" s="51">
        <v>110700</v>
      </c>
      <c r="X21" s="101"/>
      <c r="Y21" s="228"/>
    </row>
    <row r="22" spans="1:25" s="77" customFormat="1" ht="45" customHeight="1" x14ac:dyDescent="0.2">
      <c r="A22" s="140" t="s">
        <v>163</v>
      </c>
      <c r="B22" s="107" t="s">
        <v>132</v>
      </c>
      <c r="C22" s="18">
        <v>5</v>
      </c>
      <c r="D22" s="68" t="s">
        <v>63</v>
      </c>
      <c r="E22" s="28">
        <v>2016</v>
      </c>
      <c r="F22" s="28" t="s">
        <v>26</v>
      </c>
      <c r="G22" s="9">
        <f t="shared" si="2"/>
        <v>647646</v>
      </c>
      <c r="H22" s="14">
        <f t="shared" si="3"/>
        <v>647646</v>
      </c>
      <c r="I22" s="92"/>
      <c r="J22" s="80">
        <v>374320</v>
      </c>
      <c r="K22" s="80">
        <v>374320</v>
      </c>
      <c r="L22" s="92"/>
      <c r="M22" s="80">
        <v>273326</v>
      </c>
      <c r="N22" s="80">
        <v>273326</v>
      </c>
      <c r="O22" s="92"/>
      <c r="P22" s="80"/>
      <c r="Q22" s="80"/>
      <c r="R22" s="92"/>
      <c r="S22" s="80"/>
      <c r="T22" s="80"/>
      <c r="U22" s="93"/>
      <c r="V22" s="41"/>
      <c r="W22" s="41"/>
      <c r="X22" s="93"/>
      <c r="Y22" s="228"/>
    </row>
    <row r="23" spans="1:25" s="77" customFormat="1" ht="55.5" customHeight="1" x14ac:dyDescent="0.2">
      <c r="A23" s="140" t="s">
        <v>174</v>
      </c>
      <c r="B23" s="233" t="s">
        <v>36</v>
      </c>
      <c r="C23" s="36" t="s">
        <v>24</v>
      </c>
      <c r="D23" s="9" t="s">
        <v>74</v>
      </c>
      <c r="E23" s="10" t="s">
        <v>25</v>
      </c>
      <c r="F23" s="10" t="s">
        <v>68</v>
      </c>
      <c r="G23" s="9">
        <f t="shared" si="2"/>
        <v>2346864.9700000002</v>
      </c>
      <c r="H23" s="177">
        <f t="shared" si="3"/>
        <v>2952165.14</v>
      </c>
      <c r="I23" s="87">
        <f>H23-G23</f>
        <v>605300.16999999993</v>
      </c>
      <c r="J23" s="16">
        <v>1006599.83</v>
      </c>
      <c r="K23" s="88">
        <v>1611900</v>
      </c>
      <c r="L23" s="88">
        <f>K23-J23</f>
        <v>605300.17000000004</v>
      </c>
      <c r="M23" s="16">
        <v>1231595</v>
      </c>
      <c r="N23" s="16">
        <v>1231595</v>
      </c>
      <c r="O23" s="88"/>
      <c r="P23" s="16">
        <v>108670.14</v>
      </c>
      <c r="Q23" s="16">
        <v>108670.14</v>
      </c>
      <c r="R23" s="88"/>
      <c r="S23" s="16"/>
      <c r="T23" s="16"/>
      <c r="U23" s="94"/>
      <c r="V23" s="42"/>
      <c r="W23" s="42"/>
      <c r="X23" s="94"/>
      <c r="Y23" s="235" t="s">
        <v>292</v>
      </c>
    </row>
    <row r="24" spans="1:25" s="77" customFormat="1" ht="122.25" customHeight="1" x14ac:dyDescent="0.2">
      <c r="A24" s="140" t="s">
        <v>175</v>
      </c>
      <c r="B24" s="233" t="s">
        <v>102</v>
      </c>
      <c r="C24" s="20" t="s">
        <v>24</v>
      </c>
      <c r="D24" s="14" t="s">
        <v>118</v>
      </c>
      <c r="E24" s="10" t="s">
        <v>25</v>
      </c>
      <c r="F24" s="10" t="s">
        <v>289</v>
      </c>
      <c r="G24" s="9">
        <f t="shared" si="2"/>
        <v>2564487.5099999998</v>
      </c>
      <c r="H24" s="177">
        <f>K24+N24+Q24+T24+W24</f>
        <v>2719668.5</v>
      </c>
      <c r="I24" s="87">
        <f>H24-G24</f>
        <v>155180.99000000022</v>
      </c>
      <c r="J24" s="16">
        <v>1665630.97</v>
      </c>
      <c r="K24" s="88">
        <f>1811240+28.5</f>
        <v>1811268.5</v>
      </c>
      <c r="L24" s="88">
        <f>K24-J24</f>
        <v>145637.53000000003</v>
      </c>
      <c r="M24" s="16">
        <v>825976.28</v>
      </c>
      <c r="N24" s="88">
        <v>834800</v>
      </c>
      <c r="O24" s="88">
        <f>N24-M24</f>
        <v>8823.7199999999721</v>
      </c>
      <c r="P24" s="16">
        <v>72880.259999999995</v>
      </c>
      <c r="Q24" s="88">
        <v>73600</v>
      </c>
      <c r="R24" s="88">
        <f>Q24-P24</f>
        <v>719.74000000000524</v>
      </c>
      <c r="S24" s="16"/>
      <c r="T24" s="16"/>
      <c r="U24" s="94"/>
      <c r="V24" s="42"/>
      <c r="W24" s="42"/>
      <c r="X24" s="94"/>
      <c r="Y24" s="234" t="s">
        <v>293</v>
      </c>
    </row>
    <row r="25" spans="1:25" s="77" customFormat="1" ht="41.25" customHeight="1" x14ac:dyDescent="0.2">
      <c r="A25" s="140" t="s">
        <v>176</v>
      </c>
      <c r="B25" s="107" t="s">
        <v>109</v>
      </c>
      <c r="C25" s="18">
        <v>5</v>
      </c>
      <c r="D25" s="68" t="s">
        <v>65</v>
      </c>
      <c r="E25" s="28">
        <v>2015</v>
      </c>
      <c r="F25" s="28" t="s">
        <v>23</v>
      </c>
      <c r="G25" s="9">
        <f t="shared" si="2"/>
        <v>661160.80000000005</v>
      </c>
      <c r="H25" s="14">
        <f t="shared" si="3"/>
        <v>661160.80000000005</v>
      </c>
      <c r="I25" s="87"/>
      <c r="J25" s="9">
        <v>343612.76</v>
      </c>
      <c r="K25" s="9">
        <v>343612.76</v>
      </c>
      <c r="L25" s="87"/>
      <c r="M25" s="9">
        <v>317548.03999999998</v>
      </c>
      <c r="N25" s="9">
        <v>317548.03999999998</v>
      </c>
      <c r="O25" s="87"/>
      <c r="P25" s="9"/>
      <c r="Q25" s="9"/>
      <c r="R25" s="87"/>
      <c r="S25" s="9"/>
      <c r="T25" s="9"/>
      <c r="U25" s="102"/>
      <c r="V25" s="43"/>
      <c r="W25" s="43"/>
      <c r="X25" s="102"/>
      <c r="Y25" s="228"/>
    </row>
    <row r="26" spans="1:25" s="77" customFormat="1" ht="50.25" customHeight="1" x14ac:dyDescent="0.2">
      <c r="A26" s="140" t="s">
        <v>177</v>
      </c>
      <c r="B26" s="63" t="s">
        <v>110</v>
      </c>
      <c r="C26" s="18">
        <v>5</v>
      </c>
      <c r="D26" s="68" t="s">
        <v>45</v>
      </c>
      <c r="E26" s="28" t="s">
        <v>68</v>
      </c>
      <c r="F26" s="28" t="s">
        <v>155</v>
      </c>
      <c r="G26" s="9">
        <f t="shared" si="2"/>
        <v>1230535.6499999999</v>
      </c>
      <c r="H26" s="14">
        <f t="shared" si="3"/>
        <v>1230535.6499999999</v>
      </c>
      <c r="I26" s="87"/>
      <c r="J26" s="9">
        <v>1230535.6499999999</v>
      </c>
      <c r="K26" s="9">
        <v>1230535.6499999999</v>
      </c>
      <c r="L26" s="87"/>
      <c r="M26" s="9"/>
      <c r="N26" s="9"/>
      <c r="O26" s="87"/>
      <c r="P26" s="9"/>
      <c r="Q26" s="9"/>
      <c r="R26" s="87"/>
      <c r="S26" s="9"/>
      <c r="T26" s="9"/>
      <c r="U26" s="102"/>
      <c r="V26" s="43"/>
      <c r="W26" s="43"/>
      <c r="X26" s="102"/>
      <c r="Y26" s="228"/>
    </row>
    <row r="27" spans="1:25" s="77" customFormat="1" ht="43.5" customHeight="1" x14ac:dyDescent="0.2">
      <c r="A27" s="140" t="s">
        <v>178</v>
      </c>
      <c r="B27" s="64" t="s">
        <v>272</v>
      </c>
      <c r="C27" s="18" t="s">
        <v>24</v>
      </c>
      <c r="D27" s="79" t="s">
        <v>64</v>
      </c>
      <c r="E27" s="28" t="s">
        <v>25</v>
      </c>
      <c r="F27" s="28" t="s">
        <v>155</v>
      </c>
      <c r="G27" s="9">
        <f t="shared" si="2"/>
        <v>2000000</v>
      </c>
      <c r="H27" s="14">
        <f t="shared" si="3"/>
        <v>2000000</v>
      </c>
      <c r="I27" s="87"/>
      <c r="J27" s="16">
        <v>2000000</v>
      </c>
      <c r="K27" s="16">
        <v>2000000</v>
      </c>
      <c r="L27" s="88"/>
      <c r="M27" s="9"/>
      <c r="N27" s="9"/>
      <c r="O27" s="87"/>
      <c r="P27" s="9"/>
      <c r="Q27" s="9"/>
      <c r="R27" s="87"/>
      <c r="S27" s="9"/>
      <c r="T27" s="9"/>
      <c r="U27" s="102"/>
      <c r="V27" s="43"/>
      <c r="W27" s="43"/>
      <c r="X27" s="102"/>
      <c r="Y27" s="228"/>
    </row>
    <row r="28" spans="1:25" s="77" customFormat="1" ht="39" customHeight="1" x14ac:dyDescent="0.2">
      <c r="A28" s="140" t="s">
        <v>179</v>
      </c>
      <c r="B28" s="64" t="s">
        <v>145</v>
      </c>
      <c r="C28" s="18" t="s">
        <v>24</v>
      </c>
      <c r="D28" s="68"/>
      <c r="E28" s="28" t="s">
        <v>68</v>
      </c>
      <c r="F28" s="28" t="s">
        <v>155</v>
      </c>
      <c r="G28" s="9">
        <f t="shared" si="2"/>
        <v>1065000</v>
      </c>
      <c r="H28" s="14">
        <f t="shared" si="3"/>
        <v>1065000</v>
      </c>
      <c r="I28" s="87"/>
      <c r="J28" s="9">
        <v>1065000</v>
      </c>
      <c r="K28" s="9">
        <v>1065000</v>
      </c>
      <c r="L28" s="87"/>
      <c r="M28" s="9"/>
      <c r="N28" s="9"/>
      <c r="O28" s="87"/>
      <c r="P28" s="9"/>
      <c r="Q28" s="9"/>
      <c r="R28" s="87"/>
      <c r="S28" s="9"/>
      <c r="T28" s="9"/>
      <c r="U28" s="102"/>
      <c r="V28" s="43"/>
      <c r="W28" s="43"/>
      <c r="X28" s="102"/>
      <c r="Y28" s="228"/>
    </row>
    <row r="29" spans="1:25" s="77" customFormat="1" ht="38.25" customHeight="1" x14ac:dyDescent="0.2">
      <c r="A29" s="140" t="s">
        <v>180</v>
      </c>
      <c r="B29" s="64" t="s">
        <v>273</v>
      </c>
      <c r="C29" s="18" t="s">
        <v>24</v>
      </c>
      <c r="D29" s="68"/>
      <c r="E29" s="28" t="s">
        <v>26</v>
      </c>
      <c r="F29" s="28" t="s">
        <v>75</v>
      </c>
      <c r="G29" s="9">
        <f t="shared" si="2"/>
        <v>450000</v>
      </c>
      <c r="H29" s="14">
        <f t="shared" si="3"/>
        <v>450000</v>
      </c>
      <c r="I29" s="87"/>
      <c r="J29" s="9">
        <v>450000</v>
      </c>
      <c r="K29" s="9">
        <v>450000</v>
      </c>
      <c r="L29" s="87"/>
      <c r="M29" s="9"/>
      <c r="N29" s="9"/>
      <c r="O29" s="87"/>
      <c r="P29" s="9"/>
      <c r="Q29" s="9"/>
      <c r="R29" s="87"/>
      <c r="S29" s="9"/>
      <c r="T29" s="9"/>
      <c r="U29" s="102"/>
      <c r="V29" s="43"/>
      <c r="W29" s="43"/>
      <c r="X29" s="102"/>
      <c r="Y29" s="228"/>
    </row>
    <row r="30" spans="1:25" s="77" customFormat="1" ht="45.75" customHeight="1" x14ac:dyDescent="0.2">
      <c r="A30" s="115" t="s">
        <v>181</v>
      </c>
      <c r="B30" s="63" t="s">
        <v>20</v>
      </c>
      <c r="C30" s="18">
        <v>5</v>
      </c>
      <c r="D30" s="68" t="s">
        <v>63</v>
      </c>
      <c r="E30" s="28">
        <v>2016</v>
      </c>
      <c r="F30" s="28" t="s">
        <v>26</v>
      </c>
      <c r="G30" s="9">
        <f t="shared" si="2"/>
        <v>1915743.52</v>
      </c>
      <c r="H30" s="14">
        <f t="shared" si="3"/>
        <v>1915743.52</v>
      </c>
      <c r="I30" s="87"/>
      <c r="J30" s="9">
        <f>239361.52+48000</f>
        <v>287361.52</v>
      </c>
      <c r="K30" s="9">
        <f>239361.52+48000</f>
        <v>287361.52</v>
      </c>
      <c r="L30" s="87"/>
      <c r="M30" s="9">
        <f>1356382+272000</f>
        <v>1628382</v>
      </c>
      <c r="N30" s="9">
        <f>1356382+272000</f>
        <v>1628382</v>
      </c>
      <c r="O30" s="87"/>
      <c r="P30" s="9"/>
      <c r="Q30" s="9"/>
      <c r="R30" s="87"/>
      <c r="S30" s="9"/>
      <c r="T30" s="9"/>
      <c r="U30" s="102"/>
      <c r="V30" s="43"/>
      <c r="W30" s="43"/>
      <c r="X30" s="102"/>
      <c r="Y30" s="228"/>
    </row>
    <row r="31" spans="1:25" s="77" customFormat="1" ht="94.5" customHeight="1" x14ac:dyDescent="0.2">
      <c r="A31" s="140" t="s">
        <v>182</v>
      </c>
      <c r="B31" s="63" t="s">
        <v>274</v>
      </c>
      <c r="C31" s="18">
        <v>5</v>
      </c>
      <c r="D31" s="68" t="s">
        <v>63</v>
      </c>
      <c r="E31" s="28" t="s">
        <v>37</v>
      </c>
      <c r="F31" s="28" t="s">
        <v>26</v>
      </c>
      <c r="G31" s="9">
        <f t="shared" si="2"/>
        <v>1528500</v>
      </c>
      <c r="H31" s="14">
        <f t="shared" si="3"/>
        <v>1528500</v>
      </c>
      <c r="I31" s="92"/>
      <c r="J31" s="80">
        <v>1528500</v>
      </c>
      <c r="K31" s="80">
        <v>1528500</v>
      </c>
      <c r="L31" s="92"/>
      <c r="M31" s="80"/>
      <c r="N31" s="80"/>
      <c r="O31" s="92"/>
      <c r="P31" s="9"/>
      <c r="Q31" s="9"/>
      <c r="R31" s="87"/>
      <c r="S31" s="9"/>
      <c r="T31" s="9"/>
      <c r="U31" s="102"/>
      <c r="V31" s="43"/>
      <c r="W31" s="43"/>
      <c r="X31" s="102"/>
      <c r="Y31" s="228"/>
    </row>
    <row r="32" spans="1:25" s="144" customFormat="1" ht="18" customHeight="1" x14ac:dyDescent="0.2">
      <c r="A32" s="142"/>
      <c r="B32" s="143"/>
      <c r="C32" s="204"/>
      <c r="D32" s="143"/>
      <c r="E32" s="204"/>
      <c r="F32" s="211" t="s">
        <v>17</v>
      </c>
      <c r="G32" s="58">
        <f>SUM(G19:G31)</f>
        <v>15645538.449999999</v>
      </c>
      <c r="H32" s="58">
        <f>SUM(H19:H31)</f>
        <v>16406019.609999999</v>
      </c>
      <c r="I32" s="58">
        <f>SUM(I19:I31)</f>
        <v>760481.16000000015</v>
      </c>
      <c r="J32" s="58">
        <f>SUM(J19:J31)</f>
        <v>11076460.729999999</v>
      </c>
      <c r="K32" s="58">
        <f t="shared" ref="K32:X32" si="4">SUM(K19:K31)</f>
        <v>11827398.43</v>
      </c>
      <c r="L32" s="58">
        <f t="shared" si="4"/>
        <v>750937.70000000007</v>
      </c>
      <c r="M32" s="58">
        <f t="shared" si="4"/>
        <v>4276827.32</v>
      </c>
      <c r="N32" s="58">
        <f t="shared" si="4"/>
        <v>4285651.04</v>
      </c>
      <c r="O32" s="58">
        <f t="shared" si="4"/>
        <v>8823.7199999999721</v>
      </c>
      <c r="P32" s="58">
        <f t="shared" si="4"/>
        <v>181550.4</v>
      </c>
      <c r="Q32" s="58">
        <f t="shared" si="4"/>
        <v>182270.14</v>
      </c>
      <c r="R32" s="58">
        <f t="shared" si="4"/>
        <v>719.74000000000524</v>
      </c>
      <c r="S32" s="58">
        <f t="shared" si="4"/>
        <v>0</v>
      </c>
      <c r="T32" s="58">
        <f t="shared" si="4"/>
        <v>0</v>
      </c>
      <c r="U32" s="58">
        <f t="shared" si="4"/>
        <v>0</v>
      </c>
      <c r="V32" s="58">
        <f t="shared" si="4"/>
        <v>110700</v>
      </c>
      <c r="W32" s="58">
        <f t="shared" si="4"/>
        <v>110700</v>
      </c>
      <c r="X32" s="82">
        <f t="shared" si="4"/>
        <v>0</v>
      </c>
      <c r="Y32" s="229"/>
    </row>
    <row r="33" spans="1:25" s="77" customFormat="1" ht="17.25" customHeight="1" x14ac:dyDescent="0.2">
      <c r="A33" s="536" t="s">
        <v>10</v>
      </c>
      <c r="B33" s="537"/>
      <c r="C33" s="537"/>
      <c r="D33" s="537"/>
      <c r="E33" s="537"/>
      <c r="F33" s="537"/>
      <c r="G33" s="537"/>
      <c r="H33" s="537"/>
      <c r="I33" s="537"/>
      <c r="J33" s="537"/>
      <c r="K33" s="537"/>
      <c r="L33" s="537"/>
      <c r="M33" s="537"/>
      <c r="N33" s="537"/>
      <c r="O33" s="537"/>
      <c r="P33" s="537"/>
      <c r="Q33" s="537"/>
      <c r="R33" s="537"/>
      <c r="S33" s="537"/>
      <c r="T33" s="537"/>
      <c r="U33" s="537"/>
      <c r="V33" s="537"/>
      <c r="W33" s="537"/>
      <c r="X33" s="537"/>
      <c r="Y33" s="228"/>
    </row>
    <row r="34" spans="1:25" s="77" customFormat="1" ht="53.25" customHeight="1" x14ac:dyDescent="0.2">
      <c r="A34" s="109" t="s">
        <v>183</v>
      </c>
      <c r="B34" s="216" t="s">
        <v>258</v>
      </c>
      <c r="C34" s="23">
        <v>5</v>
      </c>
      <c r="D34" s="79" t="s">
        <v>45</v>
      </c>
      <c r="E34" s="30" t="s">
        <v>67</v>
      </c>
      <c r="F34" s="30" t="s">
        <v>156</v>
      </c>
      <c r="G34" s="79">
        <f>J34+M34+P34+S34+V34</f>
        <v>14617914.32</v>
      </c>
      <c r="H34" s="79">
        <f>K34+N34+Q34+T34+W34</f>
        <v>14617914.32</v>
      </c>
      <c r="I34" s="79"/>
      <c r="J34" s="67">
        <v>13682868.32</v>
      </c>
      <c r="K34" s="217">
        <v>13682868.32</v>
      </c>
      <c r="L34" s="79"/>
      <c r="M34" s="79"/>
      <c r="N34" s="79"/>
      <c r="O34" s="79"/>
      <c r="P34" s="79"/>
      <c r="Q34" s="79"/>
      <c r="R34" s="79"/>
      <c r="S34" s="79">
        <f>193500+741546</f>
        <v>935046</v>
      </c>
      <c r="T34" s="79">
        <f>193500+741546</f>
        <v>935046</v>
      </c>
      <c r="U34" s="91"/>
      <c r="V34" s="44"/>
      <c r="W34" s="44"/>
      <c r="X34" s="91"/>
      <c r="Y34" s="228"/>
    </row>
    <row r="35" spans="1:25" s="77" customFormat="1" ht="78" customHeight="1" x14ac:dyDescent="0.2">
      <c r="A35" s="140"/>
      <c r="B35" s="11" t="s">
        <v>259</v>
      </c>
      <c r="C35" s="12"/>
      <c r="D35" s="80"/>
      <c r="E35" s="13"/>
      <c r="F35" s="13"/>
      <c r="G35" s="80"/>
      <c r="H35" s="80"/>
      <c r="I35" s="80"/>
      <c r="J35" s="41"/>
      <c r="K35" s="80"/>
      <c r="L35" s="80"/>
      <c r="M35" s="80"/>
      <c r="N35" s="80"/>
      <c r="O35" s="80"/>
      <c r="P35" s="80"/>
      <c r="Q35" s="80"/>
      <c r="R35" s="80"/>
      <c r="S35" s="80"/>
      <c r="T35" s="80"/>
      <c r="U35" s="41"/>
      <c r="V35" s="41"/>
      <c r="W35" s="41"/>
      <c r="X35" s="41"/>
      <c r="Y35" s="228"/>
    </row>
    <row r="36" spans="1:25" s="77" customFormat="1" ht="36" customHeight="1" x14ac:dyDescent="0.2">
      <c r="A36" s="109" t="s">
        <v>184</v>
      </c>
      <c r="B36" s="25" t="s">
        <v>127</v>
      </c>
      <c r="C36" s="26" t="s">
        <v>24</v>
      </c>
      <c r="D36" s="112" t="s">
        <v>70</v>
      </c>
      <c r="E36" s="28" t="s">
        <v>37</v>
      </c>
      <c r="F36" s="28" t="s">
        <v>73</v>
      </c>
      <c r="G36" s="9">
        <f t="shared" ref="G36:G65" si="5">J36+M36+P36+S36+V36</f>
        <v>2989512.75</v>
      </c>
      <c r="H36" s="14">
        <f t="shared" ref="H36:H65" si="6">K36+N36+Q36+T36+W36</f>
        <v>2989512.75</v>
      </c>
      <c r="I36" s="9"/>
      <c r="J36" s="9">
        <v>860694.75</v>
      </c>
      <c r="K36" s="9">
        <v>860694.75</v>
      </c>
      <c r="L36" s="9"/>
      <c r="M36" s="9">
        <v>2128818</v>
      </c>
      <c r="N36" s="9">
        <v>2128818</v>
      </c>
      <c r="O36" s="9"/>
      <c r="P36" s="9"/>
      <c r="Q36" s="9"/>
      <c r="R36" s="9"/>
      <c r="S36" s="9"/>
      <c r="T36" s="9"/>
      <c r="U36" s="43"/>
      <c r="V36" s="43"/>
      <c r="W36" s="43"/>
      <c r="X36" s="43"/>
      <c r="Y36" s="228"/>
    </row>
    <row r="37" spans="1:25" s="77" customFormat="1" ht="26.25" customHeight="1" x14ac:dyDescent="0.2">
      <c r="A37" s="109"/>
      <c r="B37" s="25" t="s">
        <v>288</v>
      </c>
      <c r="C37" s="26">
        <v>5</v>
      </c>
      <c r="D37" s="27"/>
      <c r="E37" s="28">
        <v>2019</v>
      </c>
      <c r="F37" s="28">
        <v>2021</v>
      </c>
      <c r="G37" s="9">
        <f t="shared" si="5"/>
        <v>767500</v>
      </c>
      <c r="H37" s="14">
        <f>K37+N37+Q37+T37+W37</f>
        <v>767500</v>
      </c>
      <c r="I37" s="9"/>
      <c r="J37" s="9">
        <v>267500</v>
      </c>
      <c r="K37" s="9">
        <v>267500</v>
      </c>
      <c r="L37" s="9"/>
      <c r="M37" s="9">
        <v>500000</v>
      </c>
      <c r="N37" s="9">
        <v>500000</v>
      </c>
      <c r="O37" s="9"/>
      <c r="P37" s="9"/>
      <c r="Q37" s="9"/>
      <c r="R37" s="9"/>
      <c r="S37" s="9"/>
      <c r="T37" s="9"/>
      <c r="U37" s="43"/>
      <c r="V37" s="43"/>
      <c r="W37" s="43"/>
      <c r="X37" s="43"/>
      <c r="Y37" s="228"/>
    </row>
    <row r="38" spans="1:25" s="77" customFormat="1" ht="56.25" customHeight="1" x14ac:dyDescent="0.2">
      <c r="A38" s="109" t="s">
        <v>185</v>
      </c>
      <c r="B38" s="2" t="s">
        <v>11</v>
      </c>
      <c r="C38" s="5" t="s">
        <v>24</v>
      </c>
      <c r="D38" s="112" t="s">
        <v>70</v>
      </c>
      <c r="E38" s="28" t="s">
        <v>25</v>
      </c>
      <c r="F38" s="28" t="s">
        <v>156</v>
      </c>
      <c r="G38" s="9">
        <f t="shared" si="5"/>
        <v>4350000</v>
      </c>
      <c r="H38" s="14">
        <f t="shared" si="6"/>
        <v>4350000</v>
      </c>
      <c r="I38" s="9"/>
      <c r="J38" s="9">
        <v>2299900</v>
      </c>
      <c r="K38" s="9">
        <v>2299900</v>
      </c>
      <c r="L38" s="9"/>
      <c r="M38" s="9"/>
      <c r="N38" s="9"/>
      <c r="O38" s="9"/>
      <c r="P38" s="9"/>
      <c r="Q38" s="9"/>
      <c r="R38" s="9"/>
      <c r="S38" s="9">
        <v>2050100</v>
      </c>
      <c r="T38" s="9">
        <v>2050100</v>
      </c>
      <c r="U38" s="43"/>
      <c r="V38" s="43"/>
      <c r="W38" s="43"/>
      <c r="X38" s="43"/>
      <c r="Y38" s="228"/>
    </row>
    <row r="39" spans="1:25" s="77" customFormat="1" ht="39.75" customHeight="1" x14ac:dyDescent="0.2">
      <c r="A39" s="109" t="s">
        <v>186</v>
      </c>
      <c r="B39" s="25" t="s">
        <v>86</v>
      </c>
      <c r="C39" s="5" t="s">
        <v>24</v>
      </c>
      <c r="D39" s="112" t="s">
        <v>71</v>
      </c>
      <c r="E39" s="28" t="s">
        <v>38</v>
      </c>
      <c r="F39" s="28" t="s">
        <v>23</v>
      </c>
      <c r="G39" s="9">
        <f t="shared" si="5"/>
        <v>2700000</v>
      </c>
      <c r="H39" s="14">
        <f t="shared" si="6"/>
        <v>2700000</v>
      </c>
      <c r="I39" s="9"/>
      <c r="J39" s="9">
        <v>1373700</v>
      </c>
      <c r="K39" s="9">
        <v>1373700</v>
      </c>
      <c r="L39" s="9"/>
      <c r="M39" s="9"/>
      <c r="N39" s="9"/>
      <c r="O39" s="9"/>
      <c r="P39" s="9"/>
      <c r="Q39" s="9"/>
      <c r="R39" s="9"/>
      <c r="S39" s="9">
        <v>1163900</v>
      </c>
      <c r="T39" s="9">
        <v>1163900</v>
      </c>
      <c r="U39" s="43"/>
      <c r="V39" s="43">
        <v>162400</v>
      </c>
      <c r="W39" s="43">
        <v>162400</v>
      </c>
      <c r="X39" s="43"/>
      <c r="Y39" s="228"/>
    </row>
    <row r="40" spans="1:25" s="77" customFormat="1" ht="55.5" customHeight="1" x14ac:dyDescent="0.2">
      <c r="A40" s="109" t="s">
        <v>187</v>
      </c>
      <c r="B40" s="25" t="s">
        <v>157</v>
      </c>
      <c r="C40" s="26" t="s">
        <v>24</v>
      </c>
      <c r="D40" s="112" t="s">
        <v>66</v>
      </c>
      <c r="E40" s="28" t="s">
        <v>38</v>
      </c>
      <c r="F40" s="28" t="s">
        <v>23</v>
      </c>
      <c r="G40" s="9">
        <f t="shared" si="5"/>
        <v>31200</v>
      </c>
      <c r="H40" s="14">
        <f t="shared" si="6"/>
        <v>31200</v>
      </c>
      <c r="I40" s="9"/>
      <c r="J40" s="9">
        <v>31200</v>
      </c>
      <c r="K40" s="9">
        <v>31200</v>
      </c>
      <c r="L40" s="9"/>
      <c r="M40" s="9"/>
      <c r="N40" s="9"/>
      <c r="O40" s="9"/>
      <c r="P40" s="9"/>
      <c r="Q40" s="9"/>
      <c r="R40" s="9"/>
      <c r="S40" s="9"/>
      <c r="T40" s="9"/>
      <c r="U40" s="43"/>
      <c r="V40" s="43"/>
      <c r="W40" s="43"/>
      <c r="X40" s="43"/>
      <c r="Y40" s="228"/>
    </row>
    <row r="41" spans="1:25" s="77" customFormat="1" ht="42" customHeight="1" x14ac:dyDescent="0.2">
      <c r="A41" s="109" t="s">
        <v>188</v>
      </c>
      <c r="B41" s="2" t="s">
        <v>111</v>
      </c>
      <c r="C41" s="5" t="s">
        <v>24</v>
      </c>
      <c r="D41" s="112" t="s">
        <v>70</v>
      </c>
      <c r="E41" s="28" t="s">
        <v>68</v>
      </c>
      <c r="F41" s="28" t="s">
        <v>156</v>
      </c>
      <c r="G41" s="9">
        <f t="shared" si="5"/>
        <v>1050000</v>
      </c>
      <c r="H41" s="14">
        <f t="shared" si="6"/>
        <v>1050000</v>
      </c>
      <c r="I41" s="43"/>
      <c r="J41" s="9">
        <v>1050000</v>
      </c>
      <c r="K41" s="9">
        <v>1050000</v>
      </c>
      <c r="L41" s="78"/>
      <c r="M41" s="9"/>
      <c r="N41" s="9"/>
      <c r="O41" s="9"/>
      <c r="P41" s="9"/>
      <c r="Q41" s="9"/>
      <c r="R41" s="9"/>
      <c r="S41" s="9"/>
      <c r="T41" s="9"/>
      <c r="U41" s="43"/>
      <c r="V41" s="43"/>
      <c r="W41" s="43"/>
      <c r="X41" s="43"/>
      <c r="Y41" s="228"/>
    </row>
    <row r="42" spans="1:25" s="77" customFormat="1" ht="23.25" customHeight="1" x14ac:dyDescent="0.2">
      <c r="A42" s="109" t="s">
        <v>172</v>
      </c>
      <c r="B42" s="2" t="s">
        <v>151</v>
      </c>
      <c r="C42" s="5" t="s">
        <v>24</v>
      </c>
      <c r="D42" s="112" t="s">
        <v>70</v>
      </c>
      <c r="E42" s="28" t="s">
        <v>68</v>
      </c>
      <c r="F42" s="28" t="s">
        <v>73</v>
      </c>
      <c r="G42" s="9">
        <f t="shared" si="5"/>
        <v>400000</v>
      </c>
      <c r="H42" s="14">
        <f t="shared" si="6"/>
        <v>400000</v>
      </c>
      <c r="I42" s="43"/>
      <c r="J42" s="9">
        <v>400000</v>
      </c>
      <c r="K42" s="9">
        <v>400000</v>
      </c>
      <c r="L42" s="78"/>
      <c r="M42" s="9"/>
      <c r="N42" s="9"/>
      <c r="O42" s="9"/>
      <c r="P42" s="9"/>
      <c r="Q42" s="9"/>
      <c r="R42" s="9"/>
      <c r="S42" s="9"/>
      <c r="T42" s="9"/>
      <c r="U42" s="43"/>
      <c r="V42" s="43"/>
      <c r="W42" s="43"/>
      <c r="X42" s="43"/>
      <c r="Y42" s="228"/>
    </row>
    <row r="43" spans="1:25" s="77" customFormat="1" ht="34.5" customHeight="1" x14ac:dyDescent="0.2">
      <c r="A43" s="109" t="s">
        <v>189</v>
      </c>
      <c r="B43" s="218" t="s">
        <v>96</v>
      </c>
      <c r="C43" s="66" t="s">
        <v>24</v>
      </c>
      <c r="D43" s="145" t="s">
        <v>72</v>
      </c>
      <c r="E43" s="30" t="s">
        <v>67</v>
      </c>
      <c r="F43" s="30" t="s">
        <v>75</v>
      </c>
      <c r="G43" s="9">
        <f t="shared" si="5"/>
        <v>5650000</v>
      </c>
      <c r="H43" s="14">
        <f t="shared" si="6"/>
        <v>5650000</v>
      </c>
      <c r="I43" s="70"/>
      <c r="J43" s="86">
        <v>3120500</v>
      </c>
      <c r="K43" s="86">
        <v>3120500</v>
      </c>
      <c r="L43" s="67"/>
      <c r="M43" s="68"/>
      <c r="N43" s="68"/>
      <c r="O43" s="68"/>
      <c r="P43" s="68"/>
      <c r="Q43" s="68"/>
      <c r="R43" s="68"/>
      <c r="S43" s="68">
        <f>2329500+200000</f>
        <v>2529500</v>
      </c>
      <c r="T43" s="68">
        <f>2329500+200000</f>
        <v>2529500</v>
      </c>
      <c r="U43" s="219"/>
      <c r="V43" s="44"/>
      <c r="W43" s="44"/>
      <c r="X43" s="44"/>
      <c r="Y43" s="228"/>
    </row>
    <row r="44" spans="1:25" s="77" customFormat="1" ht="25.5" customHeight="1" x14ac:dyDescent="0.2">
      <c r="A44" s="109" t="s">
        <v>190</v>
      </c>
      <c r="B44" s="2" t="s">
        <v>28</v>
      </c>
      <c r="C44" s="5" t="s">
        <v>24</v>
      </c>
      <c r="D44" s="112" t="s">
        <v>72</v>
      </c>
      <c r="E44" s="28" t="s">
        <v>60</v>
      </c>
      <c r="F44" s="28" t="s">
        <v>73</v>
      </c>
      <c r="G44" s="9">
        <f t="shared" si="5"/>
        <v>3400000</v>
      </c>
      <c r="H44" s="14">
        <f t="shared" si="6"/>
        <v>3400000</v>
      </c>
      <c r="I44" s="43"/>
      <c r="J44" s="9">
        <v>2572600</v>
      </c>
      <c r="K44" s="9">
        <v>2572600</v>
      </c>
      <c r="L44" s="78"/>
      <c r="M44" s="9"/>
      <c r="N44" s="9"/>
      <c r="O44" s="9"/>
      <c r="P44" s="9"/>
      <c r="Q44" s="9"/>
      <c r="R44" s="9"/>
      <c r="S44" s="9">
        <v>827400</v>
      </c>
      <c r="T44" s="9">
        <v>827400</v>
      </c>
      <c r="U44" s="43"/>
      <c r="V44" s="43"/>
      <c r="W44" s="43"/>
      <c r="X44" s="43"/>
      <c r="Y44" s="228"/>
    </row>
    <row r="45" spans="1:25" s="77" customFormat="1" ht="51.75" customHeight="1" x14ac:dyDescent="0.2">
      <c r="A45" s="109" t="s">
        <v>191</v>
      </c>
      <c r="B45" s="218" t="s">
        <v>80</v>
      </c>
      <c r="C45" s="23">
        <v>5</v>
      </c>
      <c r="D45" s="145" t="s">
        <v>65</v>
      </c>
      <c r="E45" s="30" t="s">
        <v>25</v>
      </c>
      <c r="F45" s="30" t="s">
        <v>26</v>
      </c>
      <c r="G45" s="79">
        <f t="shared" si="5"/>
        <v>6693400</v>
      </c>
      <c r="H45" s="79">
        <f t="shared" si="6"/>
        <v>6693400</v>
      </c>
      <c r="I45" s="44"/>
      <c r="J45" s="79">
        <v>3382900</v>
      </c>
      <c r="K45" s="79">
        <v>3382900</v>
      </c>
      <c r="L45" s="220"/>
      <c r="M45" s="79">
        <v>1980600</v>
      </c>
      <c r="N45" s="79">
        <v>1980600</v>
      </c>
      <c r="O45" s="79"/>
      <c r="P45" s="79"/>
      <c r="Q45" s="79"/>
      <c r="R45" s="79"/>
      <c r="S45" s="79">
        <v>882000</v>
      </c>
      <c r="T45" s="79">
        <v>882000</v>
      </c>
      <c r="U45" s="44"/>
      <c r="V45" s="44">
        <f>317600+130300</f>
        <v>447900</v>
      </c>
      <c r="W45" s="44">
        <f>317600+130300</f>
        <v>447900</v>
      </c>
      <c r="X45" s="44"/>
      <c r="Y45" s="228"/>
    </row>
    <row r="46" spans="1:25" s="77" customFormat="1" ht="26.25" customHeight="1" x14ac:dyDescent="0.2">
      <c r="A46" s="146"/>
      <c r="B46" s="221" t="s">
        <v>81</v>
      </c>
      <c r="C46" s="55"/>
      <c r="D46" s="147"/>
      <c r="E46" s="50"/>
      <c r="F46" s="50"/>
      <c r="G46" s="54"/>
      <c r="H46" s="54"/>
      <c r="I46" s="54"/>
      <c r="J46" s="149"/>
      <c r="K46" s="149"/>
      <c r="L46" s="222"/>
      <c r="M46" s="149"/>
      <c r="N46" s="149"/>
      <c r="O46" s="149"/>
      <c r="P46" s="149"/>
      <c r="Q46" s="149"/>
      <c r="R46" s="149"/>
      <c r="S46" s="149"/>
      <c r="T46" s="149"/>
      <c r="U46" s="148"/>
      <c r="V46" s="148"/>
      <c r="W46" s="148"/>
      <c r="X46" s="148"/>
      <c r="Y46" s="228"/>
    </row>
    <row r="47" spans="1:25" s="77" customFormat="1" ht="39" customHeight="1" x14ac:dyDescent="0.2">
      <c r="A47" s="140"/>
      <c r="B47" s="11" t="s">
        <v>29</v>
      </c>
      <c r="C47" s="56"/>
      <c r="D47" s="137"/>
      <c r="E47" s="13"/>
      <c r="F47" s="13"/>
      <c r="G47" s="80"/>
      <c r="H47" s="80"/>
      <c r="I47" s="80"/>
      <c r="J47" s="80"/>
      <c r="K47" s="80"/>
      <c r="L47" s="80"/>
      <c r="M47" s="80"/>
      <c r="N47" s="80"/>
      <c r="O47" s="80"/>
      <c r="P47" s="80"/>
      <c r="Q47" s="80"/>
      <c r="R47" s="80"/>
      <c r="S47" s="80"/>
      <c r="T47" s="80"/>
      <c r="U47" s="41"/>
      <c r="V47" s="41"/>
      <c r="W47" s="41"/>
      <c r="X47" s="41"/>
      <c r="Y47" s="228"/>
    </row>
    <row r="48" spans="1:25" s="77" customFormat="1" ht="40.5" customHeight="1" x14ac:dyDescent="0.2">
      <c r="A48" s="115" t="s">
        <v>192</v>
      </c>
      <c r="B48" s="11" t="s">
        <v>133</v>
      </c>
      <c r="C48" s="56" t="s">
        <v>24</v>
      </c>
      <c r="D48" s="80" t="s">
        <v>70</v>
      </c>
      <c r="E48" s="13" t="s">
        <v>37</v>
      </c>
      <c r="F48" s="13" t="s">
        <v>68</v>
      </c>
      <c r="G48" s="9">
        <f t="shared" si="5"/>
        <v>2600000</v>
      </c>
      <c r="H48" s="14">
        <f t="shared" si="6"/>
        <v>2600000</v>
      </c>
      <c r="I48" s="80"/>
      <c r="J48" s="80">
        <f>408200+11800</f>
        <v>420000</v>
      </c>
      <c r="K48" s="80">
        <f>408200+11800</f>
        <v>420000</v>
      </c>
      <c r="L48" s="80"/>
      <c r="M48" s="80">
        <v>1258200</v>
      </c>
      <c r="N48" s="80">
        <v>1258200</v>
      </c>
      <c r="O48" s="80"/>
      <c r="P48" s="80"/>
      <c r="Q48" s="80"/>
      <c r="R48" s="80"/>
      <c r="S48" s="80">
        <v>881800</v>
      </c>
      <c r="T48" s="80">
        <v>881800</v>
      </c>
      <c r="U48" s="41"/>
      <c r="V48" s="41">
        <v>40000</v>
      </c>
      <c r="W48" s="41">
        <v>40000</v>
      </c>
      <c r="X48" s="41"/>
      <c r="Y48" s="228"/>
    </row>
    <row r="49" spans="1:25" s="77" customFormat="1" ht="31.5" customHeight="1" x14ac:dyDescent="0.2">
      <c r="A49" s="115" t="s">
        <v>193</v>
      </c>
      <c r="B49" s="25" t="s">
        <v>130</v>
      </c>
      <c r="C49" s="26" t="s">
        <v>24</v>
      </c>
      <c r="D49" s="112" t="s">
        <v>66</v>
      </c>
      <c r="E49" s="28" t="s">
        <v>67</v>
      </c>
      <c r="F49" s="28" t="s">
        <v>23</v>
      </c>
      <c r="G49" s="9">
        <f t="shared" si="5"/>
        <v>6845700</v>
      </c>
      <c r="H49" s="14">
        <f t="shared" si="6"/>
        <v>6845700</v>
      </c>
      <c r="I49" s="80"/>
      <c r="J49" s="80">
        <v>2300500</v>
      </c>
      <c r="K49" s="80">
        <v>2300500</v>
      </c>
      <c r="L49" s="80"/>
      <c r="M49" s="80"/>
      <c r="N49" s="80"/>
      <c r="O49" s="80"/>
      <c r="P49" s="80"/>
      <c r="Q49" s="80"/>
      <c r="R49" s="80"/>
      <c r="S49" s="80">
        <v>1203400</v>
      </c>
      <c r="T49" s="80">
        <v>1203400</v>
      </c>
      <c r="U49" s="41"/>
      <c r="V49" s="41">
        <f>3166800+175000</f>
        <v>3341800</v>
      </c>
      <c r="W49" s="41">
        <f>3166800+175000</f>
        <v>3341800</v>
      </c>
      <c r="X49" s="43"/>
      <c r="Y49" s="228"/>
    </row>
    <row r="50" spans="1:25" s="77" customFormat="1" ht="40.5" customHeight="1" x14ac:dyDescent="0.2">
      <c r="A50" s="115" t="s">
        <v>194</v>
      </c>
      <c r="B50" s="11" t="s">
        <v>152</v>
      </c>
      <c r="C50" s="12" t="s">
        <v>24</v>
      </c>
      <c r="D50" s="80" t="s">
        <v>71</v>
      </c>
      <c r="E50" s="13" t="s">
        <v>23</v>
      </c>
      <c r="F50" s="13" t="s">
        <v>68</v>
      </c>
      <c r="G50" s="9">
        <f t="shared" si="5"/>
        <v>907100</v>
      </c>
      <c r="H50" s="14">
        <f t="shared" si="6"/>
        <v>907100</v>
      </c>
      <c r="I50" s="80"/>
      <c r="J50" s="80">
        <v>57100</v>
      </c>
      <c r="K50" s="80">
        <v>57100</v>
      </c>
      <c r="L50" s="80"/>
      <c r="M50" s="80">
        <v>850000</v>
      </c>
      <c r="N50" s="80">
        <v>850000</v>
      </c>
      <c r="O50" s="80"/>
      <c r="P50" s="80"/>
      <c r="Q50" s="80"/>
      <c r="R50" s="80"/>
      <c r="S50" s="80"/>
      <c r="T50" s="80"/>
      <c r="U50" s="41"/>
      <c r="V50" s="41"/>
      <c r="W50" s="41"/>
      <c r="X50" s="43"/>
      <c r="Y50" s="228"/>
    </row>
    <row r="51" spans="1:25" s="77" customFormat="1" ht="39.75" customHeight="1" x14ac:dyDescent="0.2">
      <c r="A51" s="115" t="s">
        <v>195</v>
      </c>
      <c r="B51" s="25" t="s">
        <v>87</v>
      </c>
      <c r="C51" s="26" t="s">
        <v>24</v>
      </c>
      <c r="D51" s="9" t="s">
        <v>72</v>
      </c>
      <c r="E51" s="10" t="s">
        <v>25</v>
      </c>
      <c r="F51" s="10" t="s">
        <v>23</v>
      </c>
      <c r="G51" s="9">
        <f t="shared" si="5"/>
        <v>4900000</v>
      </c>
      <c r="H51" s="14">
        <f t="shared" si="6"/>
        <v>4900000</v>
      </c>
      <c r="I51" s="80"/>
      <c r="J51" s="16">
        <f>524400+1533900+403600</f>
        <v>2461900</v>
      </c>
      <c r="K51" s="16">
        <f>524400+1533900+403600</f>
        <v>2461900</v>
      </c>
      <c r="L51" s="80"/>
      <c r="M51" s="16"/>
      <c r="N51" s="16"/>
      <c r="O51" s="16"/>
      <c r="P51" s="16"/>
      <c r="Q51" s="16"/>
      <c r="R51" s="16"/>
      <c r="S51" s="16">
        <v>2438100</v>
      </c>
      <c r="T51" s="16">
        <v>2438100</v>
      </c>
      <c r="U51" s="51"/>
      <c r="V51" s="51"/>
      <c r="W51" s="51"/>
      <c r="X51" s="42"/>
      <c r="Y51" s="228"/>
    </row>
    <row r="52" spans="1:25" s="77" customFormat="1" ht="43.5" customHeight="1" x14ac:dyDescent="0.2">
      <c r="A52" s="115" t="s">
        <v>196</v>
      </c>
      <c r="B52" s="25" t="s">
        <v>12</v>
      </c>
      <c r="C52" s="5">
        <v>5</v>
      </c>
      <c r="D52" s="9" t="s">
        <v>71</v>
      </c>
      <c r="E52" s="10" t="s">
        <v>23</v>
      </c>
      <c r="F52" s="10" t="s">
        <v>73</v>
      </c>
      <c r="G52" s="9">
        <f t="shared" si="5"/>
        <v>2550000</v>
      </c>
      <c r="H52" s="14">
        <f t="shared" si="6"/>
        <v>2550000</v>
      </c>
      <c r="I52" s="9"/>
      <c r="J52" s="16">
        <v>530600</v>
      </c>
      <c r="K52" s="16">
        <v>530600</v>
      </c>
      <c r="L52" s="80"/>
      <c r="M52" s="16"/>
      <c r="N52" s="16"/>
      <c r="O52" s="16"/>
      <c r="P52" s="16"/>
      <c r="Q52" s="16"/>
      <c r="R52" s="16"/>
      <c r="S52" s="16">
        <v>2019400</v>
      </c>
      <c r="T52" s="16">
        <v>2019400</v>
      </c>
      <c r="U52" s="42"/>
      <c r="V52" s="42"/>
      <c r="W52" s="42"/>
      <c r="X52" s="42"/>
      <c r="Y52" s="228"/>
    </row>
    <row r="53" spans="1:25" s="77" customFormat="1" ht="81.75" customHeight="1" x14ac:dyDescent="0.2">
      <c r="A53" s="115" t="s">
        <v>197</v>
      </c>
      <c r="B53" s="2" t="s">
        <v>270</v>
      </c>
      <c r="C53" s="5" t="s">
        <v>24</v>
      </c>
      <c r="D53" s="9" t="s">
        <v>72</v>
      </c>
      <c r="E53" s="10" t="s">
        <v>25</v>
      </c>
      <c r="F53" s="10" t="s">
        <v>23</v>
      </c>
      <c r="G53" s="9">
        <f t="shared" si="5"/>
        <v>125300</v>
      </c>
      <c r="H53" s="14">
        <f t="shared" si="6"/>
        <v>125300</v>
      </c>
      <c r="I53" s="79"/>
      <c r="J53" s="79">
        <v>56300</v>
      </c>
      <c r="K53" s="79">
        <v>56300</v>
      </c>
      <c r="L53" s="79"/>
      <c r="M53" s="79"/>
      <c r="N53" s="79"/>
      <c r="O53" s="79"/>
      <c r="P53" s="9"/>
      <c r="Q53" s="9"/>
      <c r="R53" s="9"/>
      <c r="S53" s="9">
        <v>69000</v>
      </c>
      <c r="T53" s="9">
        <v>69000</v>
      </c>
      <c r="U53" s="43"/>
      <c r="V53" s="43"/>
      <c r="W53" s="43"/>
      <c r="X53" s="43"/>
      <c r="Y53" s="228"/>
    </row>
    <row r="54" spans="1:25" s="77" customFormat="1" ht="18" customHeight="1" x14ac:dyDescent="0.2">
      <c r="A54" s="115" t="s">
        <v>198</v>
      </c>
      <c r="B54" s="25" t="s">
        <v>148</v>
      </c>
      <c r="C54" s="5" t="s">
        <v>24</v>
      </c>
      <c r="D54" s="9" t="s">
        <v>69</v>
      </c>
      <c r="E54" s="10" t="s">
        <v>26</v>
      </c>
      <c r="F54" s="10" t="s">
        <v>156</v>
      </c>
      <c r="G54" s="9">
        <f t="shared" si="5"/>
        <v>1900000</v>
      </c>
      <c r="H54" s="14">
        <f t="shared" si="6"/>
        <v>1900000</v>
      </c>
      <c r="I54" s="9"/>
      <c r="J54" s="16">
        <v>1520000</v>
      </c>
      <c r="K54" s="16">
        <v>1520000</v>
      </c>
      <c r="L54" s="16"/>
      <c r="M54" s="16"/>
      <c r="N54" s="16"/>
      <c r="O54" s="16"/>
      <c r="P54" s="16"/>
      <c r="Q54" s="16"/>
      <c r="R54" s="16"/>
      <c r="S54" s="16">
        <v>380000</v>
      </c>
      <c r="T54" s="16">
        <v>380000</v>
      </c>
      <c r="U54" s="42"/>
      <c r="V54" s="42"/>
      <c r="W54" s="42"/>
      <c r="X54" s="42"/>
      <c r="Y54" s="228"/>
    </row>
    <row r="55" spans="1:25" s="77" customFormat="1" ht="38.25" x14ac:dyDescent="0.2">
      <c r="A55" s="115" t="s">
        <v>199</v>
      </c>
      <c r="B55" s="25" t="s">
        <v>139</v>
      </c>
      <c r="C55" s="5" t="s">
        <v>24</v>
      </c>
      <c r="D55" s="9" t="s">
        <v>69</v>
      </c>
      <c r="E55" s="10" t="s">
        <v>37</v>
      </c>
      <c r="F55" s="10" t="s">
        <v>73</v>
      </c>
      <c r="G55" s="9">
        <f t="shared" si="5"/>
        <v>26205000</v>
      </c>
      <c r="H55" s="14">
        <f t="shared" si="6"/>
        <v>26205000</v>
      </c>
      <c r="I55" s="9"/>
      <c r="J55" s="16">
        <f>1100+219300+432400</f>
        <v>652800</v>
      </c>
      <c r="K55" s="16">
        <f>1100+219300+432400</f>
        <v>652800</v>
      </c>
      <c r="L55" s="16"/>
      <c r="M55" s="16"/>
      <c r="N55" s="16"/>
      <c r="O55" s="16"/>
      <c r="P55" s="16">
        <v>13609100</v>
      </c>
      <c r="Q55" s="16">
        <v>13609100</v>
      </c>
      <c r="R55" s="16"/>
      <c r="S55" s="16">
        <v>11943100</v>
      </c>
      <c r="T55" s="16">
        <v>11943100</v>
      </c>
      <c r="U55" s="42"/>
      <c r="V55" s="42"/>
      <c r="W55" s="42"/>
      <c r="X55" s="42"/>
      <c r="Y55" s="228"/>
    </row>
    <row r="56" spans="1:25" s="77" customFormat="1" ht="56.25" customHeight="1" x14ac:dyDescent="0.2">
      <c r="A56" s="150" t="s">
        <v>200</v>
      </c>
      <c r="B56" s="25" t="s">
        <v>112</v>
      </c>
      <c r="C56" s="5" t="s">
        <v>31</v>
      </c>
      <c r="D56" s="14" t="s">
        <v>120</v>
      </c>
      <c r="E56" s="10" t="s">
        <v>37</v>
      </c>
      <c r="F56" s="10" t="s">
        <v>26</v>
      </c>
      <c r="G56" s="9">
        <f t="shared" si="5"/>
        <v>1063539.46</v>
      </c>
      <c r="H56" s="14">
        <f t="shared" si="6"/>
        <v>1063539.46</v>
      </c>
      <c r="I56" s="9"/>
      <c r="J56" s="16">
        <v>1063539.46</v>
      </c>
      <c r="K56" s="16">
        <v>1063539.46</v>
      </c>
      <c r="L56" s="16"/>
      <c r="M56" s="16"/>
      <c r="N56" s="16"/>
      <c r="O56" s="16"/>
      <c r="P56" s="16"/>
      <c r="Q56" s="16"/>
      <c r="R56" s="16"/>
      <c r="S56" s="16"/>
      <c r="T56" s="16"/>
      <c r="U56" s="42"/>
      <c r="V56" s="42"/>
      <c r="W56" s="42"/>
      <c r="X56" s="42"/>
      <c r="Y56" s="228"/>
    </row>
    <row r="57" spans="1:25" s="77" customFormat="1" ht="43.5" customHeight="1" x14ac:dyDescent="0.2">
      <c r="A57" s="115" t="s">
        <v>201</v>
      </c>
      <c r="B57" s="25" t="s">
        <v>153</v>
      </c>
      <c r="C57" s="26" t="s">
        <v>31</v>
      </c>
      <c r="D57" s="9" t="s">
        <v>64</v>
      </c>
      <c r="E57" s="10" t="s">
        <v>37</v>
      </c>
      <c r="F57" s="10" t="s">
        <v>68</v>
      </c>
      <c r="G57" s="9">
        <f t="shared" si="5"/>
        <v>180278.64</v>
      </c>
      <c r="H57" s="14">
        <f t="shared" si="6"/>
        <v>180278.64</v>
      </c>
      <c r="I57" s="9"/>
      <c r="J57" s="16">
        <v>180278.64</v>
      </c>
      <c r="K57" s="16">
        <v>180278.64</v>
      </c>
      <c r="L57" s="16"/>
      <c r="M57" s="16"/>
      <c r="N57" s="16"/>
      <c r="O57" s="16"/>
      <c r="P57" s="16"/>
      <c r="Q57" s="16"/>
      <c r="R57" s="16"/>
      <c r="S57" s="16"/>
      <c r="T57" s="16"/>
      <c r="U57" s="42"/>
      <c r="V57" s="42"/>
      <c r="W57" s="42"/>
      <c r="X57" s="42"/>
      <c r="Y57" s="228"/>
    </row>
    <row r="58" spans="1:25" s="77" customFormat="1" ht="52.5" customHeight="1" x14ac:dyDescent="0.2">
      <c r="A58" s="115" t="s">
        <v>202</v>
      </c>
      <c r="B58" s="25" t="s">
        <v>158</v>
      </c>
      <c r="C58" s="26" t="s">
        <v>24</v>
      </c>
      <c r="D58" s="9" t="s">
        <v>64</v>
      </c>
      <c r="E58" s="10" t="s">
        <v>38</v>
      </c>
      <c r="F58" s="10" t="s">
        <v>68</v>
      </c>
      <c r="G58" s="9">
        <f t="shared" si="5"/>
        <v>1530000</v>
      </c>
      <c r="H58" s="14">
        <f t="shared" si="6"/>
        <v>1530000</v>
      </c>
      <c r="I58" s="9"/>
      <c r="J58" s="16">
        <v>1530000</v>
      </c>
      <c r="K58" s="16">
        <v>1530000</v>
      </c>
      <c r="L58" s="16"/>
      <c r="M58" s="16"/>
      <c r="N58" s="16"/>
      <c r="O58" s="16"/>
      <c r="P58" s="16"/>
      <c r="Q58" s="16"/>
      <c r="R58" s="16"/>
      <c r="S58" s="16"/>
      <c r="T58" s="16"/>
      <c r="U58" s="42"/>
      <c r="V58" s="42"/>
      <c r="W58" s="42"/>
      <c r="X58" s="42"/>
      <c r="Y58" s="228"/>
    </row>
    <row r="59" spans="1:25" s="77" customFormat="1" ht="30" customHeight="1" x14ac:dyDescent="0.2">
      <c r="A59" s="115" t="s">
        <v>203</v>
      </c>
      <c r="B59" s="2" t="s">
        <v>30</v>
      </c>
      <c r="C59" s="5" t="s">
        <v>24</v>
      </c>
      <c r="D59" s="14" t="s">
        <v>63</v>
      </c>
      <c r="E59" s="10" t="s">
        <v>37</v>
      </c>
      <c r="F59" s="10" t="s">
        <v>26</v>
      </c>
      <c r="G59" s="9">
        <f t="shared" si="5"/>
        <v>5017100</v>
      </c>
      <c r="H59" s="14">
        <f t="shared" si="6"/>
        <v>5017100</v>
      </c>
      <c r="I59" s="80"/>
      <c r="J59" s="31">
        <v>752600</v>
      </c>
      <c r="K59" s="31">
        <v>752600</v>
      </c>
      <c r="L59" s="31"/>
      <c r="M59" s="16">
        <v>4264500</v>
      </c>
      <c r="N59" s="16">
        <v>4264500</v>
      </c>
      <c r="O59" s="16"/>
      <c r="P59" s="16"/>
      <c r="Q59" s="16"/>
      <c r="R59" s="16"/>
      <c r="S59" s="16"/>
      <c r="T59" s="16"/>
      <c r="U59" s="42"/>
      <c r="V59" s="42"/>
      <c r="W59" s="42"/>
      <c r="X59" s="42"/>
      <c r="Y59" s="228"/>
    </row>
    <row r="60" spans="1:25" s="77" customFormat="1" ht="33" customHeight="1" x14ac:dyDescent="0.2">
      <c r="A60" s="115" t="s">
        <v>204</v>
      </c>
      <c r="B60" s="2" t="s">
        <v>122</v>
      </c>
      <c r="C60" s="26" t="s">
        <v>31</v>
      </c>
      <c r="D60" s="9"/>
      <c r="E60" s="10" t="s">
        <v>60</v>
      </c>
      <c r="F60" s="28" t="s">
        <v>23</v>
      </c>
      <c r="G60" s="9">
        <f t="shared" si="5"/>
        <v>662700</v>
      </c>
      <c r="H60" s="14">
        <f t="shared" si="6"/>
        <v>662700</v>
      </c>
      <c r="I60" s="9"/>
      <c r="J60" s="16">
        <v>436900</v>
      </c>
      <c r="K60" s="16">
        <v>436900</v>
      </c>
      <c r="L60" s="16"/>
      <c r="M60" s="16"/>
      <c r="N60" s="16"/>
      <c r="O60" s="16"/>
      <c r="P60" s="16"/>
      <c r="Q60" s="16"/>
      <c r="R60" s="16"/>
      <c r="S60" s="16">
        <v>225800</v>
      </c>
      <c r="T60" s="16">
        <v>225800</v>
      </c>
      <c r="U60" s="42"/>
      <c r="V60" s="42"/>
      <c r="W60" s="42"/>
      <c r="X60" s="42"/>
      <c r="Y60" s="228"/>
    </row>
    <row r="61" spans="1:25" s="77" customFormat="1" ht="53.25" customHeight="1" x14ac:dyDescent="0.2">
      <c r="A61" s="115" t="s">
        <v>205</v>
      </c>
      <c r="B61" s="25" t="s">
        <v>275</v>
      </c>
      <c r="C61" s="26" t="s">
        <v>24</v>
      </c>
      <c r="D61" s="151" t="s">
        <v>74</v>
      </c>
      <c r="E61" s="10" t="s">
        <v>38</v>
      </c>
      <c r="F61" s="10" t="s">
        <v>26</v>
      </c>
      <c r="G61" s="9">
        <f>J61+M61+P61+S61+V61</f>
        <v>3937200</v>
      </c>
      <c r="H61" s="14">
        <f t="shared" si="6"/>
        <v>3937200</v>
      </c>
      <c r="I61" s="9"/>
      <c r="J61" s="16">
        <f>257200+310000</f>
        <v>567200</v>
      </c>
      <c r="K61" s="16">
        <f>257200+310000</f>
        <v>567200</v>
      </c>
      <c r="L61" s="16"/>
      <c r="M61" s="16">
        <v>870000</v>
      </c>
      <c r="N61" s="16">
        <v>870000</v>
      </c>
      <c r="O61" s="16"/>
      <c r="P61" s="16"/>
      <c r="Q61" s="16"/>
      <c r="R61" s="16"/>
      <c r="S61" s="16"/>
      <c r="T61" s="16"/>
      <c r="U61" s="42"/>
      <c r="V61" s="42">
        <v>2500000</v>
      </c>
      <c r="W61" s="42">
        <v>2500000</v>
      </c>
      <c r="X61" s="42"/>
      <c r="Y61" s="228"/>
    </row>
    <row r="62" spans="1:25" s="77" customFormat="1" ht="41.25" customHeight="1" x14ac:dyDescent="0.2">
      <c r="A62" s="115" t="s">
        <v>206</v>
      </c>
      <c r="B62" s="25" t="s">
        <v>113</v>
      </c>
      <c r="C62" s="26" t="s">
        <v>24</v>
      </c>
      <c r="D62" s="112" t="s">
        <v>63</v>
      </c>
      <c r="E62" s="10" t="s">
        <v>38</v>
      </c>
      <c r="F62" s="10" t="s">
        <v>291</v>
      </c>
      <c r="G62" s="9">
        <f t="shared" si="5"/>
        <v>675700</v>
      </c>
      <c r="H62" s="14">
        <f t="shared" si="6"/>
        <v>675700</v>
      </c>
      <c r="I62" s="9"/>
      <c r="J62" s="16">
        <v>67600</v>
      </c>
      <c r="K62" s="16">
        <v>67600</v>
      </c>
      <c r="L62" s="16"/>
      <c r="M62" s="16">
        <v>608100</v>
      </c>
      <c r="N62" s="16">
        <v>608100</v>
      </c>
      <c r="O62" s="16"/>
      <c r="P62" s="16"/>
      <c r="Q62" s="16"/>
      <c r="R62" s="16"/>
      <c r="S62" s="16"/>
      <c r="T62" s="16"/>
      <c r="U62" s="42"/>
      <c r="V62" s="42"/>
      <c r="W62" s="42"/>
      <c r="X62" s="42"/>
      <c r="Y62" s="228"/>
    </row>
    <row r="63" spans="1:25" s="77" customFormat="1" ht="30" customHeight="1" x14ac:dyDescent="0.2">
      <c r="A63" s="115" t="s">
        <v>208</v>
      </c>
      <c r="B63" s="25" t="s">
        <v>114</v>
      </c>
      <c r="C63" s="26" t="s">
        <v>24</v>
      </c>
      <c r="D63" s="135" t="s">
        <v>63</v>
      </c>
      <c r="E63" s="10" t="s">
        <v>38</v>
      </c>
      <c r="F63" s="10" t="s">
        <v>23</v>
      </c>
      <c r="G63" s="9">
        <f t="shared" si="5"/>
        <v>118300</v>
      </c>
      <c r="H63" s="14">
        <f t="shared" si="6"/>
        <v>118300</v>
      </c>
      <c r="I63" s="9"/>
      <c r="J63" s="16">
        <v>32800</v>
      </c>
      <c r="K63" s="16">
        <v>32800</v>
      </c>
      <c r="L63" s="16"/>
      <c r="M63" s="16">
        <v>85500</v>
      </c>
      <c r="N63" s="16">
        <v>85500</v>
      </c>
      <c r="O63" s="16"/>
      <c r="P63" s="16"/>
      <c r="Q63" s="16"/>
      <c r="R63" s="16"/>
      <c r="S63" s="16"/>
      <c r="T63" s="16"/>
      <c r="U63" s="42"/>
      <c r="V63" s="42"/>
      <c r="W63" s="42"/>
      <c r="X63" s="42"/>
      <c r="Y63" s="228"/>
    </row>
    <row r="64" spans="1:25" s="77" customFormat="1" ht="48.75" customHeight="1" x14ac:dyDescent="0.2">
      <c r="A64" s="115" t="s">
        <v>209</v>
      </c>
      <c r="B64" s="2" t="s">
        <v>276</v>
      </c>
      <c r="C64" s="5" t="s">
        <v>31</v>
      </c>
      <c r="D64" s="135" t="s">
        <v>120</v>
      </c>
      <c r="E64" s="10" t="s">
        <v>59</v>
      </c>
      <c r="F64" s="10" t="s">
        <v>23</v>
      </c>
      <c r="G64" s="9">
        <f t="shared" si="5"/>
        <v>231339.5</v>
      </c>
      <c r="H64" s="14">
        <f t="shared" si="6"/>
        <v>231339.5</v>
      </c>
      <c r="I64" s="9"/>
      <c r="J64" s="16">
        <f>145071+40735+19700+1633.5+24200</f>
        <v>231339.5</v>
      </c>
      <c r="K64" s="16">
        <f>145071+40735+19700+1633.5+24200</f>
        <v>231339.5</v>
      </c>
      <c r="L64" s="16"/>
      <c r="M64" s="16"/>
      <c r="N64" s="16"/>
      <c r="O64" s="16"/>
      <c r="P64" s="16"/>
      <c r="Q64" s="16"/>
      <c r="R64" s="16"/>
      <c r="S64" s="16"/>
      <c r="T64" s="16"/>
      <c r="U64" s="42"/>
      <c r="V64" s="42"/>
      <c r="W64" s="42"/>
      <c r="X64" s="42"/>
      <c r="Y64" s="228"/>
    </row>
    <row r="65" spans="1:25" s="77" customFormat="1" ht="44.25" customHeight="1" x14ac:dyDescent="0.2">
      <c r="A65" s="115" t="s">
        <v>210</v>
      </c>
      <c r="B65" s="2" t="s">
        <v>32</v>
      </c>
      <c r="C65" s="5" t="s">
        <v>24</v>
      </c>
      <c r="D65" s="135"/>
      <c r="E65" s="10" t="s">
        <v>38</v>
      </c>
      <c r="F65" s="10" t="s">
        <v>68</v>
      </c>
      <c r="G65" s="9">
        <f t="shared" si="5"/>
        <v>400000</v>
      </c>
      <c r="H65" s="14">
        <f t="shared" si="6"/>
        <v>400000</v>
      </c>
      <c r="I65" s="9"/>
      <c r="J65" s="16">
        <v>400000</v>
      </c>
      <c r="K65" s="16">
        <v>400000</v>
      </c>
      <c r="L65" s="16"/>
      <c r="M65" s="16"/>
      <c r="N65" s="16"/>
      <c r="O65" s="16"/>
      <c r="P65" s="16"/>
      <c r="Q65" s="16"/>
      <c r="R65" s="16"/>
      <c r="S65" s="16"/>
      <c r="T65" s="16"/>
      <c r="U65" s="42"/>
      <c r="V65" s="42"/>
      <c r="W65" s="42"/>
      <c r="X65" s="42"/>
      <c r="Y65" s="228"/>
    </row>
    <row r="66" spans="1:25" s="167" customFormat="1" ht="15" customHeight="1" x14ac:dyDescent="0.2">
      <c r="A66" s="238"/>
      <c r="B66" s="239"/>
      <c r="C66" s="240"/>
      <c r="D66" s="239"/>
      <c r="E66" s="240"/>
      <c r="F66" s="236" t="s">
        <v>17</v>
      </c>
      <c r="G66" s="242">
        <f>SUM(G34:G65)</f>
        <v>102498784.66999999</v>
      </c>
      <c r="H66" s="242">
        <f>SUM(H34:H65)</f>
        <v>102498784.66999999</v>
      </c>
      <c r="I66" s="243"/>
      <c r="J66" s="242">
        <f t="shared" ref="J66:T66" si="7">SUM(J34:J65)</f>
        <v>42303320.670000002</v>
      </c>
      <c r="K66" s="242">
        <f t="shared" si="7"/>
        <v>42303320.670000002</v>
      </c>
      <c r="L66" s="243"/>
      <c r="M66" s="242">
        <f t="shared" si="7"/>
        <v>12545718</v>
      </c>
      <c r="N66" s="242">
        <f t="shared" si="7"/>
        <v>12545718</v>
      </c>
      <c r="O66" s="243"/>
      <c r="P66" s="242">
        <f t="shared" si="7"/>
        <v>13609100</v>
      </c>
      <c r="Q66" s="242">
        <f t="shared" si="7"/>
        <v>13609100</v>
      </c>
      <c r="R66" s="243"/>
      <c r="S66" s="242">
        <f t="shared" si="7"/>
        <v>27548546</v>
      </c>
      <c r="T66" s="242">
        <f t="shared" si="7"/>
        <v>27548546</v>
      </c>
      <c r="U66" s="243"/>
      <c r="V66" s="242">
        <f>SUM(V34:V65)</f>
        <v>6492100</v>
      </c>
      <c r="W66" s="242">
        <f>SUM(W34:W65)</f>
        <v>6492100</v>
      </c>
      <c r="X66" s="244"/>
      <c r="Y66" s="241"/>
    </row>
    <row r="67" spans="1:25" s="77" customFormat="1" ht="17.25" customHeight="1" x14ac:dyDescent="0.2">
      <c r="A67" s="561" t="s">
        <v>55</v>
      </c>
      <c r="B67" s="562"/>
      <c r="C67" s="562"/>
      <c r="D67" s="562"/>
      <c r="E67" s="562"/>
      <c r="F67" s="562"/>
      <c r="G67" s="562"/>
      <c r="H67" s="562"/>
      <c r="I67" s="562"/>
      <c r="J67" s="562"/>
      <c r="K67" s="562"/>
      <c r="L67" s="562"/>
      <c r="M67" s="562"/>
      <c r="N67" s="562"/>
      <c r="O67" s="562"/>
      <c r="P67" s="562"/>
      <c r="Q67" s="562"/>
      <c r="R67" s="562"/>
      <c r="S67" s="562"/>
      <c r="T67" s="562"/>
      <c r="U67" s="562"/>
      <c r="V67" s="562"/>
      <c r="W67" s="562"/>
      <c r="X67" s="562"/>
      <c r="Y67" s="228"/>
    </row>
    <row r="68" spans="1:25" s="77" customFormat="1" ht="41.25" customHeight="1" x14ac:dyDescent="0.2">
      <c r="A68" s="109" t="s">
        <v>211</v>
      </c>
      <c r="B68" s="64" t="s">
        <v>34</v>
      </c>
      <c r="C68" s="26" t="s">
        <v>31</v>
      </c>
      <c r="D68" s="9" t="s">
        <v>61</v>
      </c>
      <c r="E68" s="28" t="s">
        <v>38</v>
      </c>
      <c r="F68" s="28" t="s">
        <v>23</v>
      </c>
      <c r="G68" s="9">
        <f>J68+M68+P68+S68+V68</f>
        <v>530732.06000000006</v>
      </c>
      <c r="H68" s="14">
        <f>K68+N68+Q68+T68+W68</f>
        <v>530732.06000000006</v>
      </c>
      <c r="I68" s="87"/>
      <c r="J68" s="9">
        <v>514732.06</v>
      </c>
      <c r="K68" s="9">
        <v>514732.06</v>
      </c>
      <c r="L68" s="87"/>
      <c r="M68" s="9"/>
      <c r="N68" s="9"/>
      <c r="O68" s="87"/>
      <c r="P68" s="9"/>
      <c r="Q68" s="9"/>
      <c r="R68" s="87"/>
      <c r="S68" s="9"/>
      <c r="T68" s="9"/>
      <c r="U68" s="102"/>
      <c r="V68" s="43">
        <v>16000</v>
      </c>
      <c r="W68" s="43">
        <v>16000</v>
      </c>
      <c r="X68" s="102"/>
      <c r="Y68" s="228"/>
    </row>
    <row r="69" spans="1:25" s="77" customFormat="1" ht="20.25" customHeight="1" x14ac:dyDescent="0.2">
      <c r="A69" s="109" t="s">
        <v>212</v>
      </c>
      <c r="B69" s="152" t="s">
        <v>35</v>
      </c>
      <c r="C69" s="55" t="s">
        <v>31</v>
      </c>
      <c r="D69" s="54" t="s">
        <v>61</v>
      </c>
      <c r="E69" s="52" t="s">
        <v>37</v>
      </c>
      <c r="F69" s="52" t="s">
        <v>26</v>
      </c>
      <c r="G69" s="9">
        <f t="shared" ref="G69:G88" si="8">J69+M69+P69+S69+V69</f>
        <v>825630</v>
      </c>
      <c r="H69" s="14">
        <f t="shared" ref="H69:H88" si="9">K69+N69+Q69+T69+W69</f>
        <v>825630</v>
      </c>
      <c r="I69" s="174"/>
      <c r="J69" s="45">
        <v>825630</v>
      </c>
      <c r="K69" s="19">
        <v>825630</v>
      </c>
      <c r="L69" s="181"/>
      <c r="M69" s="53"/>
      <c r="N69" s="53"/>
      <c r="O69" s="186"/>
      <c r="P69" s="53"/>
      <c r="Q69" s="53"/>
      <c r="R69" s="186"/>
      <c r="S69" s="53"/>
      <c r="T69" s="45"/>
      <c r="U69" s="183"/>
      <c r="V69" s="105"/>
      <c r="W69" s="51"/>
      <c r="X69" s="101"/>
      <c r="Y69" s="228"/>
    </row>
    <row r="70" spans="1:25" s="77" customFormat="1" ht="25.5" customHeight="1" x14ac:dyDescent="0.2">
      <c r="A70" s="109" t="s">
        <v>213</v>
      </c>
      <c r="B70" s="64" t="s">
        <v>170</v>
      </c>
      <c r="C70" s="36" t="s">
        <v>31</v>
      </c>
      <c r="D70" s="16" t="s">
        <v>61</v>
      </c>
      <c r="E70" s="10" t="s">
        <v>37</v>
      </c>
      <c r="F70" s="10" t="s">
        <v>68</v>
      </c>
      <c r="G70" s="9">
        <f t="shared" si="8"/>
        <v>1272520</v>
      </c>
      <c r="H70" s="14">
        <f t="shared" si="9"/>
        <v>1272520</v>
      </c>
      <c r="I70" s="102"/>
      <c r="J70" s="16">
        <v>1272520</v>
      </c>
      <c r="K70" s="16">
        <v>1272520</v>
      </c>
      <c r="L70" s="95"/>
      <c r="M70" s="16"/>
      <c r="N70" s="16"/>
      <c r="O70" s="88"/>
      <c r="P70" s="16"/>
      <c r="Q70" s="16"/>
      <c r="R70" s="94"/>
      <c r="S70" s="16"/>
      <c r="T70" s="7"/>
      <c r="U70" s="88"/>
      <c r="V70" s="7"/>
      <c r="W70" s="42"/>
      <c r="X70" s="94"/>
      <c r="Y70" s="228"/>
    </row>
    <row r="71" spans="1:25" s="77" customFormat="1" ht="38.25" customHeight="1" x14ac:dyDescent="0.2">
      <c r="A71" s="109" t="s">
        <v>214</v>
      </c>
      <c r="B71" s="64" t="s">
        <v>154</v>
      </c>
      <c r="C71" s="36" t="s">
        <v>31</v>
      </c>
      <c r="D71" s="153"/>
      <c r="E71" s="10" t="s">
        <v>37</v>
      </c>
      <c r="F71" s="6" t="s">
        <v>23</v>
      </c>
      <c r="G71" s="9">
        <f t="shared" si="8"/>
        <v>400000</v>
      </c>
      <c r="H71" s="14">
        <f t="shared" si="9"/>
        <v>400000</v>
      </c>
      <c r="I71" s="175"/>
      <c r="J71" s="16">
        <v>400000</v>
      </c>
      <c r="K71" s="16">
        <v>400000</v>
      </c>
      <c r="L71" s="182"/>
      <c r="M71" s="16"/>
      <c r="N71" s="16"/>
      <c r="O71" s="88"/>
      <c r="P71" s="16"/>
      <c r="Q71" s="16"/>
      <c r="R71" s="182"/>
      <c r="S71" s="16"/>
      <c r="T71" s="7"/>
      <c r="U71" s="88"/>
      <c r="V71" s="7"/>
      <c r="W71" s="42"/>
      <c r="X71" s="94"/>
      <c r="Y71" s="228"/>
    </row>
    <row r="72" spans="1:25" s="77" customFormat="1" ht="28.5" customHeight="1" x14ac:dyDescent="0.2">
      <c r="A72" s="109" t="s">
        <v>215</v>
      </c>
      <c r="B72" s="154" t="s">
        <v>33</v>
      </c>
      <c r="C72" s="59" t="s">
        <v>31</v>
      </c>
      <c r="D72" s="9" t="s">
        <v>61</v>
      </c>
      <c r="E72" s="28" t="s">
        <v>26</v>
      </c>
      <c r="F72" s="28" t="s">
        <v>68</v>
      </c>
      <c r="G72" s="9">
        <f t="shared" si="8"/>
        <v>490000</v>
      </c>
      <c r="H72" s="14">
        <f t="shared" si="9"/>
        <v>490000</v>
      </c>
      <c r="I72" s="102"/>
      <c r="J72" s="9">
        <v>490000</v>
      </c>
      <c r="K72" s="9">
        <v>490000</v>
      </c>
      <c r="L72" s="96"/>
      <c r="M72" s="9"/>
      <c r="N72" s="9"/>
      <c r="O72" s="87"/>
      <c r="P72" s="9"/>
      <c r="Q72" s="9"/>
      <c r="R72" s="102"/>
      <c r="S72" s="9"/>
      <c r="T72" s="15"/>
      <c r="U72" s="87"/>
      <c r="V72" s="15"/>
      <c r="W72" s="43"/>
      <c r="X72" s="102"/>
      <c r="Y72" s="228"/>
    </row>
    <row r="73" spans="1:25" s="77" customFormat="1" ht="28.5" customHeight="1" x14ac:dyDescent="0.2">
      <c r="A73" s="109" t="s">
        <v>216</v>
      </c>
      <c r="B73" s="64" t="s">
        <v>171</v>
      </c>
      <c r="C73" s="59" t="s">
        <v>31</v>
      </c>
      <c r="D73" s="9" t="s">
        <v>61</v>
      </c>
      <c r="E73" s="28" t="s">
        <v>23</v>
      </c>
      <c r="F73" s="28" t="s">
        <v>172</v>
      </c>
      <c r="G73" s="9">
        <f t="shared" si="8"/>
        <v>597000</v>
      </c>
      <c r="H73" s="14">
        <f t="shared" si="9"/>
        <v>597000</v>
      </c>
      <c r="I73" s="102"/>
      <c r="J73" s="16">
        <v>597000</v>
      </c>
      <c r="K73" s="16">
        <v>597000</v>
      </c>
      <c r="L73" s="95"/>
      <c r="M73" s="9"/>
      <c r="N73" s="9"/>
      <c r="O73" s="87"/>
      <c r="P73" s="9"/>
      <c r="Q73" s="9"/>
      <c r="R73" s="102"/>
      <c r="S73" s="9"/>
      <c r="T73" s="15"/>
      <c r="U73" s="87"/>
      <c r="V73" s="15"/>
      <c r="W73" s="43"/>
      <c r="X73" s="102"/>
      <c r="Y73" s="228"/>
    </row>
    <row r="74" spans="1:25" s="77" customFormat="1" ht="25.5" customHeight="1" x14ac:dyDescent="0.2">
      <c r="A74" s="109" t="s">
        <v>217</v>
      </c>
      <c r="B74" s="64" t="s">
        <v>169</v>
      </c>
      <c r="C74" s="26" t="s">
        <v>24</v>
      </c>
      <c r="D74" s="70"/>
      <c r="E74" s="50" t="s">
        <v>68</v>
      </c>
      <c r="F74" s="69" t="s">
        <v>75</v>
      </c>
      <c r="G74" s="9">
        <f t="shared" si="8"/>
        <v>3702100</v>
      </c>
      <c r="H74" s="14">
        <f t="shared" si="9"/>
        <v>3702100</v>
      </c>
      <c r="I74" s="100"/>
      <c r="J74" s="54">
        <v>3702100</v>
      </c>
      <c r="K74" s="80">
        <v>3702100</v>
      </c>
      <c r="L74" s="100"/>
      <c r="M74" s="54"/>
      <c r="N74" s="54"/>
      <c r="O74" s="174"/>
      <c r="P74" s="54"/>
      <c r="Q74" s="54"/>
      <c r="R74" s="100"/>
      <c r="S74" s="54"/>
      <c r="T74" s="70"/>
      <c r="U74" s="174"/>
      <c r="V74" s="106"/>
      <c r="W74" s="41"/>
      <c r="X74" s="93"/>
      <c r="Y74" s="228"/>
    </row>
    <row r="75" spans="1:25" s="77" customFormat="1" ht="43.5" customHeight="1" x14ac:dyDescent="0.2">
      <c r="A75" s="109" t="s">
        <v>218</v>
      </c>
      <c r="B75" s="64" t="s">
        <v>262</v>
      </c>
      <c r="C75" s="36" t="s">
        <v>31</v>
      </c>
      <c r="D75" s="43" t="s">
        <v>115</v>
      </c>
      <c r="E75" s="10" t="s">
        <v>25</v>
      </c>
      <c r="F75" s="71" t="s">
        <v>68</v>
      </c>
      <c r="G75" s="9">
        <f t="shared" si="8"/>
        <v>1141264</v>
      </c>
      <c r="H75" s="14">
        <f t="shared" si="9"/>
        <v>1141264</v>
      </c>
      <c r="I75" s="43"/>
      <c r="J75" s="16">
        <v>1081264</v>
      </c>
      <c r="K75" s="7">
        <v>1081264</v>
      </c>
      <c r="L75" s="42"/>
      <c r="M75" s="16"/>
      <c r="N75" s="16"/>
      <c r="O75" s="16"/>
      <c r="P75" s="16">
        <v>60000</v>
      </c>
      <c r="Q75" s="16">
        <v>60000</v>
      </c>
      <c r="R75" s="7"/>
      <c r="S75" s="16"/>
      <c r="T75" s="7"/>
      <c r="U75" s="16"/>
      <c r="V75" s="7"/>
      <c r="W75" s="42"/>
      <c r="X75" s="42"/>
      <c r="Y75" s="228"/>
    </row>
    <row r="76" spans="1:25" s="77" customFormat="1" ht="41.25" customHeight="1" x14ac:dyDescent="0.2">
      <c r="A76" s="109" t="s">
        <v>219</v>
      </c>
      <c r="B76" s="64" t="s">
        <v>141</v>
      </c>
      <c r="C76" s="36" t="s">
        <v>31</v>
      </c>
      <c r="D76" s="9" t="s">
        <v>173</v>
      </c>
      <c r="E76" s="10" t="s">
        <v>37</v>
      </c>
      <c r="F76" s="10" t="s">
        <v>68</v>
      </c>
      <c r="G76" s="9">
        <f t="shared" si="8"/>
        <v>388592.02</v>
      </c>
      <c r="H76" s="14">
        <f t="shared" si="9"/>
        <v>388592.02</v>
      </c>
      <c r="I76" s="9"/>
      <c r="J76" s="16">
        <v>388592.02</v>
      </c>
      <c r="K76" s="16">
        <v>388592.02</v>
      </c>
      <c r="L76" s="16"/>
      <c r="M76" s="16"/>
      <c r="N76" s="16"/>
      <c r="O76" s="16"/>
      <c r="P76" s="16"/>
      <c r="Q76" s="16"/>
      <c r="R76" s="42"/>
      <c r="S76" s="16"/>
      <c r="T76" s="7"/>
      <c r="U76" s="16"/>
      <c r="V76" s="7"/>
      <c r="W76" s="42"/>
      <c r="X76" s="42"/>
      <c r="Y76" s="228"/>
    </row>
    <row r="77" spans="1:25" s="77" customFormat="1" ht="45.75" customHeight="1" x14ac:dyDescent="0.2">
      <c r="A77" s="109" t="s">
        <v>220</v>
      </c>
      <c r="B77" s="64" t="s">
        <v>99</v>
      </c>
      <c r="C77" s="20" t="s">
        <v>24</v>
      </c>
      <c r="D77" s="14" t="s">
        <v>119</v>
      </c>
      <c r="E77" s="10" t="s">
        <v>38</v>
      </c>
      <c r="F77" s="10" t="s">
        <v>73</v>
      </c>
      <c r="G77" s="9">
        <f t="shared" si="8"/>
        <v>5799000</v>
      </c>
      <c r="H77" s="14">
        <f t="shared" si="9"/>
        <v>5799000</v>
      </c>
      <c r="I77" s="78"/>
      <c r="J77" s="72">
        <f>2860900+73100</f>
        <v>2934000</v>
      </c>
      <c r="K77" s="72">
        <f>2860900+73100</f>
        <v>2934000</v>
      </c>
      <c r="L77" s="72"/>
      <c r="M77" s="16">
        <v>2632700</v>
      </c>
      <c r="N77" s="16">
        <v>2632700</v>
      </c>
      <c r="O77" s="16"/>
      <c r="P77" s="16">
        <v>232300</v>
      </c>
      <c r="Q77" s="16">
        <v>232300</v>
      </c>
      <c r="R77" s="42"/>
      <c r="S77" s="16"/>
      <c r="T77" s="7"/>
      <c r="U77" s="16"/>
      <c r="V77" s="7"/>
      <c r="W77" s="42"/>
      <c r="X77" s="42"/>
      <c r="Y77" s="228"/>
    </row>
    <row r="78" spans="1:25" s="77" customFormat="1" ht="143.25" customHeight="1" x14ac:dyDescent="0.2">
      <c r="A78" s="109" t="s">
        <v>221</v>
      </c>
      <c r="B78" s="233" t="s">
        <v>100</v>
      </c>
      <c r="C78" s="20" t="s">
        <v>24</v>
      </c>
      <c r="D78" s="14" t="s">
        <v>119</v>
      </c>
      <c r="E78" s="10" t="s">
        <v>37</v>
      </c>
      <c r="F78" s="10" t="s">
        <v>68</v>
      </c>
      <c r="G78" s="9">
        <f t="shared" si="8"/>
        <v>6158100</v>
      </c>
      <c r="H78" s="177">
        <f t="shared" si="9"/>
        <v>11550876.949999999</v>
      </c>
      <c r="I78" s="87">
        <f>H78-G78</f>
        <v>5392776.9499999993</v>
      </c>
      <c r="J78" s="16">
        <f>490400+378300</f>
        <v>868700</v>
      </c>
      <c r="K78" s="88">
        <v>6261598.6500000004</v>
      </c>
      <c r="L78" s="88">
        <f>K78-J78</f>
        <v>5392898.6500000004</v>
      </c>
      <c r="M78" s="16">
        <v>4860400</v>
      </c>
      <c r="N78" s="88">
        <v>4860417.8899999997</v>
      </c>
      <c r="O78" s="88">
        <f>N78-M78</f>
        <v>17.889999999664724</v>
      </c>
      <c r="P78" s="16">
        <v>429000</v>
      </c>
      <c r="Q78" s="88">
        <v>428860.41</v>
      </c>
      <c r="R78" s="94">
        <f>Q78-P78</f>
        <v>-139.59000000002561</v>
      </c>
      <c r="S78" s="16"/>
      <c r="T78" s="7"/>
      <c r="U78" s="16"/>
      <c r="V78" s="7"/>
      <c r="W78" s="42"/>
      <c r="X78" s="42"/>
      <c r="Y78" s="237" t="s">
        <v>294</v>
      </c>
    </row>
    <row r="79" spans="1:25" s="77" customFormat="1" ht="67.5" customHeight="1" x14ac:dyDescent="0.2">
      <c r="A79" s="109" t="s">
        <v>222</v>
      </c>
      <c r="B79" s="64" t="s">
        <v>101</v>
      </c>
      <c r="C79" s="20" t="s">
        <v>24</v>
      </c>
      <c r="D79" s="110" t="s">
        <v>118</v>
      </c>
      <c r="E79" s="10" t="s">
        <v>38</v>
      </c>
      <c r="F79" s="10" t="s">
        <v>68</v>
      </c>
      <c r="G79" s="9">
        <f t="shared" si="8"/>
        <v>3403327.01</v>
      </c>
      <c r="H79" s="14">
        <f>K79+N79+Q79+T79+W79</f>
        <v>3403327.01</v>
      </c>
      <c r="I79" s="9"/>
      <c r="J79" s="16">
        <f>718900+67752.75</f>
        <v>786652.75</v>
      </c>
      <c r="K79" s="16">
        <f>718900+67752.75</f>
        <v>786652.75</v>
      </c>
      <c r="L79" s="16"/>
      <c r="M79" s="16">
        <v>2404511.48</v>
      </c>
      <c r="N79" s="16">
        <v>2404511.48</v>
      </c>
      <c r="O79" s="16"/>
      <c r="P79" s="16">
        <v>212162.78</v>
      </c>
      <c r="Q79" s="16">
        <v>212162.78</v>
      </c>
      <c r="R79" s="42"/>
      <c r="S79" s="16"/>
      <c r="T79" s="72"/>
      <c r="U79" s="42"/>
      <c r="V79" s="42"/>
      <c r="W79" s="42"/>
      <c r="X79" s="42"/>
      <c r="Y79" s="228"/>
    </row>
    <row r="80" spans="1:25" s="77" customFormat="1" ht="39" customHeight="1" x14ac:dyDescent="0.2">
      <c r="A80" s="109" t="s">
        <v>223</v>
      </c>
      <c r="B80" s="223" t="s">
        <v>117</v>
      </c>
      <c r="C80" s="205" t="s">
        <v>24</v>
      </c>
      <c r="D80" s="110" t="s">
        <v>118</v>
      </c>
      <c r="E80" s="24" t="s">
        <v>38</v>
      </c>
      <c r="F80" s="24" t="s">
        <v>68</v>
      </c>
      <c r="G80" s="9">
        <f t="shared" si="8"/>
        <v>3306303.46</v>
      </c>
      <c r="H80" s="14">
        <f t="shared" si="9"/>
        <v>3306303.46</v>
      </c>
      <c r="I80" s="80"/>
      <c r="J80" s="31">
        <f>480600+144573.52</f>
        <v>625173.52</v>
      </c>
      <c r="K80" s="31">
        <f>480600+144573.52</f>
        <v>625173.52</v>
      </c>
      <c r="L80" s="31"/>
      <c r="M80" s="31">
        <v>2463741.0299999998</v>
      </c>
      <c r="N80" s="31">
        <v>2463741.0299999998</v>
      </c>
      <c r="O80" s="31"/>
      <c r="P80" s="31">
        <v>217388.91</v>
      </c>
      <c r="Q80" s="31">
        <v>217388.91</v>
      </c>
      <c r="R80" s="31"/>
      <c r="S80" s="31"/>
      <c r="T80" s="31"/>
      <c r="U80" s="51"/>
      <c r="V80" s="51"/>
      <c r="W80" s="51"/>
      <c r="X80" s="51"/>
      <c r="Y80" s="228"/>
    </row>
    <row r="81" spans="1:25" s="77" customFormat="1" ht="36.75" customHeight="1" x14ac:dyDescent="0.2">
      <c r="A81" s="109" t="s">
        <v>224</v>
      </c>
      <c r="B81" s="64" t="s">
        <v>103</v>
      </c>
      <c r="C81" s="20" t="s">
        <v>24</v>
      </c>
      <c r="D81" s="110" t="s">
        <v>118</v>
      </c>
      <c r="E81" s="10" t="s">
        <v>38</v>
      </c>
      <c r="F81" s="10" t="s">
        <v>26</v>
      </c>
      <c r="G81" s="9">
        <f t="shared" si="8"/>
        <v>1740243.51</v>
      </c>
      <c r="H81" s="14">
        <f t="shared" si="9"/>
        <v>1740243.51</v>
      </c>
      <c r="I81" s="80"/>
      <c r="J81" s="16">
        <f>188600+28200+101217.92</f>
        <v>318017.91999999998</v>
      </c>
      <c r="K81" s="16">
        <f>188600+28200+101217.92</f>
        <v>318017.91999999998</v>
      </c>
      <c r="L81" s="16"/>
      <c r="M81" s="16">
        <v>1306910</v>
      </c>
      <c r="N81" s="16">
        <v>1306910</v>
      </c>
      <c r="O81" s="16"/>
      <c r="P81" s="16">
        <v>115315.59</v>
      </c>
      <c r="Q81" s="16">
        <v>115315.59</v>
      </c>
      <c r="R81" s="16"/>
      <c r="S81" s="16"/>
      <c r="T81" s="16"/>
      <c r="U81" s="42"/>
      <c r="V81" s="42"/>
      <c r="W81" s="42"/>
      <c r="X81" s="42"/>
      <c r="Y81" s="228"/>
    </row>
    <row r="82" spans="1:25" s="77" customFormat="1" ht="38.25" customHeight="1" x14ac:dyDescent="0.2">
      <c r="A82" s="109" t="s">
        <v>225</v>
      </c>
      <c r="B82" s="64" t="s">
        <v>104</v>
      </c>
      <c r="C82" s="20" t="s">
        <v>24</v>
      </c>
      <c r="D82" s="14" t="s">
        <v>119</v>
      </c>
      <c r="E82" s="10" t="s">
        <v>37</v>
      </c>
      <c r="F82" s="10" t="s">
        <v>68</v>
      </c>
      <c r="G82" s="9">
        <f t="shared" si="8"/>
        <v>6722800</v>
      </c>
      <c r="H82" s="14">
        <f t="shared" si="9"/>
        <v>6722800</v>
      </c>
      <c r="I82" s="80">
        <f>H82-G82</f>
        <v>0</v>
      </c>
      <c r="J82" s="16">
        <f>1528100+107300</f>
        <v>1635400</v>
      </c>
      <c r="K82" s="16">
        <f>1528100+107300</f>
        <v>1635400</v>
      </c>
      <c r="L82" s="16"/>
      <c r="M82" s="16">
        <f>4674900</f>
        <v>4674900</v>
      </c>
      <c r="N82" s="16">
        <f>4674900</f>
        <v>4674900</v>
      </c>
      <c r="O82" s="16"/>
      <c r="P82" s="16">
        <v>412500</v>
      </c>
      <c r="Q82" s="16">
        <v>412500</v>
      </c>
      <c r="R82" s="16"/>
      <c r="S82" s="16"/>
      <c r="T82" s="16"/>
      <c r="U82" s="42"/>
      <c r="V82" s="42"/>
      <c r="W82" s="42"/>
      <c r="X82" s="42"/>
      <c r="Y82" s="228"/>
    </row>
    <row r="83" spans="1:25" s="77" customFormat="1" ht="58.5" customHeight="1" x14ac:dyDescent="0.2">
      <c r="A83" s="109" t="s">
        <v>226</v>
      </c>
      <c r="B83" s="64" t="s">
        <v>98</v>
      </c>
      <c r="C83" s="36" t="s">
        <v>24</v>
      </c>
      <c r="D83" s="9" t="s">
        <v>121</v>
      </c>
      <c r="E83" s="10" t="s">
        <v>38</v>
      </c>
      <c r="F83" s="10" t="s">
        <v>68</v>
      </c>
      <c r="G83" s="9">
        <f t="shared" si="8"/>
        <v>1877400</v>
      </c>
      <c r="H83" s="14">
        <f>K83+N83+Q83+T83+W83</f>
        <v>1877400</v>
      </c>
      <c r="I83" s="80">
        <f>H83-G83</f>
        <v>0</v>
      </c>
      <c r="J83" s="9">
        <v>2800</v>
      </c>
      <c r="K83" s="9">
        <v>2800</v>
      </c>
      <c r="L83" s="16"/>
      <c r="M83" s="16">
        <v>0</v>
      </c>
      <c r="N83" s="16">
        <v>0</v>
      </c>
      <c r="O83" s="16"/>
      <c r="P83" s="16">
        <v>0</v>
      </c>
      <c r="Q83" s="16">
        <v>0</v>
      </c>
      <c r="R83" s="16"/>
      <c r="S83" s="16"/>
      <c r="T83" s="16"/>
      <c r="U83" s="42"/>
      <c r="V83" s="42">
        <v>1874600</v>
      </c>
      <c r="W83" s="42">
        <v>1874600</v>
      </c>
      <c r="X83" s="42"/>
      <c r="Y83" s="228"/>
    </row>
    <row r="84" spans="1:25" s="77" customFormat="1" ht="42" customHeight="1" x14ac:dyDescent="0.2">
      <c r="A84" s="109" t="s">
        <v>207</v>
      </c>
      <c r="B84" s="64" t="s">
        <v>263</v>
      </c>
      <c r="C84" s="36" t="s">
        <v>24</v>
      </c>
      <c r="D84" s="9" t="s">
        <v>121</v>
      </c>
      <c r="E84" s="10" t="s">
        <v>23</v>
      </c>
      <c r="F84" s="10" t="s">
        <v>26</v>
      </c>
      <c r="G84" s="9">
        <f t="shared" si="8"/>
        <v>94000</v>
      </c>
      <c r="H84" s="14">
        <f t="shared" si="9"/>
        <v>94000</v>
      </c>
      <c r="I84" s="9"/>
      <c r="J84" s="9">
        <v>94000</v>
      </c>
      <c r="K84" s="9">
        <v>94000</v>
      </c>
      <c r="L84" s="9"/>
      <c r="M84" s="16"/>
      <c r="N84" s="16"/>
      <c r="O84" s="16"/>
      <c r="P84" s="16"/>
      <c r="Q84" s="16"/>
      <c r="R84" s="16"/>
      <c r="S84" s="16"/>
      <c r="T84" s="16"/>
      <c r="U84" s="42"/>
      <c r="V84" s="42"/>
      <c r="W84" s="42"/>
      <c r="X84" s="42"/>
      <c r="Y84" s="228"/>
    </row>
    <row r="85" spans="1:25" s="77" customFormat="1" ht="39" customHeight="1" x14ac:dyDescent="0.2">
      <c r="A85" s="109" t="s">
        <v>227</v>
      </c>
      <c r="B85" s="111" t="s">
        <v>159</v>
      </c>
      <c r="C85" s="206" t="s">
        <v>31</v>
      </c>
      <c r="D85" s="112" t="s">
        <v>142</v>
      </c>
      <c r="E85" s="10" t="s">
        <v>25</v>
      </c>
      <c r="F85" s="10" t="s">
        <v>68</v>
      </c>
      <c r="G85" s="9">
        <f t="shared" si="8"/>
        <v>5579484</v>
      </c>
      <c r="H85" s="14">
        <f t="shared" si="9"/>
        <v>5579484</v>
      </c>
      <c r="I85" s="9"/>
      <c r="J85" s="16">
        <f>3977200+1602284</f>
        <v>5579484</v>
      </c>
      <c r="K85" s="16">
        <f>3977200+1602284</f>
        <v>5579484</v>
      </c>
      <c r="L85" s="16"/>
      <c r="M85" s="16"/>
      <c r="N85" s="16"/>
      <c r="O85" s="16"/>
      <c r="P85" s="16"/>
      <c r="Q85" s="16"/>
      <c r="R85" s="16"/>
      <c r="S85" s="16"/>
      <c r="T85" s="16"/>
      <c r="U85" s="42"/>
      <c r="V85" s="42"/>
      <c r="W85" s="42"/>
      <c r="X85" s="42"/>
      <c r="Y85" s="228"/>
    </row>
    <row r="86" spans="1:25" s="77" customFormat="1" ht="39" customHeight="1" x14ac:dyDescent="0.2">
      <c r="A86" s="109" t="s">
        <v>228</v>
      </c>
      <c r="B86" s="64" t="s">
        <v>143</v>
      </c>
      <c r="C86" s="36" t="s">
        <v>31</v>
      </c>
      <c r="D86" s="9" t="s">
        <v>144</v>
      </c>
      <c r="E86" s="10" t="s">
        <v>25</v>
      </c>
      <c r="F86" s="10" t="s">
        <v>68</v>
      </c>
      <c r="G86" s="9">
        <f t="shared" si="8"/>
        <v>967183.94</v>
      </c>
      <c r="H86" s="14">
        <f t="shared" si="9"/>
        <v>967183.94</v>
      </c>
      <c r="I86" s="9"/>
      <c r="J86" s="9">
        <v>967183.94</v>
      </c>
      <c r="K86" s="9">
        <v>967183.94</v>
      </c>
      <c r="L86" s="9"/>
      <c r="M86" s="16"/>
      <c r="N86" s="16"/>
      <c r="O86" s="16"/>
      <c r="P86" s="16"/>
      <c r="Q86" s="16"/>
      <c r="R86" s="16"/>
      <c r="S86" s="16"/>
      <c r="T86" s="16"/>
      <c r="U86" s="42"/>
      <c r="V86" s="42"/>
      <c r="W86" s="42"/>
      <c r="X86" s="42"/>
      <c r="Y86" s="228"/>
    </row>
    <row r="87" spans="1:25" s="77" customFormat="1" ht="40.5" customHeight="1" x14ac:dyDescent="0.2">
      <c r="A87" s="109" t="s">
        <v>229</v>
      </c>
      <c r="B87" s="63" t="s">
        <v>39</v>
      </c>
      <c r="C87" s="20" t="s">
        <v>24</v>
      </c>
      <c r="D87" s="25" t="s">
        <v>76</v>
      </c>
      <c r="E87" s="10" t="s">
        <v>37</v>
      </c>
      <c r="F87" s="10" t="s">
        <v>156</v>
      </c>
      <c r="G87" s="9">
        <f t="shared" si="8"/>
        <v>1458800</v>
      </c>
      <c r="H87" s="14">
        <f t="shared" si="9"/>
        <v>1458800</v>
      </c>
      <c r="I87" s="9"/>
      <c r="J87" s="16">
        <v>1458800</v>
      </c>
      <c r="K87" s="16">
        <v>1458800</v>
      </c>
      <c r="L87" s="16"/>
      <c r="M87" s="32"/>
      <c r="N87" s="32"/>
      <c r="O87" s="32"/>
      <c r="P87" s="32"/>
      <c r="Q87" s="32"/>
      <c r="R87" s="32"/>
      <c r="S87" s="32"/>
      <c r="T87" s="32"/>
      <c r="U87" s="46"/>
      <c r="V87" s="46"/>
      <c r="W87" s="46"/>
      <c r="X87" s="46"/>
      <c r="Y87" s="228"/>
    </row>
    <row r="88" spans="1:25" s="77" customFormat="1" ht="39" customHeight="1" x14ac:dyDescent="0.2">
      <c r="A88" s="109" t="s">
        <v>264</v>
      </c>
      <c r="B88" s="63" t="s">
        <v>277</v>
      </c>
      <c r="C88" s="20" t="s">
        <v>24</v>
      </c>
      <c r="D88" s="25" t="s">
        <v>76</v>
      </c>
      <c r="E88" s="10" t="s">
        <v>23</v>
      </c>
      <c r="F88" s="10" t="s">
        <v>23</v>
      </c>
      <c r="G88" s="9">
        <f t="shared" si="8"/>
        <v>20000</v>
      </c>
      <c r="H88" s="14">
        <f t="shared" si="9"/>
        <v>20000</v>
      </c>
      <c r="I88" s="9"/>
      <c r="J88" s="16">
        <v>20000</v>
      </c>
      <c r="K88" s="16">
        <v>20000</v>
      </c>
      <c r="L88" s="16"/>
      <c r="M88" s="32"/>
      <c r="N88" s="32"/>
      <c r="O88" s="32"/>
      <c r="P88" s="32"/>
      <c r="Q88" s="32"/>
      <c r="R88" s="32"/>
      <c r="S88" s="32"/>
      <c r="T88" s="32"/>
      <c r="U88" s="46"/>
      <c r="V88" s="46"/>
      <c r="W88" s="46"/>
      <c r="X88" s="46"/>
      <c r="Y88" s="228"/>
    </row>
    <row r="89" spans="1:25" s="77" customFormat="1" ht="18" customHeight="1" x14ac:dyDescent="0.2">
      <c r="A89" s="113"/>
      <c r="B89" s="114"/>
      <c r="C89" s="65"/>
      <c r="D89" s="114"/>
      <c r="E89" s="65"/>
      <c r="F89" s="57" t="s">
        <v>17</v>
      </c>
      <c r="G89" s="58">
        <f t="shared" ref="G89:X89" si="10">SUM(G68:G88)</f>
        <v>46474480</v>
      </c>
      <c r="H89" s="58">
        <f t="shared" si="10"/>
        <v>51867256.949999996</v>
      </c>
      <c r="I89" s="58">
        <f t="shared" si="10"/>
        <v>5392776.9499999993</v>
      </c>
      <c r="J89" s="58">
        <f t="shared" si="10"/>
        <v>24562050.210000001</v>
      </c>
      <c r="K89" s="58">
        <f t="shared" si="10"/>
        <v>29954948.860000003</v>
      </c>
      <c r="L89" s="58">
        <f t="shared" si="10"/>
        <v>5392898.6500000004</v>
      </c>
      <c r="M89" s="58">
        <f t="shared" si="10"/>
        <v>18343162.509999998</v>
      </c>
      <c r="N89" s="58">
        <f t="shared" si="10"/>
        <v>18343180.399999999</v>
      </c>
      <c r="O89" s="58">
        <f t="shared" si="10"/>
        <v>17.889999999664724</v>
      </c>
      <c r="P89" s="58">
        <f t="shared" si="10"/>
        <v>1678667.28</v>
      </c>
      <c r="Q89" s="58">
        <f t="shared" si="10"/>
        <v>1678527.69</v>
      </c>
      <c r="R89" s="58">
        <f t="shared" si="10"/>
        <v>-139.59000000002561</v>
      </c>
      <c r="S89" s="58">
        <f t="shared" si="10"/>
        <v>0</v>
      </c>
      <c r="T89" s="58">
        <f t="shared" si="10"/>
        <v>0</v>
      </c>
      <c r="U89" s="58">
        <f t="shared" si="10"/>
        <v>0</v>
      </c>
      <c r="V89" s="58">
        <f t="shared" si="10"/>
        <v>1890600</v>
      </c>
      <c r="W89" s="82">
        <f t="shared" si="10"/>
        <v>1890600</v>
      </c>
      <c r="X89" s="82">
        <f t="shared" si="10"/>
        <v>0</v>
      </c>
      <c r="Y89" s="228"/>
    </row>
    <row r="90" spans="1:25" s="155" customFormat="1" ht="15" customHeight="1" x14ac:dyDescent="0.25">
      <c r="A90" s="565" t="s">
        <v>53</v>
      </c>
      <c r="B90" s="566"/>
      <c r="C90" s="566"/>
      <c r="D90" s="566"/>
      <c r="E90" s="566"/>
      <c r="F90" s="566"/>
      <c r="G90" s="566"/>
      <c r="H90" s="566"/>
      <c r="I90" s="566"/>
      <c r="J90" s="566"/>
      <c r="K90" s="566"/>
      <c r="L90" s="566"/>
      <c r="M90" s="566"/>
      <c r="N90" s="566"/>
      <c r="O90" s="566"/>
      <c r="P90" s="566"/>
      <c r="Q90" s="566"/>
      <c r="R90" s="566"/>
      <c r="S90" s="566"/>
      <c r="T90" s="566"/>
      <c r="U90" s="566"/>
      <c r="V90" s="566"/>
      <c r="W90" s="566"/>
      <c r="X90" s="566"/>
      <c r="Y90" s="230"/>
    </row>
    <row r="91" spans="1:25" s="155" customFormat="1" ht="51.75" customHeight="1" x14ac:dyDescent="0.25">
      <c r="A91" s="115" t="s">
        <v>265</v>
      </c>
      <c r="B91" s="64" t="s">
        <v>91</v>
      </c>
      <c r="C91" s="26">
        <v>5</v>
      </c>
      <c r="D91" s="34" t="s">
        <v>166</v>
      </c>
      <c r="E91" s="33" t="s">
        <v>25</v>
      </c>
      <c r="F91" s="33">
        <v>2019</v>
      </c>
      <c r="G91" s="34">
        <f>J91+M91</f>
        <v>2261384.91</v>
      </c>
      <c r="H91" s="99">
        <f>K91+N91</f>
        <v>2261384.91</v>
      </c>
      <c r="I91" s="104"/>
      <c r="J91" s="34">
        <v>1062922.9099999999</v>
      </c>
      <c r="K91" s="34">
        <v>1062922.9099999999</v>
      </c>
      <c r="L91" s="104"/>
      <c r="M91" s="34">
        <v>1198462</v>
      </c>
      <c r="N91" s="34">
        <v>1198462</v>
      </c>
      <c r="O91" s="104"/>
      <c r="P91" s="9"/>
      <c r="Q91" s="9"/>
      <c r="R91" s="87"/>
      <c r="S91" s="14"/>
      <c r="T91" s="14"/>
      <c r="U91" s="194"/>
      <c r="V91" s="47"/>
      <c r="W91" s="47"/>
      <c r="X91" s="194"/>
      <c r="Y91" s="230"/>
    </row>
    <row r="92" spans="1:25" s="155" customFormat="1" ht="68.25" customHeight="1" x14ac:dyDescent="0.25">
      <c r="A92" s="116" t="s">
        <v>230</v>
      </c>
      <c r="B92" s="64" t="s">
        <v>79</v>
      </c>
      <c r="C92" s="5">
        <v>5</v>
      </c>
      <c r="D92" s="99" t="s">
        <v>116</v>
      </c>
      <c r="E92" s="212" t="s">
        <v>25</v>
      </c>
      <c r="F92" s="212" t="s">
        <v>23</v>
      </c>
      <c r="G92" s="99">
        <f>J92+M92+V92</f>
        <v>1808240.91</v>
      </c>
      <c r="H92" s="99">
        <f>K92+N92+W92</f>
        <v>1808240.91</v>
      </c>
      <c r="I92" s="99"/>
      <c r="J92" s="99">
        <v>739890.29</v>
      </c>
      <c r="K92" s="99">
        <v>739890.29</v>
      </c>
      <c r="L92" s="99"/>
      <c r="M92" s="99">
        <v>1021766.88</v>
      </c>
      <c r="N92" s="99">
        <v>1021766.88</v>
      </c>
      <c r="O92" s="99"/>
      <c r="P92" s="9"/>
      <c r="Q92" s="9"/>
      <c r="R92" s="9"/>
      <c r="S92" s="9"/>
      <c r="T92" s="9"/>
      <c r="U92" s="43"/>
      <c r="V92" s="43">
        <v>46583.74</v>
      </c>
      <c r="W92" s="43">
        <v>46583.74</v>
      </c>
      <c r="X92" s="43"/>
      <c r="Y92" s="230"/>
    </row>
    <row r="93" spans="1:25" s="155" customFormat="1" ht="84.75" customHeight="1" x14ac:dyDescent="0.25">
      <c r="A93" s="115" t="s">
        <v>231</v>
      </c>
      <c r="B93" s="233" t="s">
        <v>95</v>
      </c>
      <c r="C93" s="26" t="s">
        <v>105</v>
      </c>
      <c r="D93" s="34" t="s">
        <v>167</v>
      </c>
      <c r="E93" s="33" t="s">
        <v>38</v>
      </c>
      <c r="F93" s="33" t="s">
        <v>26</v>
      </c>
      <c r="G93" s="34">
        <f>J93+M93</f>
        <v>697289.04</v>
      </c>
      <c r="H93" s="245">
        <v>900000</v>
      </c>
      <c r="I93" s="104">
        <f>+H93-G93</f>
        <v>202710.95999999996</v>
      </c>
      <c r="J93" s="34">
        <v>697289.04</v>
      </c>
      <c r="K93" s="104">
        <v>900000</v>
      </c>
      <c r="L93" s="104">
        <f>+K93-J93</f>
        <v>202710.95999999996</v>
      </c>
      <c r="M93" s="34"/>
      <c r="N93" s="34"/>
      <c r="O93" s="104"/>
      <c r="P93" s="9"/>
      <c r="Q93" s="9"/>
      <c r="R93" s="87"/>
      <c r="S93" s="14"/>
      <c r="T93" s="14"/>
      <c r="U93" s="194"/>
      <c r="V93" s="47"/>
      <c r="W93" s="47"/>
      <c r="X93" s="194"/>
      <c r="Y93" s="246" t="s">
        <v>295</v>
      </c>
    </row>
    <row r="94" spans="1:25" s="155" customFormat="1" ht="43.5" customHeight="1" x14ac:dyDescent="0.25">
      <c r="A94" s="115" t="s">
        <v>232</v>
      </c>
      <c r="B94" s="117" t="s">
        <v>134</v>
      </c>
      <c r="C94" s="26" t="s">
        <v>24</v>
      </c>
      <c r="D94" s="118" t="s">
        <v>168</v>
      </c>
      <c r="E94" s="33" t="s">
        <v>37</v>
      </c>
      <c r="F94" s="35" t="s">
        <v>75</v>
      </c>
      <c r="G94" s="34">
        <f>J94+M94</f>
        <v>800000</v>
      </c>
      <c r="H94" s="99">
        <f>K94+N94</f>
        <v>800000</v>
      </c>
      <c r="I94" s="104"/>
      <c r="J94" s="34">
        <v>800000</v>
      </c>
      <c r="K94" s="34">
        <v>800000</v>
      </c>
      <c r="L94" s="104"/>
      <c r="M94" s="34"/>
      <c r="N94" s="34"/>
      <c r="O94" s="104"/>
      <c r="P94" s="9"/>
      <c r="Q94" s="9"/>
      <c r="R94" s="87"/>
      <c r="S94" s="14"/>
      <c r="T94" s="14"/>
      <c r="U94" s="194"/>
      <c r="V94" s="47"/>
      <c r="W94" s="47"/>
      <c r="X94" s="194"/>
      <c r="Y94" s="230"/>
    </row>
    <row r="95" spans="1:25" s="155" customFormat="1" ht="39" customHeight="1" x14ac:dyDescent="0.25">
      <c r="A95" s="115" t="s">
        <v>233</v>
      </c>
      <c r="B95" s="117" t="s">
        <v>125</v>
      </c>
      <c r="C95" s="26" t="s">
        <v>24</v>
      </c>
      <c r="D95" s="118" t="s">
        <v>126</v>
      </c>
      <c r="E95" s="33" t="s">
        <v>37</v>
      </c>
      <c r="F95" s="35" t="s">
        <v>75</v>
      </c>
      <c r="G95" s="34">
        <f>J95+M95</f>
        <v>3900000</v>
      </c>
      <c r="H95" s="99">
        <f>K95+N95</f>
        <v>3900000</v>
      </c>
      <c r="I95" s="104"/>
      <c r="J95" s="34">
        <v>3900000</v>
      </c>
      <c r="K95" s="34">
        <v>3900000</v>
      </c>
      <c r="L95" s="104"/>
      <c r="M95" s="34"/>
      <c r="N95" s="34"/>
      <c r="O95" s="104"/>
      <c r="P95" s="9"/>
      <c r="Q95" s="9"/>
      <c r="R95" s="87"/>
      <c r="S95" s="14"/>
      <c r="T95" s="14"/>
      <c r="U95" s="194"/>
      <c r="V95" s="47"/>
      <c r="W95" s="47"/>
      <c r="X95" s="194"/>
      <c r="Y95" s="230"/>
    </row>
    <row r="96" spans="1:25" s="155" customFormat="1" ht="30.75" customHeight="1" x14ac:dyDescent="0.25">
      <c r="A96" s="115" t="s">
        <v>234</v>
      </c>
      <c r="B96" s="233" t="s">
        <v>147</v>
      </c>
      <c r="C96" s="26" t="s">
        <v>24</v>
      </c>
      <c r="D96" s="118" t="s">
        <v>70</v>
      </c>
      <c r="E96" s="33" t="s">
        <v>37</v>
      </c>
      <c r="F96" s="35" t="s">
        <v>23</v>
      </c>
      <c r="G96" s="34">
        <f>J96+M96</f>
        <v>140000</v>
      </c>
      <c r="H96" s="245">
        <f>K96+N96</f>
        <v>124500</v>
      </c>
      <c r="I96" s="104">
        <f>+H96-G96</f>
        <v>-15500</v>
      </c>
      <c r="J96" s="34">
        <f>110000+30000</f>
        <v>140000</v>
      </c>
      <c r="K96" s="104">
        <f>110000+30000-15500</f>
        <v>124500</v>
      </c>
      <c r="L96" s="104">
        <f>+K96-J96</f>
        <v>-15500</v>
      </c>
      <c r="M96" s="34"/>
      <c r="N96" s="34"/>
      <c r="O96" s="34"/>
      <c r="P96" s="9"/>
      <c r="Q96" s="9"/>
      <c r="R96" s="9"/>
      <c r="S96" s="14"/>
      <c r="T96" s="14"/>
      <c r="U96" s="47"/>
      <c r="V96" s="47"/>
      <c r="W96" s="47"/>
      <c r="X96" s="47"/>
      <c r="Y96" s="564" t="s">
        <v>296</v>
      </c>
    </row>
    <row r="97" spans="1:25" s="155" customFormat="1" ht="25.5" customHeight="1" x14ac:dyDescent="0.25">
      <c r="A97" s="113"/>
      <c r="B97" s="114"/>
      <c r="C97" s="65"/>
      <c r="D97" s="114"/>
      <c r="E97" s="65"/>
      <c r="F97" s="57" t="s">
        <v>17</v>
      </c>
      <c r="G97" s="73">
        <f>SUM(G91:G96)</f>
        <v>9606914.8599999994</v>
      </c>
      <c r="H97" s="73">
        <f>SUM(H91:H96)</f>
        <v>9794125.8200000003</v>
      </c>
      <c r="I97" s="73">
        <f>SUM(I91:I96)</f>
        <v>187210.95999999996</v>
      </c>
      <c r="J97" s="73">
        <f t="shared" ref="J97:W97" si="11">SUM(J91:J96)</f>
        <v>7340102.2400000002</v>
      </c>
      <c r="K97" s="73">
        <f t="shared" si="11"/>
        <v>7527313.2000000002</v>
      </c>
      <c r="L97" s="73">
        <f>SUM(L91:L96)</f>
        <v>187210.95999999996</v>
      </c>
      <c r="M97" s="73">
        <f t="shared" si="11"/>
        <v>2220228.88</v>
      </c>
      <c r="N97" s="73">
        <f t="shared" si="11"/>
        <v>2220228.88</v>
      </c>
      <c r="O97" s="73">
        <f t="shared" si="11"/>
        <v>0</v>
      </c>
      <c r="P97" s="73">
        <f t="shared" si="11"/>
        <v>0</v>
      </c>
      <c r="Q97" s="73">
        <f t="shared" si="11"/>
        <v>0</v>
      </c>
      <c r="R97" s="73">
        <f t="shared" si="11"/>
        <v>0</v>
      </c>
      <c r="S97" s="73">
        <f t="shared" si="11"/>
        <v>0</v>
      </c>
      <c r="T97" s="73">
        <f t="shared" si="11"/>
        <v>0</v>
      </c>
      <c r="U97" s="73">
        <f t="shared" si="11"/>
        <v>0</v>
      </c>
      <c r="V97" s="73">
        <f t="shared" si="11"/>
        <v>46583.74</v>
      </c>
      <c r="W97" s="73">
        <f t="shared" si="11"/>
        <v>46583.74</v>
      </c>
      <c r="X97" s="84">
        <f>SUM(X91:X96)</f>
        <v>0</v>
      </c>
      <c r="Y97" s="564"/>
    </row>
    <row r="98" spans="1:25" s="155" customFormat="1" ht="15" customHeight="1" x14ac:dyDescent="0.25">
      <c r="A98" s="525" t="s">
        <v>54</v>
      </c>
      <c r="B98" s="526"/>
      <c r="C98" s="526"/>
      <c r="D98" s="526"/>
      <c r="E98" s="526"/>
      <c r="F98" s="526"/>
      <c r="G98" s="526"/>
      <c r="H98" s="526"/>
      <c r="I98" s="526"/>
      <c r="J98" s="526"/>
      <c r="K98" s="526"/>
      <c r="L98" s="526"/>
      <c r="M98" s="526"/>
      <c r="N98" s="526"/>
      <c r="O98" s="526"/>
      <c r="P98" s="526"/>
      <c r="Q98" s="526"/>
      <c r="R98" s="526"/>
      <c r="S98" s="526"/>
      <c r="T98" s="526"/>
      <c r="U98" s="526"/>
      <c r="V98" s="526"/>
      <c r="W98" s="526"/>
      <c r="X98" s="526"/>
      <c r="Y98" s="230"/>
    </row>
    <row r="99" spans="1:25" s="155" customFormat="1" ht="93.75" customHeight="1" x14ac:dyDescent="0.25">
      <c r="A99" s="115" t="s">
        <v>235</v>
      </c>
      <c r="B99" s="233" t="s">
        <v>123</v>
      </c>
      <c r="C99" s="26">
        <v>5</v>
      </c>
      <c r="D99" s="34" t="s">
        <v>77</v>
      </c>
      <c r="E99" s="28">
        <v>2017</v>
      </c>
      <c r="F99" s="28">
        <v>2020</v>
      </c>
      <c r="G99" s="9">
        <f>J99+M99+P99+S99+V99</f>
        <v>1352126.7999999998</v>
      </c>
      <c r="H99" s="177">
        <f>K99+N99+Q99+T99+W99</f>
        <v>1376126.7999999998</v>
      </c>
      <c r="I99" s="87">
        <f>+H99-G99</f>
        <v>24000</v>
      </c>
      <c r="J99" s="9">
        <v>233775.27</v>
      </c>
      <c r="K99" s="87">
        <f>233775.27+24000</f>
        <v>257775.27</v>
      </c>
      <c r="L99" s="87">
        <f>+K99-J99</f>
        <v>24000</v>
      </c>
      <c r="M99" s="9">
        <v>1027674.38</v>
      </c>
      <c r="N99" s="9">
        <v>1027674.38</v>
      </c>
      <c r="O99" s="87"/>
      <c r="P99" s="9">
        <v>90677.15</v>
      </c>
      <c r="Q99" s="9">
        <v>90677.15</v>
      </c>
      <c r="R99" s="87"/>
      <c r="S99" s="14"/>
      <c r="T99" s="14"/>
      <c r="U99" s="194"/>
      <c r="V99" s="47"/>
      <c r="W99" s="47"/>
      <c r="X99" s="194"/>
      <c r="Y99" s="230"/>
    </row>
    <row r="100" spans="1:25" s="155" customFormat="1" ht="42.75" customHeight="1" x14ac:dyDescent="0.25">
      <c r="A100" s="115" t="s">
        <v>236</v>
      </c>
      <c r="B100" s="64" t="s">
        <v>88</v>
      </c>
      <c r="C100" s="26">
        <v>5</v>
      </c>
      <c r="D100" s="34" t="s">
        <v>77</v>
      </c>
      <c r="E100" s="28">
        <v>2017</v>
      </c>
      <c r="F100" s="28">
        <v>2022</v>
      </c>
      <c r="G100" s="9">
        <f t="shared" ref="G100:G114" si="12">J100+M100+P100+S100+V100</f>
        <v>860220.12</v>
      </c>
      <c r="H100" s="14">
        <f t="shared" ref="H100:H114" si="13">K100+N100+Q100+T100+W100</f>
        <v>860220.12</v>
      </c>
      <c r="I100" s="87"/>
      <c r="J100" s="9">
        <v>317220.12</v>
      </c>
      <c r="K100" s="9">
        <v>317220.12</v>
      </c>
      <c r="L100" s="87"/>
      <c r="M100" s="9"/>
      <c r="N100" s="9"/>
      <c r="O100" s="87"/>
      <c r="P100" s="9">
        <v>543000</v>
      </c>
      <c r="Q100" s="9">
        <v>543000</v>
      </c>
      <c r="R100" s="87"/>
      <c r="S100" s="14"/>
      <c r="T100" s="14"/>
      <c r="U100" s="194"/>
      <c r="V100" s="47"/>
      <c r="W100" s="47"/>
      <c r="X100" s="194"/>
      <c r="Y100" s="230"/>
    </row>
    <row r="101" spans="1:25" s="155" customFormat="1" ht="43.5" customHeight="1" x14ac:dyDescent="0.25">
      <c r="A101" s="115" t="s">
        <v>237</v>
      </c>
      <c r="B101" s="63" t="s">
        <v>40</v>
      </c>
      <c r="C101" s="5">
        <v>5</v>
      </c>
      <c r="D101" s="14" t="s">
        <v>69</v>
      </c>
      <c r="E101" s="4">
        <v>2017</v>
      </c>
      <c r="F101" s="30">
        <v>2021</v>
      </c>
      <c r="G101" s="9">
        <f t="shared" si="12"/>
        <v>11200000</v>
      </c>
      <c r="H101" s="14">
        <f t="shared" si="13"/>
        <v>11200000</v>
      </c>
      <c r="I101" s="90"/>
      <c r="J101" s="79">
        <v>11200000</v>
      </c>
      <c r="K101" s="79">
        <v>11200000</v>
      </c>
      <c r="L101" s="90"/>
      <c r="M101" s="14"/>
      <c r="N101" s="14"/>
      <c r="O101" s="177"/>
      <c r="P101" s="14"/>
      <c r="Q101" s="14"/>
      <c r="R101" s="177"/>
      <c r="S101" s="14"/>
      <c r="T101" s="14"/>
      <c r="U101" s="194"/>
      <c r="V101" s="47"/>
      <c r="W101" s="47"/>
      <c r="X101" s="194"/>
      <c r="Y101" s="230"/>
    </row>
    <row r="102" spans="1:25" s="155" customFormat="1" ht="34.5" customHeight="1" x14ac:dyDescent="0.25">
      <c r="A102" s="115" t="s">
        <v>238</v>
      </c>
      <c r="B102" s="64" t="s">
        <v>128</v>
      </c>
      <c r="C102" s="26">
        <v>6</v>
      </c>
      <c r="D102" s="9" t="s">
        <v>129</v>
      </c>
      <c r="E102" s="21">
        <v>2018</v>
      </c>
      <c r="F102" s="28">
        <v>2023</v>
      </c>
      <c r="G102" s="9">
        <f t="shared" si="12"/>
        <v>4187225.73</v>
      </c>
      <c r="H102" s="14">
        <f t="shared" si="13"/>
        <v>4187225.73</v>
      </c>
      <c r="I102" s="87"/>
      <c r="J102" s="9">
        <v>4187225.73</v>
      </c>
      <c r="K102" s="9">
        <v>4187225.73</v>
      </c>
      <c r="L102" s="96"/>
      <c r="M102" s="78"/>
      <c r="N102" s="78"/>
      <c r="O102" s="96"/>
      <c r="P102" s="9"/>
      <c r="Q102" s="9"/>
      <c r="R102" s="87"/>
      <c r="S102" s="9"/>
      <c r="T102" s="9"/>
      <c r="U102" s="102"/>
      <c r="V102" s="43"/>
      <c r="W102" s="43"/>
      <c r="X102" s="102"/>
      <c r="Y102" s="230"/>
    </row>
    <row r="103" spans="1:25" s="155" customFormat="1" ht="39.75" customHeight="1" x14ac:dyDescent="0.25">
      <c r="A103" s="115" t="s">
        <v>239</v>
      </c>
      <c r="B103" s="64" t="s">
        <v>146</v>
      </c>
      <c r="C103" s="26">
        <v>6</v>
      </c>
      <c r="D103" s="9"/>
      <c r="E103" s="13">
        <v>2018</v>
      </c>
      <c r="F103" s="13">
        <v>2020</v>
      </c>
      <c r="G103" s="9">
        <f t="shared" si="12"/>
        <v>1261335</v>
      </c>
      <c r="H103" s="14">
        <f t="shared" si="13"/>
        <v>1261335</v>
      </c>
      <c r="I103" s="92"/>
      <c r="J103" s="80">
        <f>16335+385000+130000+730000</f>
        <v>1261335</v>
      </c>
      <c r="K103" s="80">
        <f>16335+385000+130000+730000</f>
        <v>1261335</v>
      </c>
      <c r="L103" s="92"/>
      <c r="M103" s="9"/>
      <c r="N103" s="9"/>
      <c r="O103" s="87"/>
      <c r="P103" s="9"/>
      <c r="Q103" s="9"/>
      <c r="R103" s="87"/>
      <c r="S103" s="14"/>
      <c r="T103" s="14"/>
      <c r="U103" s="194"/>
      <c r="V103" s="47"/>
      <c r="W103" s="47"/>
      <c r="X103" s="194"/>
      <c r="Y103" s="230"/>
    </row>
    <row r="104" spans="1:25" s="155" customFormat="1" ht="42.75" customHeight="1" x14ac:dyDescent="0.25">
      <c r="A104" s="115" t="s">
        <v>240</v>
      </c>
      <c r="B104" s="64" t="s">
        <v>135</v>
      </c>
      <c r="C104" s="26">
        <v>5</v>
      </c>
      <c r="D104" s="9" t="s">
        <v>77</v>
      </c>
      <c r="E104" s="28">
        <v>2018</v>
      </c>
      <c r="F104" s="28">
        <v>2023</v>
      </c>
      <c r="G104" s="9">
        <f t="shared" si="12"/>
        <v>2064000</v>
      </c>
      <c r="H104" s="14">
        <f t="shared" si="13"/>
        <v>2064000</v>
      </c>
      <c r="I104" s="87"/>
      <c r="J104" s="9">
        <v>309600</v>
      </c>
      <c r="K104" s="9">
        <v>309600</v>
      </c>
      <c r="L104" s="87"/>
      <c r="M104" s="9"/>
      <c r="N104" s="9"/>
      <c r="O104" s="87"/>
      <c r="P104" s="9">
        <v>1754400</v>
      </c>
      <c r="Q104" s="9">
        <v>1754400</v>
      </c>
      <c r="R104" s="87"/>
      <c r="S104" s="14"/>
      <c r="T104" s="14"/>
      <c r="U104" s="194"/>
      <c r="V104" s="47"/>
      <c r="W104" s="47"/>
      <c r="X104" s="194"/>
      <c r="Y104" s="230"/>
    </row>
    <row r="105" spans="1:25" s="155" customFormat="1" ht="30" customHeight="1" x14ac:dyDescent="0.25">
      <c r="A105" s="115" t="s">
        <v>241</v>
      </c>
      <c r="B105" s="64" t="s">
        <v>137</v>
      </c>
      <c r="C105" s="26">
        <v>5</v>
      </c>
      <c r="D105" s="9" t="s">
        <v>77</v>
      </c>
      <c r="E105" s="28">
        <v>2019</v>
      </c>
      <c r="F105" s="28">
        <v>2022</v>
      </c>
      <c r="G105" s="9">
        <f t="shared" si="12"/>
        <v>2500000</v>
      </c>
      <c r="H105" s="14">
        <f t="shared" si="13"/>
        <v>2500000</v>
      </c>
      <c r="I105" s="87"/>
      <c r="J105" s="9"/>
      <c r="K105" s="9"/>
      <c r="L105" s="87"/>
      <c r="M105" s="9"/>
      <c r="N105" s="9"/>
      <c r="O105" s="87"/>
      <c r="P105" s="9"/>
      <c r="Q105" s="9"/>
      <c r="R105" s="87"/>
      <c r="S105" s="14"/>
      <c r="T105" s="14"/>
      <c r="U105" s="194"/>
      <c r="V105" s="47">
        <v>2500000</v>
      </c>
      <c r="W105" s="47">
        <v>2500000</v>
      </c>
      <c r="X105" s="194"/>
      <c r="Y105" s="230"/>
    </row>
    <row r="106" spans="1:25" s="155" customFormat="1" ht="25.5" x14ac:dyDescent="0.25">
      <c r="A106" s="156"/>
      <c r="B106" s="157" t="s">
        <v>41</v>
      </c>
      <c r="C106" s="5"/>
      <c r="D106" s="158"/>
      <c r="E106" s="21"/>
      <c r="F106" s="21"/>
      <c r="G106" s="9">
        <f t="shared" si="12"/>
        <v>0</v>
      </c>
      <c r="H106" s="14">
        <f t="shared" si="13"/>
        <v>0</v>
      </c>
      <c r="I106" s="177"/>
      <c r="J106" s="14"/>
      <c r="K106" s="14"/>
      <c r="L106" s="177"/>
      <c r="M106" s="14"/>
      <c r="N106" s="14"/>
      <c r="O106" s="177"/>
      <c r="P106" s="14"/>
      <c r="Q106" s="14"/>
      <c r="R106" s="177"/>
      <c r="S106" s="14"/>
      <c r="T106" s="14"/>
      <c r="U106" s="194"/>
      <c r="V106" s="47"/>
      <c r="W106" s="47"/>
      <c r="X106" s="194"/>
      <c r="Y106" s="230"/>
    </row>
    <row r="107" spans="1:25" s="155" customFormat="1" ht="64.5" customHeight="1" x14ac:dyDescent="0.25">
      <c r="A107" s="115" t="s">
        <v>242</v>
      </c>
      <c r="B107" s="64" t="s">
        <v>164</v>
      </c>
      <c r="C107" s="26">
        <v>5</v>
      </c>
      <c r="D107" s="34" t="s">
        <v>116</v>
      </c>
      <c r="E107" s="28">
        <v>2017</v>
      </c>
      <c r="F107" s="28">
        <v>2022</v>
      </c>
      <c r="G107" s="9">
        <f t="shared" si="12"/>
        <v>3538077</v>
      </c>
      <c r="H107" s="14">
        <f t="shared" si="13"/>
        <v>3538077</v>
      </c>
      <c r="I107" s="87"/>
      <c r="J107" s="9">
        <v>3538077</v>
      </c>
      <c r="K107" s="9">
        <v>3538077</v>
      </c>
      <c r="L107" s="87"/>
      <c r="M107" s="9"/>
      <c r="N107" s="9"/>
      <c r="O107" s="87"/>
      <c r="P107" s="9"/>
      <c r="Q107" s="9"/>
      <c r="R107" s="87"/>
      <c r="S107" s="14"/>
      <c r="T107" s="14"/>
      <c r="U107" s="194"/>
      <c r="V107" s="47"/>
      <c r="W107" s="47"/>
      <c r="X107" s="194"/>
      <c r="Y107" s="230"/>
    </row>
    <row r="108" spans="1:25" s="155" customFormat="1" ht="55.5" customHeight="1" x14ac:dyDescent="0.25">
      <c r="A108" s="115" t="s">
        <v>266</v>
      </c>
      <c r="B108" s="64" t="s">
        <v>165</v>
      </c>
      <c r="C108" s="26">
        <v>5</v>
      </c>
      <c r="D108" s="9" t="s">
        <v>116</v>
      </c>
      <c r="E108" s="28">
        <v>2017</v>
      </c>
      <c r="F108" s="28">
        <v>2020</v>
      </c>
      <c r="G108" s="9">
        <f t="shared" si="12"/>
        <v>2158184.77</v>
      </c>
      <c r="H108" s="14">
        <f t="shared" si="13"/>
        <v>2158184.77</v>
      </c>
      <c r="I108" s="87"/>
      <c r="J108" s="9">
        <v>1279109.3400000001</v>
      </c>
      <c r="K108" s="9">
        <v>1279109.3400000001</v>
      </c>
      <c r="L108" s="87"/>
      <c r="M108" s="9">
        <v>807799.05</v>
      </c>
      <c r="N108" s="9">
        <v>807799.05</v>
      </c>
      <c r="O108" s="87"/>
      <c r="P108" s="9">
        <v>71276.38</v>
      </c>
      <c r="Q108" s="9">
        <v>71276.38</v>
      </c>
      <c r="R108" s="87"/>
      <c r="S108" s="14"/>
      <c r="T108" s="14"/>
      <c r="U108" s="194"/>
      <c r="V108" s="47"/>
      <c r="W108" s="47"/>
      <c r="X108" s="194"/>
      <c r="Y108" s="230"/>
    </row>
    <row r="109" spans="1:25" s="155" customFormat="1" ht="79.5" customHeight="1" x14ac:dyDescent="0.25">
      <c r="A109" s="115" t="s">
        <v>267</v>
      </c>
      <c r="B109" s="25" t="s">
        <v>278</v>
      </c>
      <c r="C109" s="26">
        <v>5</v>
      </c>
      <c r="D109" s="9" t="s">
        <v>77</v>
      </c>
      <c r="E109" s="28">
        <v>2016</v>
      </c>
      <c r="F109" s="28">
        <v>2025</v>
      </c>
      <c r="G109" s="9">
        <f t="shared" si="12"/>
        <v>2688980</v>
      </c>
      <c r="H109" s="14">
        <f t="shared" si="13"/>
        <v>2688980</v>
      </c>
      <c r="I109" s="87"/>
      <c r="J109" s="9">
        <v>2688980</v>
      </c>
      <c r="K109" s="9">
        <v>2688980</v>
      </c>
      <c r="L109" s="87"/>
      <c r="M109" s="14"/>
      <c r="N109" s="14"/>
      <c r="O109" s="177"/>
      <c r="P109" s="14"/>
      <c r="Q109" s="14"/>
      <c r="R109" s="177"/>
      <c r="S109" s="14"/>
      <c r="T109" s="14"/>
      <c r="U109" s="194"/>
      <c r="V109" s="47"/>
      <c r="W109" s="47"/>
      <c r="X109" s="194"/>
      <c r="Y109" s="230"/>
    </row>
    <row r="110" spans="1:25" s="155" customFormat="1" ht="47.25" customHeight="1" x14ac:dyDescent="0.25">
      <c r="A110" s="115" t="s">
        <v>268</v>
      </c>
      <c r="B110" s="25" t="s">
        <v>136</v>
      </c>
      <c r="C110" s="26">
        <v>5</v>
      </c>
      <c r="D110" s="9" t="s">
        <v>77</v>
      </c>
      <c r="E110" s="28">
        <v>2018</v>
      </c>
      <c r="F110" s="28">
        <v>2020</v>
      </c>
      <c r="G110" s="9">
        <f t="shared" si="12"/>
        <v>574922.68999999994</v>
      </c>
      <c r="H110" s="14">
        <f t="shared" si="13"/>
        <v>574922.68999999994</v>
      </c>
      <c r="I110" s="87"/>
      <c r="J110" s="9">
        <v>574922.68999999994</v>
      </c>
      <c r="K110" s="9">
        <v>574922.68999999994</v>
      </c>
      <c r="L110" s="87"/>
      <c r="M110" s="14"/>
      <c r="N110" s="14"/>
      <c r="O110" s="177"/>
      <c r="P110" s="14"/>
      <c r="Q110" s="14"/>
      <c r="R110" s="177"/>
      <c r="S110" s="14"/>
      <c r="T110" s="14"/>
      <c r="U110" s="194"/>
      <c r="V110" s="47"/>
      <c r="W110" s="47"/>
      <c r="X110" s="194"/>
      <c r="Y110" s="230"/>
    </row>
    <row r="111" spans="1:25" s="155" customFormat="1" ht="30" customHeight="1" x14ac:dyDescent="0.25">
      <c r="A111" s="156"/>
      <c r="B111" s="159" t="s">
        <v>82</v>
      </c>
      <c r="C111" s="5"/>
      <c r="D111" s="14"/>
      <c r="E111" s="21"/>
      <c r="F111" s="21"/>
      <c r="G111" s="9">
        <f t="shared" si="12"/>
        <v>0</v>
      </c>
      <c r="H111" s="14">
        <f t="shared" si="13"/>
        <v>0</v>
      </c>
      <c r="I111" s="177"/>
      <c r="J111" s="14"/>
      <c r="K111" s="14"/>
      <c r="L111" s="177"/>
      <c r="M111" s="14"/>
      <c r="N111" s="14"/>
      <c r="O111" s="177"/>
      <c r="P111" s="14"/>
      <c r="Q111" s="14"/>
      <c r="R111" s="177"/>
      <c r="S111" s="14"/>
      <c r="T111" s="14"/>
      <c r="U111" s="194"/>
      <c r="V111" s="47"/>
      <c r="W111" s="47"/>
      <c r="X111" s="194"/>
      <c r="Y111" s="230"/>
    </row>
    <row r="112" spans="1:25" s="155" customFormat="1" ht="57" customHeight="1" x14ac:dyDescent="0.25">
      <c r="A112" s="115" t="s">
        <v>269</v>
      </c>
      <c r="B112" s="25" t="s">
        <v>43</v>
      </c>
      <c r="C112" s="26">
        <v>5</v>
      </c>
      <c r="D112" s="9" t="s">
        <v>77</v>
      </c>
      <c r="E112" s="28">
        <v>2016</v>
      </c>
      <c r="F112" s="28">
        <v>2020</v>
      </c>
      <c r="G112" s="9">
        <f t="shared" si="12"/>
        <v>780124</v>
      </c>
      <c r="H112" s="14">
        <f t="shared" si="13"/>
        <v>780124</v>
      </c>
      <c r="I112" s="87"/>
      <c r="J112" s="9">
        <v>232374</v>
      </c>
      <c r="K112" s="9">
        <v>232374</v>
      </c>
      <c r="L112" s="87"/>
      <c r="M112" s="9">
        <v>547750</v>
      </c>
      <c r="N112" s="9">
        <v>547750</v>
      </c>
      <c r="O112" s="87"/>
      <c r="P112" s="14"/>
      <c r="Q112" s="14"/>
      <c r="R112" s="177"/>
      <c r="S112" s="14"/>
      <c r="T112" s="14"/>
      <c r="U112" s="194"/>
      <c r="V112" s="47"/>
      <c r="W112" s="47"/>
      <c r="X112" s="194"/>
      <c r="Y112" s="230"/>
    </row>
    <row r="113" spans="1:25" s="155" customFormat="1" ht="57" customHeight="1" x14ac:dyDescent="0.25">
      <c r="A113" s="115" t="s">
        <v>243</v>
      </c>
      <c r="B113" s="25" t="s">
        <v>279</v>
      </c>
      <c r="C113" s="26">
        <v>5</v>
      </c>
      <c r="D113" s="9" t="s">
        <v>116</v>
      </c>
      <c r="E113" s="28">
        <v>2016</v>
      </c>
      <c r="F113" s="28">
        <v>2022</v>
      </c>
      <c r="G113" s="9">
        <f t="shared" si="12"/>
        <v>1984089.54</v>
      </c>
      <c r="H113" s="14">
        <f t="shared" si="13"/>
        <v>1984089.54</v>
      </c>
      <c r="I113" s="87"/>
      <c r="J113" s="9">
        <v>799089.54</v>
      </c>
      <c r="K113" s="9">
        <v>799089.54</v>
      </c>
      <c r="L113" s="87"/>
      <c r="M113" s="9"/>
      <c r="N113" s="9"/>
      <c r="O113" s="87"/>
      <c r="P113" s="9"/>
      <c r="Q113" s="9"/>
      <c r="R113" s="87"/>
      <c r="S113" s="9"/>
      <c r="T113" s="9"/>
      <c r="U113" s="102"/>
      <c r="V113" s="43">
        <v>1185000</v>
      </c>
      <c r="W113" s="43">
        <v>1185000</v>
      </c>
      <c r="X113" s="102"/>
      <c r="Y113" s="230"/>
    </row>
    <row r="114" spans="1:25" s="155" customFormat="1" ht="66.75" customHeight="1" x14ac:dyDescent="0.25">
      <c r="A114" s="115" t="s">
        <v>244</v>
      </c>
      <c r="B114" s="25" t="s">
        <v>280</v>
      </c>
      <c r="C114" s="26">
        <v>5</v>
      </c>
      <c r="D114" s="9"/>
      <c r="E114" s="28">
        <v>2019</v>
      </c>
      <c r="F114" s="28">
        <v>2020</v>
      </c>
      <c r="G114" s="9">
        <f t="shared" si="12"/>
        <v>930000</v>
      </c>
      <c r="H114" s="14">
        <f t="shared" si="13"/>
        <v>930000</v>
      </c>
      <c r="I114" s="87"/>
      <c r="J114" s="9">
        <v>930000</v>
      </c>
      <c r="K114" s="9">
        <v>930000</v>
      </c>
      <c r="L114" s="87"/>
      <c r="M114" s="9"/>
      <c r="N114" s="9"/>
      <c r="O114" s="87"/>
      <c r="P114" s="9"/>
      <c r="Q114" s="9"/>
      <c r="R114" s="87"/>
      <c r="S114" s="9"/>
      <c r="T114" s="9"/>
      <c r="U114" s="102"/>
      <c r="V114" s="43"/>
      <c r="W114" s="43"/>
      <c r="X114" s="102"/>
      <c r="Y114" s="230"/>
    </row>
    <row r="115" spans="1:25" s="155" customFormat="1" ht="15" customHeight="1" x14ac:dyDescent="0.25">
      <c r="A115" s="113"/>
      <c r="B115" s="114"/>
      <c r="C115" s="65"/>
      <c r="D115" s="114"/>
      <c r="E115" s="65"/>
      <c r="F115" s="57" t="s">
        <v>17</v>
      </c>
      <c r="G115" s="73">
        <f>SUM(G99:G114)</f>
        <v>36079285.649999999</v>
      </c>
      <c r="H115" s="73">
        <f>SUM(H99:H114)</f>
        <v>36103285.649999999</v>
      </c>
      <c r="I115" s="176"/>
      <c r="J115" s="73">
        <f>SUM(J99:J114)</f>
        <v>27551708.690000001</v>
      </c>
      <c r="K115" s="73">
        <f>SUM(K99:K114)</f>
        <v>27575708.690000001</v>
      </c>
      <c r="L115" s="176"/>
      <c r="M115" s="73">
        <f>SUM(M99:M114)</f>
        <v>2383223.4300000002</v>
      </c>
      <c r="N115" s="73">
        <f>SUM(N99:N114)</f>
        <v>2383223.4300000002</v>
      </c>
      <c r="O115" s="176"/>
      <c r="P115" s="73">
        <f>SUM(P99:P114)</f>
        <v>2459353.5299999998</v>
      </c>
      <c r="Q115" s="73">
        <f>SUM(Q99:Q114)</f>
        <v>2459353.5299999998</v>
      </c>
      <c r="R115" s="176"/>
      <c r="S115" s="73">
        <f>SUM(S99:S114)</f>
        <v>0</v>
      </c>
      <c r="T115" s="73">
        <f>SUM(T99:T114)</f>
        <v>0</v>
      </c>
      <c r="U115" s="195"/>
      <c r="V115" s="84">
        <f>SUM(V99:V114)</f>
        <v>3685000</v>
      </c>
      <c r="W115" s="84">
        <f>SUM(W99:W114)</f>
        <v>3685000</v>
      </c>
      <c r="X115" s="195"/>
      <c r="Y115" s="230"/>
    </row>
    <row r="116" spans="1:25" s="155" customFormat="1" ht="16.5" customHeight="1" x14ac:dyDescent="0.25">
      <c r="A116" s="525" t="s">
        <v>56</v>
      </c>
      <c r="B116" s="526"/>
      <c r="C116" s="526"/>
      <c r="D116" s="526"/>
      <c r="E116" s="526"/>
      <c r="F116" s="526"/>
      <c r="G116" s="526"/>
      <c r="H116" s="526"/>
      <c r="I116" s="526"/>
      <c r="J116" s="526"/>
      <c r="K116" s="526"/>
      <c r="L116" s="526"/>
      <c r="M116" s="526"/>
      <c r="N116" s="526"/>
      <c r="O116" s="526"/>
      <c r="P116" s="526"/>
      <c r="Q116" s="526"/>
      <c r="R116" s="526"/>
      <c r="S116" s="526"/>
      <c r="T116" s="526"/>
      <c r="U116" s="526"/>
      <c r="V116" s="526"/>
      <c r="W116" s="526"/>
      <c r="X116" s="526"/>
      <c r="Y116" s="230"/>
    </row>
    <row r="117" spans="1:25" s="155" customFormat="1" ht="26.25" customHeight="1" x14ac:dyDescent="0.25">
      <c r="A117" s="156"/>
      <c r="B117" s="160" t="s">
        <v>44</v>
      </c>
      <c r="C117" s="5"/>
      <c r="D117" s="14"/>
      <c r="E117" s="21"/>
      <c r="F117" s="21"/>
      <c r="G117" s="14"/>
      <c r="H117" s="14"/>
      <c r="I117" s="177"/>
      <c r="J117" s="14"/>
      <c r="K117" s="14"/>
      <c r="L117" s="177"/>
      <c r="M117" s="14"/>
      <c r="N117" s="14"/>
      <c r="O117" s="177"/>
      <c r="P117" s="14"/>
      <c r="Q117" s="14"/>
      <c r="R117" s="177"/>
      <c r="S117" s="14"/>
      <c r="T117" s="14"/>
      <c r="U117" s="194"/>
      <c r="V117" s="47"/>
      <c r="W117" s="47"/>
      <c r="X117" s="194"/>
      <c r="Y117" s="230"/>
    </row>
    <row r="118" spans="1:25" s="155" customFormat="1" ht="30.75" customHeight="1" x14ac:dyDescent="0.25">
      <c r="A118" s="115" t="s">
        <v>244</v>
      </c>
      <c r="B118" s="25" t="s">
        <v>106</v>
      </c>
      <c r="C118" s="26">
        <v>5</v>
      </c>
      <c r="D118" s="16" t="s">
        <v>74</v>
      </c>
      <c r="E118" s="28">
        <v>2017</v>
      </c>
      <c r="F118" s="28">
        <v>2021</v>
      </c>
      <c r="G118" s="9">
        <f t="shared" ref="G118:H122" si="14">J118+M118+P118+S118+V118</f>
        <v>5283867.5199999996</v>
      </c>
      <c r="H118" s="14">
        <f t="shared" si="14"/>
        <v>5283867.5199999996</v>
      </c>
      <c r="I118" s="87"/>
      <c r="J118" s="9">
        <v>3972721.55</v>
      </c>
      <c r="K118" s="9">
        <v>3972721.55</v>
      </c>
      <c r="L118" s="87"/>
      <c r="M118" s="9">
        <v>1204836.8400000001</v>
      </c>
      <c r="N118" s="9">
        <v>1204836.8400000001</v>
      </c>
      <c r="O118" s="87"/>
      <c r="P118" s="9">
        <v>106309.13</v>
      </c>
      <c r="Q118" s="9">
        <v>106309.13</v>
      </c>
      <c r="R118" s="87"/>
      <c r="S118" s="9"/>
      <c r="T118" s="9"/>
      <c r="U118" s="102"/>
      <c r="V118" s="43"/>
      <c r="W118" s="43"/>
      <c r="X118" s="102"/>
      <c r="Y118" s="230"/>
    </row>
    <row r="119" spans="1:25" s="155" customFormat="1" ht="30.75" customHeight="1" x14ac:dyDescent="0.25">
      <c r="A119" s="115" t="s">
        <v>245</v>
      </c>
      <c r="B119" s="25" t="s">
        <v>107</v>
      </c>
      <c r="C119" s="26">
        <v>5</v>
      </c>
      <c r="D119" s="16" t="s">
        <v>74</v>
      </c>
      <c r="E119" s="28">
        <v>2017</v>
      </c>
      <c r="F119" s="28">
        <v>2021</v>
      </c>
      <c r="G119" s="9">
        <f t="shared" si="14"/>
        <v>5404827.5499999998</v>
      </c>
      <c r="H119" s="14">
        <f t="shared" si="14"/>
        <v>5404827.5499999998</v>
      </c>
      <c r="I119" s="87"/>
      <c r="J119" s="9">
        <v>5404827.5499999998</v>
      </c>
      <c r="K119" s="9">
        <v>5404827.5499999998</v>
      </c>
      <c r="L119" s="87"/>
      <c r="M119" s="9"/>
      <c r="N119" s="9"/>
      <c r="O119" s="87"/>
      <c r="P119" s="9"/>
      <c r="Q119" s="9"/>
      <c r="R119" s="87"/>
      <c r="S119" s="9"/>
      <c r="T119" s="9"/>
      <c r="U119" s="102"/>
      <c r="V119" s="43"/>
      <c r="W119" s="43"/>
      <c r="X119" s="102"/>
      <c r="Y119" s="230"/>
    </row>
    <row r="120" spans="1:25" s="155" customFormat="1" ht="29.25" customHeight="1" x14ac:dyDescent="0.25">
      <c r="A120" s="115" t="s">
        <v>246</v>
      </c>
      <c r="B120" s="25" t="s">
        <v>46</v>
      </c>
      <c r="C120" s="26">
        <v>5</v>
      </c>
      <c r="D120" s="16" t="s">
        <v>74</v>
      </c>
      <c r="E120" s="28">
        <v>2016</v>
      </c>
      <c r="F120" s="28">
        <v>2020</v>
      </c>
      <c r="G120" s="9">
        <f t="shared" si="14"/>
        <v>1514077.41</v>
      </c>
      <c r="H120" s="14">
        <f t="shared" si="14"/>
        <v>1514077.41</v>
      </c>
      <c r="I120" s="87"/>
      <c r="J120" s="9">
        <v>1514077.41</v>
      </c>
      <c r="K120" s="9">
        <v>1514077.41</v>
      </c>
      <c r="L120" s="87"/>
      <c r="M120" s="9"/>
      <c r="N120" s="9"/>
      <c r="O120" s="87"/>
      <c r="P120" s="9"/>
      <c r="Q120" s="9"/>
      <c r="R120" s="87"/>
      <c r="S120" s="9"/>
      <c r="T120" s="9"/>
      <c r="U120" s="102"/>
      <c r="V120" s="43"/>
      <c r="W120" s="43"/>
      <c r="X120" s="102"/>
      <c r="Y120" s="230"/>
    </row>
    <row r="121" spans="1:25" s="155" customFormat="1" ht="22.5" customHeight="1" x14ac:dyDescent="0.25">
      <c r="A121" s="115" t="s">
        <v>247</v>
      </c>
      <c r="B121" s="64" t="s">
        <v>47</v>
      </c>
      <c r="C121" s="26">
        <v>5</v>
      </c>
      <c r="D121" s="16" t="s">
        <v>74</v>
      </c>
      <c r="E121" s="28">
        <v>2017</v>
      </c>
      <c r="F121" s="28">
        <v>2022</v>
      </c>
      <c r="G121" s="9">
        <f t="shared" si="14"/>
        <v>5800000</v>
      </c>
      <c r="H121" s="14">
        <f t="shared" si="14"/>
        <v>5800000</v>
      </c>
      <c r="I121" s="87"/>
      <c r="J121" s="9">
        <v>5800000</v>
      </c>
      <c r="K121" s="9">
        <v>5800000</v>
      </c>
      <c r="L121" s="87"/>
      <c r="M121" s="9"/>
      <c r="N121" s="9"/>
      <c r="O121" s="87"/>
      <c r="P121" s="9"/>
      <c r="Q121" s="9"/>
      <c r="R121" s="87"/>
      <c r="S121" s="9"/>
      <c r="T121" s="9"/>
      <c r="U121" s="102"/>
      <c r="V121" s="43"/>
      <c r="W121" s="43"/>
      <c r="X121" s="102"/>
      <c r="Y121" s="230"/>
    </row>
    <row r="122" spans="1:25" s="155" customFormat="1" ht="25.5" x14ac:dyDescent="0.25">
      <c r="A122" s="115" t="s">
        <v>248</v>
      </c>
      <c r="B122" s="64" t="s">
        <v>108</v>
      </c>
      <c r="C122" s="26">
        <v>5</v>
      </c>
      <c r="D122" s="16" t="s">
        <v>74</v>
      </c>
      <c r="E122" s="213">
        <v>2020</v>
      </c>
      <c r="F122" s="28">
        <v>2022</v>
      </c>
      <c r="G122" s="9">
        <f t="shared" si="14"/>
        <v>2133627.73</v>
      </c>
      <c r="H122" s="14">
        <f t="shared" si="14"/>
        <v>2133627.73</v>
      </c>
      <c r="I122" s="87"/>
      <c r="J122" s="9">
        <v>300000</v>
      </c>
      <c r="K122" s="9">
        <v>300000</v>
      </c>
      <c r="L122" s="87"/>
      <c r="M122" s="9"/>
      <c r="N122" s="9"/>
      <c r="O122" s="87"/>
      <c r="P122" s="9">
        <v>1833627.73</v>
      </c>
      <c r="Q122" s="9">
        <v>1833627.73</v>
      </c>
      <c r="R122" s="87"/>
      <c r="S122" s="9"/>
      <c r="T122" s="9"/>
      <c r="U122" s="102"/>
      <c r="V122" s="43"/>
      <c r="W122" s="43"/>
      <c r="X122" s="102"/>
      <c r="Y122" s="230"/>
    </row>
    <row r="123" spans="1:25" s="155" customFormat="1" ht="15" x14ac:dyDescent="0.25">
      <c r="A123" s="113"/>
      <c r="B123" s="114"/>
      <c r="C123" s="65"/>
      <c r="D123" s="114"/>
      <c r="E123" s="65"/>
      <c r="F123" s="57" t="s">
        <v>17</v>
      </c>
      <c r="G123" s="73">
        <f>SUM(G117:G122)</f>
        <v>20136400.210000001</v>
      </c>
      <c r="H123" s="73">
        <f>SUM(H117:H122)</f>
        <v>20136400.210000001</v>
      </c>
      <c r="I123" s="176"/>
      <c r="J123" s="73">
        <f>SUM(J117:J122)</f>
        <v>16991626.509999998</v>
      </c>
      <c r="K123" s="73">
        <f>SUM(K117:K122)</f>
        <v>16991626.509999998</v>
      </c>
      <c r="L123" s="176"/>
      <c r="M123" s="73">
        <f>SUM(M117:M122)</f>
        <v>1204836.8400000001</v>
      </c>
      <c r="N123" s="73">
        <f>SUM(N117:N122)</f>
        <v>1204836.8400000001</v>
      </c>
      <c r="O123" s="176"/>
      <c r="P123" s="73">
        <f>SUM(P117:P122)</f>
        <v>1939936.8599999999</v>
      </c>
      <c r="Q123" s="73">
        <f>SUM(Q117:Q122)</f>
        <v>1939936.8599999999</v>
      </c>
      <c r="R123" s="176"/>
      <c r="S123" s="73">
        <f>SUM(S117:S122)</f>
        <v>0</v>
      </c>
      <c r="T123" s="73">
        <f>SUM(T117:T122)</f>
        <v>0</v>
      </c>
      <c r="U123" s="195"/>
      <c r="V123" s="84">
        <f>SUM(V117:V122)</f>
        <v>0</v>
      </c>
      <c r="W123" s="84">
        <f>SUM(W117:W122)</f>
        <v>0</v>
      </c>
      <c r="X123" s="195"/>
      <c r="Y123" s="230"/>
    </row>
    <row r="124" spans="1:25" s="155" customFormat="1" ht="15" customHeight="1" x14ac:dyDescent="0.25">
      <c r="A124" s="525" t="s">
        <v>57</v>
      </c>
      <c r="B124" s="526"/>
      <c r="C124" s="526"/>
      <c r="D124" s="526"/>
      <c r="E124" s="526"/>
      <c r="F124" s="526"/>
      <c r="G124" s="526"/>
      <c r="H124" s="526"/>
      <c r="I124" s="526"/>
      <c r="J124" s="526"/>
      <c r="K124" s="526"/>
      <c r="L124" s="526"/>
      <c r="M124" s="526"/>
      <c r="N124" s="526"/>
      <c r="O124" s="526"/>
      <c r="P124" s="526"/>
      <c r="Q124" s="526"/>
      <c r="R124" s="526"/>
      <c r="S124" s="526"/>
      <c r="T124" s="526"/>
      <c r="U124" s="526"/>
      <c r="V124" s="526"/>
      <c r="W124" s="526"/>
      <c r="X124" s="526"/>
      <c r="Y124" s="230"/>
    </row>
    <row r="125" spans="1:25" s="155" customFormat="1" ht="51" x14ac:dyDescent="0.25">
      <c r="A125" s="156"/>
      <c r="B125" s="159" t="s">
        <v>48</v>
      </c>
      <c r="C125" s="5"/>
      <c r="D125" s="158"/>
      <c r="E125" s="21"/>
      <c r="F125" s="21"/>
      <c r="G125" s="14"/>
      <c r="H125" s="14"/>
      <c r="I125" s="14"/>
      <c r="J125" s="14"/>
      <c r="K125" s="14"/>
      <c r="L125" s="14"/>
      <c r="M125" s="14"/>
      <c r="N125" s="14"/>
      <c r="O125" s="14"/>
      <c r="P125" s="14"/>
      <c r="Q125" s="14"/>
      <c r="R125" s="177"/>
      <c r="S125" s="14"/>
      <c r="T125" s="14"/>
      <c r="U125" s="194"/>
      <c r="V125" s="47"/>
      <c r="W125" s="47"/>
      <c r="X125" s="194"/>
      <c r="Y125" s="230"/>
    </row>
    <row r="126" spans="1:25" s="155" customFormat="1" ht="28.5" customHeight="1" x14ac:dyDescent="0.25">
      <c r="A126" s="115" t="s">
        <v>249</v>
      </c>
      <c r="B126" s="64" t="s">
        <v>83</v>
      </c>
      <c r="C126" s="5">
        <v>5</v>
      </c>
      <c r="D126" s="9" t="s">
        <v>70</v>
      </c>
      <c r="E126" s="28">
        <v>2017</v>
      </c>
      <c r="F126" s="28">
        <v>2019</v>
      </c>
      <c r="G126" s="9">
        <f t="shared" ref="G126:H131" si="15">J126+M126</f>
        <v>690000</v>
      </c>
      <c r="H126" s="14">
        <f t="shared" si="15"/>
        <v>690000</v>
      </c>
      <c r="I126" s="9"/>
      <c r="J126" s="9">
        <f>720000-30000</f>
        <v>690000</v>
      </c>
      <c r="K126" s="9">
        <f>720000-30000</f>
        <v>690000</v>
      </c>
      <c r="L126" s="9"/>
      <c r="M126" s="14"/>
      <c r="N126" s="14"/>
      <c r="O126" s="14"/>
      <c r="P126" s="14"/>
      <c r="Q126" s="14"/>
      <c r="R126" s="177"/>
      <c r="S126" s="14"/>
      <c r="T126" s="14"/>
      <c r="U126" s="194"/>
      <c r="V126" s="47"/>
      <c r="W126" s="47"/>
      <c r="X126" s="194"/>
      <c r="Y126" s="230"/>
    </row>
    <row r="127" spans="1:25" s="155" customFormat="1" ht="30.75" customHeight="1" x14ac:dyDescent="0.25">
      <c r="A127" s="115" t="s">
        <v>250</v>
      </c>
      <c r="B127" s="63" t="s">
        <v>49</v>
      </c>
      <c r="C127" s="5">
        <v>5</v>
      </c>
      <c r="D127" s="14" t="s">
        <v>124</v>
      </c>
      <c r="E127" s="28">
        <v>2016</v>
      </c>
      <c r="F127" s="28">
        <v>2019</v>
      </c>
      <c r="G127" s="9">
        <f t="shared" si="15"/>
        <v>620424.07999999996</v>
      </c>
      <c r="H127" s="14">
        <f t="shared" si="15"/>
        <v>620424.07999999996</v>
      </c>
      <c r="I127" s="9"/>
      <c r="J127" s="9">
        <v>117620.47</v>
      </c>
      <c r="K127" s="9">
        <v>117620.47</v>
      </c>
      <c r="L127" s="9"/>
      <c r="M127" s="9">
        <v>502803.61</v>
      </c>
      <c r="N127" s="9">
        <v>502803.61</v>
      </c>
      <c r="O127" s="9"/>
      <c r="P127" s="14"/>
      <c r="Q127" s="14"/>
      <c r="R127" s="177"/>
      <c r="S127" s="14"/>
      <c r="T127" s="14"/>
      <c r="U127" s="194"/>
      <c r="V127" s="47"/>
      <c r="W127" s="47"/>
      <c r="X127" s="194"/>
      <c r="Y127" s="230"/>
    </row>
    <row r="128" spans="1:25" s="155" customFormat="1" ht="42.75" customHeight="1" x14ac:dyDescent="0.25">
      <c r="A128" s="115" t="s">
        <v>251</v>
      </c>
      <c r="B128" s="63" t="s">
        <v>50</v>
      </c>
      <c r="C128" s="5">
        <v>5</v>
      </c>
      <c r="D128" s="14" t="s">
        <v>124</v>
      </c>
      <c r="E128" s="21">
        <v>2016</v>
      </c>
      <c r="F128" s="21">
        <v>2020</v>
      </c>
      <c r="G128" s="9">
        <f t="shared" si="15"/>
        <v>290766.37</v>
      </c>
      <c r="H128" s="14">
        <f t="shared" si="15"/>
        <v>290766.37</v>
      </c>
      <c r="I128" s="177"/>
      <c r="J128" s="14">
        <v>55029.98</v>
      </c>
      <c r="K128" s="14">
        <v>55029.98</v>
      </c>
      <c r="L128" s="177"/>
      <c r="M128" s="14">
        <v>235736.39</v>
      </c>
      <c r="N128" s="14">
        <v>235736.39</v>
      </c>
      <c r="O128" s="177"/>
      <c r="P128" s="14"/>
      <c r="Q128" s="14"/>
      <c r="R128" s="177"/>
      <c r="S128" s="14"/>
      <c r="T128" s="14"/>
      <c r="U128" s="194"/>
      <c r="V128" s="47"/>
      <c r="W128" s="47"/>
      <c r="X128" s="194"/>
      <c r="Y128" s="230"/>
    </row>
    <row r="129" spans="1:25" s="155" customFormat="1" ht="52.5" customHeight="1" x14ac:dyDescent="0.25">
      <c r="A129" s="115" t="s">
        <v>252</v>
      </c>
      <c r="B129" s="63" t="s">
        <v>138</v>
      </c>
      <c r="C129" s="5">
        <v>5</v>
      </c>
      <c r="D129" s="14" t="s">
        <v>126</v>
      </c>
      <c r="E129" s="28">
        <v>2017</v>
      </c>
      <c r="F129" s="28">
        <v>2022</v>
      </c>
      <c r="G129" s="9">
        <f t="shared" si="15"/>
        <v>3457000</v>
      </c>
      <c r="H129" s="14">
        <f t="shared" si="15"/>
        <v>3457000</v>
      </c>
      <c r="I129" s="87"/>
      <c r="J129" s="9">
        <v>3457000</v>
      </c>
      <c r="K129" s="9">
        <v>3457000</v>
      </c>
      <c r="L129" s="87"/>
      <c r="M129" s="14"/>
      <c r="N129" s="14"/>
      <c r="O129" s="177"/>
      <c r="P129" s="14"/>
      <c r="Q129" s="14"/>
      <c r="R129" s="177"/>
      <c r="S129" s="14"/>
      <c r="T129" s="14"/>
      <c r="U129" s="194"/>
      <c r="V129" s="47"/>
      <c r="W129" s="47"/>
      <c r="X129" s="194"/>
      <c r="Y129" s="230"/>
    </row>
    <row r="130" spans="1:25" s="155" customFormat="1" ht="18" customHeight="1" x14ac:dyDescent="0.25">
      <c r="A130" s="115"/>
      <c r="B130" s="161" t="s">
        <v>51</v>
      </c>
      <c r="C130" s="5"/>
      <c r="D130" s="158"/>
      <c r="E130" s="21"/>
      <c r="F130" s="21"/>
      <c r="G130" s="9">
        <f t="shared" si="15"/>
        <v>0</v>
      </c>
      <c r="H130" s="14">
        <f t="shared" si="15"/>
        <v>0</v>
      </c>
      <c r="I130" s="177"/>
      <c r="J130" s="14"/>
      <c r="K130" s="14"/>
      <c r="L130" s="177"/>
      <c r="M130" s="14"/>
      <c r="N130" s="14"/>
      <c r="O130" s="177"/>
      <c r="P130" s="14"/>
      <c r="Q130" s="14"/>
      <c r="R130" s="177"/>
      <c r="S130" s="14"/>
      <c r="T130" s="14"/>
      <c r="U130" s="194"/>
      <c r="V130" s="47"/>
      <c r="W130" s="47"/>
      <c r="X130" s="194"/>
      <c r="Y130" s="230"/>
    </row>
    <row r="131" spans="1:25" s="155" customFormat="1" ht="54" customHeight="1" x14ac:dyDescent="0.25">
      <c r="A131" s="115" t="s">
        <v>253</v>
      </c>
      <c r="B131" s="247" t="s">
        <v>90</v>
      </c>
      <c r="C131" s="5">
        <v>5</v>
      </c>
      <c r="D131" s="14" t="s">
        <v>118</v>
      </c>
      <c r="E131" s="21">
        <v>2016</v>
      </c>
      <c r="F131" s="21">
        <v>2019</v>
      </c>
      <c r="G131" s="9">
        <f t="shared" si="15"/>
        <v>4601547.3899999997</v>
      </c>
      <c r="H131" s="14">
        <f t="shared" si="15"/>
        <v>4601863.3899999997</v>
      </c>
      <c r="I131" s="177">
        <f>+H131-G131</f>
        <v>316</v>
      </c>
      <c r="J131" s="14">
        <v>833110.55</v>
      </c>
      <c r="K131" s="177">
        <f>833110.55+316</f>
        <v>833426.55</v>
      </c>
      <c r="L131" s="177">
        <f>+K131-J131</f>
        <v>316</v>
      </c>
      <c r="M131" s="14">
        <v>3768436.84</v>
      </c>
      <c r="N131" s="14">
        <v>3768436.84</v>
      </c>
      <c r="O131" s="177"/>
      <c r="P131" s="14"/>
      <c r="Q131" s="14"/>
      <c r="R131" s="177"/>
      <c r="S131" s="14"/>
      <c r="T131" s="14"/>
      <c r="U131" s="194"/>
      <c r="V131" s="47"/>
      <c r="W131" s="47"/>
      <c r="X131" s="194"/>
      <c r="Y131" s="563" t="s">
        <v>297</v>
      </c>
    </row>
    <row r="132" spans="1:25" s="155" customFormat="1" ht="15" x14ac:dyDescent="0.25">
      <c r="A132" s="113"/>
      <c r="B132" s="114"/>
      <c r="C132" s="65"/>
      <c r="D132" s="114"/>
      <c r="E132" s="65"/>
      <c r="F132" s="57" t="s">
        <v>17</v>
      </c>
      <c r="G132" s="73">
        <f t="shared" ref="G132:N132" si="16">SUM(G125:G131)</f>
        <v>9659737.8399999999</v>
      </c>
      <c r="H132" s="73">
        <f t="shared" si="16"/>
        <v>9660053.8399999999</v>
      </c>
      <c r="I132" s="73">
        <f t="shared" si="16"/>
        <v>316</v>
      </c>
      <c r="J132" s="73">
        <f t="shared" si="16"/>
        <v>5152761</v>
      </c>
      <c r="K132" s="73">
        <f t="shared" si="16"/>
        <v>5153077</v>
      </c>
      <c r="L132" s="73">
        <f t="shared" si="16"/>
        <v>316</v>
      </c>
      <c r="M132" s="73">
        <f t="shared" si="16"/>
        <v>4506976.84</v>
      </c>
      <c r="N132" s="73">
        <f t="shared" si="16"/>
        <v>4506976.84</v>
      </c>
      <c r="O132" s="176"/>
      <c r="P132" s="73">
        <f>SUM(P125:P131)</f>
        <v>0</v>
      </c>
      <c r="Q132" s="73">
        <f>SUM(Q125:Q131)</f>
        <v>0</v>
      </c>
      <c r="R132" s="176"/>
      <c r="S132" s="73">
        <f>SUM(S125:S131)</f>
        <v>0</v>
      </c>
      <c r="T132" s="73">
        <f>SUM(T125:T131)</f>
        <v>0</v>
      </c>
      <c r="U132" s="195"/>
      <c r="V132" s="84">
        <f>SUM(V125:V131)</f>
        <v>0</v>
      </c>
      <c r="W132" s="84">
        <f>SUM(W125:W131)</f>
        <v>0</v>
      </c>
      <c r="X132" s="195">
        <f>SUM(X125:X131)</f>
        <v>0</v>
      </c>
      <c r="Y132" s="563"/>
    </row>
    <row r="133" spans="1:25" s="155" customFormat="1" ht="16.5" customHeight="1" x14ac:dyDescent="0.25">
      <c r="A133" s="525" t="s">
        <v>58</v>
      </c>
      <c r="B133" s="526"/>
      <c r="C133" s="526"/>
      <c r="D133" s="526"/>
      <c r="E133" s="526"/>
      <c r="F133" s="526"/>
      <c r="G133" s="526"/>
      <c r="H133" s="526"/>
      <c r="I133" s="526"/>
      <c r="J133" s="526"/>
      <c r="K133" s="526"/>
      <c r="L133" s="526"/>
      <c r="M133" s="526"/>
      <c r="N133" s="526"/>
      <c r="O133" s="526"/>
      <c r="P133" s="526"/>
      <c r="Q133" s="526"/>
      <c r="R133" s="526"/>
      <c r="S133" s="526"/>
      <c r="T133" s="526"/>
      <c r="U133" s="526"/>
      <c r="V133" s="526"/>
      <c r="W133" s="526"/>
      <c r="X133" s="526"/>
      <c r="Y133" s="563"/>
    </row>
    <row r="134" spans="1:25" s="155" customFormat="1" ht="39" customHeight="1" x14ac:dyDescent="0.25">
      <c r="A134" s="115" t="s">
        <v>254</v>
      </c>
      <c r="B134" s="64" t="s">
        <v>89</v>
      </c>
      <c r="C134" s="26">
        <v>5</v>
      </c>
      <c r="D134" s="9" t="s">
        <v>77</v>
      </c>
      <c r="E134" s="28">
        <v>2017</v>
      </c>
      <c r="F134" s="28">
        <v>2020</v>
      </c>
      <c r="G134" s="9">
        <f t="shared" ref="G134:H137" si="17">J134+M134+V134</f>
        <v>2361700</v>
      </c>
      <c r="H134" s="14">
        <f t="shared" si="17"/>
        <v>2361700</v>
      </c>
      <c r="I134" s="87"/>
      <c r="J134" s="9">
        <v>813700</v>
      </c>
      <c r="K134" s="9">
        <v>813700</v>
      </c>
      <c r="L134" s="87"/>
      <c r="M134" s="9">
        <v>1548000</v>
      </c>
      <c r="N134" s="9">
        <v>1548000</v>
      </c>
      <c r="O134" s="87"/>
      <c r="P134" s="9"/>
      <c r="Q134" s="9"/>
      <c r="R134" s="87"/>
      <c r="S134" s="9"/>
      <c r="T134" s="9"/>
      <c r="U134" s="102"/>
      <c r="V134" s="43"/>
      <c r="W134" s="43"/>
      <c r="X134" s="102"/>
      <c r="Y134" s="230"/>
    </row>
    <row r="135" spans="1:25" s="155" customFormat="1" ht="45" customHeight="1" x14ac:dyDescent="0.25">
      <c r="A135" s="115" t="s">
        <v>255</v>
      </c>
      <c r="B135" s="63" t="s">
        <v>84</v>
      </c>
      <c r="C135" s="26">
        <v>5</v>
      </c>
      <c r="D135" s="9" t="s">
        <v>69</v>
      </c>
      <c r="E135" s="28">
        <v>2017</v>
      </c>
      <c r="F135" s="28">
        <v>2020</v>
      </c>
      <c r="G135" s="9">
        <f t="shared" si="17"/>
        <v>1100000</v>
      </c>
      <c r="H135" s="14">
        <f t="shared" si="17"/>
        <v>1100000</v>
      </c>
      <c r="I135" s="87"/>
      <c r="J135" s="9">
        <v>850000</v>
      </c>
      <c r="K135" s="9">
        <v>850000</v>
      </c>
      <c r="L135" s="87"/>
      <c r="M135" s="9"/>
      <c r="N135" s="9"/>
      <c r="O135" s="87"/>
      <c r="P135" s="9"/>
      <c r="Q135" s="9"/>
      <c r="R135" s="87"/>
      <c r="S135" s="9"/>
      <c r="T135" s="9"/>
      <c r="U135" s="102"/>
      <c r="V135" s="43">
        <v>250000</v>
      </c>
      <c r="W135" s="43">
        <v>250000</v>
      </c>
      <c r="X135" s="102"/>
      <c r="Y135" s="230"/>
    </row>
    <row r="136" spans="1:25" s="155" customFormat="1" ht="51" customHeight="1" x14ac:dyDescent="0.25">
      <c r="A136" s="115" t="s">
        <v>256</v>
      </c>
      <c r="B136" s="64" t="s">
        <v>52</v>
      </c>
      <c r="C136" s="26">
        <v>5</v>
      </c>
      <c r="D136" s="9" t="s">
        <v>42</v>
      </c>
      <c r="E136" s="28">
        <v>2017</v>
      </c>
      <c r="F136" s="28">
        <v>2021</v>
      </c>
      <c r="G136" s="9">
        <f t="shared" si="17"/>
        <v>335000</v>
      </c>
      <c r="H136" s="14">
        <f t="shared" si="17"/>
        <v>335000</v>
      </c>
      <c r="I136" s="87"/>
      <c r="J136" s="16">
        <v>335000</v>
      </c>
      <c r="K136" s="16">
        <v>335000</v>
      </c>
      <c r="L136" s="88"/>
      <c r="M136" s="37"/>
      <c r="N136" s="37"/>
      <c r="O136" s="187"/>
      <c r="P136" s="38"/>
      <c r="Q136" s="38"/>
      <c r="R136" s="189"/>
      <c r="S136" s="38"/>
      <c r="T136" s="38"/>
      <c r="U136" s="196"/>
      <c r="V136" s="48"/>
      <c r="W136" s="48"/>
      <c r="X136" s="196"/>
      <c r="Y136" s="230"/>
    </row>
    <row r="137" spans="1:25" s="155" customFormat="1" ht="42" customHeight="1" x14ac:dyDescent="0.25">
      <c r="A137" s="115" t="s">
        <v>257</v>
      </c>
      <c r="B137" s="64" t="s">
        <v>149</v>
      </c>
      <c r="C137" s="26">
        <v>5</v>
      </c>
      <c r="D137" s="9"/>
      <c r="E137" s="28">
        <v>2018</v>
      </c>
      <c r="F137" s="28">
        <v>2025</v>
      </c>
      <c r="G137" s="9">
        <f t="shared" si="17"/>
        <v>3053030</v>
      </c>
      <c r="H137" s="14">
        <f t="shared" si="17"/>
        <v>3053030</v>
      </c>
      <c r="I137" s="90"/>
      <c r="J137" s="19">
        <v>3053030</v>
      </c>
      <c r="K137" s="19">
        <v>3053030</v>
      </c>
      <c r="L137" s="183"/>
      <c r="M137" s="39"/>
      <c r="N137" s="39"/>
      <c r="O137" s="188"/>
      <c r="P137" s="40"/>
      <c r="Q137" s="40"/>
      <c r="R137" s="190"/>
      <c r="S137" s="40"/>
      <c r="T137" s="40"/>
      <c r="U137" s="197"/>
      <c r="V137" s="49"/>
      <c r="W137" s="49"/>
      <c r="X137" s="197"/>
      <c r="Y137" s="230"/>
    </row>
    <row r="138" spans="1:25" s="155" customFormat="1" ht="15" customHeight="1" thickBot="1" x14ac:dyDescent="0.3">
      <c r="A138" s="162"/>
      <c r="B138" s="163"/>
      <c r="C138" s="207"/>
      <c r="D138" s="163"/>
      <c r="E138" s="207"/>
      <c r="F138" s="214" t="s">
        <v>17</v>
      </c>
      <c r="G138" s="199">
        <f>SUM(G134:G137)</f>
        <v>6849730</v>
      </c>
      <c r="H138" s="199">
        <f>SUM(H134:H137)</f>
        <v>6849730</v>
      </c>
      <c r="I138" s="200"/>
      <c r="J138" s="164">
        <f>SUM(J134:J137)</f>
        <v>5051730</v>
      </c>
      <c r="K138" s="164">
        <f>SUM(K134:K137)</f>
        <v>5051730</v>
      </c>
      <c r="L138" s="178"/>
      <c r="M138" s="164">
        <f>SUM(M134:M137)</f>
        <v>1548000</v>
      </c>
      <c r="N138" s="164">
        <f>SUM(N134:N137)</f>
        <v>1548000</v>
      </c>
      <c r="O138" s="178"/>
      <c r="P138" s="164">
        <f>SUM(P134:P137)</f>
        <v>0</v>
      </c>
      <c r="Q138" s="164">
        <f>SUM(Q134:Q137)</f>
        <v>0</v>
      </c>
      <c r="R138" s="178"/>
      <c r="S138" s="164">
        <f>SUM(S134:S137)</f>
        <v>0</v>
      </c>
      <c r="T138" s="164">
        <f>SUM(T134:T137)</f>
        <v>0</v>
      </c>
      <c r="U138" s="198"/>
      <c r="V138" s="165">
        <f>SUM(V134:V137)</f>
        <v>250000</v>
      </c>
      <c r="W138" s="165">
        <f>SUM(W134:W137)</f>
        <v>250000</v>
      </c>
      <c r="X138" s="198">
        <f>SUM(X134:X137)</f>
        <v>0</v>
      </c>
      <c r="Y138" s="230"/>
    </row>
    <row r="139" spans="1:25" s="167" customFormat="1" ht="19.5" customHeight="1" thickBot="1" x14ac:dyDescent="0.25">
      <c r="A139" s="166"/>
      <c r="B139" s="527"/>
      <c r="C139" s="527"/>
      <c r="D139" s="527"/>
      <c r="E139" s="527"/>
      <c r="F139" s="527"/>
      <c r="G139" s="74">
        <f>SUMIF(F12:F138,"Iš viso:",G12:G138)</f>
        <v>251740226.47999999</v>
      </c>
      <c r="H139" s="85">
        <f>SUMIF(F12:F138,"Iš viso:",H12:H138)</f>
        <v>258105011.54999998</v>
      </c>
      <c r="I139" s="108">
        <f>SUMIF(F12:F138,"Iš viso:",I12:I138)</f>
        <v>6340785.0699999994</v>
      </c>
      <c r="J139" s="85">
        <f>SUMIF(F12:F138,"Iš viso:",J12:J138)</f>
        <v>142345208.41</v>
      </c>
      <c r="K139" s="85">
        <f>SUMIF(F12:F138,"Iš viso:",K12:K138)</f>
        <v>148700571.72</v>
      </c>
      <c r="L139" s="108">
        <f>SUMIF(F12:F138,"Iš viso:",L12:L138)</f>
        <v>6331363.3100000005</v>
      </c>
      <c r="M139" s="85">
        <f>SUMIF(F12:F138,"Iš viso:",M12:M138)</f>
        <v>48849513.49000001</v>
      </c>
      <c r="N139" s="85">
        <f>SUMIF(F12:F138,"Iš viso:",N12:N138)</f>
        <v>48858355.100000009</v>
      </c>
      <c r="O139" s="108">
        <f>SUMIF(F12:F138,"Iš viso:",O12:O138)</f>
        <v>8841.6099999996368</v>
      </c>
      <c r="P139" s="85">
        <f>SUMIF(F12:F138,"Iš viso:",P12:P138)</f>
        <v>20011711.879999999</v>
      </c>
      <c r="Q139" s="85">
        <f>SUMIF(F12:F138,"Iš viso:",Q12:Q138)</f>
        <v>20012292.029999997</v>
      </c>
      <c r="R139" s="108">
        <f>SUMIF(F12:F138,"Iš viso:",R12:R138)</f>
        <v>580.14999999997963</v>
      </c>
      <c r="S139" s="85">
        <f>SUMIF(F12:F138,"Iš viso:",S12:S138)</f>
        <v>27548546</v>
      </c>
      <c r="T139" s="85">
        <f>SUMIF(F12:F138,"Iš viso:",T12:T138)</f>
        <v>27548546</v>
      </c>
      <c r="U139" s="108">
        <f>SUMIF(F12:F138,"Iš viso:",U12:U138)</f>
        <v>0</v>
      </c>
      <c r="V139" s="85">
        <f>SUMIF(F12:F138,"Iš viso:",V12:V138)</f>
        <v>12985246.700000001</v>
      </c>
      <c r="W139" s="85">
        <f>SUMIF(F12:F138,"Iš viso:",W12:W138)</f>
        <v>12985246.700000001</v>
      </c>
      <c r="X139" s="226">
        <f>SUMIF(F12:F138,"Iš viso:",X12:X138)</f>
        <v>0</v>
      </c>
      <c r="Y139" s="231"/>
    </row>
    <row r="140" spans="1:25" s="77" customFormat="1" x14ac:dyDescent="0.2">
      <c r="A140" s="168"/>
      <c r="C140" s="75"/>
      <c r="E140" s="76"/>
      <c r="F140" s="76"/>
      <c r="I140" s="124"/>
      <c r="L140" s="124"/>
      <c r="O140" s="124"/>
      <c r="R140" s="124"/>
      <c r="U140" s="124"/>
      <c r="X140" s="124"/>
    </row>
    <row r="141" spans="1:25" x14ac:dyDescent="0.2">
      <c r="A141" s="169"/>
      <c r="F141" s="521" t="s">
        <v>281</v>
      </c>
      <c r="G141" s="521"/>
      <c r="H141" s="521"/>
      <c r="I141" s="521"/>
      <c r="J141" s="521"/>
      <c r="K141" s="170"/>
      <c r="L141" s="184"/>
    </row>
  </sheetData>
  <mergeCells count="39">
    <mergeCell ref="A116:X116"/>
    <mergeCell ref="A12:X12"/>
    <mergeCell ref="A33:X33"/>
    <mergeCell ref="A67:X67"/>
    <mergeCell ref="Y131:Y133"/>
    <mergeCell ref="Y96:Y97"/>
    <mergeCell ref="A90:X90"/>
    <mergeCell ref="A98:X98"/>
    <mergeCell ref="E8:F8"/>
    <mergeCell ref="C8:C10"/>
    <mergeCell ref="T1:X1"/>
    <mergeCell ref="V8:X9"/>
    <mergeCell ref="B2:X2"/>
    <mergeCell ref="B4:G4"/>
    <mergeCell ref="B5:J5"/>
    <mergeCell ref="B6:E6"/>
    <mergeCell ref="M8:O9"/>
    <mergeCell ref="P8:R9"/>
    <mergeCell ref="S8:U9"/>
    <mergeCell ref="D8:D10"/>
    <mergeCell ref="E9:E10"/>
    <mergeCell ref="F9:F10"/>
    <mergeCell ref="S10:U10"/>
    <mergeCell ref="F141:J141"/>
    <mergeCell ref="G8:I9"/>
    <mergeCell ref="J8:L9"/>
    <mergeCell ref="A124:X124"/>
    <mergeCell ref="A133:X133"/>
    <mergeCell ref="B139:F139"/>
    <mergeCell ref="V10:X10"/>
    <mergeCell ref="B8:B10"/>
    <mergeCell ref="G10:I10"/>
    <mergeCell ref="J10:L10"/>
    <mergeCell ref="M10:O10"/>
    <mergeCell ref="P10:R10"/>
    <mergeCell ref="A8:A9"/>
    <mergeCell ref="A18:X18"/>
    <mergeCell ref="A20:A21"/>
    <mergeCell ref="B20:B21"/>
  </mergeCells>
  <printOptions horizontalCentered="1"/>
  <pageMargins left="0" right="0" top="0.47244094488188981" bottom="0.11811023622047245" header="0.31496062992125984" footer="0.31496062992125984"/>
  <pageSetup paperSize="9" scale="46"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3</vt:i4>
      </vt:variant>
      <vt:variant>
        <vt:lpstr>Įvardinti diapazonai</vt:lpstr>
      </vt:variant>
      <vt:variant>
        <vt:i4>6</vt:i4>
      </vt:variant>
    </vt:vector>
  </HeadingPairs>
  <TitlesOfParts>
    <vt:vector size="9" baseType="lpstr">
      <vt:lpstr>Priemonių planas</vt:lpstr>
      <vt:lpstr>Lyginamasis</vt:lpstr>
      <vt:lpstr>Lyginamasis variantas</vt:lpstr>
      <vt:lpstr>Lyginamasis!Print_Area</vt:lpstr>
      <vt:lpstr>'Lyginamasis variantas'!Print_Area</vt:lpstr>
      <vt:lpstr>'Priemonių planas'!Print_Area</vt:lpstr>
      <vt:lpstr>Lyginamasis!Print_Titles</vt:lpstr>
      <vt:lpstr>'Lyginamasis variantas'!Print_Titles</vt:lpstr>
      <vt:lpstr>'Priemonių planas'!Print_Titles</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Audra Cepiene</dc:creator>
  <cp:lastModifiedBy>Inga Mikalauskienė</cp:lastModifiedBy>
  <cp:lastPrinted>2022-01-25T12:18:20Z</cp:lastPrinted>
  <dcterms:created xsi:type="dcterms:W3CDTF">2016-08-26T11:07:05Z</dcterms:created>
  <dcterms:modified xsi:type="dcterms:W3CDTF">2023-01-03T15:01:06Z</dcterms:modified>
</cp:coreProperties>
</file>