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3-2025 SVP keitimas\2023-2025 SVP keitimas (spalis)\Sprendimas\"/>
    </mc:Choice>
  </mc:AlternateContent>
  <xr:revisionPtr revIDLastSave="0" documentId="13_ncr:1_{984B45DC-099B-419E-9577-711A99961418}" xr6:coauthVersionLast="47" xr6:coauthVersionMax="47" xr10:uidLastSave="{00000000-0000-0000-0000-000000000000}"/>
  <bookViews>
    <workbookView xWindow="28680" yWindow="-120" windowWidth="38640" windowHeight="21120" tabRatio="723" xr2:uid="{00000000-000D-0000-FFFF-FFFF00000000}"/>
  </bookViews>
  <sheets>
    <sheet name="10 programa" sheetId="58" r:id="rId1"/>
  </sheets>
  <definedNames>
    <definedName name="_xlnm.Print_Area" localSheetId="0">'10 programa'!$A$1:$M$288</definedName>
    <definedName name="_xlnm.Print_Titles" localSheetId="0">'10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0" i="58" l="1"/>
  <c r="G112" i="58"/>
  <c r="G250" i="58"/>
  <c r="G248" i="58"/>
  <c r="G224" i="58"/>
  <c r="G221" i="58"/>
  <c r="H196" i="58"/>
  <c r="G197" i="58"/>
  <c r="G196" i="58"/>
  <c r="I119" i="58"/>
  <c r="I111" i="58"/>
  <c r="H111" i="58"/>
  <c r="G111" i="58"/>
  <c r="G85" i="58"/>
  <c r="G18" i="58" l="1"/>
  <c r="I16" i="58"/>
  <c r="H16" i="58"/>
  <c r="G16" i="58"/>
  <c r="G76" i="58" l="1"/>
  <c r="G59" i="58"/>
  <c r="G45" i="58"/>
  <c r="G38" i="58"/>
  <c r="G34" i="58"/>
  <c r="G31" i="58"/>
  <c r="G28" i="58"/>
  <c r="G25" i="58"/>
  <c r="G17" i="58"/>
  <c r="G206" i="58" l="1"/>
  <c r="G218" i="58" s="1"/>
  <c r="G244" i="58" l="1"/>
  <c r="G243" i="58"/>
  <c r="G242" i="58"/>
  <c r="G238" i="58"/>
  <c r="G236" i="58"/>
  <c r="G228" i="58"/>
  <c r="G225" i="58"/>
  <c r="G203" i="58"/>
  <c r="G124" i="58"/>
  <c r="G122" i="58"/>
  <c r="G60" i="58" l="1"/>
  <c r="G259" i="58"/>
  <c r="I233" i="58"/>
  <c r="H233" i="58"/>
  <c r="G233" i="58"/>
  <c r="I221" i="58"/>
  <c r="H221" i="58"/>
  <c r="G192" i="58" l="1"/>
  <c r="G183" i="58"/>
  <c r="G193" i="58" s="1"/>
  <c r="I145" i="58"/>
  <c r="H145" i="58"/>
  <c r="G145" i="58"/>
  <c r="H141" i="58"/>
  <c r="G141" i="58"/>
  <c r="G114" i="58"/>
  <c r="G113" i="58"/>
  <c r="G80" i="58"/>
  <c r="G78" i="58"/>
  <c r="G75" i="58"/>
  <c r="G73" i="58"/>
  <c r="G48" i="58"/>
  <c r="G46" i="58"/>
  <c r="G35" i="58"/>
  <c r="G29" i="58"/>
  <c r="G27" i="58"/>
  <c r="G22" i="58"/>
  <c r="G182" i="58" l="1"/>
  <c r="G278" i="58"/>
  <c r="H278" i="58"/>
  <c r="I278" i="58"/>
  <c r="I286" i="58"/>
  <c r="H286" i="58"/>
  <c r="G286" i="58"/>
  <c r="G245" i="58"/>
  <c r="G164" i="58"/>
  <c r="G159" i="58"/>
  <c r="G158" i="58"/>
  <c r="G150" i="58"/>
  <c r="G132" i="58"/>
  <c r="G91" i="58"/>
  <c r="G86" i="58"/>
  <c r="G36" i="58"/>
  <c r="G19" i="58"/>
  <c r="I48" i="58" l="1"/>
  <c r="L49" i="58"/>
  <c r="M49" i="58" s="1"/>
  <c r="G52" i="58"/>
  <c r="H78" i="58"/>
  <c r="I78" i="58"/>
  <c r="G83" i="58"/>
  <c r="H83" i="58"/>
  <c r="I83" i="58"/>
  <c r="G84" i="58"/>
  <c r="H84" i="58"/>
  <c r="I84" i="58"/>
  <c r="G93" i="58"/>
  <c r="H93" i="58"/>
  <c r="I93" i="58"/>
  <c r="G97" i="58"/>
  <c r="H97" i="58"/>
  <c r="I97" i="58"/>
  <c r="G99" i="58"/>
  <c r="H99" i="58"/>
  <c r="I99" i="58"/>
  <c r="G101" i="58"/>
  <c r="H101" i="58"/>
  <c r="I101" i="58"/>
  <c r="G103" i="58"/>
  <c r="H103" i="58"/>
  <c r="I103" i="58"/>
  <c r="G110" i="58"/>
  <c r="H110" i="58"/>
  <c r="I110" i="58"/>
  <c r="G128" i="58"/>
  <c r="H128" i="58"/>
  <c r="G169" i="58"/>
  <c r="H169" i="58"/>
  <c r="H182" i="58"/>
  <c r="I182" i="58"/>
  <c r="H193" i="58"/>
  <c r="I193" i="58"/>
  <c r="G205" i="58"/>
  <c r="H205" i="58"/>
  <c r="I205" i="58"/>
  <c r="H218" i="58"/>
  <c r="I218" i="58"/>
  <c r="H225" i="58"/>
  <c r="I225" i="58"/>
  <c r="H229" i="58"/>
  <c r="I229" i="58"/>
  <c r="H236" i="58"/>
  <c r="I236" i="58"/>
  <c r="G237" i="58"/>
  <c r="H237" i="58"/>
  <c r="I237" i="58"/>
  <c r="H238" i="58"/>
  <c r="I238" i="58"/>
  <c r="H243" i="58"/>
  <c r="I243" i="58"/>
  <c r="H245" i="58"/>
  <c r="I245" i="58"/>
  <c r="G247" i="58"/>
  <c r="H247" i="58"/>
  <c r="I247" i="58"/>
  <c r="G249" i="58"/>
  <c r="H249" i="58"/>
  <c r="I249" i="58"/>
  <c r="H259" i="58"/>
  <c r="I259" i="58"/>
  <c r="G264" i="58"/>
  <c r="H264" i="58"/>
  <c r="I264" i="58"/>
  <c r="G273" i="58"/>
  <c r="H273" i="58"/>
  <c r="I273" i="58"/>
  <c r="G274" i="58"/>
  <c r="H274" i="58"/>
  <c r="I274" i="58"/>
  <c r="G275" i="58"/>
  <c r="H275" i="58"/>
  <c r="I275" i="58"/>
  <c r="G276" i="58"/>
  <c r="H276" i="58"/>
  <c r="I276" i="58"/>
  <c r="G277" i="58"/>
  <c r="H277" i="58"/>
  <c r="I277" i="58"/>
  <c r="G279" i="58"/>
  <c r="H279" i="58"/>
  <c r="I279" i="58"/>
  <c r="G280" i="58"/>
  <c r="H280" i="58"/>
  <c r="I280" i="58"/>
  <c r="G281" i="58"/>
  <c r="H281" i="58"/>
  <c r="I281" i="58"/>
  <c r="G282" i="58"/>
  <c r="H282" i="58"/>
  <c r="I282" i="58"/>
  <c r="G284" i="58"/>
  <c r="H284" i="58"/>
  <c r="I284" i="58"/>
  <c r="G285" i="58"/>
  <c r="H285" i="58"/>
  <c r="I285" i="58"/>
  <c r="I104" i="58" l="1"/>
  <c r="H104" i="58"/>
  <c r="G104" i="58"/>
  <c r="G105" i="58" s="1"/>
  <c r="G283" i="58"/>
  <c r="I283" i="58"/>
  <c r="H283" i="58"/>
  <c r="I265" i="58"/>
  <c r="G219" i="58"/>
  <c r="I194" i="58"/>
  <c r="H105" i="58"/>
  <c r="I105" i="58"/>
  <c r="G272" i="58"/>
  <c r="G271" i="58" s="1"/>
  <c r="H219" i="58"/>
  <c r="H272" i="58"/>
  <c r="H271" i="58" s="1"/>
  <c r="G194" i="58"/>
  <c r="G265" i="58"/>
  <c r="H265" i="58"/>
  <c r="H194" i="58"/>
  <c r="I272" i="58"/>
  <c r="I271" i="58" s="1"/>
  <c r="I219" i="58"/>
  <c r="I266" i="58" l="1"/>
  <c r="I267" i="58" s="1"/>
  <c r="G266" i="58"/>
  <c r="G267" i="58" s="1"/>
  <c r="H266" i="58"/>
  <c r="H267" i="58" s="1"/>
  <c r="G287" i="58"/>
  <c r="I287" i="58"/>
  <c r="H287" i="5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Snieguole Kacerauskaite</author>
    <author>Asta Česnauskienė</author>
    <author>Ingrida Urbonaviciene</author>
    <author>Indrė Butenienė</author>
  </authors>
  <commentList>
    <comment ref="E2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 xml:space="preserve">: 
5.1.3. Įrengta inovatyvių išmanių grupių ikimokyklinio ugdymo įstaigose, vnt. </t>
        </r>
      </text>
    </comment>
    <comment ref="E23" authorId="1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P-1.3.2.5
</t>
        </r>
      </text>
    </comment>
    <comment ref="K33" authorId="1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 xml:space="preserve">Laimingų vaikų pilis (Miško darželis) ir Vaikų ugdymo akademija
</t>
        </r>
      </text>
    </comment>
    <comment ref="K40" authorId="2" shapeId="0" xr:uid="{00000000-0006-0000-0100-000004000000}">
      <text>
        <r>
          <rPr>
            <b/>
            <sz val="9"/>
            <color indexed="81"/>
            <rFont val="Tahoma"/>
            <family val="2"/>
            <charset val="186"/>
          </rPr>
          <t>Ingrida Urbonaviciene:</t>
        </r>
        <r>
          <rPr>
            <sz val="9"/>
            <color indexed="81"/>
            <rFont val="Tahoma"/>
            <family val="2"/>
            <charset val="186"/>
          </rPr>
          <t xml:space="preserve">
„Gabijos“, Sendvario, Vitės, „Vyturio“ progimnazijos, „Varpo“ gimnazija</t>
        </r>
      </text>
    </comment>
    <comment ref="K43" authorId="1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 xml:space="preserve">„Aitvaro“, „Žaliakalnio“ gimnazijos, Liudviko Stulpino, „Santarvės“, „Smeltės“ ir „Saulėtekio“ progimnazijos
</t>
        </r>
      </text>
    </comment>
    <comment ref="E45" authorId="1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 xml:space="preserve">P-1.3.2.3
</t>
        </r>
      </text>
    </comment>
    <comment ref="E53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 
5.1.2. Padidintas psichologų, teikiančių paslaugas ikimokyklinio ugdymo įstaigoms, etatų skaičius BĮ Klaipėdos pedagoginė psichologinė tarnyba</t>
        </r>
      </text>
    </comment>
    <comment ref="E55" authorId="1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 xml:space="preserve">P-2.4.3.3.
</t>
        </r>
      </text>
    </comment>
    <comment ref="E57" authorId="1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 xml:space="preserve">P-1.3.2.5
</t>
        </r>
      </text>
    </comment>
    <comment ref="E63" authorId="3" shapeId="0" xr:uid="{00000000-0006-0000-0100-00000A000000}">
      <text>
        <r>
          <rPr>
            <b/>
            <sz val="9"/>
            <color indexed="81"/>
            <rFont val="Tahoma"/>
            <family val="2"/>
            <charset val="186"/>
          </rPr>
          <t xml:space="preserve">KEPS 2.2.4. </t>
        </r>
        <r>
          <rPr>
            <sz val="9"/>
            <color indexed="81"/>
            <rFont val="Tahoma"/>
            <family val="2"/>
            <charset val="186"/>
          </rPr>
          <t xml:space="preserve"> Įsteigti gamtos mokslų, technologijų ir inžinerijos, matematikos ir menų (STEAM) centrą </t>
        </r>
      </text>
    </comment>
    <comment ref="E64" authorId="1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 xml:space="preserve">P-1.3.1.2
</t>
        </r>
      </text>
    </comment>
    <comment ref="E65" authorId="1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 xml:space="preserve">P-1.3.2.1
</t>
        </r>
      </text>
    </comment>
    <comment ref="E66" authorId="1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K66" authorId="1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 xml:space="preserve">"Aukuro" ir V. Didžiojo gimnazijos
</t>
        </r>
      </text>
    </comment>
    <comment ref="L66" authorId="1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 xml:space="preserve">„Aukuro“ gimnazija
</t>
        </r>
      </text>
    </comment>
    <comment ref="M66" authorId="1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 xml:space="preserve">"Aukuro" gimnazija
</t>
        </r>
      </text>
    </comment>
    <comment ref="E70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>:
5.2.1. Įgyvendintų bendrų projektų su aukštosiomis mokyklomis skaičius
5.2.2. Įsteigta universitetinių klasių, vnt.</t>
        </r>
      </text>
    </comment>
    <comment ref="E71" authorId="1" shapeId="0" xr:uid="{00000000-0006-0000-0100-000012000000}">
      <text>
        <r>
          <rPr>
            <sz val="9"/>
            <color indexed="81"/>
            <rFont val="Tahoma"/>
            <family val="2"/>
            <charset val="186"/>
          </rPr>
          <t>P-1.3.2.4
P-1.3.2.8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72" authorId="3" shapeId="0" xr:uid="{00000000-0006-0000-0100-000013000000}">
      <text>
        <r>
          <rPr>
            <b/>
            <sz val="9"/>
            <color indexed="81"/>
            <rFont val="Tahoma"/>
            <family val="2"/>
            <charset val="186"/>
          </rPr>
          <t>KEPS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  <r>
          <rPr>
            <b/>
            <sz val="9"/>
            <color indexed="81"/>
            <rFont val="Tahoma"/>
            <family val="2"/>
            <charset val="186"/>
          </rPr>
          <t>2.2.2</t>
        </r>
        <r>
          <rPr>
            <sz val="9"/>
            <color indexed="81"/>
            <rFont val="Tahoma"/>
            <family val="2"/>
            <charset val="186"/>
          </rPr>
          <t xml:space="preserve">. Įsteigti universitetinių klasių ir universitetinę ikimokyklinę įstaigą, gimnaziją ir progimnaziją, kurių ugdymo turinys būtų derinamas su Klaipėdos universitetu </t>
        </r>
      </text>
    </comment>
    <comment ref="E77" authorId="1" shapeId="0" xr:uid="{00000000-0006-0000-0100-000014000000}">
      <text>
        <r>
          <rPr>
            <sz val="9"/>
            <color indexed="81"/>
            <rFont val="Tahoma"/>
            <family val="2"/>
            <charset val="186"/>
          </rPr>
          <t xml:space="preserve">P-1.3.2.10
</t>
        </r>
      </text>
    </comment>
    <comment ref="E81" authorId="1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>P-1.1.2.1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8" authorId="0" shapeId="0" xr:uid="{00000000-0006-0000-0100-000016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 
5.1.11. Padidintas finansavimas vasaros poilsio stovykloms, proc.</t>
        </r>
      </text>
    </comment>
    <comment ref="E90" authorId="1" shapeId="0" xr:uid="{00000000-0006-0000-0100-000017000000}">
      <text>
        <r>
          <rPr>
            <sz val="9"/>
            <color indexed="81"/>
            <rFont val="Tahoma"/>
            <family val="2"/>
            <charset val="186"/>
          </rPr>
          <t xml:space="preserve">P-2.4.3.2
</t>
        </r>
      </text>
    </comment>
    <comment ref="E92" authorId="1" shapeId="0" xr:uid="{00000000-0006-0000-0100-000018000000}">
      <text>
        <r>
          <rPr>
            <sz val="9"/>
            <color indexed="81"/>
            <rFont val="Tahoma"/>
            <family val="2"/>
            <charset val="186"/>
          </rPr>
          <t xml:space="preserve">P-2.4.3.4
</t>
        </r>
      </text>
    </comment>
    <comment ref="E108" authorId="0" shapeId="0" xr:uid="{00000000-0006-0000-0100-000019000000}">
      <text>
        <r>
          <rPr>
            <b/>
            <sz val="9"/>
            <color indexed="81"/>
            <rFont val="Tahoma"/>
            <family val="2"/>
            <charset val="186"/>
          </rPr>
          <t xml:space="preserve">5.1. Ikimokyklinio ir bendrojo ugdymo paslaugų prieinamumo ir kokybės gerinimas: </t>
        </r>
        <r>
          <rPr>
            <sz val="9"/>
            <color indexed="81"/>
            <rFont val="Tahoma"/>
            <family val="2"/>
            <charset val="186"/>
          </rPr>
          <t xml:space="preserve">5.1.4. Įrengta naujų ikimokyklinio ugdymo vietų centrinėje ir šiaurinėje miesto dalyse 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22" authorId="0" shapeId="0" xr:uid="{00000000-0006-0000-0100-00001A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gerinimas:</t>
        </r>
        <r>
          <rPr>
            <sz val="9"/>
            <color indexed="81"/>
            <rFont val="Tahoma"/>
            <family val="2"/>
            <charset val="186"/>
          </rPr>
          <t xml:space="preserve">
5.1.9. Įrengta naujų bendrojo ugdymo vietų šiaurinėje miesto dalyje, vnt.
5.1.12. Įgyvendinta investicinių projektų bendrojo lavinimo ir neformalaus ugdymo srityje, vnt.</t>
        </r>
      </text>
    </comment>
    <comment ref="E124" authorId="1" shapeId="0" xr:uid="{00000000-0006-0000-0100-00001B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E128" authorId="1" shapeId="0" xr:uid="{00000000-0006-0000-0100-00001C000000}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K128" authorId="1" shapeId="0" xr:uid="{00000000-0006-0000-0100-00001D000000}">
      <text>
        <r>
          <rPr>
            <sz val="9"/>
            <color indexed="81"/>
            <rFont val="Tahoma"/>
            <family val="2"/>
            <charset val="186"/>
          </rPr>
          <t xml:space="preserve">Gilijos
</t>
        </r>
      </text>
    </comment>
    <comment ref="L128" authorId="1" shapeId="0" xr:uid="{00000000-0006-0000-0100-00001E000000}">
      <text>
        <r>
          <rPr>
            <sz val="9"/>
            <color indexed="81"/>
            <rFont val="Tahoma"/>
            <family val="2"/>
            <charset val="186"/>
          </rPr>
          <t xml:space="preserve">Sendvario, Baltijos, Aukuro
</t>
        </r>
      </text>
    </comment>
    <comment ref="M128" authorId="1" shapeId="0" xr:uid="{00000000-0006-0000-0100-00001F000000}">
      <text>
        <r>
          <rPr>
            <sz val="9"/>
            <color indexed="81"/>
            <rFont val="Tahoma"/>
            <family val="2"/>
            <charset val="186"/>
          </rPr>
          <t xml:space="preserve">Varpo gimnazijos
</t>
        </r>
      </text>
    </comment>
    <comment ref="E132" authorId="0" shapeId="0" xr:uid="{00000000-0006-0000-0100-000020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5.1.12. Įgyvendinta investicinių projektų bendrojo lavinimo ir neformalaus ugdymo srityje, vnt.</t>
        </r>
      </text>
    </comment>
    <comment ref="K132" authorId="1" shapeId="0" xr:uid="{00000000-0006-0000-0100-000021000000}">
      <text>
        <r>
          <rPr>
            <sz val="9"/>
            <color indexed="81"/>
            <rFont val="Tahoma"/>
            <family val="2"/>
            <charset val="186"/>
          </rPr>
          <t xml:space="preserve">Planuojama nupirkti  sporto įrangą Verdenės, Smeltės, L. Stulpino progimnazijoms ir Varpo gimnazijai
</t>
        </r>
      </text>
    </comment>
    <comment ref="E144" authorId="1" shapeId="0" xr:uid="{00000000-0006-0000-0100-000022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E146" authorId="1" shapeId="0" xr:uid="{00000000-0006-0000-0100-000023000000}">
      <text>
        <r>
          <rPr>
            <sz val="9"/>
            <color indexed="81"/>
            <rFont val="Tahoma"/>
            <family val="2"/>
            <charset val="186"/>
          </rPr>
          <t xml:space="preserve">P-1.3.1.1
</t>
        </r>
      </text>
    </comment>
    <comment ref="E149" authorId="1" shapeId="0" xr:uid="{00000000-0006-0000-0100-000024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E151" authorId="1" shapeId="0" xr:uid="{00000000-0006-0000-0100-000025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E157" authorId="0" shapeId="0" xr:uid="{00000000-0006-0000-0100-000026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5.1.4. Įrengta naujų ikimokyklinio ugdymo vietų centrinėje ir šiaurinėje miesto dalyse
5.1.5. Renovuota ikimokyklinio ugdymo įstaigų pastatų, vnt.
5.1.12. Įgyvendinta investicinių projektų bendrojo lavinimo ir neformalaus ugdymo srityje, vnt.</t>
        </r>
      </text>
    </comment>
    <comment ref="E158" authorId="1" shapeId="0" xr:uid="{00000000-0006-0000-0100-000027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D164" authorId="1" shapeId="0" xr:uid="{00000000-0006-0000-0100-000028000000}">
      <text>
        <r>
          <rPr>
            <b/>
            <sz val="9"/>
            <color indexed="81"/>
            <rFont val="Tahoma"/>
            <family val="2"/>
            <charset val="186"/>
          </rPr>
          <t xml:space="preserve">Rima Ališauskė:
</t>
        </r>
        <r>
          <rPr>
            <sz val="9"/>
            <color indexed="81"/>
            <rFont val="Tahoma"/>
            <family val="2"/>
            <charset val="186"/>
          </rPr>
          <t>2023 m.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  <r>
          <rPr>
            <sz val="9"/>
            <color indexed="81"/>
            <rFont val="Tahoma"/>
            <family val="2"/>
            <charset val="186"/>
          </rPr>
          <t xml:space="preserve">rekonstruotas 1 pastatas l/d "Saulutės" 100 proc., 2024 m. parengti 2 tech. projektai, rekonstruotas 1 pastatas l/d "Vėtrungėlė" (l/d "Vėrinėlis" skyrius) 40 proc., 2025 m. parengti 2 tech. projektai, rekonstruotas 1 pastatas l/d "Vėtrungėlė" (l/d "Vėrinėlis" skyrius) 100 proc.; rekonstruotas l/d "Vėtrungėlė" (l/d "Pingvinukas"skyrius) 40 proc.
</t>
        </r>
      </text>
    </comment>
    <comment ref="J164" authorId="1" shapeId="0" xr:uid="{00000000-0006-0000-0100-000029000000}">
      <text>
        <r>
          <rPr>
            <sz val="9"/>
            <color indexed="81"/>
            <rFont val="Tahoma"/>
            <family val="2"/>
            <charset val="186"/>
          </rPr>
          <t>l/d Saulutė ir Vėrinėlis techn. projektai yra parengti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64" authorId="1" shapeId="0" xr:uid="{00000000-0006-0000-0100-00002A000000}">
      <text>
        <r>
          <rPr>
            <sz val="9"/>
            <color indexed="81"/>
            <rFont val="Tahoma"/>
            <family val="2"/>
            <charset val="186"/>
          </rPr>
          <t xml:space="preserve">l/d "Vėtrungėlė" (l/d "Pingvinukas"skyrius) ir l/d "Putinėlis" ESCO
</t>
        </r>
      </text>
    </comment>
    <comment ref="M164" authorId="1" shapeId="0" xr:uid="{00000000-0006-0000-0100-00002B000000}">
      <text>
        <r>
          <rPr>
            <sz val="9"/>
            <color indexed="81"/>
            <rFont val="Tahoma"/>
            <family val="2"/>
            <charset val="186"/>
          </rPr>
          <t xml:space="preserve">l/d "Radastėlė" ESCO ir l/d "Kregždutė" ESCO
</t>
        </r>
      </text>
    </comment>
    <comment ref="E165" authorId="1" shapeId="0" xr:uid="{00000000-0006-0000-0100-00002C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E167" authorId="1" shapeId="0" xr:uid="{00000000-0006-0000-0100-00002D000000}">
      <text>
        <r>
          <rPr>
            <sz val="9"/>
            <color indexed="81"/>
            <rFont val="Tahoma"/>
            <family val="2"/>
            <charset val="186"/>
          </rPr>
          <t xml:space="preserve">P-1.3.1.1
</t>
        </r>
      </text>
    </comment>
    <comment ref="E169" authorId="1" shapeId="0" xr:uid="{00000000-0006-0000-0100-00002E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J169" authorId="1" shapeId="0" xr:uid="{00000000-0006-0000-0100-00002F000000}">
      <text>
        <r>
          <rPr>
            <sz val="9"/>
            <color indexed="81"/>
            <rFont val="Tahoma"/>
            <family val="2"/>
            <charset val="186"/>
          </rPr>
          <t xml:space="preserve">Techninis projektas parengtas 2019 m.
</t>
        </r>
      </text>
    </comment>
    <comment ref="J170" authorId="1" shapeId="0" xr:uid="{00000000-0006-0000-0100-000030000000}">
      <text>
        <r>
          <rPr>
            <sz val="9"/>
            <color indexed="81"/>
            <rFont val="Tahoma"/>
            <family val="2"/>
            <charset val="186"/>
          </rPr>
          <t xml:space="preserve">Techninis projektas parengtas 2019 m.
</t>
        </r>
      </text>
    </comment>
    <comment ref="E171" authorId="1" shapeId="0" xr:uid="{00000000-0006-0000-0100-000031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E173" authorId="1" shapeId="0" xr:uid="{00000000-0006-0000-0100-000032000000}">
      <text>
        <r>
          <rPr>
            <sz val="9"/>
            <color indexed="81"/>
            <rFont val="Tahoma"/>
            <family val="2"/>
            <charset val="186"/>
          </rPr>
          <t xml:space="preserve">P-1.3.1.1
</t>
        </r>
      </text>
    </comment>
    <comment ref="E187" authorId="1" shapeId="0" xr:uid="{00000000-0006-0000-0100-000033000000}">
      <text>
        <r>
          <rPr>
            <sz val="9"/>
            <color indexed="81"/>
            <rFont val="Tahoma"/>
            <family val="2"/>
            <charset val="186"/>
          </rPr>
          <t xml:space="preserve">P-1.3.1.1
</t>
        </r>
      </text>
    </comment>
    <comment ref="E188" authorId="1" shapeId="0" xr:uid="{00000000-0006-0000-0100-000034000000}">
      <text>
        <r>
          <rPr>
            <sz val="9"/>
            <color indexed="81"/>
            <rFont val="Tahoma"/>
            <family val="2"/>
            <charset val="186"/>
          </rPr>
          <t xml:space="preserve">P-1.3.1.1
</t>
        </r>
      </text>
    </comment>
    <comment ref="K188" authorId="1" shapeId="0" xr:uid="{00000000-0006-0000-0100-000035000000}">
      <text>
        <r>
          <rPr>
            <sz val="9"/>
            <color indexed="81"/>
            <rFont val="Tahoma"/>
            <family val="2"/>
            <charset val="186"/>
          </rPr>
          <t xml:space="preserve">Vaikų laisvalaikio centro klubuose „Saulutė“ ir „Švyturys“ ir Pedagoginėje psichologinėje tarnyboje
</t>
        </r>
      </text>
    </comment>
    <comment ref="K191" authorId="1" shapeId="0" xr:uid="{00000000-0006-0000-0100-000036000000}">
      <text>
        <r>
          <rPr>
            <sz val="9"/>
            <color indexed="81"/>
            <rFont val="Tahoma"/>
            <family val="2"/>
            <charset val="186"/>
          </rPr>
          <t>Varpo gimnazija
Jūrų kadetų mokykla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12" authorId="1" shapeId="0" xr:uid="{00000000-0006-0000-0100-000037000000}">
      <text>
        <r>
          <rPr>
            <sz val="9"/>
            <color indexed="81"/>
            <rFont val="Tahoma"/>
            <family val="2"/>
            <charset val="186"/>
          </rPr>
          <t xml:space="preserve">Adomo Brako dailės mokykla, 
Juozo Karoso muzikos mokykla,
Jeronimo Kačinsko muzikos mokykla,
Pedagoginė psichologinė tarnyba,
Pedagogų švietimo ir kultūros centras
</t>
        </r>
      </text>
    </comment>
    <comment ref="K225" authorId="1" shapeId="0" xr:uid="{00000000-0006-0000-0100-000038000000}">
      <text>
        <r>
          <rPr>
            <sz val="9"/>
            <color indexed="81"/>
            <rFont val="Tahoma"/>
            <family val="2"/>
            <charset val="186"/>
          </rPr>
          <t>16 darželių:
1. 2. l/d Ąžuoliukas
2. l/d Bangelė
3. l/d Berželis
4. l/d Bitutė
5. l/d Čiauškutė
6. l/d Pagrandukas
7. l/d Papartėlis
8. l/d Radastėlė
9. l/d Nykštukas
10. l/d Švyturėlis
11. l/d Aitvarėlis
12. l/d Vėtrungėlė
13. l/d Šaltinėlis
14. l/d Puriena
15. l/d Eglutė
16. l/d. Papartėlis
15 mokyklų:
1. Žemynos gimnaz.
2. S. Dacho progim.
3. Gedminų gimn.
4. Pajūrio progimn.
5. Vyturio progimn.
6. Gilijos pradinė
7. Saulutės m/d
8. Gabijos pradinė mokykla
9. Baltijos gim.
10. Žemynos gimnaz.
11. Sendvario progim.
12. Smeltės progim.
13. Verdenės progim.
14. Versmės progim.
15. M. Mažvydo prog.
1 mokykla-darželis "Varpelis"
Kitos švietimo įstaigos:
1. Psichologinė pedagoginė tarnyba
Kanalizacijos remontas 2 įstaigose:
1. L. Stulpino progimn.
2. l/d Papartėlis
Avariniai darbai</t>
        </r>
      </text>
    </comment>
    <comment ref="K229" authorId="1" shapeId="0" xr:uid="{00000000-0006-0000-0100-000039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1. l/d Kregždutė
2. l/d Radastėlė
3. Versmės progimn.
4. l/d Pušaitė
</t>
        </r>
      </text>
    </comment>
    <comment ref="K230" authorId="1" shapeId="0" xr:uid="{00000000-0006-0000-0100-00003A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L/d Vyturėlis išorinių laiptų rekonstrukcijos projektas
</t>
        </r>
      </text>
    </comment>
    <comment ref="L231" authorId="1" shapeId="0" xr:uid="{00000000-0006-0000-0100-00003B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l/d Vyturėlis išorinių laiptų remontas
</t>
        </r>
      </text>
    </comment>
    <comment ref="K236" authorId="1" shapeId="0" xr:uid="{00000000-0006-0000-0100-00003C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1. Žemynos gimn.
2. Vydūno gimn.
3. Kadetų mokykla
4. l/d Švyturėlis
5. M. Montesorri m/d
</t>
        </r>
      </text>
    </comment>
    <comment ref="K237" authorId="1" shapeId="0" xr:uid="{00000000-0006-0000-0100-00003D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1. l/d Žilvitis
2. Vyturio progim.
3. Gilijos pradinė
4. M. Mažvydo progimn.
5. Saulėtekio progimn.
6. ll/d Pušaitė
7. l/d Žemuogėlė
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8" authorId="1" shapeId="0" xr:uid="{00000000-0006-0000-0100-00003E000000}">
      <text>
        <r>
          <rPr>
            <sz val="9"/>
            <color indexed="81"/>
            <rFont val="Tahoma"/>
            <family val="2"/>
            <charset val="186"/>
          </rPr>
          <t xml:space="preserve">lopšelių-darželių „Bangelė“, „Šaltinėlis“, „Berželis“, „Nykštukas“ ir „Ąžuoliukas“; „Smeltės“ ir Martyno Mažvydo progimnazijų; Suaugusiųjų, „Aitvaro“, „Varpo“, Vytauto Didžiojo ir "Vyturio" gimnazijų
</t>
        </r>
      </text>
    </comment>
    <comment ref="K240" authorId="1" shapeId="0" xr:uid="{00000000-0006-0000-0100-00003F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1. M. Mažvydo progimn.
2. l/d Du gaideliai
</t>
        </r>
      </text>
    </comment>
    <comment ref="L240" authorId="1" shapeId="0" xr:uid="{00000000-0006-0000-0100-000040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l/d Liepaitė
</t>
        </r>
      </text>
    </comment>
    <comment ref="K241" authorId="1" shapeId="0" xr:uid="{00000000-0006-0000-0100-000041000000}">
      <text>
        <r>
          <rPr>
            <sz val="9"/>
            <color indexed="81"/>
            <rFont val="Tahoma"/>
            <family val="2"/>
            <charset val="186"/>
          </rPr>
          <t xml:space="preserve">Uostamiesčio progimnazijos ir l/d Šermukšnėlė
</t>
        </r>
      </text>
    </comment>
    <comment ref="L241" authorId="1" shapeId="0" xr:uid="{00000000-0006-0000-0100-000042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Mažvydo, Du gaideliai
</t>
        </r>
      </text>
    </comment>
    <comment ref="M241" authorId="1" shapeId="0" xr:uid="{00000000-0006-0000-0100-000043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Liepaitė
</t>
        </r>
      </text>
    </comment>
    <comment ref="K243" authorId="1" shapeId="0" xr:uid="{00000000-0006-0000-0100-000044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1. Medeinės mokykla
VDG ir l/d Traukinukas - rengiami projektai
</t>
        </r>
      </text>
    </comment>
    <comment ref="E256" authorId="1" shapeId="0" xr:uid="{00000000-0006-0000-0100-000045000000}">
      <text>
        <r>
          <rPr>
            <sz val="9"/>
            <color indexed="81"/>
            <rFont val="Tahoma"/>
            <family val="2"/>
            <charset val="186"/>
          </rPr>
          <t xml:space="preserve">P-3.3.2.3
</t>
        </r>
      </text>
    </comment>
    <comment ref="K256" authorId="1" shapeId="0" xr:uid="{00000000-0006-0000-0100-000046000000}">
      <text>
        <r>
          <rPr>
            <sz val="9"/>
            <color indexed="81"/>
            <rFont val="Tahoma"/>
            <family val="2"/>
            <charset val="186"/>
          </rPr>
          <t>1. l/d Vyturėlis;
2. Gedminų prog.
3. S. Dacho progim.
4. Smeltės prog.
5. Vitės prog.</t>
        </r>
      </text>
    </comment>
    <comment ref="K257" authorId="2" shapeId="0" xr:uid="{00000000-0006-0000-0100-000047000000}">
      <text>
        <r>
          <rPr>
            <b/>
            <sz val="9"/>
            <color indexed="81"/>
            <rFont val="Tahoma"/>
            <family val="2"/>
            <charset val="186"/>
          </rPr>
          <t>Ingrida Urbonaviciene:</t>
        </r>
        <r>
          <rPr>
            <sz val="9"/>
            <color indexed="81"/>
            <rFont val="Tahoma"/>
            <family val="2"/>
            <charset val="186"/>
          </rPr>
          <t xml:space="preserve">
Čiauškutė, Ąžuoliukas, S.Dachas, Vyturėlis, Žemyna, Verdenė, Gedminai</t>
        </r>
      </text>
    </comment>
  </commentList>
</comments>
</file>

<file path=xl/sharedStrings.xml><?xml version="1.0" encoding="utf-8"?>
<sst xmlns="http://schemas.openxmlformats.org/spreadsheetml/2006/main" count="683" uniqueCount="282">
  <si>
    <t>Finansavimo šaltinių suvestinė</t>
  </si>
  <si>
    <t>Finansavimo šaltiniai</t>
  </si>
  <si>
    <t>I</t>
  </si>
  <si>
    <t>LRVB</t>
  </si>
  <si>
    <t>10</t>
  </si>
  <si>
    <t>Iš viso tikslui:</t>
  </si>
  <si>
    <t>Iš viso programai:</t>
  </si>
  <si>
    <t>Uždavinio kodas</t>
  </si>
  <si>
    <t>Priemonės kodas</t>
  </si>
  <si>
    <t>Finansavimo šaltinis</t>
  </si>
  <si>
    <t>01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</si>
  <si>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</si>
  <si>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</si>
  <si>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</si>
  <si>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</si>
  <si>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</si>
  <si>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</si>
  <si>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</si>
  <si>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</si>
  <si>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Pavadinimas</t>
  </si>
  <si>
    <t>KITI ŠALTINIAI, IŠ VISO:</t>
  </si>
  <si>
    <t>IŠ VISO:</t>
  </si>
  <si>
    <t>UGDYMO PROCESO UŽTIKRINIMO PROGRAMOS (NR. 10)</t>
  </si>
  <si>
    <t>10 Ugdymo proceso užtikrinimo programa</t>
  </si>
  <si>
    <t>Renovuoti ugdymo įstaigų pastatus ir patalpas</t>
  </si>
  <si>
    <t>Organizuoti materialinį, ūkinį ir techninį ugdymo įstaigų aptarnavimą</t>
  </si>
  <si>
    <t>Ugdymo įstaigų ūkinio aptarnavimo organizavimas:</t>
  </si>
  <si>
    <t>Užtikrinti kokybišką ugdymo proceso organizavimą</t>
  </si>
  <si>
    <t>Gerinti ugdymo sąlygas ir aplinką</t>
  </si>
  <si>
    <t>Ryšių kabelių kanalų nuoma</t>
  </si>
  <si>
    <t>Šilumos ir karšto vandens tiekimo sistemų renovacija ir remontas</t>
  </si>
  <si>
    <t>Švietimo įstaigų pastatų apsauga</t>
  </si>
  <si>
    <t>Priešgaisrinių reikalavimų vykdymas švietimo įstaigose</t>
  </si>
  <si>
    <t>Kabelio tinklo ilgis, km</t>
  </si>
  <si>
    <t>SB(SP)</t>
  </si>
  <si>
    <t>Veiklos organizavimo užtikrinimas švietimo įstaigose:</t>
  </si>
  <si>
    <t>Švietimo įstaigų sanitarinių patalpų remontas</t>
  </si>
  <si>
    <t>Iš viso priemonei:</t>
  </si>
  <si>
    <t xml:space="preserve"> TIKSLŲ, UŽDAVINIŲ, PRIEMONIŲ, PRIEMONIŲ IŠLAIDŲ IR PRODUKTO KRITERIJŲ SUVESTINĖ</t>
  </si>
  <si>
    <t>Parengtas techninis projektas, vnt.</t>
  </si>
  <si>
    <t>Vasaros poilsio organizavimas</t>
  </si>
  <si>
    <t xml:space="preserve">Brandos egzaminų administravimas </t>
  </si>
  <si>
    <t>SB(SPL)</t>
  </si>
  <si>
    <t xml:space="preserve">03 Strateginis tikslas. Užtikrinti gyventojams aukštą švietimo, kultūros, socialinių, sporto ir sveikatos apsaugos paslaugų kokybę ir prieinamumą </t>
  </si>
  <si>
    <t>Savivaldybės administracijos vaiko gerovės komisijos veiklos užtikrinimas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</si>
  <si>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</si>
  <si>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Sudaryti sąlygas ugdytis ir gerinti ugdymo proceso kokybę</t>
  </si>
  <si>
    <t xml:space="preserve">Aprūpinti švietimo įstaigas reikalingu inventoriumi 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</si>
  <si>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pradinėje mokykloje ir mokyklose-darželiuose</t>
    </r>
  </si>
  <si>
    <t>tūkst. Eur</t>
  </si>
  <si>
    <t>Neformaliojo vaikų švietimo programų įgyvendinimas ir neformaliojo vaikų švietimo paslaugų plėtra</t>
  </si>
  <si>
    <t>Švietimo įstaigų stogų remontas</t>
  </si>
  <si>
    <t xml:space="preserve">Ugdymo prieinamumo ir ugdymo formų įvairovės užtikrinimas </t>
  </si>
  <si>
    <t>Neformaliojo vaikų ir suaugusiųjų švietimo organizavimas:</t>
  </si>
  <si>
    <t xml:space="preserve">Baldų ir įrangos atnaujinimas:  </t>
  </si>
  <si>
    <t>Šilumos ir karšto vandens tiekimo sistemų priežiūra</t>
  </si>
  <si>
    <t>Švietimo įstaigų energinių išteklių efektyvinimas:</t>
  </si>
  <si>
    <t>Mokymosi aplinkos pritaikymas švietimo reikmėms:</t>
  </si>
  <si>
    <t>06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</si>
  <si>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</si>
  <si>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</si>
  <si>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SB(ES)</t>
  </si>
  <si>
    <t>Maitinimo paslaugų kompensavimas</t>
  </si>
  <si>
    <t xml:space="preserve">Atlikta rangos darbų, proc.
</t>
  </si>
  <si>
    <t>Įstaigų skaičius, vnt.</t>
  </si>
  <si>
    <t>Vaikų skaičius, vnt.</t>
  </si>
  <si>
    <t>Mokinių skaičius, vnt.</t>
  </si>
  <si>
    <t>Kvalifikacijos pažymėjimų skaičius, vnt.</t>
  </si>
  <si>
    <t>Mokyklų skaičius, vnt.</t>
  </si>
  <si>
    <t>Egzaminų skaičius, vnt.</t>
  </si>
  <si>
    <t>Prevencinių renginių skaičius, vnt.</t>
  </si>
  <si>
    <t>Elektroninio mokinio pažymėjimo diegimas ir naudojimo užtikrinimas savivaldybės bendrojo ugdymo mokyklose, neformaliojo švietimo ir sporto įstaigose</t>
  </si>
  <si>
    <t xml:space="preserve">Miesto metodinių būrelių veiklos užtikrinimas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</si>
  <si>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savivaldybės </t>
    </r>
    <r>
      <rPr>
        <sz val="10"/>
        <rFont val="Times New Roman"/>
        <family val="1"/>
        <charset val="186"/>
      </rPr>
      <t>ikimokyklinio ugdymo įstaigose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</si>
  <si>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</t>
    </r>
    <r>
      <rPr>
        <sz val="10"/>
        <rFont val="Times New Roman"/>
        <family val="1"/>
        <charset val="186"/>
      </rPr>
      <t xml:space="preserve"> bendrojo ugdymo mokyklose </t>
    </r>
  </si>
  <si>
    <t>Švietimo įstaigų persikėlimo į kitas patalpas organizavimas</t>
  </si>
  <si>
    <t xml:space="preserve">Centralizuotas ugdymo įstaigų langų valymas </t>
  </si>
  <si>
    <t xml:space="preserve">Savivaldybės švietimo įstaigų civilinės atsakomybės draudimas  </t>
  </si>
  <si>
    <r>
      <t xml:space="preserve">BĮ Klaipėdos regos ugdymo centro </t>
    </r>
    <r>
      <rPr>
        <sz val="10"/>
        <rFont val="Times New Roman"/>
        <family val="1"/>
        <charset val="186"/>
      </rPr>
      <t>veiklos užtikrinimas</t>
    </r>
  </si>
  <si>
    <r>
      <t>BĮ Klaipėdos miesto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</si>
  <si>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Vaikų, kuriems iš dalies kompensuojamas ugdymas nevalstybinėse įstaigose, skaičius, vnt.</t>
  </si>
  <si>
    <t>Programų skaičius, vnt.</t>
  </si>
  <si>
    <t>Metodinių būrelių skaičius, vnt.</t>
  </si>
  <si>
    <t>Savivaldybės bendrojo ugdymo mokyklų pastatų ir aplinkos modernizavimas bei plėtra:</t>
  </si>
  <si>
    <t>Ikimokyklinio ugdymo įstaigų pastatų modernizavimas ir plėtra:</t>
  </si>
  <si>
    <t>Neformaliojo vaikų švietimo įstaigų pastatų rekonstravimas:</t>
  </si>
  <si>
    <t>Saugomų pastatų, objektų skaičius, vnt.</t>
  </si>
  <si>
    <t>Parengta techninių projektų, vnt.</t>
  </si>
  <si>
    <t xml:space="preserve">Parengta techninių projektų, vnt.    </t>
  </si>
  <si>
    <t>Perkeltų įstaigų skaičius, vnt.</t>
  </si>
  <si>
    <t>Aptarnaujamų įstaigų skaičius, vnt.</t>
  </si>
  <si>
    <t>Suremontuotų įstaigų skaičius, vnt.</t>
  </si>
  <si>
    <t>________________________________________</t>
  </si>
  <si>
    <t>Mokytis plaukti vežiojamų vaikų skaičius, vnt.</t>
  </si>
  <si>
    <t>Pasirengimas Gamtos mokslų, technologijų, inžinerijos, matematikos mokslų ir kūrybiškumo ugdymo (STEAM) centro įveiklinimui</t>
  </si>
  <si>
    <t>Dėstytojų etatų skaičius, vnt.</t>
  </si>
  <si>
    <t>Švietimo įstaigų modulinių kompleksų įrengimas ir nuoma</t>
  </si>
  <si>
    <t>Išmaniųjų klasių įrengimas</t>
  </si>
  <si>
    <t>Kompiuterių mokyklose atnaujinimas</t>
  </si>
  <si>
    <t xml:space="preserve">Klaipėdos miesto bendrojo ugdymo mokyklų antrųjų klasių mokinių vežimo paslaugos mokyti plaukti užtikrinimas  </t>
  </si>
  <si>
    <t>Klasių skaičius, vnt.</t>
  </si>
  <si>
    <t xml:space="preserve">iš jų mokinių skaičius, vnt. </t>
  </si>
  <si>
    <t>Pavėžėta mokinių, skaičius</t>
  </si>
  <si>
    <t>Įstaigų, kuriose įrengtos saulės (fotovoltinės) elektrinės, skaičius</t>
  </si>
  <si>
    <t>Ikimokyklinio ir priešmokyklinio ugdymo prieinamumo didinimas Klaipėdos mieste (lopšelio-darželio „Svirpliukas“ modernizavimas)</t>
  </si>
  <si>
    <t>Lauko žaidimų aikštelių ir įrenginių atnaujinimas ikimokyklinėse ugdymo įstaigose</t>
  </si>
  <si>
    <t>Patalpų atnaujinimas užtikrinant atitiktį higienos normoms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</si>
  <si>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</si>
  <si>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</si>
  <si>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Savivaldybės biudžetas, iš jo:</t>
  </si>
  <si>
    <t>SB(ESL)</t>
  </si>
  <si>
    <t>SB(VBL)</t>
  </si>
  <si>
    <t>Patalpų pritaikymas neįgalių vaikų ugdymui</t>
  </si>
  <si>
    <t>Sporto klasių veiklos užtikrinimas</t>
  </si>
  <si>
    <r>
      <t xml:space="preserve">Ugdymo proceso užtikrinimas </t>
    </r>
    <r>
      <rPr>
        <b/>
        <sz val="10"/>
        <rFont val="Times New Roman"/>
        <family val="1"/>
        <charset val="186"/>
      </rPr>
      <t>nevalstybinėse</t>
    </r>
    <r>
      <rPr>
        <sz val="10"/>
        <rFont val="Times New Roman"/>
        <family val="1"/>
        <charset val="186"/>
      </rPr>
      <t xml:space="preserve"> ikimokyklinio ugdymo įstaigose</t>
    </r>
  </si>
  <si>
    <t xml:space="preserve">Mokinių pavėžėjimo užtikrinimas </t>
  </si>
  <si>
    <t>Kompiuterių skaičius, vnt.</t>
  </si>
  <si>
    <t>Mokytojų padėjėjų skaičius, vnt.</t>
  </si>
  <si>
    <t>Klaipėdos jūrų kadetų mokyklos veiklos užtikrinimas:</t>
  </si>
  <si>
    <t>P1</t>
  </si>
  <si>
    <t>Įrengta papildomų darbo vietų, vnt.</t>
  </si>
  <si>
    <t>Mokytojų, įgijusių kompetencijas, skaičius</t>
  </si>
  <si>
    <t>P6</t>
  </si>
  <si>
    <t>Savivaldybės ugdymo įstaigų pastatų ir aplinkos modernizavimas bei plėtra:</t>
  </si>
  <si>
    <t>Ugdymo proceso užtikrinimas nevalstybinėse mokyklose-darželiuose</t>
  </si>
  <si>
    <t xml:space="preserve">Švietimo įstaigų elektros instaliacijos remontas </t>
  </si>
  <si>
    <t>Mokinių maitinimo ir pavėžėjimo užtikrinimas</t>
  </si>
  <si>
    <t>Aptarnauta asmenų, skaičius</t>
  </si>
  <si>
    <t>Administruojama sistemų, vnt.</t>
  </si>
  <si>
    <t>Priėmimo į savivaldybės bendrojo ir ikimokyklinio ugdymo įstaigas informacinių sistemų priežiūra</t>
  </si>
  <si>
    <t>Energinio efektyvumo didinimas ikimokyklinio ugdymo įstaigose:</t>
  </si>
  <si>
    <t>Lovyčių skaičius, vnt.</t>
  </si>
  <si>
    <t>Neformaliojo švietimo ir pagalbos įstaigų aprūpinimas mobilia interaktyvia įranga</t>
  </si>
  <si>
    <t>Kvalifikacijos tobulinimo programų skaičius, val.</t>
  </si>
  <si>
    <t>Finansuojama tikslinių studijų su gretutinėmis pedagogikos studijomis vietų, skaičius</t>
  </si>
  <si>
    <t>Skirta tikslinių stipendijų pasirinkusiems pedagoginių specialybių studijas, skaičius</t>
  </si>
  <si>
    <t>Kt</t>
  </si>
  <si>
    <t>Atnaujinta aikštynų, skaičius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</si>
  <si>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</si>
  <si>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„Gilijos“ pradinės mokyklos (Taikos pr. 68) pastato energinio efektyvumo didinimas</t>
  </si>
  <si>
    <t>P2</t>
  </si>
  <si>
    <t>Parengtas techninis  projektas, vnt.</t>
  </si>
  <si>
    <t>SB(P)</t>
  </si>
  <si>
    <t xml:space="preserve">Klaipėdos „Ąžuolyno“ gimnazijos modernizavimas </t>
  </si>
  <si>
    <t>Atlikta rangos darbų, proc.</t>
  </si>
  <si>
    <t>Klaipėdos lopšelio-darželio „Žiogelis“ pastato Kauno g. 27 modernizavimas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</si>
  <si>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</si>
  <si>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</si>
  <si>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</si>
  <si>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rPr>
        <b/>
        <sz val="10"/>
        <rFont val="Times New Roman"/>
        <family val="1"/>
        <charset val="186"/>
      </rPr>
      <t>Bendrojo ugdymo mokyklos pastato statyba</t>
    </r>
    <r>
      <rPr>
        <sz val="10"/>
        <rFont val="Times New Roman"/>
        <family val="1"/>
        <charset val="186"/>
      </rPr>
      <t xml:space="preserve"> šiaurinėje miesto dalyje</t>
    </r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</si>
  <si>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</si>
  <si>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Pajamų įmokos už paslaugas </t>
    </r>
    <r>
      <rPr>
        <b/>
        <sz val="10"/>
        <rFont val="Times New Roman"/>
        <family val="1"/>
        <charset val="186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</si>
  <si>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</si>
  <si>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Suorganizuota edukacinių ir kultūrinių renginių, skaičius</t>
  </si>
  <si>
    <t>Švietimo paslaugų modernizavimo  programos priemonių įgyvendinimas:</t>
  </si>
  <si>
    <t>P7</t>
  </si>
  <si>
    <t>planas</t>
  </si>
  <si>
    <t>Įsteigta etatų, skaičius</t>
  </si>
  <si>
    <t>Klaipėdos miesto pedagogų rengimo, kvalifikacijos plėtojimo, profesinių kompetencijų tobulinimo ir mokytojų pritraukimo į mokyklas 2020–2024 programos įgyvendinimas</t>
  </si>
  <si>
    <t>Klaipėdos „Pajūrio“ progimnazijos fasado apšiltinimo darbai</t>
  </si>
  <si>
    <t>Produkto kriterijaus</t>
  </si>
  <si>
    <t>Veiklos plano tikslo kodas</t>
  </si>
  <si>
    <t>Priemonės požymis*</t>
  </si>
  <si>
    <t>2023-ieji metai</t>
  </si>
  <si>
    <t>2024-ieji metai</t>
  </si>
  <si>
    <t>2024-ųjų metų lėšų projektas</t>
  </si>
  <si>
    <t>Įstaigų, kuriose atnaujintos sporto salės, skaičius</t>
  </si>
  <si>
    <r>
      <rPr>
        <b/>
        <sz val="10"/>
        <rFont val="Times New Roman"/>
        <family val="1"/>
        <charset val="186"/>
      </rPr>
      <t>Klaipėdos Tauralaukio progimnazijos pastato (Klaipėdos g. 31)</t>
    </r>
    <r>
      <rPr>
        <sz val="10"/>
        <rFont val="Times New Roman"/>
        <family val="1"/>
        <charset val="186"/>
      </rPr>
      <t xml:space="preserve"> rekonstravimas į ikimokyklinio ir priešmokyklinio ugdymo įstaigą</t>
    </r>
  </si>
  <si>
    <t>P1 P7 I</t>
  </si>
  <si>
    <t xml:space="preserve">P1 </t>
  </si>
  <si>
    <t>T</t>
  </si>
  <si>
    <t>P</t>
  </si>
  <si>
    <t>ES</t>
  </si>
  <si>
    <t>N</t>
  </si>
  <si>
    <t>Neformaliojo ugdymo įstaigų inventoriaus atnaujinimas</t>
  </si>
  <si>
    <t>Įsigytas inventorius, vnt.</t>
  </si>
  <si>
    <t>Ikimokyklinių ugdymo įstaigų ir mokyklų darželių  informacinių technologijų aptarnavimas</t>
  </si>
  <si>
    <t>Klaipėdos miesto gimnazijų gamtamokslinių laboratorijų steigimo ir modernizavimo 2022–2026 metų programos įgyvendinimas</t>
  </si>
  <si>
    <t>Modernizuota laboratorijų, vnt.</t>
  </si>
  <si>
    <t>Įsigyta baldų ir įrangos, vnt.</t>
  </si>
  <si>
    <t>Ikimokyklinio ugdymo, neformaliojo vaikų švietimo ir švietimo pagalbos įstaigų aprūpinimas kompiuteriais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</si>
  <si>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</si>
  <si>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P1 T</t>
  </si>
  <si>
    <t>P6 T</t>
  </si>
  <si>
    <t>Įstaigų, kuriose vykdoma priežiūra, skaičius</t>
  </si>
  <si>
    <t>Papildomai įsteigta pedagogų etatų, skaičius</t>
  </si>
  <si>
    <t>Sumažinta auklėtojų padėjėjų etatų, skaičius</t>
  </si>
  <si>
    <t>Organizuota gerosios patirties sklaidos renginių, skaičius</t>
  </si>
  <si>
    <t>STEAM olimpiadose dalyvaujančių vaikų, skaičius</t>
  </si>
  <si>
    <t>Mokinių, aprūpintų elektroniniais pažymėjimais, skaičius</t>
  </si>
  <si>
    <t>P     I</t>
  </si>
  <si>
    <t>Įrengta edukacinių erdvių, vnt.</t>
  </si>
  <si>
    <t>Atnaujinta mokomųjų kabinetų ir aplinkų, vnt.</t>
  </si>
  <si>
    <t>Programose dalyvaujančių vaikų skaičius, vnt.</t>
  </si>
  <si>
    <t>Įstaigų, kuriose įsigyta įrangos ir baldų, skaičius</t>
  </si>
  <si>
    <t>Įstaigų, kuriose atlikti remonto darbai, skaičius</t>
  </si>
  <si>
    <t>Įstaigų, kuriose likviduoti pažeidimai, skaičius</t>
  </si>
  <si>
    <t>Įstaigų, kuriose diegiamos šalto vandens valdymo sistemos, skaičius</t>
  </si>
  <si>
    <t>Suorganizuota mokymų, kvalifikacijos kėlimo renginių, vnt.</t>
  </si>
  <si>
    <t>P    I</t>
  </si>
  <si>
    <t>Įstaigų, kurioms elektros energija įsigyjama centralizuotai, skaičius</t>
  </si>
  <si>
    <t>P   T</t>
  </si>
  <si>
    <t>P    T</t>
  </si>
  <si>
    <t>Išsinuomota modulinių pastatų, vnt.</t>
  </si>
  <si>
    <t>Statinių kasmetinės apžiūros</t>
  </si>
  <si>
    <r>
      <t xml:space="preserve">Ugdymo proceso užtikrinimas </t>
    </r>
    <r>
      <rPr>
        <b/>
        <sz val="10"/>
        <rFont val="Times New Roman"/>
        <family val="1"/>
        <charset val="186"/>
      </rPr>
      <t>s</t>
    </r>
    <r>
      <rPr>
        <sz val="10"/>
        <rFont val="Times New Roman"/>
        <family val="1"/>
        <charset val="186"/>
      </rPr>
      <t xml:space="preserve">porto mokyklose </t>
    </r>
  </si>
  <si>
    <t>Įrengta kondicionavimo sistemų, grupių skaičius</t>
  </si>
  <si>
    <t xml:space="preserve">Švietimo įstaigų paprastasis remontas </t>
  </si>
  <si>
    <t xml:space="preserve">Švietimo įstaigų lauko inžinerinių tinklų remontas </t>
  </si>
  <si>
    <t>Švietimo įstaigų teritorijų aptvėrimas</t>
  </si>
  <si>
    <t>Bendrojo ugdymo mokyklų tinklo pertvarkos 2021–2025 metų bendrojo plano priemonių įgyvendinimas:</t>
  </si>
  <si>
    <t>SAVIVALDYBĖS LĖŠOS, IŠ VISO:</t>
  </si>
  <si>
    <t>Įsigyta mokymo priemonių veikloms KU, vnt.</t>
  </si>
  <si>
    <t>Įsigyta įrenginių, vnt.</t>
  </si>
  <si>
    <t>Renovuota, suremontuota sistemų, skaičius</t>
  </si>
  <si>
    <t>Projekto „Mokinių ugdymosi pasiekimų gerinimas diegiant kokybės krepšelį“ įgyvendinimas</t>
  </si>
  <si>
    <r>
      <rPr>
        <b/>
        <sz val="10"/>
        <rFont val="Times New Roman"/>
        <family val="1"/>
        <charset val="186"/>
      </rPr>
      <t>Modernių ugdymosi erdvių sukūrimas Klaipėdos miesto progimnazijose ir gimnazijose</t>
    </r>
    <r>
      <rPr>
        <sz val="10"/>
        <rFont val="Times New Roman"/>
        <family val="1"/>
        <charset val="186"/>
      </rPr>
      <t xml:space="preserve"> („Smeltės“, Liudviko Stulpino, Sendvario, Gedminų, „Verdenės“ progimnazijose ir  „Vėtrungės“, „Varpo“ gimnazijose)</t>
    </r>
  </si>
  <si>
    <r>
      <rPr>
        <b/>
        <sz val="10"/>
        <rFont val="Times New Roman"/>
        <family val="1"/>
        <charset val="186"/>
      </rPr>
      <t>Klaipėdos „Saulėtekio“ progimnazijos</t>
    </r>
    <r>
      <rPr>
        <sz val="10"/>
        <rFont val="Times New Roman"/>
        <family val="1"/>
        <charset val="186"/>
      </rPr>
      <t xml:space="preserve"> pastato inžinerinių sistemų, vidaus patalpų ir pastato išorės remontas </t>
    </r>
  </si>
  <si>
    <t xml:space="preserve">Klaipėdos vaikų laisvalaikio centro klubo „Želmenėlis“ patalpų ugdymo procesui pritaikymas </t>
  </si>
  <si>
    <t>Vaikiškų lovyčių įsigijimas savivaldybės ikimokyklinio ugdymo įstaigoms</t>
  </si>
  <si>
    <t xml:space="preserve">Įrenginių įsigijimas švietimo įstaigų maisto blokams </t>
  </si>
  <si>
    <t>Edukacinių erdvių įrengimas Klaipėdos miesto bendrojo ugdymo mokyklose (2023 m. – Gedminų progimnazijoje)</t>
  </si>
  <si>
    <r>
      <rPr>
        <b/>
        <sz val="10"/>
        <rFont val="Times New Roman"/>
        <family val="1"/>
        <charset val="186"/>
      </rPr>
      <t xml:space="preserve">Universitetinių klasių veiklos organizavimas </t>
    </r>
    <r>
      <rPr>
        <sz val="10"/>
        <rFont val="Times New Roman"/>
        <family val="1"/>
        <charset val="186"/>
      </rPr>
      <t>(Baltijos, „Žemynos“, Vytauto Didžiojo ir „Vėtrungės“ gimnazijose)</t>
    </r>
  </si>
  <si>
    <t>Bendrojo ugdymo mokyklos šiaurinėje miesto dalyje įrangos ir baldų įsigijimas</t>
  </si>
  <si>
    <t>Parengta techninė specifikacija, vnt.</t>
  </si>
  <si>
    <t>2025-ųjų metų lėšų projektas</t>
  </si>
  <si>
    <t>2025-ieji metai</t>
  </si>
  <si>
    <t xml:space="preserve">P1  </t>
  </si>
  <si>
    <t>Asmenų, kuriems kompensuojamos kelionės išlaidos, skaičius</t>
  </si>
  <si>
    <t>Tvarkoma paviršinių (lietaus) nuotekų, įstaigų skaičius</t>
  </si>
  <si>
    <t>Tvarkomas centralizuotas vandentiekis ir kanalizacija, įstaigų skaičius</t>
  </si>
  <si>
    <t>Parengta projektų, vnt.</t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</si>
  <si>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</si>
  <si>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Įsteigtų etatų skaičius, vnt.</t>
  </si>
  <si>
    <t>P  T   I</t>
  </si>
  <si>
    <t>P1     T</t>
  </si>
  <si>
    <t>Vėdinimo ir kondicionavimo sistemų įrengimas biudžetinėse švietimo įstaigose</t>
  </si>
  <si>
    <t>Šîldoma įstaigų, skaičius</t>
  </si>
  <si>
    <t>Interaktyvių ekranų skaičius, vnt.</t>
  </si>
  <si>
    <t>Automatizuotos šilumos punkto kontrolės ir valdymo sistemų aptarnavimas švietimo įstaigų pastatuose</t>
  </si>
  <si>
    <t>Ugdymo prieinamumo užtikrinimas VšĮ Tarptautinės Ukrainos mokyklos Klaipėdos padalinyje</t>
  </si>
  <si>
    <r>
      <t xml:space="preserve">Ugdymo proceso užtikrinimas </t>
    </r>
    <r>
      <rPr>
        <b/>
        <sz val="10"/>
        <rFont val="Times New Roman"/>
        <family val="1"/>
        <charset val="186"/>
      </rPr>
      <t xml:space="preserve">nevalstybinėse </t>
    </r>
    <r>
      <rPr>
        <sz val="10"/>
        <rFont val="Times New Roman"/>
        <family val="1"/>
        <charset val="186"/>
      </rPr>
      <t xml:space="preserve">bendrojo ugdymo mokyklose </t>
    </r>
  </si>
  <si>
    <t>Atsinaujinančių energijos išteklių (saulės) elektrinių įrengimas ir priežiūra</t>
  </si>
  <si>
    <t>SB(SPIL)</t>
  </si>
  <si>
    <r>
      <t xml:space="preserve">Pajamų įmokų infrastruktūros plėtrai lėšų likutis </t>
    </r>
    <r>
      <rPr>
        <b/>
        <sz val="10"/>
        <rFont val="Times New Roman"/>
        <family val="1"/>
        <charset val="186"/>
      </rPr>
      <t>SB(SPIL)</t>
    </r>
  </si>
  <si>
    <r>
      <t>Ugdymo paslaugų prieinamumo didinimas, modernizuojant Klaipėdos lopšelio-darželio „Traukinukas“ skyriaus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„Boružėlė“ pastatą</t>
    </r>
  </si>
  <si>
    <t>SB'</t>
  </si>
  <si>
    <t>SB(VB)'</t>
  </si>
  <si>
    <t>SB(SP)'</t>
  </si>
  <si>
    <t>SB(ESL)'</t>
  </si>
  <si>
    <t>SB(ES)'</t>
  </si>
  <si>
    <t>ES'</t>
  </si>
  <si>
    <t>SB(L)'</t>
  </si>
  <si>
    <t>SB(P)'</t>
  </si>
  <si>
    <t>SB(SPIL)'</t>
  </si>
  <si>
    <t>LRVB'</t>
  </si>
  <si>
    <t>Komunalinių paslaugų įsigijimas</t>
  </si>
  <si>
    <t>2023–2025 M. KLAIPĖDOS MIESTO SAVIVALDYBĖS</t>
  </si>
  <si>
    <t>Įrengta kabinetų, vnt.</t>
  </si>
  <si>
    <t>„Tūkstantmečio mokyklų“ programos įgyvendinimas</t>
  </si>
  <si>
    <t>Klaipėdos miesto savivaldybės ugdymo proceso užtikrinimo programos (Nr. 10) aprašymo</t>
  </si>
  <si>
    <t>priedas</t>
  </si>
  <si>
    <t>Lėšų poreikis biudžetiniams          2023-iesiems metams</t>
  </si>
  <si>
    <t>Karjeros specialistų etatų įvedimas, didinimas švietimo įstaigose</t>
  </si>
  <si>
    <t>Klaipėdos Hermano Zudermano gimnazijos pastato rekonstrukcija</t>
  </si>
  <si>
    <t>Klaipėdos Simono Dacho progimnazijos pastato Kuršių a. 3 antstato kapitalinis remontas</t>
  </si>
  <si>
    <t xml:space="preserve"> - Klaipėdos mokyklos-darželio „Saulutė“, lopšelių-darželių „Vėrinėlis“, „Pingvinukas“, „Putinėlis“, „Kregždutė“, „Radastėlė“ pastatų atnaujinimas </t>
  </si>
  <si>
    <t>Klaipėdos Jeronimo Kačinsko muzikos mokyklos (Statybininkų pr. 5) pastato energinio efektyvumo didinimas</t>
  </si>
  <si>
    <t>* N – nauja priemonė, T – tęstinė priemonė, I – investicijų projektas.</t>
  </si>
  <si>
    <t>SB(VBL)'</t>
  </si>
  <si>
    <t xml:space="preserve"> - Klaipėdos lopšelių-darželių „Alksniukas“  ir „Želmenėlis“ pastatų atnaujinimas</t>
  </si>
  <si>
    <t>Atliktas galutinis apmokėjimas, proc.</t>
  </si>
  <si>
    <t>Ikimokyklinio, priešmokyklinio ir bendrojo ugdymo įstaigų infrastruktūros plėtros poreikio ir galimybių šiaurinėje Klaipėdos miesto dalyje analizės atlikimas</t>
  </si>
  <si>
    <t>Atlikta analizė, vnt.</t>
  </si>
  <si>
    <t>Kt'</t>
  </si>
  <si>
    <r>
      <t xml:space="preserve">Valstybės biudžeto specialiosios tikslinės dotacijos likučių lėšos </t>
    </r>
    <r>
      <rPr>
        <b/>
        <sz val="10"/>
        <rFont val="Times New Roman"/>
        <family val="1"/>
        <charset val="186"/>
      </rPr>
      <t>SB(VBL)</t>
    </r>
  </si>
  <si>
    <t>Stotelių-saugyklų kompiuteriams skaičius, vnt.</t>
  </si>
  <si>
    <r>
      <rPr>
        <b/>
        <sz val="10"/>
        <rFont val="Times New Roman"/>
        <family val="1"/>
        <charset val="186"/>
      </rPr>
      <t>Sporto aikštynų atnaujinimas</t>
    </r>
    <r>
      <rPr>
        <sz val="10"/>
        <rFont val="Times New Roman"/>
        <family val="1"/>
        <charset val="186"/>
      </rPr>
      <t xml:space="preserve"> (modernizavimas) (2023 m. – Uostamiesčio progimnazijos, 2024 m. – „Gilijos“ pradinės mokyklos, „Aukuro“ gimnazijos ir „Saulėtekio“ progimnazijos, 2025 m. – „Pajūrio“ ir Sendvario progimnazijų, Baltijos gimnazijos)</t>
    </r>
  </si>
  <si>
    <t>Ikimokyklinių įstaigų energetinių auditų atlikimas</t>
  </si>
  <si>
    <t>Parengta energetinių auditų, vnt.</t>
  </si>
  <si>
    <t>Sporto salių atnaujinimas (2023 m. – „Vyturio“ progimnazija, Baltijos gimnazija)</t>
  </si>
  <si>
    <t xml:space="preserve">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</si>
</sst>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[$-409]General"/>
    <numFmt numFmtId="167" formatCode="[$-409]#,##0"/>
    <numFmt numFmtId="168" formatCode="[$-409]0.00"/>
  </numFmts>
  <fonts count="2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rgb="FFDBDBDB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166" fontId="10" fillId="0" borderId="0" applyBorder="0" applyProtection="0"/>
    <xf numFmtId="0" fontId="21" fillId="0" borderId="0"/>
  </cellStyleXfs>
  <cellXfs count="987">
    <xf numFmtId="0" fontId="0" fillId="0" borderId="0" xfId="0"/>
    <xf numFmtId="3" fontId="2" fillId="0" borderId="16" xfId="0" applyNumberFormat="1" applyFont="1" applyFill="1" applyBorder="1" applyAlignment="1">
      <alignment horizontal="center" vertical="top" wrapText="1"/>
    </xf>
    <xf numFmtId="164" fontId="2" fillId="0" borderId="53" xfId="0" applyNumberFormat="1" applyFont="1" applyFill="1" applyBorder="1" applyAlignment="1">
      <alignment horizontal="center" vertical="top" wrapText="1"/>
    </xf>
    <xf numFmtId="3" fontId="2" fillId="4" borderId="16" xfId="0" applyNumberFormat="1" applyFont="1" applyFill="1" applyBorder="1" applyAlignment="1">
      <alignment horizontal="center" vertical="top" wrapText="1"/>
    </xf>
    <xf numFmtId="3" fontId="2" fillId="4" borderId="53" xfId="0" applyNumberFormat="1" applyFont="1" applyFill="1" applyBorder="1" applyAlignment="1">
      <alignment horizontal="center" vertical="top" wrapText="1"/>
    </xf>
    <xf numFmtId="3" fontId="3" fillId="5" borderId="40" xfId="0" applyNumberFormat="1" applyFont="1" applyFill="1" applyBorder="1" applyAlignment="1">
      <alignment horizontal="center" vertical="top" wrapText="1"/>
    </xf>
    <xf numFmtId="164" fontId="2" fillId="4" borderId="53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vertical="top" wrapText="1"/>
    </xf>
    <xf numFmtId="3" fontId="2" fillId="0" borderId="0" xfId="0" applyNumberFormat="1" applyFont="1" applyAlignment="1">
      <alignment horizontal="center" vertical="top" wrapText="1"/>
    </xf>
    <xf numFmtId="3" fontId="6" fillId="0" borderId="0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3" fontId="2" fillId="0" borderId="37" xfId="0" applyNumberFormat="1" applyFont="1" applyBorder="1" applyAlignment="1">
      <alignment horizontal="right" vertical="top" wrapText="1"/>
    </xf>
    <xf numFmtId="49" fontId="2" fillId="0" borderId="0" xfId="0" applyNumberFormat="1" applyFont="1" applyBorder="1" applyAlignment="1">
      <alignment horizontal="center" vertical="top" wrapText="1"/>
    </xf>
    <xf numFmtId="164" fontId="3" fillId="5" borderId="40" xfId="0" applyNumberFormat="1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3" fontId="2" fillId="4" borderId="54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3" fontId="3" fillId="4" borderId="0" xfId="0" applyNumberFormat="1" applyFont="1" applyFill="1" applyBorder="1" applyAlignment="1">
      <alignment horizontal="center" vertical="top" wrapText="1"/>
    </xf>
    <xf numFmtId="3" fontId="2" fillId="0" borderId="16" xfId="0" applyNumberFormat="1" applyFont="1" applyBorder="1" applyAlignment="1">
      <alignment horizontal="center" vertical="top"/>
    </xf>
    <xf numFmtId="0" fontId="3" fillId="5" borderId="40" xfId="0" applyFont="1" applyFill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top" wrapText="1"/>
    </xf>
    <xf numFmtId="165" fontId="3" fillId="4" borderId="0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Border="1" applyAlignment="1">
      <alignment vertical="top" wrapText="1"/>
    </xf>
    <xf numFmtId="3" fontId="11" fillId="4" borderId="54" xfId="0" applyNumberFormat="1" applyFont="1" applyFill="1" applyBorder="1" applyAlignment="1">
      <alignment vertical="top" wrapText="1"/>
    </xf>
    <xf numFmtId="3" fontId="2" fillId="4" borderId="16" xfId="0" applyNumberFormat="1" applyFont="1" applyFill="1" applyBorder="1" applyAlignment="1">
      <alignment vertical="top" wrapText="1"/>
    </xf>
    <xf numFmtId="3" fontId="2" fillId="4" borderId="17" xfId="0" applyNumberFormat="1" applyFont="1" applyFill="1" applyBorder="1" applyAlignment="1">
      <alignment vertical="top" wrapText="1"/>
    </xf>
    <xf numFmtId="3" fontId="2" fillId="4" borderId="54" xfId="0" applyNumberFormat="1" applyFont="1" applyFill="1" applyBorder="1" applyAlignment="1">
      <alignment horizontal="left" vertical="top" wrapText="1"/>
    </xf>
    <xf numFmtId="165" fontId="2" fillId="4" borderId="0" xfId="0" applyNumberFormat="1" applyFont="1" applyFill="1" applyBorder="1" applyAlignment="1">
      <alignment horizontal="left" vertical="top" wrapText="1"/>
    </xf>
    <xf numFmtId="3" fontId="2" fillId="4" borderId="53" xfId="0" applyNumberFormat="1" applyFont="1" applyFill="1" applyBorder="1" applyAlignment="1">
      <alignment vertical="top" wrapText="1"/>
    </xf>
    <xf numFmtId="3" fontId="2" fillId="4" borderId="46" xfId="0" applyNumberFormat="1" applyFont="1" applyFill="1" applyBorder="1" applyAlignment="1">
      <alignment vertical="top" wrapText="1"/>
    </xf>
    <xf numFmtId="49" fontId="3" fillId="3" borderId="13" xfId="0" applyNumberFormat="1" applyFont="1" applyFill="1" applyBorder="1" applyAlignment="1">
      <alignment horizontal="center" vertical="top" wrapText="1"/>
    </xf>
    <xf numFmtId="3" fontId="2" fillId="4" borderId="54" xfId="0" applyNumberFormat="1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vertical="top" wrapText="1"/>
    </xf>
    <xf numFmtId="164" fontId="2" fillId="4" borderId="54" xfId="0" applyNumberFormat="1" applyFont="1" applyFill="1" applyBorder="1" applyAlignment="1">
      <alignment horizontal="center" vertical="top" wrapText="1"/>
    </xf>
    <xf numFmtId="164" fontId="3" fillId="5" borderId="38" xfId="0" applyNumberFormat="1" applyFont="1" applyFill="1" applyBorder="1" applyAlignment="1">
      <alignment horizontal="center" vertical="top" wrapText="1"/>
    </xf>
    <xf numFmtId="164" fontId="2" fillId="0" borderId="54" xfId="0" applyNumberFormat="1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top" wrapText="1"/>
    </xf>
    <xf numFmtId="164" fontId="3" fillId="5" borderId="38" xfId="0" applyNumberFormat="1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top"/>
    </xf>
    <xf numFmtId="164" fontId="2" fillId="0" borderId="53" xfId="0" applyNumberFormat="1" applyFont="1" applyBorder="1" applyAlignment="1">
      <alignment horizontal="center" vertical="top" wrapText="1"/>
    </xf>
    <xf numFmtId="164" fontId="2" fillId="5" borderId="54" xfId="0" applyNumberFormat="1" applyFont="1" applyFill="1" applyBorder="1" applyAlignment="1">
      <alignment horizontal="center" vertical="top" wrapText="1"/>
    </xf>
    <xf numFmtId="3" fontId="2" fillId="4" borderId="27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vertical="top" wrapText="1"/>
    </xf>
    <xf numFmtId="3" fontId="2" fillId="4" borderId="61" xfId="0" applyNumberFormat="1" applyFont="1" applyFill="1" applyBorder="1" applyAlignment="1">
      <alignment horizontal="center" vertical="top" wrapText="1"/>
    </xf>
    <xf numFmtId="3" fontId="2" fillId="4" borderId="60" xfId="0" applyNumberFormat="1" applyFont="1" applyFill="1" applyBorder="1" applyAlignment="1">
      <alignment horizontal="center" vertical="top" wrapText="1"/>
    </xf>
    <xf numFmtId="3" fontId="13" fillId="4" borderId="0" xfId="0" applyNumberFormat="1" applyFont="1" applyFill="1" applyBorder="1" applyAlignment="1">
      <alignment horizontal="center" vertical="top" wrapText="1"/>
    </xf>
    <xf numFmtId="3" fontId="13" fillId="4" borderId="0" xfId="0" applyNumberFormat="1" applyFont="1" applyFill="1" applyBorder="1" applyAlignment="1">
      <alignment horizontal="center" vertical="top" textRotation="180" wrapText="1"/>
    </xf>
    <xf numFmtId="164" fontId="2" fillId="4" borderId="27" xfId="0" applyNumberFormat="1" applyFont="1" applyFill="1" applyBorder="1" applyAlignment="1">
      <alignment horizontal="center" vertical="top" wrapText="1"/>
    </xf>
    <xf numFmtId="3" fontId="13" fillId="4" borderId="3" xfId="0" applyNumberFormat="1" applyFont="1" applyFill="1" applyBorder="1" applyAlignment="1">
      <alignment horizontal="center" vertical="top" wrapText="1"/>
    </xf>
    <xf numFmtId="3" fontId="2" fillId="4" borderId="65" xfId="0" applyNumberFormat="1" applyFont="1" applyFill="1" applyBorder="1" applyAlignment="1">
      <alignment horizontal="center" vertical="top" wrapText="1"/>
    </xf>
    <xf numFmtId="4" fontId="2" fillId="4" borderId="61" xfId="0" applyNumberFormat="1" applyFont="1" applyFill="1" applyBorder="1" applyAlignment="1">
      <alignment horizontal="center" vertical="top" wrapText="1"/>
    </xf>
    <xf numFmtId="0" fontId="2" fillId="4" borderId="54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3" fontId="12" fillId="0" borderId="0" xfId="0" applyNumberFormat="1" applyFont="1" applyAlignment="1">
      <alignment horizontal="center" vertical="top" wrapText="1"/>
    </xf>
    <xf numFmtId="3" fontId="12" fillId="0" borderId="37" xfId="0" applyNumberFormat="1" applyFont="1" applyBorder="1" applyAlignment="1">
      <alignment horizontal="right" wrapText="1"/>
    </xf>
    <xf numFmtId="49" fontId="3" fillId="8" borderId="17" xfId="0" applyNumberFormat="1" applyFont="1" applyFill="1" applyBorder="1" applyAlignment="1">
      <alignment vertical="top" wrapText="1"/>
    </xf>
    <xf numFmtId="49" fontId="3" fillId="8" borderId="40" xfId="0" applyNumberFormat="1" applyFont="1" applyFill="1" applyBorder="1" applyAlignment="1">
      <alignment horizontal="center" vertical="top" wrapText="1"/>
    </xf>
    <xf numFmtId="49" fontId="3" fillId="2" borderId="39" xfId="0" applyNumberFormat="1" applyFont="1" applyFill="1" applyBorder="1" applyAlignment="1">
      <alignment horizontal="center" vertical="top" wrapText="1"/>
    </xf>
    <xf numFmtId="49" fontId="3" fillId="8" borderId="16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49" fontId="3" fillId="3" borderId="52" xfId="0" applyNumberFormat="1" applyFont="1" applyFill="1" applyBorder="1" applyAlignment="1">
      <alignment horizontal="center" vertical="top" wrapText="1"/>
    </xf>
    <xf numFmtId="3" fontId="13" fillId="4" borderId="52" xfId="0" applyNumberFormat="1" applyFont="1" applyFill="1" applyBorder="1" applyAlignment="1">
      <alignment vertical="top" wrapText="1"/>
    </xf>
    <xf numFmtId="49" fontId="3" fillId="2" borderId="18" xfId="0" applyNumberFormat="1" applyFont="1" applyFill="1" applyBorder="1" applyAlignment="1">
      <alignment horizontal="center" vertical="top" wrapText="1"/>
    </xf>
    <xf numFmtId="49" fontId="3" fillId="3" borderId="29" xfId="0" applyNumberFormat="1" applyFont="1" applyFill="1" applyBorder="1" applyAlignment="1">
      <alignment vertical="top" wrapText="1"/>
    </xf>
    <xf numFmtId="49" fontId="3" fillId="2" borderId="18" xfId="0" applyNumberFormat="1" applyFont="1" applyFill="1" applyBorder="1" applyAlignment="1">
      <alignment vertical="top" wrapText="1"/>
    </xf>
    <xf numFmtId="3" fontId="13" fillId="4" borderId="47" xfId="0" applyNumberFormat="1" applyFont="1" applyFill="1" applyBorder="1" applyAlignment="1">
      <alignment horizontal="center" vertical="top" wrapText="1"/>
    </xf>
    <xf numFmtId="49" fontId="3" fillId="8" borderId="35" xfId="0" applyNumberFormat="1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center" vertical="top" wrapText="1"/>
    </xf>
    <xf numFmtId="49" fontId="3" fillId="3" borderId="29" xfId="0" applyNumberFormat="1" applyFont="1" applyFill="1" applyBorder="1" applyAlignment="1">
      <alignment horizontal="center" vertical="top" wrapText="1"/>
    </xf>
    <xf numFmtId="49" fontId="3" fillId="8" borderId="17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wrapText="1"/>
    </xf>
    <xf numFmtId="49" fontId="3" fillId="8" borderId="35" xfId="0" applyNumberFormat="1" applyFont="1" applyFill="1" applyBorder="1" applyAlignment="1">
      <alignment vertical="top" wrapText="1"/>
    </xf>
    <xf numFmtId="49" fontId="3" fillId="3" borderId="18" xfId="0" applyNumberFormat="1" applyFont="1" applyFill="1" applyBorder="1" applyAlignment="1">
      <alignment vertical="top" wrapText="1"/>
    </xf>
    <xf numFmtId="164" fontId="2" fillId="4" borderId="48" xfId="0" applyNumberFormat="1" applyFont="1" applyFill="1" applyBorder="1" applyAlignment="1">
      <alignment horizontal="center" vertical="top" wrapText="1"/>
    </xf>
    <xf numFmtId="49" fontId="3" fillId="8" borderId="46" xfId="0" applyNumberFormat="1" applyFont="1" applyFill="1" applyBorder="1" applyAlignment="1">
      <alignment vertical="top" wrapText="1"/>
    </xf>
    <xf numFmtId="49" fontId="3" fillId="2" borderId="19" xfId="0" applyNumberFormat="1" applyFont="1" applyFill="1" applyBorder="1" applyAlignment="1">
      <alignment vertical="top" wrapText="1"/>
    </xf>
    <xf numFmtId="49" fontId="3" fillId="3" borderId="56" xfId="0" applyNumberFormat="1" applyFont="1" applyFill="1" applyBorder="1" applyAlignment="1">
      <alignment vertical="top" wrapText="1"/>
    </xf>
    <xf numFmtId="49" fontId="3" fillId="8" borderId="16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 wrapText="1"/>
    </xf>
    <xf numFmtId="49" fontId="3" fillId="8" borderId="46" xfId="0" applyNumberFormat="1" applyFont="1" applyFill="1" applyBorder="1" applyAlignment="1">
      <alignment horizontal="center" vertical="top" wrapText="1"/>
    </xf>
    <xf numFmtId="49" fontId="3" fillId="2" borderId="19" xfId="0" applyNumberFormat="1" applyFont="1" applyFill="1" applyBorder="1" applyAlignment="1">
      <alignment horizontal="center" vertical="top" wrapText="1"/>
    </xf>
    <xf numFmtId="49" fontId="3" fillId="3" borderId="56" xfId="0" applyNumberFormat="1" applyFont="1" applyFill="1" applyBorder="1" applyAlignment="1">
      <alignment horizontal="center" vertical="top" wrapText="1"/>
    </xf>
    <xf numFmtId="49" fontId="3" fillId="8" borderId="12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164" fontId="3" fillId="2" borderId="12" xfId="0" applyNumberFormat="1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4" fontId="3" fillId="8" borderId="11" xfId="0" applyNumberFormat="1" applyFont="1" applyFill="1" applyBorder="1" applyAlignment="1">
      <alignment horizontal="center" vertical="top" wrapText="1"/>
    </xf>
    <xf numFmtId="49" fontId="3" fillId="2" borderId="14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vertical="top"/>
    </xf>
    <xf numFmtId="49" fontId="11" fillId="8" borderId="17" xfId="0" applyNumberFormat="1" applyFont="1" applyFill="1" applyBorder="1" applyAlignment="1">
      <alignment horizontal="center" vertical="top" wrapText="1"/>
    </xf>
    <xf numFmtId="49" fontId="11" fillId="2" borderId="18" xfId="0" applyNumberFormat="1" applyFont="1" applyFill="1" applyBorder="1" applyAlignment="1">
      <alignment horizontal="center" vertical="top" wrapText="1"/>
    </xf>
    <xf numFmtId="49" fontId="11" fillId="3" borderId="29" xfId="0" applyNumberFormat="1" applyFont="1" applyFill="1" applyBorder="1" applyAlignment="1">
      <alignment horizontal="center" vertical="top" wrapText="1"/>
    </xf>
    <xf numFmtId="3" fontId="14" fillId="4" borderId="0" xfId="0" applyNumberFormat="1" applyFont="1" applyFill="1" applyBorder="1" applyAlignment="1">
      <alignment horizontal="center" vertical="top" wrapText="1"/>
    </xf>
    <xf numFmtId="49" fontId="3" fillId="4" borderId="29" xfId="0" applyNumberFormat="1" applyFont="1" applyFill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3" fontId="2" fillId="4" borderId="28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3" borderId="13" xfId="0" applyNumberFormat="1" applyFont="1" applyFill="1" applyBorder="1" applyAlignment="1">
      <alignment vertical="top" wrapText="1"/>
    </xf>
    <xf numFmtId="49" fontId="3" fillId="3" borderId="29" xfId="0" applyNumberFormat="1" applyFont="1" applyFill="1" applyBorder="1" applyAlignment="1">
      <alignment vertical="top"/>
    </xf>
    <xf numFmtId="49" fontId="3" fillId="3" borderId="52" xfId="0" applyNumberFormat="1" applyFont="1" applyFill="1" applyBorder="1" applyAlignment="1">
      <alignment vertical="top"/>
    </xf>
    <xf numFmtId="49" fontId="3" fillId="3" borderId="56" xfId="0" applyNumberFormat="1" applyFont="1" applyFill="1" applyBorder="1" applyAlignment="1">
      <alignment vertical="top"/>
    </xf>
    <xf numFmtId="164" fontId="3" fillId="2" borderId="46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left" vertical="top" wrapText="1"/>
    </xf>
    <xf numFmtId="49" fontId="3" fillId="3" borderId="18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vertical="top" wrapText="1"/>
    </xf>
    <xf numFmtId="49" fontId="3" fillId="3" borderId="19" xfId="0" applyNumberFormat="1" applyFont="1" applyFill="1" applyBorder="1" applyAlignment="1">
      <alignment vertical="top"/>
    </xf>
    <xf numFmtId="49" fontId="3" fillId="3" borderId="19" xfId="0" applyNumberFormat="1" applyFont="1" applyFill="1" applyBorder="1" applyAlignment="1">
      <alignment vertical="top" wrapText="1"/>
    </xf>
    <xf numFmtId="3" fontId="13" fillId="0" borderId="3" xfId="0" applyNumberFormat="1" applyFont="1" applyFill="1" applyBorder="1" applyAlignment="1">
      <alignment horizontal="center" vertical="top" textRotation="90" wrapText="1"/>
    </xf>
    <xf numFmtId="3" fontId="13" fillId="0" borderId="0" xfId="0" applyNumberFormat="1" applyFont="1" applyFill="1" applyBorder="1" applyAlignment="1">
      <alignment horizontal="center" vertical="top" textRotation="180" wrapText="1"/>
    </xf>
    <xf numFmtId="49" fontId="3" fillId="3" borderId="52" xfId="0" applyNumberFormat="1" applyFont="1" applyFill="1" applyBorder="1" applyAlignment="1">
      <alignment vertical="top" wrapText="1"/>
    </xf>
    <xf numFmtId="49" fontId="3" fillId="8" borderId="1" xfId="0" applyNumberFormat="1" applyFont="1" applyFill="1" applyBorder="1" applyAlignment="1">
      <alignment horizontal="center" vertical="top" wrapText="1"/>
    </xf>
    <xf numFmtId="49" fontId="3" fillId="2" borderId="24" xfId="0" applyNumberFormat="1" applyFont="1" applyFill="1" applyBorder="1" applyAlignment="1">
      <alignment horizontal="center" vertical="top" wrapText="1"/>
    </xf>
    <xf numFmtId="49" fontId="3" fillId="7" borderId="1" xfId="0" applyNumberFormat="1" applyFont="1" applyFill="1" applyBorder="1" applyAlignment="1">
      <alignment horizontal="center" vertical="top" wrapText="1"/>
    </xf>
    <xf numFmtId="3" fontId="3" fillId="7" borderId="46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wrapText="1"/>
    </xf>
    <xf numFmtId="165" fontId="3" fillId="7" borderId="27" xfId="0" applyNumberFormat="1" applyFont="1" applyFill="1" applyBorder="1" applyAlignment="1">
      <alignment horizontal="center" vertical="top" wrapText="1"/>
    </xf>
    <xf numFmtId="165" fontId="3" fillId="5" borderId="36" xfId="0" applyNumberFormat="1" applyFont="1" applyFill="1" applyBorder="1" applyAlignment="1">
      <alignment horizontal="center" vertical="top" wrapText="1"/>
    </xf>
    <xf numFmtId="3" fontId="1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164" fontId="3" fillId="7" borderId="54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vertical="top" wrapText="1"/>
    </xf>
    <xf numFmtId="3" fontId="2" fillId="4" borderId="61" xfId="0" applyNumberFormat="1" applyFont="1" applyFill="1" applyBorder="1" applyAlignment="1">
      <alignment horizontal="center" vertical="top"/>
    </xf>
    <xf numFmtId="3" fontId="2" fillId="4" borderId="62" xfId="0" applyNumberFormat="1" applyFont="1" applyFill="1" applyBorder="1" applyAlignment="1">
      <alignment horizontal="center" vertical="top"/>
    </xf>
    <xf numFmtId="3" fontId="2" fillId="4" borderId="51" xfId="0" applyNumberFormat="1" applyFont="1" applyFill="1" applyBorder="1" applyAlignment="1">
      <alignment vertical="top" wrapText="1"/>
    </xf>
    <xf numFmtId="3" fontId="2" fillId="4" borderId="0" xfId="0" applyNumberFormat="1" applyFont="1" applyFill="1" applyAlignment="1">
      <alignment wrapText="1"/>
    </xf>
    <xf numFmtId="3" fontId="8" fillId="4" borderId="17" xfId="0" applyNumberFormat="1" applyFont="1" applyFill="1" applyBorder="1" applyAlignment="1">
      <alignment horizontal="center" vertical="top" wrapText="1"/>
    </xf>
    <xf numFmtId="3" fontId="8" fillId="4" borderId="18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top" wrapText="1"/>
    </xf>
    <xf numFmtId="164" fontId="3" fillId="5" borderId="37" xfId="0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vertical="top" wrapText="1"/>
    </xf>
    <xf numFmtId="3" fontId="2" fillId="0" borderId="19" xfId="0" applyNumberFormat="1" applyFont="1" applyFill="1" applyBorder="1" applyAlignment="1">
      <alignment vertical="top" wrapText="1"/>
    </xf>
    <xf numFmtId="3" fontId="2" fillId="3" borderId="16" xfId="0" applyNumberFormat="1" applyFont="1" applyFill="1" applyBorder="1" applyAlignment="1">
      <alignment horizontal="center" vertical="top" wrapText="1"/>
    </xf>
    <xf numFmtId="3" fontId="2" fillId="3" borderId="17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/>
    </xf>
    <xf numFmtId="164" fontId="2" fillId="4" borderId="61" xfId="0" applyNumberFormat="1" applyFont="1" applyFill="1" applyBorder="1" applyAlignment="1">
      <alignment horizontal="center" vertical="top" wrapText="1"/>
    </xf>
    <xf numFmtId="164" fontId="2" fillId="4" borderId="65" xfId="0" applyNumberFormat="1" applyFont="1" applyFill="1" applyBorder="1" applyAlignment="1">
      <alignment horizontal="center" vertical="top" wrapText="1"/>
    </xf>
    <xf numFmtId="3" fontId="2" fillId="4" borderId="9" xfId="0" applyNumberFormat="1" applyFont="1" applyFill="1" applyBorder="1" applyAlignment="1">
      <alignment horizontal="center" vertical="top" wrapText="1"/>
    </xf>
    <xf numFmtId="3" fontId="2" fillId="4" borderId="60" xfId="0" applyNumberFormat="1" applyFont="1" applyFill="1" applyBorder="1" applyAlignment="1">
      <alignment vertical="top" wrapText="1"/>
    </xf>
    <xf numFmtId="167" fontId="2" fillId="9" borderId="17" xfId="2" applyNumberFormat="1" applyFont="1" applyFill="1" applyBorder="1" applyAlignment="1">
      <alignment vertical="top" wrapText="1"/>
    </xf>
    <xf numFmtId="49" fontId="3" fillId="4" borderId="0" xfId="0" applyNumberFormat="1" applyFont="1" applyFill="1" applyBorder="1" applyAlignment="1">
      <alignment horizontal="center" vertical="top" wrapText="1"/>
    </xf>
    <xf numFmtId="164" fontId="2" fillId="4" borderId="15" xfId="0" applyNumberFormat="1" applyFont="1" applyFill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center" textRotation="90" wrapText="1"/>
    </xf>
    <xf numFmtId="164" fontId="2" fillId="0" borderId="54" xfId="0" applyNumberFormat="1" applyFont="1" applyBorder="1" applyAlignment="1">
      <alignment horizontal="center" vertical="top" wrapText="1"/>
    </xf>
    <xf numFmtId="3" fontId="13" fillId="0" borderId="26" xfId="0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 applyBorder="1" applyAlignment="1">
      <alignment horizontal="center" vertical="top" wrapText="1"/>
    </xf>
    <xf numFmtId="167" fontId="2" fillId="9" borderId="34" xfId="2" applyNumberFormat="1" applyFont="1" applyFill="1" applyBorder="1" applyAlignment="1">
      <alignment horizontal="center" vertical="top"/>
    </xf>
    <xf numFmtId="168" fontId="2" fillId="9" borderId="17" xfId="2" applyNumberFormat="1" applyFont="1" applyFill="1" applyBorder="1" applyAlignment="1">
      <alignment vertical="top" wrapText="1"/>
    </xf>
    <xf numFmtId="167" fontId="2" fillId="9" borderId="28" xfId="2" applyNumberFormat="1" applyFont="1" applyFill="1" applyBorder="1" applyAlignment="1">
      <alignment horizontal="center" vertical="top"/>
    </xf>
    <xf numFmtId="49" fontId="2" fillId="4" borderId="18" xfId="2" applyNumberFormat="1" applyFont="1" applyFill="1" applyBorder="1" applyAlignment="1">
      <alignment horizontal="center" vertical="top"/>
    </xf>
    <xf numFmtId="167" fontId="2" fillId="9" borderId="54" xfId="2" applyNumberFormat="1" applyFont="1" applyFill="1" applyBorder="1" applyAlignment="1">
      <alignment horizontal="center" vertical="top" wrapText="1"/>
    </xf>
    <xf numFmtId="3" fontId="2" fillId="4" borderId="61" xfId="0" applyNumberFormat="1" applyFont="1" applyFill="1" applyBorder="1" applyAlignment="1">
      <alignment vertical="top" wrapText="1"/>
    </xf>
    <xf numFmtId="167" fontId="2" fillId="9" borderId="5" xfId="2" applyNumberFormat="1" applyFont="1" applyFill="1" applyBorder="1" applyAlignment="1">
      <alignment vertical="top" wrapText="1"/>
    </xf>
    <xf numFmtId="167" fontId="2" fillId="11" borderId="50" xfId="2" applyNumberFormat="1" applyFont="1" applyFill="1" applyBorder="1" applyAlignment="1">
      <alignment horizontal="left" vertical="top" wrapText="1"/>
    </xf>
    <xf numFmtId="167" fontId="2" fillId="11" borderId="17" xfId="2" applyNumberFormat="1" applyFont="1" applyFill="1" applyBorder="1" applyAlignment="1">
      <alignment horizontal="left" vertical="top" wrapText="1"/>
    </xf>
    <xf numFmtId="167" fontId="2" fillId="11" borderId="18" xfId="2" applyNumberFormat="1" applyFont="1" applyFill="1" applyBorder="1" applyAlignment="1">
      <alignment horizontal="center" vertical="top" wrapText="1"/>
    </xf>
    <xf numFmtId="167" fontId="2" fillId="11" borderId="28" xfId="2" applyNumberFormat="1" applyFont="1" applyFill="1" applyBorder="1" applyAlignment="1">
      <alignment horizontal="center" vertical="top"/>
    </xf>
    <xf numFmtId="167" fontId="2" fillId="11" borderId="51" xfId="2" applyNumberFormat="1" applyFont="1" applyFill="1" applyBorder="1" applyAlignment="1">
      <alignment horizontal="left" vertical="top" wrapText="1"/>
    </xf>
    <xf numFmtId="167" fontId="15" fillId="9" borderId="36" xfId="2" applyNumberFormat="1" applyFont="1" applyFill="1" applyBorder="1" applyAlignment="1">
      <alignment horizontal="center" vertical="top" wrapText="1"/>
    </xf>
    <xf numFmtId="49" fontId="3" fillId="4" borderId="17" xfId="2" applyNumberFormat="1" applyFont="1" applyFill="1" applyBorder="1" applyAlignment="1">
      <alignment horizontal="center" vertical="top"/>
    </xf>
    <xf numFmtId="167" fontId="2" fillId="9" borderId="62" xfId="2" applyNumberFormat="1" applyFont="1" applyFill="1" applyBorder="1" applyAlignment="1">
      <alignment horizontal="center" vertical="top"/>
    </xf>
    <xf numFmtId="3" fontId="13" fillId="4" borderId="43" xfId="0" applyNumberFormat="1" applyFont="1" applyFill="1" applyBorder="1" applyAlignment="1">
      <alignment horizontal="center" vertical="top" wrapText="1"/>
    </xf>
    <xf numFmtId="3" fontId="13" fillId="4" borderId="18" xfId="0" applyNumberFormat="1" applyFont="1" applyFill="1" applyBorder="1" applyAlignment="1">
      <alignment horizontal="center" vertical="top" textRotation="90" wrapText="1"/>
    </xf>
    <xf numFmtId="3" fontId="15" fillId="4" borderId="18" xfId="0" applyNumberFormat="1" applyFont="1" applyFill="1" applyBorder="1" applyAlignment="1">
      <alignment horizontal="center" vertical="top" wrapText="1"/>
    </xf>
    <xf numFmtId="0" fontId="2" fillId="4" borderId="50" xfId="0" applyFont="1" applyFill="1" applyBorder="1" applyAlignment="1">
      <alignment vertical="top" wrapText="1"/>
    </xf>
    <xf numFmtId="3" fontId="13" fillId="4" borderId="55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/>
    </xf>
    <xf numFmtId="164" fontId="2" fillId="0" borderId="13" xfId="0" applyNumberFormat="1" applyFont="1" applyBorder="1" applyAlignment="1">
      <alignment horizontal="center" vertical="top"/>
    </xf>
    <xf numFmtId="49" fontId="2" fillId="4" borderId="8" xfId="2" applyNumberFormat="1" applyFont="1" applyFill="1" applyBorder="1" applyAlignment="1">
      <alignment horizontal="center" vertical="top"/>
    </xf>
    <xf numFmtId="0" fontId="15" fillId="4" borderId="18" xfId="0" applyFont="1" applyFill="1" applyBorder="1" applyAlignment="1">
      <alignment horizontal="center" vertical="top" wrapText="1"/>
    </xf>
    <xf numFmtId="164" fontId="2" fillId="4" borderId="32" xfId="0" applyNumberFormat="1" applyFont="1" applyFill="1" applyBorder="1" applyAlignment="1">
      <alignment horizontal="center" vertical="top" wrapText="1"/>
    </xf>
    <xf numFmtId="3" fontId="2" fillId="4" borderId="41" xfId="0" applyNumberFormat="1" applyFont="1" applyFill="1" applyBorder="1" applyAlignment="1">
      <alignment vertical="top" wrapText="1"/>
    </xf>
    <xf numFmtId="3" fontId="3" fillId="2" borderId="12" xfId="0" applyNumberFormat="1" applyFont="1" applyFill="1" applyBorder="1" applyAlignment="1">
      <alignment horizontal="center" vertical="top" wrapText="1"/>
    </xf>
    <xf numFmtId="3" fontId="3" fillId="8" borderId="12" xfId="0" applyNumberFormat="1" applyFont="1" applyFill="1" applyBorder="1" applyAlignment="1">
      <alignment horizontal="center" vertical="top" wrapText="1"/>
    </xf>
    <xf numFmtId="164" fontId="2" fillId="4" borderId="62" xfId="0" applyNumberFormat="1" applyFont="1" applyFill="1" applyBorder="1" applyAlignment="1">
      <alignment horizontal="center" vertical="top"/>
    </xf>
    <xf numFmtId="3" fontId="2" fillId="4" borderId="18" xfId="0" applyNumberFormat="1" applyFont="1" applyFill="1" applyBorder="1" applyAlignment="1">
      <alignment vertical="top" wrapText="1"/>
    </xf>
    <xf numFmtId="3" fontId="2" fillId="4" borderId="2" xfId="0" applyNumberFormat="1" applyFont="1" applyFill="1" applyBorder="1" applyAlignment="1">
      <alignment horizontal="left" vertical="top" wrapText="1"/>
    </xf>
    <xf numFmtId="3" fontId="3" fillId="2" borderId="12" xfId="0" applyNumberFormat="1" applyFont="1" applyFill="1" applyBorder="1" applyAlignment="1">
      <alignment vertical="top" wrapText="1"/>
    </xf>
    <xf numFmtId="3" fontId="3" fillId="2" borderId="58" xfId="0" applyNumberFormat="1" applyFont="1" applyFill="1" applyBorder="1" applyAlignment="1">
      <alignment vertical="top" wrapText="1"/>
    </xf>
    <xf numFmtId="3" fontId="3" fillId="8" borderId="12" xfId="0" applyNumberFormat="1" applyFont="1" applyFill="1" applyBorder="1" applyAlignment="1">
      <alignment vertical="top" wrapText="1"/>
    </xf>
    <xf numFmtId="3" fontId="3" fillId="8" borderId="58" xfId="0" applyNumberFormat="1" applyFont="1" applyFill="1" applyBorder="1" applyAlignment="1">
      <alignment vertical="top" wrapText="1"/>
    </xf>
    <xf numFmtId="3" fontId="13" fillId="4" borderId="37" xfId="0" applyNumberFormat="1" applyFont="1" applyFill="1" applyBorder="1" applyAlignment="1">
      <alignment horizontal="center" vertical="top" wrapText="1"/>
    </xf>
    <xf numFmtId="3" fontId="13" fillId="0" borderId="3" xfId="0" applyNumberFormat="1" applyFont="1" applyFill="1" applyBorder="1" applyAlignment="1">
      <alignment horizontal="center" vertical="top" wrapText="1"/>
    </xf>
    <xf numFmtId="3" fontId="13" fillId="0" borderId="37" xfId="0" applyNumberFormat="1" applyFont="1" applyFill="1" applyBorder="1" applyAlignment="1">
      <alignment horizontal="center" vertical="top" wrapText="1"/>
    </xf>
    <xf numFmtId="167" fontId="2" fillId="9" borderId="2" xfId="2" applyNumberFormat="1" applyFont="1" applyFill="1" applyBorder="1" applyAlignment="1">
      <alignment horizontal="left" vertical="top" wrapText="1"/>
    </xf>
    <xf numFmtId="167" fontId="2" fillId="9" borderId="28" xfId="2" applyNumberFormat="1" applyFont="1" applyFill="1" applyBorder="1" applyAlignment="1">
      <alignment horizontal="center" vertical="center"/>
    </xf>
    <xf numFmtId="3" fontId="15" fillId="4" borderId="69" xfId="0" applyNumberFormat="1" applyFont="1" applyFill="1" applyBorder="1" applyAlignment="1">
      <alignment horizontal="center" vertical="top" wrapText="1"/>
    </xf>
    <xf numFmtId="165" fontId="2" fillId="4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Border="1" applyAlignment="1">
      <alignment vertical="top" wrapText="1"/>
    </xf>
    <xf numFmtId="3" fontId="15" fillId="0" borderId="0" xfId="0" applyNumberFormat="1" applyFont="1" applyBorder="1" applyAlignment="1">
      <alignment vertical="top" wrapText="1"/>
    </xf>
    <xf numFmtId="164" fontId="2" fillId="4" borderId="64" xfId="1" applyNumberFormat="1" applyFont="1" applyFill="1" applyBorder="1" applyAlignment="1">
      <alignment horizontal="center" vertical="top" wrapText="1"/>
    </xf>
    <xf numFmtId="3" fontId="2" fillId="4" borderId="28" xfId="0" applyNumberFormat="1" applyFont="1" applyFill="1" applyBorder="1" applyAlignment="1">
      <alignment vertical="top" wrapText="1"/>
    </xf>
    <xf numFmtId="3" fontId="2" fillId="4" borderId="62" xfId="0" applyNumberFormat="1" applyFont="1" applyFill="1" applyBorder="1" applyAlignment="1">
      <alignment vertical="top" wrapText="1"/>
    </xf>
    <xf numFmtId="3" fontId="13" fillId="0" borderId="52" xfId="0" applyNumberFormat="1" applyFont="1" applyFill="1" applyBorder="1" applyAlignment="1">
      <alignment horizontal="center" vertical="top" textRotation="90" wrapText="1"/>
    </xf>
    <xf numFmtId="0" fontId="2" fillId="4" borderId="53" xfId="0" applyFont="1" applyFill="1" applyBorder="1" applyAlignment="1">
      <alignment horizontal="left" vertical="top" wrapText="1"/>
    </xf>
    <xf numFmtId="164" fontId="2" fillId="0" borderId="16" xfId="0" applyNumberFormat="1" applyFont="1" applyFill="1" applyBorder="1" applyAlignment="1">
      <alignment horizontal="center" vertical="top" wrapText="1"/>
    </xf>
    <xf numFmtId="49" fontId="2" fillId="4" borderId="17" xfId="2" applyNumberFormat="1" applyFont="1" applyFill="1" applyBorder="1" applyAlignment="1">
      <alignment horizontal="center" vertical="top"/>
    </xf>
    <xf numFmtId="165" fontId="2" fillId="4" borderId="17" xfId="2" applyNumberFormat="1" applyFont="1" applyFill="1" applyBorder="1" applyAlignment="1">
      <alignment horizontal="center" vertical="top"/>
    </xf>
    <xf numFmtId="164" fontId="2" fillId="4" borderId="17" xfId="2" applyNumberFormat="1" applyFont="1" applyFill="1" applyBorder="1" applyAlignment="1">
      <alignment horizontal="center" vertical="top"/>
    </xf>
    <xf numFmtId="164" fontId="3" fillId="4" borderId="17" xfId="2" applyNumberFormat="1" applyFont="1" applyFill="1" applyBorder="1" applyAlignment="1">
      <alignment horizontal="right" vertical="top"/>
    </xf>
    <xf numFmtId="167" fontId="2" fillId="9" borderId="68" xfId="2" applyNumberFormat="1" applyFont="1" applyFill="1" applyBorder="1" applyAlignment="1">
      <alignment horizontal="center" vertical="top" wrapText="1"/>
    </xf>
    <xf numFmtId="164" fontId="2" fillId="4" borderId="60" xfId="0" applyNumberFormat="1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3" fontId="13" fillId="4" borderId="66" xfId="0" applyNumberFormat="1" applyFont="1" applyFill="1" applyBorder="1" applyAlignment="1">
      <alignment horizontal="center" vertical="top" wrapText="1"/>
    </xf>
    <xf numFmtId="3" fontId="13" fillId="4" borderId="54" xfId="0" applyNumberFormat="1" applyFont="1" applyFill="1" applyBorder="1" applyAlignment="1">
      <alignment horizontal="center" vertical="top" wrapText="1"/>
    </xf>
    <xf numFmtId="3" fontId="13" fillId="4" borderId="36" xfId="0" applyNumberFormat="1" applyFont="1" applyFill="1" applyBorder="1" applyAlignment="1">
      <alignment horizontal="center" vertical="top" textRotation="180" wrapText="1"/>
    </xf>
    <xf numFmtId="3" fontId="3" fillId="4" borderId="49" xfId="0" applyNumberFormat="1" applyFont="1" applyFill="1" applyBorder="1" applyAlignment="1">
      <alignment vertical="top" wrapText="1"/>
    </xf>
    <xf numFmtId="3" fontId="13" fillId="4" borderId="70" xfId="0" applyNumberFormat="1" applyFont="1" applyFill="1" applyBorder="1" applyAlignment="1">
      <alignment horizontal="center" vertical="top" wrapText="1"/>
    </xf>
    <xf numFmtId="3" fontId="13" fillId="4" borderId="70" xfId="0" applyNumberFormat="1" applyFont="1" applyFill="1" applyBorder="1" applyAlignment="1">
      <alignment horizontal="center" vertical="center" wrapText="1"/>
    </xf>
    <xf numFmtId="49" fontId="3" fillId="3" borderId="37" xfId="0" applyNumberFormat="1" applyFont="1" applyFill="1" applyBorder="1" applyAlignment="1">
      <alignment horizontal="center" vertical="top" wrapText="1"/>
    </xf>
    <xf numFmtId="3" fontId="13" fillId="4" borderId="36" xfId="0" applyNumberFormat="1" applyFont="1" applyFill="1" applyBorder="1" applyAlignment="1">
      <alignment horizontal="center" vertical="top" textRotation="90" wrapText="1"/>
    </xf>
    <xf numFmtId="3" fontId="2" fillId="4" borderId="0" xfId="0" applyNumberFormat="1" applyFont="1" applyFill="1" applyBorder="1" applyAlignment="1">
      <alignment horizontal="center" vertical="top"/>
    </xf>
    <xf numFmtId="167" fontId="2" fillId="9" borderId="53" xfId="2" applyNumberFormat="1" applyFont="1" applyFill="1" applyBorder="1" applyAlignment="1">
      <alignment vertical="top" wrapText="1"/>
    </xf>
    <xf numFmtId="3" fontId="13" fillId="4" borderId="55" xfId="0" applyNumberFormat="1" applyFont="1" applyFill="1" applyBorder="1" applyAlignment="1">
      <alignment horizontal="center" vertical="top" textRotation="90" wrapText="1"/>
    </xf>
    <xf numFmtId="3" fontId="2" fillId="0" borderId="18" xfId="0" applyNumberFormat="1" applyFont="1" applyBorder="1" applyAlignment="1">
      <alignment horizontal="center" vertical="top" wrapText="1"/>
    </xf>
    <xf numFmtId="165" fontId="2" fillId="4" borderId="18" xfId="2" applyNumberFormat="1" applyFont="1" applyFill="1" applyBorder="1" applyAlignment="1">
      <alignment horizontal="center" vertical="top"/>
    </xf>
    <xf numFmtId="3" fontId="2" fillId="4" borderId="29" xfId="0" applyNumberFormat="1" applyFont="1" applyFill="1" applyBorder="1" applyAlignment="1">
      <alignment horizontal="center" vertical="top" wrapText="1"/>
    </xf>
    <xf numFmtId="3" fontId="2" fillId="0" borderId="17" xfId="0" applyNumberFormat="1" applyFont="1" applyBorder="1" applyAlignment="1">
      <alignment horizontal="center" vertical="top" wrapText="1"/>
    </xf>
    <xf numFmtId="164" fontId="3" fillId="2" borderId="45" xfId="0" applyNumberFormat="1" applyFont="1" applyFill="1" applyBorder="1" applyAlignment="1">
      <alignment horizontal="center" vertical="top" wrapText="1"/>
    </xf>
    <xf numFmtId="164" fontId="3" fillId="8" borderId="45" xfId="0" applyNumberFormat="1" applyFont="1" applyFill="1" applyBorder="1" applyAlignment="1">
      <alignment horizontal="center" vertical="top" wrapText="1"/>
    </xf>
    <xf numFmtId="164" fontId="3" fillId="8" borderId="37" xfId="0" applyNumberFormat="1" applyFont="1" applyFill="1" applyBorder="1" applyAlignment="1">
      <alignment horizontal="center" vertical="top" wrapText="1"/>
    </xf>
    <xf numFmtId="164" fontId="3" fillId="7" borderId="37" xfId="0" applyNumberFormat="1" applyFont="1" applyFill="1" applyBorder="1" applyAlignment="1">
      <alignment horizontal="center" vertical="top" wrapText="1"/>
    </xf>
    <xf numFmtId="0" fontId="2" fillId="4" borderId="18" xfId="2" applyNumberFormat="1" applyFont="1" applyFill="1" applyBorder="1" applyAlignment="1">
      <alignment horizontal="center" vertical="top"/>
    </xf>
    <xf numFmtId="164" fontId="2" fillId="4" borderId="18" xfId="2" applyNumberFormat="1" applyFont="1" applyFill="1" applyBorder="1" applyAlignment="1">
      <alignment horizontal="center" vertical="top"/>
    </xf>
    <xf numFmtId="164" fontId="3" fillId="4" borderId="18" xfId="2" applyNumberFormat="1" applyFont="1" applyFill="1" applyBorder="1" applyAlignment="1">
      <alignment horizontal="right" vertical="top"/>
    </xf>
    <xf numFmtId="164" fontId="2" fillId="4" borderId="18" xfId="0" applyNumberFormat="1" applyFont="1" applyFill="1" applyBorder="1" applyAlignment="1">
      <alignment horizontal="center" vertical="top"/>
    </xf>
    <xf numFmtId="3" fontId="2" fillId="0" borderId="13" xfId="0" applyNumberFormat="1" applyFont="1" applyFill="1" applyBorder="1" applyAlignment="1">
      <alignment horizontal="center" vertical="top" wrapText="1"/>
    </xf>
    <xf numFmtId="164" fontId="2" fillId="4" borderId="49" xfId="1" applyNumberFormat="1" applyFont="1" applyFill="1" applyBorder="1" applyAlignment="1">
      <alignment horizontal="center" vertical="top" wrapText="1"/>
    </xf>
    <xf numFmtId="167" fontId="2" fillId="11" borderId="34" xfId="2" applyNumberFormat="1" applyFont="1" applyFill="1" applyBorder="1" applyAlignment="1">
      <alignment horizontal="center" vertical="top"/>
    </xf>
    <xf numFmtId="167" fontId="2" fillId="9" borderId="72" xfId="2" applyNumberFormat="1" applyFont="1" applyFill="1" applyBorder="1" applyAlignment="1">
      <alignment horizontal="center" vertical="top"/>
    </xf>
    <xf numFmtId="0" fontId="2" fillId="4" borderId="61" xfId="0" applyFont="1" applyFill="1" applyBorder="1" applyAlignment="1">
      <alignment horizontal="center" vertical="top"/>
    </xf>
    <xf numFmtId="3" fontId="2" fillId="4" borderId="0" xfId="0" applyNumberFormat="1" applyFont="1" applyFill="1" applyAlignment="1">
      <alignment vertical="top" wrapText="1"/>
    </xf>
    <xf numFmtId="3" fontId="2" fillId="4" borderId="0" xfId="0" applyNumberFormat="1" applyFont="1" applyFill="1" applyAlignment="1">
      <alignment horizontal="left" vertical="top" wrapText="1"/>
    </xf>
    <xf numFmtId="3" fontId="3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5" fontId="2" fillId="4" borderId="0" xfId="0" applyNumberFormat="1" applyFont="1" applyFill="1" applyAlignment="1">
      <alignment horizontal="left" vertical="top" wrapText="1"/>
    </xf>
    <xf numFmtId="49" fontId="2" fillId="4" borderId="0" xfId="0" applyNumberFormat="1" applyFont="1" applyFill="1" applyAlignment="1">
      <alignment horizontal="left" vertical="top" wrapText="1"/>
    </xf>
    <xf numFmtId="3" fontId="3" fillId="4" borderId="0" xfId="0" applyNumberFormat="1" applyFont="1" applyFill="1" applyAlignment="1">
      <alignment wrapText="1"/>
    </xf>
    <xf numFmtId="164" fontId="2" fillId="4" borderId="0" xfId="0" applyNumberFormat="1" applyFont="1" applyFill="1" applyBorder="1" applyAlignment="1">
      <alignment vertical="top" wrapText="1"/>
    </xf>
    <xf numFmtId="3" fontId="2" fillId="4" borderId="37" xfId="0" applyNumberFormat="1" applyFont="1" applyFill="1" applyBorder="1" applyAlignment="1">
      <alignment horizontal="right" vertical="top" wrapText="1"/>
    </xf>
    <xf numFmtId="3" fontId="4" fillId="7" borderId="26" xfId="0" applyNumberFormat="1" applyFont="1" applyFill="1" applyBorder="1" applyAlignment="1">
      <alignment horizontal="left" vertical="top" wrapText="1"/>
    </xf>
    <xf numFmtId="3" fontId="4" fillId="7" borderId="7" xfId="0" applyNumberFormat="1" applyFont="1" applyFill="1" applyBorder="1" applyAlignment="1">
      <alignment horizontal="left" vertical="top" wrapText="1"/>
    </xf>
    <xf numFmtId="3" fontId="3" fillId="15" borderId="26" xfId="0" applyNumberFormat="1" applyFont="1" applyFill="1" applyBorder="1" applyAlignment="1">
      <alignment horizontal="left" vertical="top" wrapText="1"/>
    </xf>
    <xf numFmtId="3" fontId="3" fillId="15" borderId="0" xfId="0" applyNumberFormat="1" applyFont="1" applyFill="1" applyBorder="1" applyAlignment="1">
      <alignment horizontal="left" vertical="top" wrapText="1"/>
    </xf>
    <xf numFmtId="3" fontId="3" fillId="15" borderId="72" xfId="0" applyNumberFormat="1" applyFont="1" applyFill="1" applyBorder="1" applyAlignment="1">
      <alignment horizontal="left" vertical="top" wrapText="1"/>
    </xf>
    <xf numFmtId="3" fontId="3" fillId="10" borderId="38" xfId="0" applyNumberFormat="1" applyFont="1" applyFill="1" applyBorder="1" applyAlignment="1">
      <alignment horizontal="left" vertical="top" wrapText="1"/>
    </xf>
    <xf numFmtId="3" fontId="3" fillId="10" borderId="42" xfId="0" applyNumberFormat="1" applyFont="1" applyFill="1" applyBorder="1" applyAlignment="1">
      <alignment horizontal="left" vertical="top" wrapText="1"/>
    </xf>
    <xf numFmtId="3" fontId="2" fillId="0" borderId="39" xfId="0" applyNumberFormat="1" applyFont="1" applyBorder="1" applyAlignment="1">
      <alignment horizontal="center" vertical="center" textRotation="90" wrapText="1"/>
    </xf>
    <xf numFmtId="3" fontId="2" fillId="0" borderId="67" xfId="0" applyNumberFormat="1" applyFont="1" applyBorder="1" applyAlignment="1">
      <alignment horizontal="center" vertical="center" textRotation="90" wrapText="1"/>
    </xf>
    <xf numFmtId="3" fontId="2" fillId="4" borderId="25" xfId="0" applyNumberFormat="1" applyFont="1" applyFill="1" applyBorder="1" applyAlignment="1">
      <alignment horizontal="center" vertical="top" wrapText="1"/>
    </xf>
    <xf numFmtId="3" fontId="3" fillId="4" borderId="0" xfId="0" applyNumberFormat="1" applyFont="1" applyFill="1" applyBorder="1" applyAlignment="1">
      <alignment horizontal="center" wrapText="1"/>
    </xf>
    <xf numFmtId="3" fontId="2" fillId="4" borderId="32" xfId="0" applyNumberFormat="1" applyFont="1" applyFill="1" applyBorder="1" applyAlignment="1">
      <alignment horizontal="center" vertical="top" wrapText="1"/>
    </xf>
    <xf numFmtId="164" fontId="3" fillId="5" borderId="74" xfId="0" applyNumberFormat="1" applyFont="1" applyFill="1" applyBorder="1" applyAlignment="1">
      <alignment horizontal="center" vertical="top" wrapText="1"/>
    </xf>
    <xf numFmtId="164" fontId="3" fillId="5" borderId="67" xfId="0" applyNumberFormat="1" applyFont="1" applyFill="1" applyBorder="1" applyAlignment="1">
      <alignment horizontal="center" vertical="top" wrapText="1"/>
    </xf>
    <xf numFmtId="3" fontId="2" fillId="4" borderId="56" xfId="0" applyNumberFormat="1" applyFont="1" applyFill="1" applyBorder="1" applyAlignment="1">
      <alignment horizontal="center" vertical="top" wrapText="1"/>
    </xf>
    <xf numFmtId="3" fontId="8" fillId="4" borderId="34" xfId="0" applyNumberFormat="1" applyFont="1" applyFill="1" applyBorder="1" applyAlignment="1">
      <alignment horizontal="center" vertical="top" wrapText="1"/>
    </xf>
    <xf numFmtId="167" fontId="2" fillId="9" borderId="32" xfId="2" applyNumberFormat="1" applyFont="1" applyFill="1" applyBorder="1" applyAlignment="1">
      <alignment horizontal="center" vertical="top" wrapText="1"/>
    </xf>
    <xf numFmtId="164" fontId="3" fillId="5" borderId="74" xfId="0" applyNumberFormat="1" applyFont="1" applyFill="1" applyBorder="1" applyAlignment="1">
      <alignment horizontal="center" vertical="top"/>
    </xf>
    <xf numFmtId="164" fontId="3" fillId="5" borderId="67" xfId="0" applyNumberFormat="1" applyFont="1" applyFill="1" applyBorder="1" applyAlignment="1">
      <alignment horizontal="center" vertical="top"/>
    </xf>
    <xf numFmtId="164" fontId="2" fillId="0" borderId="75" xfId="0" applyNumberFormat="1" applyFont="1" applyBorder="1" applyAlignment="1">
      <alignment horizontal="center" vertical="top"/>
    </xf>
    <xf numFmtId="164" fontId="2" fillId="4" borderId="34" xfId="1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1" fontId="2" fillId="4" borderId="33" xfId="0" applyNumberFormat="1" applyFont="1" applyFill="1" applyBorder="1" applyAlignment="1">
      <alignment horizontal="center" vertical="top"/>
    </xf>
    <xf numFmtId="3" fontId="15" fillId="4" borderId="17" xfId="0" applyNumberFormat="1" applyFont="1" applyFill="1" applyBorder="1" applyAlignment="1">
      <alignment horizontal="center" vertical="top" wrapText="1"/>
    </xf>
    <xf numFmtId="3" fontId="2" fillId="10" borderId="57" xfId="0" applyNumberFormat="1" applyFont="1" applyFill="1" applyBorder="1" applyAlignment="1">
      <alignment horizontal="center" vertical="top" wrapText="1"/>
    </xf>
    <xf numFmtId="167" fontId="2" fillId="16" borderId="58" xfId="2" applyNumberFormat="1" applyFont="1" applyFill="1" applyBorder="1" applyAlignment="1">
      <alignment horizontal="center" vertical="top" wrapText="1"/>
    </xf>
    <xf numFmtId="0" fontId="2" fillId="10" borderId="45" xfId="0" applyFont="1" applyFill="1" applyBorder="1" applyAlignment="1">
      <alignment horizontal="center" vertical="top" wrapText="1"/>
    </xf>
    <xf numFmtId="0" fontId="2" fillId="10" borderId="3" xfId="0" applyFont="1" applyFill="1" applyBorder="1" applyAlignment="1">
      <alignment horizontal="center" vertical="top" wrapText="1"/>
    </xf>
    <xf numFmtId="3" fontId="2" fillId="10" borderId="23" xfId="0" applyNumberFormat="1" applyFont="1" applyFill="1" applyBorder="1" applyAlignment="1">
      <alignment horizontal="center" vertical="top" wrapText="1"/>
    </xf>
    <xf numFmtId="0" fontId="2" fillId="7" borderId="37" xfId="0" applyFont="1" applyFill="1" applyBorder="1" applyAlignment="1">
      <alignment horizontal="center" vertical="top" wrapText="1"/>
    </xf>
    <xf numFmtId="0" fontId="2" fillId="8" borderId="45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7" borderId="45" xfId="0" applyFont="1" applyFill="1" applyBorder="1" applyAlignment="1">
      <alignment horizontal="center" vertical="top" wrapText="1"/>
    </xf>
    <xf numFmtId="3" fontId="2" fillId="8" borderId="23" xfId="0" applyNumberFormat="1" applyFont="1" applyFill="1" applyBorder="1" applyAlignment="1">
      <alignment horizontal="center" vertical="top" wrapText="1"/>
    </xf>
    <xf numFmtId="3" fontId="2" fillId="7" borderId="58" xfId="0" applyNumberFormat="1" applyFont="1" applyFill="1" applyBorder="1" applyAlignment="1">
      <alignment horizontal="center" vertical="top"/>
    </xf>
    <xf numFmtId="3" fontId="3" fillId="10" borderId="58" xfId="0" applyNumberFormat="1" applyFont="1" applyFill="1" applyBorder="1" applyAlignment="1">
      <alignment horizontal="left" vertical="top" wrapText="1"/>
    </xf>
    <xf numFmtId="3" fontId="2" fillId="8" borderId="58" xfId="0" applyNumberFormat="1" applyFont="1" applyFill="1" applyBorder="1" applyAlignment="1">
      <alignment horizontal="center" vertical="top" wrapText="1"/>
    </xf>
    <xf numFmtId="3" fontId="3" fillId="10" borderId="46" xfId="0" applyNumberFormat="1" applyFont="1" applyFill="1" applyBorder="1" applyAlignment="1">
      <alignment horizontal="center" vertical="top" wrapText="1"/>
    </xf>
    <xf numFmtId="3" fontId="2" fillId="10" borderId="58" xfId="0" applyNumberFormat="1" applyFont="1" applyFill="1" applyBorder="1" applyAlignment="1">
      <alignment horizontal="center" vertical="top" wrapText="1"/>
    </xf>
    <xf numFmtId="4" fontId="2" fillId="4" borderId="43" xfId="0" applyNumberFormat="1" applyFont="1" applyFill="1" applyBorder="1" applyAlignment="1">
      <alignment horizontal="center" vertical="top" wrapText="1"/>
    </xf>
    <xf numFmtId="164" fontId="3" fillId="5" borderId="39" xfId="0" applyNumberFormat="1" applyFont="1" applyFill="1" applyBorder="1" applyAlignment="1">
      <alignment horizontal="center" vertical="top" wrapText="1"/>
    </xf>
    <xf numFmtId="164" fontId="3" fillId="2" borderId="76" xfId="0" applyNumberFormat="1" applyFont="1" applyFill="1" applyBorder="1" applyAlignment="1">
      <alignment horizontal="center" vertical="top" wrapText="1"/>
    </xf>
    <xf numFmtId="164" fontId="3" fillId="8" borderId="1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Border="1" applyAlignment="1">
      <alignment vertical="top" wrapText="1"/>
    </xf>
    <xf numFmtId="3" fontId="2" fillId="0" borderId="61" xfId="0" applyNumberFormat="1" applyFont="1" applyBorder="1" applyAlignment="1">
      <alignment vertical="top" wrapText="1"/>
    </xf>
    <xf numFmtId="3" fontId="2" fillId="0" borderId="28" xfId="0" applyNumberFormat="1" applyFont="1" applyBorder="1" applyAlignment="1">
      <alignment vertical="top" wrapText="1"/>
    </xf>
    <xf numFmtId="3" fontId="2" fillId="0" borderId="34" xfId="0" applyNumberFormat="1" applyFont="1" applyBorder="1" applyAlignment="1">
      <alignment vertical="top" wrapText="1"/>
    </xf>
    <xf numFmtId="49" fontId="3" fillId="4" borderId="0" xfId="0" applyNumberFormat="1" applyFont="1" applyFill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164" fontId="2" fillId="0" borderId="61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top"/>
    </xf>
    <xf numFmtId="3" fontId="2" fillId="0" borderId="34" xfId="0" applyNumberFormat="1" applyFont="1" applyBorder="1" applyAlignment="1">
      <alignment vertical="top"/>
    </xf>
    <xf numFmtId="164" fontId="2" fillId="4" borderId="75" xfId="0" applyNumberFormat="1" applyFont="1" applyFill="1" applyBorder="1" applyAlignment="1">
      <alignment horizontal="center" vertical="top" wrapText="1"/>
    </xf>
    <xf numFmtId="164" fontId="3" fillId="2" borderId="14" xfId="0" applyNumberFormat="1" applyFont="1" applyFill="1" applyBorder="1" applyAlignment="1">
      <alignment horizontal="center" vertical="top" wrapText="1"/>
    </xf>
    <xf numFmtId="164" fontId="3" fillId="7" borderId="1" xfId="0" applyNumberFormat="1" applyFont="1" applyFill="1" applyBorder="1" applyAlignment="1">
      <alignment horizontal="center" vertical="top" wrapText="1"/>
    </xf>
    <xf numFmtId="164" fontId="3" fillId="8" borderId="76" xfId="0" applyNumberFormat="1" applyFont="1" applyFill="1" applyBorder="1" applyAlignment="1">
      <alignment horizontal="center" vertical="top" wrapText="1"/>
    </xf>
    <xf numFmtId="164" fontId="3" fillId="7" borderId="76" xfId="0" applyNumberFormat="1" applyFont="1" applyFill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center" vertical="center" textRotation="90" wrapText="1"/>
    </xf>
    <xf numFmtId="165" fontId="3" fillId="7" borderId="75" xfId="0" applyNumberFormat="1" applyFont="1" applyFill="1" applyBorder="1" applyAlignment="1">
      <alignment horizontal="center" vertical="top" wrapText="1"/>
    </xf>
    <xf numFmtId="165" fontId="3" fillId="5" borderId="69" xfId="0" applyNumberFormat="1" applyFont="1" applyFill="1" applyBorder="1" applyAlignment="1">
      <alignment horizontal="center" vertical="top" wrapText="1"/>
    </xf>
    <xf numFmtId="164" fontId="2" fillId="0" borderId="32" xfId="0" applyNumberFormat="1" applyFont="1" applyFill="1" applyBorder="1" applyAlignment="1">
      <alignment horizontal="center" vertical="top" wrapText="1"/>
    </xf>
    <xf numFmtId="164" fontId="2" fillId="5" borderId="32" xfId="0" applyNumberFormat="1" applyFont="1" applyFill="1" applyBorder="1" applyAlignment="1">
      <alignment horizontal="center" vertical="top" wrapText="1"/>
    </xf>
    <xf numFmtId="164" fontId="3" fillId="7" borderId="32" xfId="0" applyNumberFormat="1" applyFont="1" applyFill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3" fontId="3" fillId="4" borderId="37" xfId="0" applyNumberFormat="1" applyFont="1" applyFill="1" applyBorder="1" applyAlignment="1">
      <alignment horizontal="center" wrapText="1"/>
    </xf>
    <xf numFmtId="3" fontId="2" fillId="0" borderId="55" xfId="0" applyNumberFormat="1" applyFont="1" applyBorder="1" applyAlignment="1">
      <alignment horizontal="center" vertical="top" wrapText="1"/>
    </xf>
    <xf numFmtId="165" fontId="3" fillId="0" borderId="33" xfId="0" applyNumberFormat="1" applyFont="1" applyBorder="1" applyAlignment="1">
      <alignment horizontal="center" vertical="center" textRotation="90" wrapText="1"/>
    </xf>
    <xf numFmtId="165" fontId="3" fillId="7" borderId="65" xfId="0" applyNumberFormat="1" applyFont="1" applyFill="1" applyBorder="1" applyAlignment="1">
      <alignment horizontal="center" vertical="top" wrapText="1"/>
    </xf>
    <xf numFmtId="165" fontId="3" fillId="5" borderId="62" xfId="0" applyNumberFormat="1" applyFont="1" applyFill="1" applyBorder="1" applyAlignment="1">
      <alignment horizontal="center" vertical="top" wrapText="1"/>
    </xf>
    <xf numFmtId="164" fontId="2" fillId="0" borderId="61" xfId="0" applyNumberFormat="1" applyFont="1" applyFill="1" applyBorder="1" applyAlignment="1">
      <alignment horizontal="center" vertical="top" wrapText="1"/>
    </xf>
    <xf numFmtId="164" fontId="2" fillId="5" borderId="61" xfId="0" applyNumberFormat="1" applyFont="1" applyFill="1" applyBorder="1" applyAlignment="1">
      <alignment horizontal="center" vertical="top" wrapText="1"/>
    </xf>
    <xf numFmtId="164" fontId="3" fillId="7" borderId="61" xfId="0" applyNumberFormat="1" applyFont="1" applyFill="1" applyBorder="1" applyAlignment="1">
      <alignment horizontal="center" vertical="top" wrapText="1"/>
    </xf>
    <xf numFmtId="3" fontId="2" fillId="0" borderId="61" xfId="0" applyNumberFormat="1" applyFont="1" applyBorder="1" applyAlignment="1">
      <alignment vertical="top"/>
    </xf>
    <xf numFmtId="49" fontId="3" fillId="3" borderId="18" xfId="0" applyNumberFormat="1" applyFont="1" applyFill="1" applyBorder="1" applyAlignment="1">
      <alignment vertical="top"/>
    </xf>
    <xf numFmtId="164" fontId="16" fillId="4" borderId="62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167" fontId="2" fillId="9" borderId="53" xfId="2" applyNumberFormat="1" applyFont="1" applyFill="1" applyBorder="1" applyAlignment="1">
      <alignment horizontal="left" vertical="top" wrapText="1"/>
    </xf>
    <xf numFmtId="167" fontId="2" fillId="9" borderId="51" xfId="2" applyNumberFormat="1" applyFont="1" applyFill="1" applyBorder="1" applyAlignment="1">
      <alignment vertical="top" wrapText="1"/>
    </xf>
    <xf numFmtId="3" fontId="15" fillId="4" borderId="54" xfId="0" applyNumberFormat="1" applyFont="1" applyFill="1" applyBorder="1" applyAlignment="1">
      <alignment horizontal="center" vertical="top" wrapText="1"/>
    </xf>
    <xf numFmtId="3" fontId="15" fillId="4" borderId="0" xfId="0" applyNumberFormat="1" applyFont="1" applyFill="1" applyBorder="1" applyAlignment="1">
      <alignment horizontal="center" vertical="top" wrapText="1"/>
    </xf>
    <xf numFmtId="3" fontId="15" fillId="4" borderId="35" xfId="0" applyNumberFormat="1" applyFont="1" applyFill="1" applyBorder="1" applyAlignment="1">
      <alignment horizontal="center" vertical="top" wrapText="1"/>
    </xf>
    <xf numFmtId="3" fontId="15" fillId="4" borderId="36" xfId="0" applyNumberFormat="1" applyFont="1" applyFill="1" applyBorder="1" applyAlignment="1">
      <alignment horizontal="center" vertical="top" wrapText="1"/>
    </xf>
    <xf numFmtId="3" fontId="15" fillId="0" borderId="49" xfId="0" applyNumberFormat="1" applyFont="1" applyBorder="1" applyAlignment="1">
      <alignment vertical="top" wrapText="1"/>
    </xf>
    <xf numFmtId="3" fontId="15" fillId="4" borderId="46" xfId="0" applyNumberFormat="1" applyFont="1" applyFill="1" applyBorder="1" applyAlignment="1">
      <alignment horizontal="center" vertical="top" wrapText="1"/>
    </xf>
    <xf numFmtId="3" fontId="15" fillId="4" borderId="19" xfId="0" applyNumberFormat="1" applyFont="1" applyFill="1" applyBorder="1" applyAlignment="1">
      <alignment horizontal="center" vertical="top" wrapText="1"/>
    </xf>
    <xf numFmtId="3" fontId="15" fillId="4" borderId="22" xfId="0" applyNumberFormat="1" applyFont="1" applyFill="1" applyBorder="1" applyAlignment="1">
      <alignment horizontal="center" vertical="top" wrapText="1"/>
    </xf>
    <xf numFmtId="3" fontId="15" fillId="4" borderId="13" xfId="0" applyNumberFormat="1" applyFont="1" applyFill="1" applyBorder="1" applyAlignment="1">
      <alignment horizontal="center" vertical="top" wrapText="1"/>
    </xf>
    <xf numFmtId="3" fontId="15" fillId="4" borderId="20" xfId="0" applyNumberFormat="1" applyFont="1" applyFill="1" applyBorder="1" applyAlignment="1">
      <alignment horizontal="center" vertical="top" wrapText="1"/>
    </xf>
    <xf numFmtId="3" fontId="18" fillId="2" borderId="45" xfId="0" applyNumberFormat="1" applyFont="1" applyFill="1" applyBorder="1" applyAlignment="1">
      <alignment vertical="top" wrapText="1"/>
    </xf>
    <xf numFmtId="3" fontId="18" fillId="8" borderId="45" xfId="0" applyNumberFormat="1" applyFont="1" applyFill="1" applyBorder="1" applyAlignment="1">
      <alignment vertical="top" wrapText="1"/>
    </xf>
    <xf numFmtId="3" fontId="15" fillId="8" borderId="45" xfId="0" applyNumberFormat="1" applyFont="1" applyFill="1" applyBorder="1" applyAlignment="1">
      <alignment horizontal="center" vertical="top" wrapText="1"/>
    </xf>
    <xf numFmtId="3" fontId="18" fillId="10" borderId="45" xfId="0" applyNumberFormat="1" applyFont="1" applyFill="1" applyBorder="1" applyAlignment="1">
      <alignment horizontal="left" vertical="top" wrapText="1"/>
    </xf>
    <xf numFmtId="3" fontId="19" fillId="4" borderId="18" xfId="0" applyNumberFormat="1" applyFont="1" applyFill="1" applyBorder="1" applyAlignment="1">
      <alignment horizontal="center" vertical="top" wrapText="1"/>
    </xf>
    <xf numFmtId="167" fontId="15" fillId="9" borderId="35" xfId="2" applyNumberFormat="1" applyFont="1" applyFill="1" applyBorder="1" applyAlignment="1">
      <alignment horizontal="center" vertical="top" wrapText="1"/>
    </xf>
    <xf numFmtId="167" fontId="15" fillId="9" borderId="18" xfId="2" applyNumberFormat="1" applyFont="1" applyFill="1" applyBorder="1" applyAlignment="1">
      <alignment horizontal="center" vertical="top" wrapText="1"/>
    </xf>
    <xf numFmtId="168" fontId="15" fillId="9" borderId="18" xfId="2" applyNumberFormat="1" applyFont="1" applyFill="1" applyBorder="1" applyAlignment="1">
      <alignment horizontal="center" vertical="top" wrapText="1"/>
    </xf>
    <xf numFmtId="168" fontId="15" fillId="9" borderId="49" xfId="2" applyNumberFormat="1" applyFont="1" applyFill="1" applyBorder="1" applyAlignment="1">
      <alignment horizontal="center" vertical="top" wrapText="1"/>
    </xf>
    <xf numFmtId="167" fontId="15" fillId="9" borderId="49" xfId="2" applyNumberFormat="1" applyFont="1" applyFill="1" applyBorder="1" applyAlignment="1">
      <alignment horizontal="center" vertical="top" wrapText="1"/>
    </xf>
    <xf numFmtId="167" fontId="15" fillId="9" borderId="54" xfId="2" applyNumberFormat="1" applyFont="1" applyFill="1" applyBorder="1" applyAlignment="1">
      <alignment horizontal="center" vertical="top" wrapText="1"/>
    </xf>
    <xf numFmtId="167" fontId="15" fillId="9" borderId="32" xfId="2" applyNumberFormat="1" applyFont="1" applyFill="1" applyBorder="1" applyAlignment="1">
      <alignment horizontal="center" vertical="top" wrapText="1"/>
    </xf>
    <xf numFmtId="167" fontId="15" fillId="11" borderId="49" xfId="2" applyNumberFormat="1" applyFont="1" applyFill="1" applyBorder="1" applyAlignment="1">
      <alignment horizontal="center" vertical="top" wrapText="1"/>
    </xf>
    <xf numFmtId="167" fontId="15" fillId="11" borderId="18" xfId="2" applyNumberFormat="1" applyFont="1" applyFill="1" applyBorder="1" applyAlignment="1">
      <alignment horizontal="center" vertical="top" wrapText="1"/>
    </xf>
    <xf numFmtId="3" fontId="15" fillId="0" borderId="17" xfId="0" applyNumberFormat="1" applyFont="1" applyBorder="1" applyAlignment="1">
      <alignment vertical="top" wrapText="1"/>
    </xf>
    <xf numFmtId="3" fontId="15" fillId="0" borderId="29" xfId="0" applyNumberFormat="1" applyFont="1" applyBorder="1" applyAlignment="1">
      <alignment vertical="top" wrapText="1"/>
    </xf>
    <xf numFmtId="167" fontId="15" fillId="9" borderId="19" xfId="2" applyNumberFormat="1" applyFont="1" applyFill="1" applyBorder="1" applyAlignment="1">
      <alignment horizontal="center" vertical="top" wrapText="1"/>
    </xf>
    <xf numFmtId="167" fontId="15" fillId="16" borderId="3" xfId="2" applyNumberFormat="1" applyFont="1" applyFill="1" applyBorder="1" applyAlignment="1">
      <alignment horizontal="center" vertical="top" wrapText="1"/>
    </xf>
    <xf numFmtId="167" fontId="15" fillId="16" borderId="45" xfId="2" applyNumberFormat="1" applyFont="1" applyFill="1" applyBorder="1" applyAlignment="1">
      <alignment horizontal="center" vertical="top" wrapText="1"/>
    </xf>
    <xf numFmtId="167" fontId="15" fillId="16" borderId="45" xfId="2" applyNumberFormat="1" applyFont="1" applyFill="1" applyBorder="1" applyAlignment="1">
      <alignment vertical="top" wrapText="1"/>
    </xf>
    <xf numFmtId="167" fontId="15" fillId="16" borderId="37" xfId="2" applyNumberFormat="1" applyFont="1" applyFill="1" applyBorder="1" applyAlignment="1">
      <alignment vertical="top" wrapText="1"/>
    </xf>
    <xf numFmtId="3" fontId="15" fillId="4" borderId="13" xfId="0" applyNumberFormat="1" applyFont="1" applyFill="1" applyBorder="1" applyAlignment="1">
      <alignment horizontal="left" vertical="top" wrapText="1"/>
    </xf>
    <xf numFmtId="3" fontId="15" fillId="10" borderId="37" xfId="0" applyNumberFormat="1" applyFont="1" applyFill="1" applyBorder="1" applyAlignment="1">
      <alignment horizontal="center" vertical="top" wrapText="1"/>
    </xf>
    <xf numFmtId="3" fontId="15" fillId="10" borderId="45" xfId="0" applyNumberFormat="1" applyFont="1" applyFill="1" applyBorder="1" applyAlignment="1">
      <alignment horizontal="center" vertical="top" wrapText="1"/>
    </xf>
    <xf numFmtId="3" fontId="15" fillId="10" borderId="0" xfId="0" applyNumberFormat="1" applyFont="1" applyFill="1" applyBorder="1" applyAlignment="1">
      <alignment horizontal="center" vertical="top" wrapText="1"/>
    </xf>
    <xf numFmtId="3" fontId="15" fillId="4" borderId="36" xfId="0" applyNumberFormat="1" applyFont="1" applyFill="1" applyBorder="1" applyAlignment="1">
      <alignment horizontal="center" vertical="top"/>
    </xf>
    <xf numFmtId="3" fontId="17" fillId="4" borderId="32" xfId="0" applyNumberFormat="1" applyFont="1" applyFill="1" applyBorder="1" applyAlignment="1">
      <alignment horizontal="center" vertical="top" wrapText="1"/>
    </xf>
    <xf numFmtId="3" fontId="17" fillId="4" borderId="54" xfId="0" applyNumberFormat="1" applyFont="1" applyFill="1" applyBorder="1" applyAlignment="1">
      <alignment horizontal="center" vertical="top" wrapText="1"/>
    </xf>
    <xf numFmtId="3" fontId="17" fillId="4" borderId="61" xfId="0" applyNumberFormat="1" applyFont="1" applyFill="1" applyBorder="1" applyAlignment="1">
      <alignment horizontal="center" vertical="top" wrapText="1"/>
    </xf>
    <xf numFmtId="3" fontId="17" fillId="4" borderId="28" xfId="0" applyNumberFormat="1" applyFont="1" applyFill="1" applyBorder="1" applyAlignment="1">
      <alignment horizontal="center" vertical="top" wrapText="1"/>
    </xf>
    <xf numFmtId="3" fontId="15" fillId="4" borderId="62" xfId="0" applyNumberFormat="1" applyFont="1" applyFill="1" applyBorder="1" applyAlignment="1">
      <alignment horizontal="center" vertical="top" wrapText="1"/>
    </xf>
    <xf numFmtId="167" fontId="17" fillId="9" borderId="49" xfId="2" applyNumberFormat="1" applyFont="1" applyFill="1" applyBorder="1" applyAlignment="1">
      <alignment horizontal="center" vertical="top" wrapText="1"/>
    </xf>
    <xf numFmtId="167" fontId="17" fillId="9" borderId="34" xfId="2" applyNumberFormat="1" applyFont="1" applyFill="1" applyBorder="1" applyAlignment="1">
      <alignment horizontal="center" vertical="top" wrapText="1"/>
    </xf>
    <xf numFmtId="164" fontId="2" fillId="4" borderId="25" xfId="0" applyNumberFormat="1" applyFont="1" applyFill="1" applyBorder="1" applyAlignment="1">
      <alignment horizontal="center" vertical="top" wrapText="1"/>
    </xf>
    <xf numFmtId="3" fontId="2" fillId="0" borderId="43" xfId="0" applyNumberFormat="1" applyFont="1" applyBorder="1" applyAlignment="1">
      <alignment horizontal="center" vertical="top"/>
    </xf>
    <xf numFmtId="3" fontId="2" fillId="0" borderId="54" xfId="0" applyNumberFormat="1" applyFont="1" applyBorder="1" applyAlignment="1">
      <alignment horizontal="center" vertical="top"/>
    </xf>
    <xf numFmtId="167" fontId="2" fillId="9" borderId="73" xfId="2" applyNumberFormat="1" applyFont="1" applyFill="1" applyBorder="1" applyAlignment="1">
      <alignment horizontal="center" vertical="top" wrapText="1"/>
    </xf>
    <xf numFmtId="3" fontId="2" fillId="4" borderId="30" xfId="0" applyNumberFormat="1" applyFont="1" applyFill="1" applyBorder="1" applyAlignment="1">
      <alignment horizontal="center" vertical="top" wrapText="1"/>
    </xf>
    <xf numFmtId="4" fontId="2" fillId="4" borderId="32" xfId="0" applyNumberFormat="1" applyFont="1" applyFill="1" applyBorder="1" applyAlignment="1">
      <alignment horizontal="center" vertical="top" wrapText="1"/>
    </xf>
    <xf numFmtId="3" fontId="2" fillId="0" borderId="61" xfId="0" applyNumberFormat="1" applyFont="1" applyFill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center" vertical="top" wrapText="1"/>
    </xf>
    <xf numFmtId="3" fontId="2" fillId="0" borderId="49" xfId="0" applyNumberFormat="1" applyFont="1" applyFill="1" applyBorder="1" applyAlignment="1">
      <alignment horizontal="center" vertical="top" wrapText="1"/>
    </xf>
    <xf numFmtId="3" fontId="2" fillId="4" borderId="21" xfId="0" applyNumberFormat="1" applyFont="1" applyFill="1" applyBorder="1" applyAlignment="1">
      <alignment vertical="top" wrapText="1"/>
    </xf>
    <xf numFmtId="3" fontId="2" fillId="0" borderId="72" xfId="0" applyNumberFormat="1" applyFont="1" applyBorder="1" applyAlignment="1">
      <alignment vertical="top" wrapText="1"/>
    </xf>
    <xf numFmtId="0" fontId="3" fillId="5" borderId="46" xfId="0" applyFont="1" applyFill="1" applyBorder="1" applyAlignment="1">
      <alignment horizontal="center" vertical="top" wrapText="1"/>
    </xf>
    <xf numFmtId="164" fontId="3" fillId="5" borderId="20" xfId="0" applyNumberFormat="1" applyFont="1" applyFill="1" applyBorder="1" applyAlignment="1">
      <alignment horizontal="center" vertical="top" wrapText="1"/>
    </xf>
    <xf numFmtId="164" fontId="3" fillId="5" borderId="21" xfId="0" applyNumberFormat="1" applyFont="1" applyFill="1" applyBorder="1" applyAlignment="1">
      <alignment horizontal="center" vertical="top" wrapText="1"/>
    </xf>
    <xf numFmtId="4" fontId="2" fillId="4" borderId="35" xfId="0" applyNumberFormat="1" applyFont="1" applyFill="1" applyBorder="1" applyAlignment="1">
      <alignment horizontal="center" vertical="top" wrapText="1"/>
    </xf>
    <xf numFmtId="3" fontId="2" fillId="4" borderId="75" xfId="0" applyNumberFormat="1" applyFont="1" applyFill="1" applyBorder="1" applyAlignment="1">
      <alignment horizontal="center" vertical="top" wrapText="1"/>
    </xf>
    <xf numFmtId="3" fontId="2" fillId="4" borderId="49" xfId="0" applyNumberFormat="1" applyFont="1" applyFill="1" applyBorder="1" applyAlignment="1">
      <alignment horizontal="center" vertical="top"/>
    </xf>
    <xf numFmtId="168" fontId="15" fillId="9" borderId="35" xfId="2" applyNumberFormat="1" applyFont="1" applyFill="1" applyBorder="1" applyAlignment="1">
      <alignment horizontal="center" vertical="top" wrapText="1"/>
    </xf>
    <xf numFmtId="1" fontId="2" fillId="9" borderId="64" xfId="2" applyNumberFormat="1" applyFont="1" applyFill="1" applyBorder="1" applyAlignment="1">
      <alignment horizontal="center" vertical="top" wrapText="1"/>
    </xf>
    <xf numFmtId="3" fontId="2" fillId="0" borderId="43" xfId="0" applyNumberFormat="1" applyFont="1" applyBorder="1" applyAlignment="1">
      <alignment horizontal="center" vertical="top" wrapText="1"/>
    </xf>
    <xf numFmtId="167" fontId="2" fillId="9" borderId="50" xfId="2" applyNumberFormat="1" applyFont="1" applyFill="1" applyBorder="1" applyAlignment="1">
      <alignment vertical="top" wrapText="1"/>
    </xf>
    <xf numFmtId="167" fontId="2" fillId="9" borderId="30" xfId="2" applyNumberFormat="1" applyFont="1" applyFill="1" applyBorder="1" applyAlignment="1">
      <alignment horizontal="center" vertical="top" wrapText="1"/>
    </xf>
    <xf numFmtId="167" fontId="2" fillId="11" borderId="32" xfId="2" applyNumberFormat="1" applyFont="1" applyFill="1" applyBorder="1" applyAlignment="1">
      <alignment horizontal="center" vertical="top" wrapText="1"/>
    </xf>
    <xf numFmtId="167" fontId="2" fillId="9" borderId="54" xfId="2" applyNumberFormat="1" applyFont="1" applyFill="1" applyBorder="1" applyAlignment="1">
      <alignment horizontal="center" vertical="top"/>
    </xf>
    <xf numFmtId="167" fontId="2" fillId="9" borderId="30" xfId="2" applyNumberFormat="1" applyFont="1" applyFill="1" applyBorder="1" applyAlignment="1">
      <alignment horizontal="center" vertical="top"/>
    </xf>
    <xf numFmtId="3" fontId="15" fillId="0" borderId="44" xfId="0" applyNumberFormat="1" applyFont="1" applyBorder="1" applyAlignment="1">
      <alignment vertical="top" wrapText="1"/>
    </xf>
    <xf numFmtId="3" fontId="2" fillId="0" borderId="62" xfId="0" applyNumberFormat="1" applyFont="1" applyBorder="1" applyAlignment="1">
      <alignment vertical="top" wrapText="1"/>
    </xf>
    <xf numFmtId="3" fontId="2" fillId="0" borderId="29" xfId="0" applyNumberFormat="1" applyFont="1" applyBorder="1" applyAlignment="1">
      <alignment horizontal="center" vertical="top" wrapText="1"/>
    </xf>
    <xf numFmtId="167" fontId="2" fillId="9" borderId="61" xfId="2" applyNumberFormat="1" applyFont="1" applyFill="1" applyBorder="1" applyAlignment="1">
      <alignment horizontal="center" vertical="top" wrapText="1"/>
    </xf>
    <xf numFmtId="165" fontId="6" fillId="0" borderId="0" xfId="0" applyNumberFormat="1" applyFont="1" applyAlignment="1">
      <alignment horizontal="right" vertical="top" wrapText="1"/>
    </xf>
    <xf numFmtId="165" fontId="6" fillId="0" borderId="0" xfId="0" applyNumberFormat="1" applyFont="1" applyBorder="1" applyAlignment="1">
      <alignment wrapText="1"/>
    </xf>
    <xf numFmtId="165" fontId="9" fillId="0" borderId="0" xfId="0" applyNumberFormat="1" applyFont="1" applyAlignment="1">
      <alignment wrapText="1"/>
    </xf>
    <xf numFmtId="165" fontId="6" fillId="0" borderId="0" xfId="0" applyNumberFormat="1" applyFont="1" applyAlignment="1">
      <alignment wrapText="1"/>
    </xf>
    <xf numFmtId="165" fontId="6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textRotation="90" wrapText="1"/>
    </xf>
    <xf numFmtId="165" fontId="3" fillId="4" borderId="0" xfId="0" applyNumberFormat="1" applyFont="1" applyFill="1" applyBorder="1" applyAlignment="1">
      <alignment horizontal="left" vertical="top" wrapText="1"/>
    </xf>
    <xf numFmtId="165" fontId="4" fillId="4" borderId="0" xfId="0" applyNumberFormat="1" applyFont="1" applyFill="1" applyBorder="1" applyAlignment="1">
      <alignment horizontal="left" vertical="top" wrapText="1"/>
    </xf>
    <xf numFmtId="165" fontId="3" fillId="4" borderId="17" xfId="0" applyNumberFormat="1" applyFont="1" applyFill="1" applyBorder="1" applyAlignment="1">
      <alignment horizontal="left" vertical="top" wrapText="1"/>
    </xf>
    <xf numFmtId="165" fontId="3" fillId="4" borderId="0" xfId="0" applyNumberFormat="1" applyFont="1" applyFill="1" applyBorder="1" applyAlignment="1">
      <alignment vertical="top" wrapText="1"/>
    </xf>
    <xf numFmtId="165" fontId="2" fillId="4" borderId="17" xfId="0" applyNumberFormat="1" applyFont="1" applyFill="1" applyBorder="1" applyAlignment="1">
      <alignment horizontal="center" vertical="top" wrapText="1"/>
    </xf>
    <xf numFmtId="165" fontId="8" fillId="4" borderId="0" xfId="0" applyNumberFormat="1" applyFont="1" applyFill="1" applyBorder="1" applyAlignment="1">
      <alignment horizontal="center" vertical="top" wrapText="1"/>
    </xf>
    <xf numFmtId="165" fontId="2" fillId="9" borderId="0" xfId="2" applyNumberFormat="1" applyFont="1" applyFill="1" applyBorder="1" applyAlignment="1">
      <alignment horizontal="center" vertical="top" wrapText="1"/>
    </xf>
    <xf numFmtId="165" fontId="2" fillId="9" borderId="0" xfId="2" applyNumberFormat="1" applyFont="1" applyFill="1" applyBorder="1" applyAlignment="1">
      <alignment vertical="top" wrapText="1"/>
    </xf>
    <xf numFmtId="165" fontId="2" fillId="0" borderId="17" xfId="0" applyNumberFormat="1" applyFont="1" applyBorder="1" applyAlignment="1">
      <alignment vertical="top" wrapText="1"/>
    </xf>
    <xf numFmtId="165" fontId="2" fillId="11" borderId="0" xfId="2" applyNumberFormat="1" applyFont="1" applyFill="1" applyBorder="1" applyAlignment="1">
      <alignment horizontal="center" vertical="top" wrapText="1"/>
    </xf>
    <xf numFmtId="165" fontId="2" fillId="9" borderId="0" xfId="2" applyNumberFormat="1" applyFont="1" applyFill="1" applyBorder="1" applyAlignment="1">
      <alignment horizontal="center" vertical="top"/>
    </xf>
    <xf numFmtId="165" fontId="2" fillId="0" borderId="0" xfId="0" applyNumberFormat="1" applyFont="1" applyAlignment="1">
      <alignment vertical="top" wrapText="1"/>
    </xf>
    <xf numFmtId="165" fontId="2" fillId="0" borderId="0" xfId="0" applyNumberFormat="1" applyFont="1" applyBorder="1" applyAlignment="1">
      <alignment horizontal="center" vertical="top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 applyBorder="1" applyAlignment="1">
      <alignment vertical="top"/>
    </xf>
    <xf numFmtId="165" fontId="2" fillId="3" borderId="0" xfId="0" applyNumberFormat="1" applyFont="1" applyFill="1" applyBorder="1" applyAlignment="1">
      <alignment horizontal="center" vertical="top" wrapText="1"/>
    </xf>
    <xf numFmtId="165" fontId="2" fillId="4" borderId="0" xfId="0" applyNumberFormat="1" applyFont="1" applyFill="1" applyBorder="1" applyAlignment="1">
      <alignment vertical="top" wrapText="1"/>
    </xf>
    <xf numFmtId="165" fontId="3" fillId="4" borderId="17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center" vertical="top" wrapText="1"/>
    </xf>
    <xf numFmtId="167" fontId="15" fillId="9" borderId="20" xfId="2" applyNumberFormat="1" applyFont="1" applyFill="1" applyBorder="1" applyAlignment="1">
      <alignment horizontal="center" vertical="top" wrapText="1"/>
    </xf>
    <xf numFmtId="167" fontId="2" fillId="9" borderId="21" xfId="2" applyNumberFormat="1" applyFont="1" applyFill="1" applyBorder="1" applyAlignment="1">
      <alignment horizontal="center" vertical="top"/>
    </xf>
    <xf numFmtId="3" fontId="15" fillId="4" borderId="51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center" vertical="top" wrapText="1"/>
    </xf>
    <xf numFmtId="167" fontId="2" fillId="11" borderId="71" xfId="2" applyNumberFormat="1" applyFont="1" applyFill="1" applyBorder="1" applyAlignment="1">
      <alignment horizontal="center" vertical="top" wrapText="1"/>
    </xf>
    <xf numFmtId="167" fontId="15" fillId="9" borderId="17" xfId="2" applyNumberFormat="1" applyFont="1" applyFill="1" applyBorder="1" applyAlignment="1">
      <alignment horizontal="center" vertical="top" wrapText="1"/>
    </xf>
    <xf numFmtId="168" fontId="15" fillId="9" borderId="17" xfId="2" applyNumberFormat="1" applyFont="1" applyFill="1" applyBorder="1" applyAlignment="1">
      <alignment horizontal="center" vertical="top" wrapText="1"/>
    </xf>
    <xf numFmtId="167" fontId="2" fillId="9" borderId="53" xfId="2" applyNumberFormat="1" applyFont="1" applyFill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167" fontId="15" fillId="9" borderId="51" xfId="2" applyNumberFormat="1" applyFont="1" applyFill="1" applyBorder="1" applyAlignment="1">
      <alignment horizontal="center" vertical="top" wrapText="1"/>
    </xf>
    <xf numFmtId="167" fontId="2" fillId="9" borderId="17" xfId="2" applyNumberFormat="1" applyFont="1" applyFill="1" applyBorder="1" applyAlignment="1">
      <alignment horizontal="center" vertical="top" wrapText="1"/>
    </xf>
    <xf numFmtId="167" fontId="15" fillId="11" borderId="50" xfId="2" applyNumberFormat="1" applyFont="1" applyFill="1" applyBorder="1" applyAlignment="1">
      <alignment horizontal="center" vertical="top" wrapText="1"/>
    </xf>
    <xf numFmtId="167" fontId="15" fillId="11" borderId="17" xfId="2" applyNumberFormat="1" applyFont="1" applyFill="1" applyBorder="1" applyAlignment="1">
      <alignment horizontal="center" vertical="top" wrapText="1"/>
    </xf>
    <xf numFmtId="167" fontId="2" fillId="11" borderId="61" xfId="2" applyNumberFormat="1" applyFont="1" applyFill="1" applyBorder="1" applyAlignment="1">
      <alignment horizontal="center" vertical="top" wrapText="1"/>
    </xf>
    <xf numFmtId="167" fontId="2" fillId="11" borderId="17" xfId="2" applyNumberFormat="1" applyFont="1" applyFill="1" applyBorder="1" applyAlignment="1">
      <alignment horizontal="center" vertical="top" wrapText="1"/>
    </xf>
    <xf numFmtId="3" fontId="15" fillId="0" borderId="51" xfId="0" applyNumberFormat="1" applyFont="1" applyBorder="1" applyAlignment="1">
      <alignment vertical="top" wrapText="1"/>
    </xf>
    <xf numFmtId="3" fontId="2" fillId="0" borderId="53" xfId="0" applyNumberFormat="1" applyFont="1" applyBorder="1" applyAlignment="1">
      <alignment horizontal="center" vertical="top" wrapText="1"/>
    </xf>
    <xf numFmtId="167" fontId="15" fillId="9" borderId="50" xfId="2" applyNumberFormat="1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167" fontId="2" fillId="9" borderId="62" xfId="2" applyNumberFormat="1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top" wrapText="1"/>
    </xf>
    <xf numFmtId="3" fontId="3" fillId="4" borderId="13" xfId="0" applyNumberFormat="1" applyFont="1" applyFill="1" applyBorder="1" applyAlignment="1">
      <alignment horizontal="left" vertical="top" wrapText="1"/>
    </xf>
    <xf numFmtId="3" fontId="3" fillId="4" borderId="18" xfId="0" applyNumberFormat="1" applyFont="1" applyFill="1" applyBorder="1" applyAlignment="1">
      <alignment horizontal="left" vertical="top" wrapText="1"/>
    </xf>
    <xf numFmtId="3" fontId="2" fillId="4" borderId="49" xfId="0" applyNumberFormat="1" applyFont="1" applyFill="1" applyBorder="1" applyAlignment="1">
      <alignment horizontal="left" vertical="top" wrapText="1"/>
    </xf>
    <xf numFmtId="3" fontId="2" fillId="4" borderId="19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3" fillId="4" borderId="36" xfId="0" applyNumberFormat="1" applyFont="1" applyFill="1" applyBorder="1" applyAlignment="1">
      <alignment horizontal="left" vertical="top" wrapText="1"/>
    </xf>
    <xf numFmtId="3" fontId="2" fillId="4" borderId="36" xfId="0" applyNumberFormat="1" applyFont="1" applyFill="1" applyBorder="1" applyAlignment="1">
      <alignment horizontal="left" vertical="top" wrapText="1"/>
    </xf>
    <xf numFmtId="167" fontId="2" fillId="9" borderId="8" xfId="2" applyNumberFormat="1" applyFont="1" applyFill="1" applyBorder="1" applyAlignment="1">
      <alignment horizontal="left" vertical="top" wrapText="1"/>
    </xf>
    <xf numFmtId="167" fontId="2" fillId="9" borderId="35" xfId="2" applyNumberFormat="1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164" fontId="2" fillId="4" borderId="36" xfId="0" applyNumberFormat="1" applyFont="1" applyFill="1" applyBorder="1" applyAlignment="1">
      <alignment horizontal="center" vertical="top" wrapText="1"/>
    </xf>
    <xf numFmtId="3" fontId="2" fillId="4" borderId="41" xfId="0" applyNumberFormat="1" applyFont="1" applyFill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left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3" fontId="2" fillId="4" borderId="0" xfId="0" applyNumberFormat="1" applyFont="1" applyFill="1" applyBorder="1" applyAlignment="1">
      <alignment horizontal="left" vertical="top" wrapText="1"/>
    </xf>
    <xf numFmtId="3" fontId="2" fillId="4" borderId="34" xfId="0" applyNumberFormat="1" applyFont="1" applyFill="1" applyBorder="1" applyAlignment="1">
      <alignment horizontal="center" vertical="top" wrapText="1"/>
    </xf>
    <xf numFmtId="3" fontId="2" fillId="4" borderId="62" xfId="0" applyNumberFormat="1" applyFont="1" applyFill="1" applyBorder="1" applyAlignment="1">
      <alignment horizontal="center" vertical="top" wrapText="1"/>
    </xf>
    <xf numFmtId="167" fontId="2" fillId="9" borderId="5" xfId="2" applyNumberFormat="1" applyFont="1" applyFill="1" applyBorder="1" applyAlignment="1">
      <alignment horizontal="left" vertical="top" wrapText="1"/>
    </xf>
    <xf numFmtId="164" fontId="16" fillId="4" borderId="18" xfId="0" applyNumberFormat="1" applyFont="1" applyFill="1" applyBorder="1" applyAlignment="1">
      <alignment horizontal="center" vertical="top" wrapText="1"/>
    </xf>
    <xf numFmtId="3" fontId="13" fillId="4" borderId="29" xfId="0" applyNumberFormat="1" applyFont="1" applyFill="1" applyBorder="1" applyAlignment="1">
      <alignment horizontal="center" vertical="top" wrapText="1"/>
    </xf>
    <xf numFmtId="3" fontId="2" fillId="0" borderId="37" xfId="0" applyNumberFormat="1" applyFont="1" applyBorder="1" applyAlignment="1">
      <alignment horizontal="right" wrapText="1"/>
    </xf>
    <xf numFmtId="3" fontId="2" fillId="4" borderId="21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4" borderId="53" xfId="0" applyNumberFormat="1" applyFont="1" applyFill="1" applyBorder="1" applyAlignment="1">
      <alignment horizontal="left" vertical="top" wrapText="1"/>
    </xf>
    <xf numFmtId="3" fontId="2" fillId="4" borderId="49" xfId="0" applyNumberFormat="1" applyFont="1" applyFill="1" applyBorder="1" applyAlignment="1">
      <alignment horizontal="center" vertical="top" wrapText="1"/>
    </xf>
    <xf numFmtId="3" fontId="2" fillId="4" borderId="22" xfId="0" applyNumberFormat="1" applyFont="1" applyFill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 wrapText="1"/>
    </xf>
    <xf numFmtId="3" fontId="2" fillId="4" borderId="28" xfId="0" applyNumberFormat="1" applyFont="1" applyFill="1" applyBorder="1" applyAlignment="1">
      <alignment horizontal="center" vertical="top" wrapText="1"/>
    </xf>
    <xf numFmtId="3" fontId="2" fillId="4" borderId="34" xfId="0" applyNumberFormat="1" applyFont="1" applyFill="1" applyBorder="1" applyAlignment="1">
      <alignment horizontal="center" vertical="top"/>
    </xf>
    <xf numFmtId="3" fontId="2" fillId="4" borderId="21" xfId="0" applyNumberFormat="1" applyFont="1" applyFill="1" applyBorder="1" applyAlignment="1">
      <alignment horizontal="center" vertical="top"/>
    </xf>
    <xf numFmtId="3" fontId="13" fillId="4" borderId="30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/>
    </xf>
    <xf numFmtId="49" fontId="3" fillId="2" borderId="19" xfId="0" applyNumberFormat="1" applyFont="1" applyFill="1" applyBorder="1" applyAlignment="1">
      <alignment horizontal="center" vertical="top"/>
    </xf>
    <xf numFmtId="3" fontId="2" fillId="4" borderId="10" xfId="0" applyNumberFormat="1" applyFont="1" applyFill="1" applyBorder="1" applyAlignment="1">
      <alignment horizontal="center" vertical="top" wrapText="1"/>
    </xf>
    <xf numFmtId="3" fontId="4" fillId="7" borderId="31" xfId="0" applyNumberFormat="1" applyFont="1" applyFill="1" applyBorder="1" applyAlignment="1">
      <alignment horizontal="left" vertical="top" wrapText="1"/>
    </xf>
    <xf numFmtId="167" fontId="2" fillId="9" borderId="17" xfId="2" applyNumberFormat="1" applyFont="1" applyFill="1" applyBorder="1" applyAlignment="1">
      <alignment horizontal="left" vertical="top" wrapText="1"/>
    </xf>
    <xf numFmtId="49" fontId="3" fillId="8" borderId="16" xfId="0" applyNumberFormat="1" applyFont="1" applyFill="1" applyBorder="1" applyAlignment="1">
      <alignment horizontal="center" vertical="top"/>
    </xf>
    <xf numFmtId="49" fontId="3" fillId="8" borderId="17" xfId="0" applyNumberFormat="1" applyFont="1" applyFill="1" applyBorder="1" applyAlignment="1">
      <alignment horizontal="center" vertical="top"/>
    </xf>
    <xf numFmtId="49" fontId="3" fillId="8" borderId="46" xfId="0" applyNumberFormat="1" applyFont="1" applyFill="1" applyBorder="1" applyAlignment="1">
      <alignment horizontal="center" vertical="top"/>
    </xf>
    <xf numFmtId="3" fontId="13" fillId="4" borderId="49" xfId="0" applyNumberFormat="1" applyFont="1" applyFill="1" applyBorder="1" applyAlignment="1">
      <alignment horizontal="center" vertical="top" wrapText="1"/>
    </xf>
    <xf numFmtId="3" fontId="13" fillId="4" borderId="36" xfId="0" applyNumberFormat="1" applyFont="1" applyFill="1" applyBorder="1" applyAlignment="1">
      <alignment horizontal="center" vertical="top" wrapText="1"/>
    </xf>
    <xf numFmtId="164" fontId="2" fillId="4" borderId="16" xfId="0" applyNumberFormat="1" applyFont="1" applyFill="1" applyBorder="1" applyAlignment="1">
      <alignment horizontal="center" vertical="top" wrapText="1"/>
    </xf>
    <xf numFmtId="164" fontId="2" fillId="4" borderId="51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left" vertical="top" wrapText="1"/>
    </xf>
    <xf numFmtId="3" fontId="2" fillId="4" borderId="46" xfId="0" applyNumberFormat="1" applyFont="1" applyFill="1" applyBorder="1" applyAlignment="1">
      <alignment horizontal="left" vertical="top" wrapText="1"/>
    </xf>
    <xf numFmtId="3" fontId="2" fillId="4" borderId="16" xfId="0" applyNumberFormat="1" applyFont="1" applyFill="1" applyBorder="1" applyAlignment="1">
      <alignment horizontal="left" vertical="top" wrapText="1"/>
    </xf>
    <xf numFmtId="3" fontId="2" fillId="4" borderId="51" xfId="0" applyNumberFormat="1" applyFont="1" applyFill="1" applyBorder="1" applyAlignment="1">
      <alignment horizontal="left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167" fontId="15" fillId="9" borderId="64" xfId="2" applyNumberFormat="1" applyFont="1" applyFill="1" applyBorder="1" applyAlignment="1">
      <alignment horizontal="center" vertical="top" wrapText="1"/>
    </xf>
    <xf numFmtId="167" fontId="15" fillId="9" borderId="69" xfId="2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3" fontId="2" fillId="4" borderId="49" xfId="0" applyNumberFormat="1" applyFont="1" applyFill="1" applyBorder="1" applyAlignment="1">
      <alignment vertical="top" wrapText="1"/>
    </xf>
    <xf numFmtId="3" fontId="2" fillId="4" borderId="36" xfId="0" applyNumberFormat="1" applyFont="1" applyFill="1" applyBorder="1" applyAlignment="1">
      <alignment vertical="top" wrapText="1"/>
    </xf>
    <xf numFmtId="3" fontId="13" fillId="4" borderId="18" xfId="0" applyNumberFormat="1" applyFont="1" applyFill="1" applyBorder="1" applyAlignment="1">
      <alignment horizontal="center" vertical="top" wrapText="1"/>
    </xf>
    <xf numFmtId="3" fontId="2" fillId="0" borderId="34" xfId="0" applyNumberFormat="1" applyFont="1" applyBorder="1" applyAlignment="1">
      <alignment horizontal="center" vertical="top" wrapText="1"/>
    </xf>
    <xf numFmtId="3" fontId="2" fillId="0" borderId="28" xfId="0" applyNumberFormat="1" applyFont="1" applyBorder="1" applyAlignment="1">
      <alignment horizontal="center" vertical="top" wrapText="1"/>
    </xf>
    <xf numFmtId="3" fontId="13" fillId="4" borderId="44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horizontal="right" vertical="top" wrapText="1"/>
    </xf>
    <xf numFmtId="167" fontId="2" fillId="9" borderId="64" xfId="2" applyNumberFormat="1" applyFont="1" applyFill="1" applyBorder="1" applyAlignment="1">
      <alignment horizontal="center" vertical="top" wrapText="1"/>
    </xf>
    <xf numFmtId="3" fontId="2" fillId="4" borderId="64" xfId="0" applyNumberFormat="1" applyFont="1" applyFill="1" applyBorder="1" applyAlignment="1">
      <alignment horizontal="center" vertical="top" wrapText="1"/>
    </xf>
    <xf numFmtId="3" fontId="2" fillId="4" borderId="69" xfId="0" applyNumberFormat="1" applyFont="1" applyFill="1" applyBorder="1" applyAlignment="1">
      <alignment horizontal="center" vertical="top" wrapText="1"/>
    </xf>
    <xf numFmtId="3" fontId="2" fillId="4" borderId="36" xfId="0" applyNumberFormat="1" applyFont="1" applyFill="1" applyBorder="1" applyAlignment="1">
      <alignment horizontal="center" vertical="top" wrapText="1"/>
    </xf>
    <xf numFmtId="3" fontId="2" fillId="4" borderId="28" xfId="0" applyNumberFormat="1" applyFont="1" applyFill="1" applyBorder="1" applyAlignment="1">
      <alignment horizontal="center" vertical="top" wrapText="1"/>
    </xf>
    <xf numFmtId="167" fontId="2" fillId="9" borderId="17" xfId="2" applyNumberFormat="1" applyFont="1" applyFill="1" applyBorder="1" applyAlignment="1">
      <alignment horizontal="left" vertical="top" wrapText="1"/>
    </xf>
    <xf numFmtId="3" fontId="2" fillId="4" borderId="34" xfId="0" applyNumberFormat="1" applyFont="1" applyFill="1" applyBorder="1" applyAlignment="1">
      <alignment horizontal="center" vertical="top" wrapText="1"/>
    </xf>
    <xf numFmtId="3" fontId="2" fillId="4" borderId="62" xfId="0" applyNumberFormat="1" applyFont="1" applyFill="1" applyBorder="1" applyAlignment="1">
      <alignment horizontal="center" vertical="top" wrapText="1"/>
    </xf>
    <xf numFmtId="164" fontId="2" fillId="4" borderId="64" xfId="0" applyNumberFormat="1" applyFont="1" applyFill="1" applyBorder="1" applyAlignment="1">
      <alignment horizontal="center" vertical="top" wrapText="1"/>
    </xf>
    <xf numFmtId="164" fontId="2" fillId="4" borderId="49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3" fontId="13" fillId="4" borderId="49" xfId="0" applyNumberFormat="1" applyFont="1" applyFill="1" applyBorder="1" applyAlignment="1">
      <alignment horizontal="center" vertical="top" wrapText="1"/>
    </xf>
    <xf numFmtId="164" fontId="2" fillId="4" borderId="16" xfId="0" applyNumberFormat="1" applyFont="1" applyFill="1" applyBorder="1" applyAlignment="1">
      <alignment horizontal="center" vertical="top" wrapText="1"/>
    </xf>
    <xf numFmtId="164" fontId="2" fillId="4" borderId="17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left" vertical="top" wrapText="1"/>
    </xf>
    <xf numFmtId="3" fontId="2" fillId="4" borderId="21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3" fontId="2" fillId="4" borderId="51" xfId="0" applyNumberFormat="1" applyFont="1" applyFill="1" applyBorder="1" applyAlignment="1">
      <alignment horizontal="left" vertical="top" wrapText="1"/>
    </xf>
    <xf numFmtId="3" fontId="3" fillId="4" borderId="18" xfId="0" applyNumberFormat="1" applyFont="1" applyFill="1" applyBorder="1" applyAlignment="1">
      <alignment horizontal="left" vertical="top" wrapText="1"/>
    </xf>
    <xf numFmtId="3" fontId="13" fillId="4" borderId="30" xfId="0" applyNumberFormat="1" applyFont="1" applyFill="1" applyBorder="1" applyAlignment="1">
      <alignment horizontal="center" vertical="top" wrapText="1"/>
    </xf>
    <xf numFmtId="3" fontId="13" fillId="4" borderId="29" xfId="0" applyNumberFormat="1" applyFont="1" applyFill="1" applyBorder="1" applyAlignment="1">
      <alignment horizontal="center" vertical="top" wrapText="1"/>
    </xf>
    <xf numFmtId="167" fontId="2" fillId="9" borderId="5" xfId="2" applyNumberFormat="1" applyFont="1" applyFill="1" applyBorder="1" applyAlignment="1">
      <alignment horizontal="left" vertical="top" wrapText="1"/>
    </xf>
    <xf numFmtId="3" fontId="2" fillId="0" borderId="33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3" fontId="2" fillId="4" borderId="36" xfId="0" applyNumberFormat="1" applyFont="1" applyFill="1" applyBorder="1" applyAlignment="1">
      <alignment vertical="top" wrapText="1"/>
    </xf>
    <xf numFmtId="3" fontId="13" fillId="4" borderId="18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13" fillId="4" borderId="44" xfId="0" applyNumberFormat="1" applyFont="1" applyFill="1" applyBorder="1" applyAlignment="1">
      <alignment horizontal="center" vertical="top" wrapText="1"/>
    </xf>
    <xf numFmtId="3" fontId="13" fillId="0" borderId="52" xfId="0" applyNumberFormat="1" applyFont="1" applyFill="1" applyBorder="1" applyAlignment="1">
      <alignment horizontal="center" vertical="top" wrapText="1"/>
    </xf>
    <xf numFmtId="167" fontId="2" fillId="9" borderId="64" xfId="2" applyNumberFormat="1" applyFont="1" applyFill="1" applyBorder="1" applyAlignment="1">
      <alignment horizontal="center" vertical="top" wrapText="1"/>
    </xf>
    <xf numFmtId="167" fontId="2" fillId="9" borderId="49" xfId="2" applyNumberFormat="1" applyFont="1" applyFill="1" applyBorder="1" applyAlignment="1">
      <alignment horizontal="center" vertical="top" wrapText="1"/>
    </xf>
    <xf numFmtId="167" fontId="2" fillId="9" borderId="36" xfId="2" applyNumberFormat="1" applyFont="1" applyFill="1" applyBorder="1" applyAlignment="1">
      <alignment horizontal="center" vertical="top" wrapText="1"/>
    </xf>
    <xf numFmtId="3" fontId="2" fillId="4" borderId="64" xfId="0" applyNumberFormat="1" applyFont="1" applyFill="1" applyBorder="1" applyAlignment="1">
      <alignment horizontal="center" vertical="top" wrapText="1"/>
    </xf>
    <xf numFmtId="3" fontId="2" fillId="4" borderId="69" xfId="0" applyNumberFormat="1" applyFont="1" applyFill="1" applyBorder="1" applyAlignment="1">
      <alignment horizontal="center" vertical="top" wrapText="1"/>
    </xf>
    <xf numFmtId="3" fontId="2" fillId="4" borderId="49" xfId="0" applyNumberFormat="1" applyFont="1" applyFill="1" applyBorder="1" applyAlignment="1">
      <alignment horizontal="center" vertical="top" wrapText="1"/>
    </xf>
    <xf numFmtId="3" fontId="2" fillId="4" borderId="36" xfId="0" applyNumberFormat="1" applyFont="1" applyFill="1" applyBorder="1" applyAlignment="1">
      <alignment horizontal="center" vertical="top" wrapText="1"/>
    </xf>
    <xf numFmtId="3" fontId="13" fillId="4" borderId="52" xfId="0" applyNumberFormat="1" applyFont="1" applyFill="1" applyBorder="1" applyAlignment="1">
      <alignment horizontal="center" vertical="top" wrapText="1"/>
    </xf>
    <xf numFmtId="3" fontId="13" fillId="4" borderId="56" xfId="0" applyNumberFormat="1" applyFont="1" applyFill="1" applyBorder="1" applyAlignment="1">
      <alignment horizontal="center" vertical="top" wrapText="1"/>
    </xf>
    <xf numFmtId="3" fontId="2" fillId="0" borderId="46" xfId="0" applyNumberFormat="1" applyFont="1" applyBorder="1" applyAlignment="1">
      <alignment horizontal="center" vertical="center" textRotation="90" wrapText="1"/>
    </xf>
    <xf numFmtId="3" fontId="2" fillId="4" borderId="5" xfId="0" applyNumberFormat="1" applyFont="1" applyFill="1" applyBorder="1" applyAlignment="1">
      <alignment vertical="top" wrapText="1"/>
    </xf>
    <xf numFmtId="3" fontId="13" fillId="4" borderId="7" xfId="0" applyNumberFormat="1" applyFont="1" applyFill="1" applyBorder="1" applyAlignment="1">
      <alignment horizontal="center" vertical="top" wrapText="1"/>
    </xf>
    <xf numFmtId="3" fontId="13" fillId="4" borderId="62" xfId="0" applyNumberFormat="1" applyFont="1" applyFill="1" applyBorder="1" applyAlignment="1">
      <alignment horizontal="center" vertical="top" wrapText="1"/>
    </xf>
    <xf numFmtId="3" fontId="13" fillId="4" borderId="72" xfId="0" applyNumberFormat="1" applyFont="1" applyFill="1" applyBorder="1" applyAlignment="1">
      <alignment horizontal="center" vertical="top" wrapText="1"/>
    </xf>
    <xf numFmtId="3" fontId="13" fillId="4" borderId="15" xfId="0" applyNumberFormat="1" applyFont="1" applyFill="1" applyBorder="1" applyAlignment="1">
      <alignment horizontal="center" vertical="top" wrapText="1"/>
    </xf>
    <xf numFmtId="164" fontId="2" fillId="4" borderId="23" xfId="0" applyNumberFormat="1" applyFont="1" applyFill="1" applyBorder="1" applyAlignment="1">
      <alignment horizontal="center" vertical="top" wrapText="1"/>
    </xf>
    <xf numFmtId="164" fontId="2" fillId="4" borderId="7" xfId="0" applyNumberFormat="1" applyFont="1" applyFill="1" applyBorder="1" applyAlignment="1">
      <alignment horizontal="center" vertical="top" wrapText="1"/>
    </xf>
    <xf numFmtId="164" fontId="3" fillId="5" borderId="42" xfId="0" applyNumberFormat="1" applyFont="1" applyFill="1" applyBorder="1" applyAlignment="1">
      <alignment horizontal="center" vertical="top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3" fillId="5" borderId="0" xfId="0" applyNumberFormat="1" applyFont="1" applyFill="1" applyBorder="1" applyAlignment="1">
      <alignment horizontal="center" vertical="top" wrapText="1"/>
    </xf>
    <xf numFmtId="167" fontId="2" fillId="9" borderId="51" xfId="2" applyNumberFormat="1" applyFont="1" applyFill="1" applyBorder="1" applyAlignment="1">
      <alignment horizontal="center" vertical="top" wrapText="1"/>
    </xf>
    <xf numFmtId="167" fontId="2" fillId="9" borderId="63" xfId="2" applyNumberFormat="1" applyFont="1" applyFill="1" applyBorder="1" applyAlignment="1">
      <alignment horizontal="center" vertical="top" wrapText="1"/>
    </xf>
    <xf numFmtId="167" fontId="15" fillId="9" borderId="46" xfId="2" applyNumberFormat="1" applyFont="1" applyFill="1" applyBorder="1" applyAlignment="1">
      <alignment horizontal="center" vertical="top" wrapText="1"/>
    </xf>
    <xf numFmtId="167" fontId="17" fillId="9" borderId="17" xfId="2" applyNumberFormat="1" applyFont="1" applyFill="1" applyBorder="1" applyAlignment="1">
      <alignment horizontal="center" vertical="top" wrapText="1"/>
    </xf>
    <xf numFmtId="167" fontId="17" fillId="9" borderId="69" xfId="2" applyNumberFormat="1" applyFont="1" applyFill="1" applyBorder="1" applyAlignment="1">
      <alignment horizontal="center" vertical="top" wrapText="1"/>
    </xf>
    <xf numFmtId="167" fontId="17" fillId="9" borderId="36" xfId="2" applyNumberFormat="1" applyFont="1" applyFill="1" applyBorder="1" applyAlignment="1">
      <alignment horizontal="center" vertical="top" wrapText="1"/>
    </xf>
    <xf numFmtId="167" fontId="17" fillId="9" borderId="62" xfId="2" applyNumberFormat="1" applyFont="1" applyFill="1" applyBorder="1" applyAlignment="1">
      <alignment horizontal="center" vertical="top" wrapText="1"/>
    </xf>
    <xf numFmtId="3" fontId="13" fillId="0" borderId="44" xfId="0" applyNumberFormat="1" applyFont="1" applyFill="1" applyBorder="1" applyAlignment="1">
      <alignment horizontal="center" vertical="top" wrapText="1"/>
    </xf>
    <xf numFmtId="3" fontId="2" fillId="0" borderId="64" xfId="0" applyNumberFormat="1" applyFont="1" applyBorder="1" applyAlignment="1">
      <alignment horizontal="center" vertical="top" wrapText="1"/>
    </xf>
    <xf numFmtId="164" fontId="16" fillId="4" borderId="29" xfId="0" applyNumberFormat="1" applyFont="1" applyFill="1" applyBorder="1" applyAlignment="1">
      <alignment horizontal="center" vertical="top" wrapText="1"/>
    </xf>
    <xf numFmtId="3" fontId="15" fillId="0" borderId="16" xfId="0" applyNumberFormat="1" applyFont="1" applyBorder="1" applyAlignment="1">
      <alignment vertical="top"/>
    </xf>
    <xf numFmtId="0" fontId="2" fillId="4" borderId="19" xfId="0" applyFont="1" applyFill="1" applyBorder="1" applyAlignment="1">
      <alignment horizontal="center" vertical="top" wrapText="1"/>
    </xf>
    <xf numFmtId="164" fontId="2" fillId="4" borderId="35" xfId="0" applyNumberFormat="1" applyFont="1" applyFill="1" applyBorder="1" applyAlignment="1">
      <alignment horizontal="center" vertical="top"/>
    </xf>
    <xf numFmtId="164" fontId="2" fillId="4" borderId="28" xfId="0" applyNumberFormat="1" applyFont="1" applyFill="1" applyBorder="1" applyAlignment="1">
      <alignment horizontal="center" vertical="top"/>
    </xf>
    <xf numFmtId="3" fontId="13" fillId="0" borderId="21" xfId="0" applyNumberFormat="1" applyFont="1" applyFill="1" applyBorder="1" applyAlignment="1">
      <alignment horizontal="center" vertical="top" textRotation="90" wrapText="1"/>
    </xf>
    <xf numFmtId="3" fontId="13" fillId="4" borderId="34" xfId="0" applyNumberFormat="1" applyFont="1" applyFill="1" applyBorder="1" applyAlignment="1">
      <alignment horizontal="center" vertical="top" wrapText="1"/>
    </xf>
    <xf numFmtId="0" fontId="2" fillId="14" borderId="17" xfId="0" applyFont="1" applyFill="1" applyBorder="1" applyAlignment="1">
      <alignment horizontal="center" vertical="top" wrapText="1"/>
    </xf>
    <xf numFmtId="165" fontId="2" fillId="4" borderId="22" xfId="0" applyNumberFormat="1" applyFont="1" applyFill="1" applyBorder="1" applyAlignment="1">
      <alignment horizontal="center" vertical="top" wrapText="1"/>
    </xf>
    <xf numFmtId="0" fontId="2" fillId="14" borderId="69" xfId="0" applyFont="1" applyFill="1" applyBorder="1" applyAlignment="1">
      <alignment horizontal="center" vertical="top" wrapText="1"/>
    </xf>
    <xf numFmtId="165" fontId="2" fillId="4" borderId="13" xfId="0" applyNumberFormat="1" applyFont="1" applyFill="1" applyBorder="1" applyAlignment="1">
      <alignment horizontal="center" vertical="top" wrapText="1"/>
    </xf>
    <xf numFmtId="0" fontId="2" fillId="14" borderId="36" xfId="0" applyFont="1" applyFill="1" applyBorder="1" applyAlignment="1">
      <alignment horizontal="center" vertical="top" wrapText="1"/>
    </xf>
    <xf numFmtId="0" fontId="2" fillId="14" borderId="62" xfId="0" applyFont="1" applyFill="1" applyBorder="1" applyAlignment="1">
      <alignment horizontal="center" vertical="top" wrapText="1"/>
    </xf>
    <xf numFmtId="3" fontId="13" fillId="4" borderId="61" xfId="0" applyNumberFormat="1" applyFont="1" applyFill="1" applyBorder="1" applyAlignment="1">
      <alignment horizontal="center" vertical="top" wrapText="1"/>
    </xf>
    <xf numFmtId="3" fontId="4" fillId="4" borderId="18" xfId="0" applyNumberFormat="1" applyFont="1" applyFill="1" applyBorder="1" applyAlignment="1">
      <alignment horizontal="left" vertical="top" wrapText="1"/>
    </xf>
    <xf numFmtId="3" fontId="13" fillId="4" borderId="0" xfId="0" applyNumberFormat="1" applyFont="1" applyFill="1" applyBorder="1" applyAlignment="1">
      <alignment vertical="top" wrapText="1"/>
    </xf>
    <xf numFmtId="164" fontId="2" fillId="4" borderId="59" xfId="0" applyNumberFormat="1" applyFont="1" applyFill="1" applyBorder="1" applyAlignment="1">
      <alignment horizontal="center" vertical="top" wrapText="1"/>
    </xf>
    <xf numFmtId="3" fontId="16" fillId="4" borderId="5" xfId="0" applyNumberFormat="1" applyFont="1" applyFill="1" applyBorder="1" applyAlignment="1">
      <alignment horizontal="center" vertical="top" wrapText="1"/>
    </xf>
    <xf numFmtId="164" fontId="16" fillId="4" borderId="17" xfId="0" applyNumberFormat="1" applyFont="1" applyFill="1" applyBorder="1" applyAlignment="1">
      <alignment horizontal="center" vertical="top" wrapText="1"/>
    </xf>
    <xf numFmtId="164" fontId="16" fillId="4" borderId="69" xfId="0" applyNumberFormat="1" applyFont="1" applyFill="1" applyBorder="1" applyAlignment="1">
      <alignment horizontal="center" vertical="top" wrapText="1"/>
    </xf>
    <xf numFmtId="164" fontId="16" fillId="4" borderId="36" xfId="0" applyNumberFormat="1" applyFont="1" applyFill="1" applyBorder="1" applyAlignment="1">
      <alignment horizontal="center" vertical="top" wrapText="1"/>
    </xf>
    <xf numFmtId="3" fontId="16" fillId="4" borderId="8" xfId="0" applyNumberFormat="1" applyFont="1" applyFill="1" applyBorder="1" applyAlignment="1">
      <alignment horizontal="center" vertical="top" wrapText="1"/>
    </xf>
    <xf numFmtId="164" fontId="16" fillId="4" borderId="28" xfId="0" applyNumberFormat="1" applyFont="1" applyFill="1" applyBorder="1" applyAlignment="1">
      <alignment horizontal="center" vertical="top" wrapText="1"/>
    </xf>
    <xf numFmtId="164" fontId="16" fillId="4" borderId="35" xfId="0" applyNumberFormat="1" applyFont="1" applyFill="1" applyBorder="1" applyAlignment="1">
      <alignment horizontal="center" vertical="top" wrapText="1"/>
    </xf>
    <xf numFmtId="164" fontId="16" fillId="4" borderId="7" xfId="0" applyNumberFormat="1" applyFont="1" applyFill="1" applyBorder="1" applyAlignment="1">
      <alignment horizontal="center" vertical="top" wrapText="1"/>
    </xf>
    <xf numFmtId="3" fontId="16" fillId="0" borderId="18" xfId="0" applyNumberFormat="1" applyFont="1" applyBorder="1" applyAlignment="1">
      <alignment vertical="top" wrapText="1"/>
    </xf>
    <xf numFmtId="3" fontId="16" fillId="4" borderId="17" xfId="0" applyNumberFormat="1" applyFont="1" applyFill="1" applyBorder="1" applyAlignment="1">
      <alignment horizontal="center" vertical="top" wrapText="1"/>
    </xf>
    <xf numFmtId="164" fontId="16" fillId="4" borderId="5" xfId="0" applyNumberFormat="1" applyFont="1" applyFill="1" applyBorder="1" applyAlignment="1">
      <alignment horizontal="center" vertical="top"/>
    </xf>
    <xf numFmtId="3" fontId="15" fillId="4" borderId="69" xfId="0" applyNumberFormat="1" applyFont="1" applyFill="1" applyBorder="1" applyAlignment="1">
      <alignment horizontal="left" vertical="top" wrapText="1"/>
    </xf>
    <xf numFmtId="3" fontId="15" fillId="4" borderId="18" xfId="0" applyNumberFormat="1" applyFont="1" applyFill="1" applyBorder="1" applyAlignment="1">
      <alignment horizontal="left" vertical="top" wrapText="1"/>
    </xf>
    <xf numFmtId="3" fontId="13" fillId="0" borderId="62" xfId="0" applyNumberFormat="1" applyFont="1" applyFill="1" applyBorder="1" applyAlignment="1">
      <alignment horizontal="center" vertical="top" wrapText="1"/>
    </xf>
    <xf numFmtId="3" fontId="15" fillId="4" borderId="22" xfId="0" applyNumberFormat="1" applyFont="1" applyFill="1" applyBorder="1" applyAlignment="1">
      <alignment horizontal="left" vertical="top" wrapText="1"/>
    </xf>
    <xf numFmtId="3" fontId="3" fillId="4" borderId="18" xfId="0" applyNumberFormat="1" applyFont="1" applyFill="1" applyBorder="1" applyAlignment="1">
      <alignment vertical="top" wrapText="1"/>
    </xf>
    <xf numFmtId="3" fontId="15" fillId="4" borderId="16" xfId="0" applyNumberFormat="1" applyFont="1" applyFill="1" applyBorder="1" applyAlignment="1">
      <alignment horizontal="center" vertical="top" wrapText="1"/>
    </xf>
    <xf numFmtId="49" fontId="16" fillId="4" borderId="17" xfId="2" applyNumberFormat="1" applyFont="1" applyFill="1" applyBorder="1" applyAlignment="1">
      <alignment horizontal="center" vertical="top"/>
    </xf>
    <xf numFmtId="165" fontId="16" fillId="4" borderId="18" xfId="2" applyNumberFormat="1" applyFont="1" applyFill="1" applyBorder="1" applyAlignment="1">
      <alignment horizontal="center" vertical="top"/>
    </xf>
    <xf numFmtId="49" fontId="16" fillId="4" borderId="8" xfId="2" applyNumberFormat="1" applyFont="1" applyFill="1" applyBorder="1" applyAlignment="1">
      <alignment horizontal="center" vertical="top"/>
    </xf>
    <xf numFmtId="164" fontId="16" fillId="12" borderId="8" xfId="2" applyNumberFormat="1" applyFont="1" applyFill="1" applyBorder="1" applyAlignment="1">
      <alignment horizontal="center" vertical="top"/>
    </xf>
    <xf numFmtId="3" fontId="16" fillId="4" borderId="35" xfId="0" applyNumberFormat="1" applyFont="1" applyFill="1" applyBorder="1" applyAlignment="1">
      <alignment horizontal="center" vertical="top" wrapText="1"/>
    </xf>
    <xf numFmtId="3" fontId="16" fillId="4" borderId="18" xfId="0" applyNumberFormat="1" applyFont="1" applyFill="1" applyBorder="1" applyAlignment="1">
      <alignment horizontal="center" vertical="top" wrapText="1"/>
    </xf>
    <xf numFmtId="3" fontId="16" fillId="4" borderId="28" xfId="0" applyNumberFormat="1" applyFont="1" applyFill="1" applyBorder="1" applyAlignment="1">
      <alignment horizontal="center" vertical="top" wrapText="1"/>
    </xf>
    <xf numFmtId="49" fontId="16" fillId="4" borderId="18" xfId="2" applyNumberFormat="1" applyFont="1" applyFill="1" applyBorder="1" applyAlignment="1">
      <alignment horizontal="center" vertical="top"/>
    </xf>
    <xf numFmtId="49" fontId="16" fillId="4" borderId="7" xfId="2" applyNumberFormat="1" applyFont="1" applyFill="1" applyBorder="1" applyAlignment="1">
      <alignment horizontal="center" vertical="top"/>
    </xf>
    <xf numFmtId="164" fontId="16" fillId="4" borderId="17" xfId="2" applyNumberFormat="1" applyFont="1" applyFill="1" applyBorder="1" applyAlignment="1">
      <alignment horizontal="center" vertical="top"/>
    </xf>
    <xf numFmtId="164" fontId="20" fillId="4" borderId="17" xfId="2" applyNumberFormat="1" applyFont="1" applyFill="1" applyBorder="1" applyAlignment="1">
      <alignment horizontal="right" vertical="top"/>
    </xf>
    <xf numFmtId="164" fontId="20" fillId="4" borderId="18" xfId="2" applyNumberFormat="1" applyFont="1" applyFill="1" applyBorder="1" applyAlignment="1">
      <alignment horizontal="right" vertical="top"/>
    </xf>
    <xf numFmtId="164" fontId="20" fillId="4" borderId="7" xfId="2" applyNumberFormat="1" applyFont="1" applyFill="1" applyBorder="1" applyAlignment="1">
      <alignment horizontal="right" vertical="top"/>
    </xf>
    <xf numFmtId="164" fontId="16" fillId="4" borderId="18" xfId="2" applyNumberFormat="1" applyFont="1" applyFill="1" applyBorder="1" applyAlignment="1">
      <alignment horizontal="center" vertical="top"/>
    </xf>
    <xf numFmtId="164" fontId="16" fillId="4" borderId="7" xfId="2" applyNumberFormat="1" applyFont="1" applyFill="1" applyBorder="1" applyAlignment="1">
      <alignment horizontal="center" vertical="top"/>
    </xf>
    <xf numFmtId="3" fontId="16" fillId="0" borderId="28" xfId="0" applyNumberFormat="1" applyFont="1" applyBorder="1" applyAlignment="1">
      <alignment vertical="top" wrapText="1"/>
    </xf>
    <xf numFmtId="164" fontId="16" fillId="11" borderId="17" xfId="2" applyNumberFormat="1" applyFont="1" applyFill="1" applyBorder="1" applyAlignment="1">
      <alignment horizontal="center" vertical="top"/>
    </xf>
    <xf numFmtId="167" fontId="16" fillId="9" borderId="35" xfId="2" applyNumberFormat="1" applyFont="1" applyFill="1" applyBorder="1" applyAlignment="1">
      <alignment horizontal="center" vertical="top" wrapText="1"/>
    </xf>
    <xf numFmtId="164" fontId="16" fillId="9" borderId="18" xfId="2" applyNumberFormat="1" applyFont="1" applyFill="1" applyBorder="1" applyAlignment="1">
      <alignment horizontal="center" vertical="top" wrapText="1"/>
    </xf>
    <xf numFmtId="164" fontId="16" fillId="9" borderId="28" xfId="2" applyNumberFormat="1" applyFont="1" applyFill="1" applyBorder="1" applyAlignment="1">
      <alignment horizontal="center" vertical="top"/>
    </xf>
    <xf numFmtId="3" fontId="8" fillId="4" borderId="8" xfId="0" applyNumberFormat="1" applyFont="1" applyFill="1" applyBorder="1" applyAlignment="1">
      <alignment horizontal="center" vertical="top" wrapText="1"/>
    </xf>
    <xf numFmtId="3" fontId="8" fillId="4" borderId="35" xfId="0" applyNumberFormat="1" applyFont="1" applyFill="1" applyBorder="1" applyAlignment="1">
      <alignment horizontal="center" vertical="top" wrapText="1"/>
    </xf>
    <xf numFmtId="3" fontId="8" fillId="4" borderId="28" xfId="0" applyNumberFormat="1" applyFont="1" applyFill="1" applyBorder="1" applyAlignment="1">
      <alignment horizontal="center" vertical="top" wrapText="1"/>
    </xf>
    <xf numFmtId="49" fontId="16" fillId="13" borderId="8" xfId="2" applyNumberFormat="1" applyFont="1" applyFill="1" applyBorder="1" applyAlignment="1">
      <alignment horizontal="center" vertical="top" wrapText="1"/>
    </xf>
    <xf numFmtId="164" fontId="16" fillId="13" borderId="35" xfId="2" applyNumberFormat="1" applyFont="1" applyFill="1" applyBorder="1" applyAlignment="1">
      <alignment horizontal="center" vertical="top" wrapText="1"/>
    </xf>
    <xf numFmtId="0" fontId="16" fillId="4" borderId="35" xfId="2" applyNumberFormat="1" applyFont="1" applyFill="1" applyBorder="1" applyAlignment="1">
      <alignment horizontal="center" vertical="top"/>
    </xf>
    <xf numFmtId="165" fontId="16" fillId="4" borderId="35" xfId="2" applyNumberFormat="1" applyFont="1" applyFill="1" applyBorder="1" applyAlignment="1">
      <alignment horizontal="center" vertical="top"/>
    </xf>
    <xf numFmtId="165" fontId="16" fillId="4" borderId="28" xfId="2" applyNumberFormat="1" applyFont="1" applyFill="1" applyBorder="1" applyAlignment="1">
      <alignment horizontal="center" vertical="top"/>
    </xf>
    <xf numFmtId="49" fontId="16" fillId="4" borderId="35" xfId="2" applyNumberFormat="1" applyFont="1" applyFill="1" applyBorder="1" applyAlignment="1">
      <alignment horizontal="center" vertical="top"/>
    </xf>
    <xf numFmtId="164" fontId="16" fillId="12" borderId="35" xfId="2" applyNumberFormat="1" applyFont="1" applyFill="1" applyBorder="1" applyAlignment="1">
      <alignment horizontal="center" vertical="top"/>
    </xf>
    <xf numFmtId="164" fontId="16" fillId="0" borderId="18" xfId="0" applyNumberFormat="1" applyFont="1" applyBorder="1" applyAlignment="1">
      <alignment horizontal="center" vertical="top" wrapText="1"/>
    </xf>
    <xf numFmtId="164" fontId="16" fillId="12" borderId="18" xfId="2" applyNumberFormat="1" applyFont="1" applyFill="1" applyBorder="1" applyAlignment="1">
      <alignment horizontal="center" vertical="top"/>
    </xf>
    <xf numFmtId="164" fontId="16" fillId="12" borderId="28" xfId="2" applyNumberFormat="1" applyFont="1" applyFill="1" applyBorder="1" applyAlignment="1">
      <alignment horizontal="center" vertical="top"/>
    </xf>
    <xf numFmtId="164" fontId="16" fillId="4" borderId="35" xfId="2" applyNumberFormat="1" applyFont="1" applyFill="1" applyBorder="1" applyAlignment="1">
      <alignment horizontal="center" vertical="top"/>
    </xf>
    <xf numFmtId="167" fontId="16" fillId="9" borderId="35" xfId="2" applyNumberFormat="1" applyFont="1" applyFill="1" applyBorder="1" applyAlignment="1">
      <alignment vertical="top" wrapText="1"/>
    </xf>
    <xf numFmtId="164" fontId="16" fillId="4" borderId="28" xfId="2" applyNumberFormat="1" applyFont="1" applyFill="1" applyBorder="1" applyAlignment="1">
      <alignment horizontal="center" vertical="top"/>
    </xf>
    <xf numFmtId="164" fontId="20" fillId="4" borderId="28" xfId="2" applyNumberFormat="1" applyFont="1" applyFill="1" applyBorder="1" applyAlignment="1">
      <alignment horizontal="right" vertical="top"/>
    </xf>
    <xf numFmtId="164" fontId="16" fillId="11" borderId="8" xfId="2" applyNumberFormat="1" applyFont="1" applyFill="1" applyBorder="1" applyAlignment="1">
      <alignment horizontal="center" vertical="top"/>
    </xf>
    <xf numFmtId="164" fontId="20" fillId="4" borderId="17" xfId="0" applyNumberFormat="1" applyFont="1" applyFill="1" applyBorder="1" applyAlignment="1">
      <alignment horizontal="center" vertical="top" wrapText="1"/>
    </xf>
    <xf numFmtId="164" fontId="16" fillId="4" borderId="8" xfId="0" applyNumberFormat="1" applyFont="1" applyFill="1" applyBorder="1" applyAlignment="1">
      <alignment horizontal="center" vertical="top" wrapText="1"/>
    </xf>
    <xf numFmtId="3" fontId="20" fillId="4" borderId="5" xfId="0" applyNumberFormat="1" applyFont="1" applyFill="1" applyBorder="1" applyAlignment="1">
      <alignment horizontal="center" vertical="top" wrapText="1"/>
    </xf>
    <xf numFmtId="3" fontId="20" fillId="4" borderId="8" xfId="0" applyNumberFormat="1" applyFont="1" applyFill="1" applyBorder="1" applyAlignment="1">
      <alignment horizontal="center" vertical="top" wrapText="1"/>
    </xf>
    <xf numFmtId="49" fontId="16" fillId="4" borderId="17" xfId="2" applyNumberFormat="1" applyFont="1" applyFill="1" applyBorder="1" applyAlignment="1">
      <alignment horizontal="center" vertical="top" wrapText="1"/>
    </xf>
    <xf numFmtId="164" fontId="20" fillId="4" borderId="69" xfId="0" applyNumberFormat="1" applyFont="1" applyFill="1" applyBorder="1" applyAlignment="1">
      <alignment horizontal="center" vertical="top" wrapText="1"/>
    </xf>
    <xf numFmtId="164" fontId="20" fillId="4" borderId="62" xfId="0" applyNumberFormat="1" applyFont="1" applyFill="1" applyBorder="1" applyAlignment="1">
      <alignment horizontal="center" vertical="top" wrapText="1"/>
    </xf>
    <xf numFmtId="0" fontId="16" fillId="4" borderId="29" xfId="2" applyNumberFormat="1" applyFont="1" applyFill="1" applyBorder="1" applyAlignment="1">
      <alignment horizontal="center" vertical="top" wrapText="1"/>
    </xf>
    <xf numFmtId="164" fontId="20" fillId="4" borderId="18" xfId="0" applyNumberFormat="1" applyFont="1" applyFill="1" applyBorder="1" applyAlignment="1">
      <alignment horizontal="center" vertical="top" wrapText="1"/>
    </xf>
    <xf numFmtId="167" fontId="16" fillId="9" borderId="18" xfId="2" applyNumberFormat="1" applyFont="1" applyFill="1" applyBorder="1" applyAlignment="1">
      <alignment horizontal="center" vertical="top" wrapText="1"/>
    </xf>
    <xf numFmtId="165" fontId="16" fillId="0" borderId="18" xfId="0" applyNumberFormat="1" applyFont="1" applyBorder="1" applyAlignment="1">
      <alignment horizontal="center" vertical="top" wrapText="1"/>
    </xf>
    <xf numFmtId="165" fontId="16" fillId="0" borderId="28" xfId="0" applyNumberFormat="1" applyFont="1" applyBorder="1" applyAlignment="1">
      <alignment horizontal="center" vertical="top" wrapText="1"/>
    </xf>
    <xf numFmtId="167" fontId="16" fillId="9" borderId="28" xfId="2" applyNumberFormat="1" applyFont="1" applyFill="1" applyBorder="1" applyAlignment="1">
      <alignment horizontal="center" vertical="top"/>
    </xf>
    <xf numFmtId="164" fontId="20" fillId="4" borderId="28" xfId="0" applyNumberFormat="1" applyFont="1" applyFill="1" applyBorder="1" applyAlignment="1">
      <alignment horizontal="center" vertical="top" wrapText="1"/>
    </xf>
    <xf numFmtId="0" fontId="16" fillId="4" borderId="28" xfId="2" applyNumberFormat="1" applyFont="1" applyFill="1" applyBorder="1" applyAlignment="1">
      <alignment horizontal="center" vertical="top" wrapText="1"/>
    </xf>
    <xf numFmtId="0" fontId="16" fillId="4" borderId="35" xfId="2" applyNumberFormat="1" applyFont="1" applyFill="1" applyBorder="1" applyAlignment="1">
      <alignment horizontal="center" vertical="top" wrapText="1"/>
    </xf>
    <xf numFmtId="164" fontId="20" fillId="4" borderId="35" xfId="0" applyNumberFormat="1" applyFont="1" applyFill="1" applyBorder="1" applyAlignment="1">
      <alignment horizontal="center" vertical="top" wrapText="1"/>
    </xf>
    <xf numFmtId="164" fontId="16" fillId="9" borderId="35" xfId="2" applyNumberFormat="1" applyFont="1" applyFill="1" applyBorder="1" applyAlignment="1">
      <alignment horizontal="center" vertical="top" wrapText="1"/>
    </xf>
    <xf numFmtId="165" fontId="16" fillId="9" borderId="35" xfId="2" applyNumberFormat="1" applyFont="1" applyFill="1" applyBorder="1" applyAlignment="1">
      <alignment horizontal="center" vertical="top" wrapText="1"/>
    </xf>
    <xf numFmtId="164" fontId="2" fillId="0" borderId="60" xfId="0" applyNumberFormat="1" applyFont="1" applyBorder="1" applyAlignment="1">
      <alignment horizontal="center" vertical="top" wrapText="1"/>
    </xf>
    <xf numFmtId="164" fontId="2" fillId="0" borderId="27" xfId="0" applyNumberFormat="1" applyFont="1" applyBorder="1" applyAlignment="1">
      <alignment horizontal="center" vertical="top" wrapText="1"/>
    </xf>
    <xf numFmtId="164" fontId="2" fillId="0" borderId="59" xfId="0" applyNumberFormat="1" applyFont="1" applyBorder="1" applyAlignment="1">
      <alignment horizontal="center" vertical="top" wrapText="1"/>
    </xf>
    <xf numFmtId="164" fontId="16" fillId="0" borderId="17" xfId="0" applyNumberFormat="1" applyFont="1" applyBorder="1" applyAlignment="1">
      <alignment horizontal="center" vertical="top"/>
    </xf>
    <xf numFmtId="164" fontId="16" fillId="0" borderId="18" xfId="0" applyNumberFormat="1" applyFont="1" applyBorder="1" applyAlignment="1">
      <alignment horizontal="center" vertical="top"/>
    </xf>
    <xf numFmtId="164" fontId="16" fillId="0" borderId="7" xfId="0" applyNumberFormat="1" applyFont="1" applyBorder="1" applyAlignment="1">
      <alignment horizontal="center" vertical="top"/>
    </xf>
    <xf numFmtId="164" fontId="16" fillId="4" borderId="18" xfId="0" applyNumberFormat="1" applyFont="1" applyFill="1" applyBorder="1" applyAlignment="1">
      <alignment horizontal="center" vertical="top"/>
    </xf>
    <xf numFmtId="3" fontId="16" fillId="0" borderId="8" xfId="0" applyNumberFormat="1" applyFont="1" applyBorder="1" applyAlignment="1">
      <alignment horizontal="center" vertical="top"/>
    </xf>
    <xf numFmtId="164" fontId="16" fillId="0" borderId="35" xfId="0" applyNumberFormat="1" applyFont="1" applyBorder="1" applyAlignment="1">
      <alignment horizontal="center" vertical="top"/>
    </xf>
    <xf numFmtId="164" fontId="16" fillId="0" borderId="28" xfId="0" applyNumberFormat="1" applyFont="1" applyBorder="1" applyAlignment="1">
      <alignment horizontal="center" vertical="top"/>
    </xf>
    <xf numFmtId="3" fontId="16" fillId="0" borderId="17" xfId="0" applyNumberFormat="1" applyFont="1" applyBorder="1" applyAlignment="1">
      <alignment horizontal="center" vertical="top"/>
    </xf>
    <xf numFmtId="3" fontId="16" fillId="4" borderId="8" xfId="0" applyNumberFormat="1" applyFont="1" applyFill="1" applyBorder="1" applyAlignment="1">
      <alignment horizontal="center" vertical="top"/>
    </xf>
    <xf numFmtId="164" fontId="16" fillId="4" borderId="69" xfId="0" applyNumberFormat="1" applyFont="1" applyFill="1" applyBorder="1" applyAlignment="1">
      <alignment horizontal="center" vertical="top"/>
    </xf>
    <xf numFmtId="164" fontId="16" fillId="4" borderId="35" xfId="0" applyNumberFormat="1" applyFont="1" applyFill="1" applyBorder="1" applyAlignment="1">
      <alignment horizontal="center" vertical="top"/>
    </xf>
    <xf numFmtId="164" fontId="16" fillId="4" borderId="36" xfId="0" applyNumberFormat="1" applyFont="1" applyFill="1" applyBorder="1" applyAlignment="1">
      <alignment horizontal="center" vertical="top"/>
    </xf>
    <xf numFmtId="164" fontId="16" fillId="4" borderId="28" xfId="0" applyNumberFormat="1" applyFont="1" applyFill="1" applyBorder="1" applyAlignment="1">
      <alignment horizontal="center" vertical="top"/>
    </xf>
    <xf numFmtId="164" fontId="16" fillId="0" borderId="35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vertical="top"/>
    </xf>
    <xf numFmtId="3" fontId="16" fillId="0" borderId="7" xfId="0" applyNumberFormat="1" applyFont="1" applyBorder="1" applyAlignment="1">
      <alignment vertical="top"/>
    </xf>
    <xf numFmtId="3" fontId="16" fillId="0" borderId="28" xfId="0" applyNumberFormat="1" applyFont="1" applyBorder="1" applyAlignment="1">
      <alignment vertical="top"/>
    </xf>
    <xf numFmtId="3" fontId="13" fillId="0" borderId="29" xfId="0" applyNumberFormat="1" applyFont="1" applyFill="1" applyBorder="1" applyAlignment="1">
      <alignment horizontal="center" vertical="top" textRotation="90" wrapText="1"/>
    </xf>
    <xf numFmtId="3" fontId="2" fillId="0" borderId="60" xfId="0" applyNumberFormat="1" applyFont="1" applyFill="1" applyBorder="1" applyAlignment="1">
      <alignment horizontal="center" vertical="top" wrapText="1"/>
    </xf>
    <xf numFmtId="3" fontId="2" fillId="0" borderId="53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vertical="top" wrapText="1"/>
    </xf>
    <xf numFmtId="164" fontId="2" fillId="0" borderId="60" xfId="0" applyNumberFormat="1" applyFont="1" applyFill="1" applyBorder="1" applyAlignment="1">
      <alignment horizontal="center" vertical="top" wrapText="1"/>
    </xf>
    <xf numFmtId="164" fontId="2" fillId="0" borderId="27" xfId="0" applyNumberFormat="1" applyFont="1" applyFill="1" applyBorder="1" applyAlignment="1">
      <alignment horizontal="center" vertical="top" wrapText="1"/>
    </xf>
    <xf numFmtId="164" fontId="2" fillId="0" borderId="59" xfId="0" applyNumberFormat="1" applyFont="1" applyFill="1" applyBorder="1" applyAlignment="1">
      <alignment horizontal="center" vertical="top" wrapText="1"/>
    </xf>
    <xf numFmtId="164" fontId="2" fillId="0" borderId="25" xfId="0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 applyBorder="1" applyAlignment="1">
      <alignment horizontal="center" vertical="top" textRotation="90" wrapText="1"/>
    </xf>
    <xf numFmtId="0" fontId="16" fillId="4" borderId="8" xfId="0" applyFont="1" applyFill="1" applyBorder="1" applyAlignment="1">
      <alignment horizontal="center" vertical="top" wrapText="1"/>
    </xf>
    <xf numFmtId="0" fontId="16" fillId="4" borderId="17" xfId="0" applyFont="1" applyFill="1" applyBorder="1" applyAlignment="1">
      <alignment horizontal="center" vertical="top" wrapText="1"/>
    </xf>
    <xf numFmtId="164" fontId="16" fillId="4" borderId="69" xfId="1" applyNumberFormat="1" applyFont="1" applyFill="1" applyBorder="1" applyAlignment="1">
      <alignment horizontal="center" vertical="top" wrapText="1"/>
    </xf>
    <xf numFmtId="164" fontId="16" fillId="4" borderId="35" xfId="1" applyNumberFormat="1" applyFont="1" applyFill="1" applyBorder="1" applyAlignment="1">
      <alignment horizontal="center" vertical="top" wrapText="1"/>
    </xf>
    <xf numFmtId="164" fontId="16" fillId="4" borderId="36" xfId="1" applyNumberFormat="1" applyFont="1" applyFill="1" applyBorder="1" applyAlignment="1">
      <alignment horizontal="center" vertical="top" wrapText="1"/>
    </xf>
    <xf numFmtId="164" fontId="16" fillId="4" borderId="62" xfId="1" applyNumberFormat="1" applyFont="1" applyFill="1" applyBorder="1" applyAlignment="1">
      <alignment horizontal="center" vertical="top" wrapText="1"/>
    </xf>
    <xf numFmtId="164" fontId="2" fillId="4" borderId="36" xfId="0" applyNumberFormat="1" applyFont="1" applyFill="1" applyBorder="1" applyAlignment="1">
      <alignment horizontal="center" vertical="top" wrapText="1"/>
    </xf>
    <xf numFmtId="164" fontId="2" fillId="4" borderId="51" xfId="0" applyNumberFormat="1" applyFont="1" applyFill="1" applyBorder="1" applyAlignment="1">
      <alignment horizontal="center" vertical="top" wrapText="1"/>
    </xf>
    <xf numFmtId="3" fontId="16" fillId="0" borderId="7" xfId="0" applyNumberFormat="1" applyFont="1" applyBorder="1" applyAlignment="1">
      <alignment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2" fillId="4" borderId="28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13" fillId="4" borderId="29" xfId="0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horizontal="left" vertical="top" wrapText="1"/>
    </xf>
    <xf numFmtId="164" fontId="2" fillId="4" borderId="7" xfId="2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left" vertical="top" wrapText="1"/>
    </xf>
    <xf numFmtId="3" fontId="2" fillId="4" borderId="28" xfId="0" applyNumberFormat="1" applyFont="1" applyFill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horizontal="center" vertical="top" wrapText="1"/>
    </xf>
    <xf numFmtId="167" fontId="2" fillId="9" borderId="49" xfId="2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2" fillId="4" borderId="36" xfId="0" applyNumberFormat="1" applyFont="1" applyFill="1" applyBorder="1" applyAlignment="1">
      <alignment horizontal="left" vertical="top" wrapText="1"/>
    </xf>
    <xf numFmtId="3" fontId="2" fillId="4" borderId="28" xfId="0" applyNumberFormat="1" applyFont="1" applyFill="1" applyBorder="1" applyAlignment="1">
      <alignment horizontal="center" vertical="top" wrapText="1"/>
    </xf>
    <xf numFmtId="3" fontId="2" fillId="4" borderId="34" xfId="0" applyNumberFormat="1" applyFont="1" applyFill="1" applyBorder="1" applyAlignment="1">
      <alignment horizontal="center" vertical="top" wrapText="1"/>
    </xf>
    <xf numFmtId="3" fontId="2" fillId="4" borderId="62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13" fillId="4" borderId="29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167" fontId="15" fillId="9" borderId="69" xfId="2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3" fontId="2" fillId="4" borderId="64" xfId="0" applyNumberFormat="1" applyFont="1" applyFill="1" applyBorder="1" applyAlignment="1">
      <alignment horizontal="center" vertical="top" wrapText="1"/>
    </xf>
    <xf numFmtId="3" fontId="2" fillId="4" borderId="69" xfId="0" applyNumberFormat="1" applyFont="1" applyFill="1" applyBorder="1" applyAlignment="1">
      <alignment horizontal="center" vertical="top" wrapText="1"/>
    </xf>
    <xf numFmtId="3" fontId="2" fillId="4" borderId="49" xfId="0" applyNumberFormat="1" applyFont="1" applyFill="1" applyBorder="1" applyAlignment="1">
      <alignment horizontal="center" vertical="top" wrapText="1"/>
    </xf>
    <xf numFmtId="3" fontId="2" fillId="4" borderId="36" xfId="0" applyNumberFormat="1" applyFont="1" applyFill="1" applyBorder="1" applyAlignment="1">
      <alignment horizontal="center" vertical="top" wrapText="1"/>
    </xf>
    <xf numFmtId="3" fontId="3" fillId="3" borderId="36" xfId="0" applyNumberFormat="1" applyFont="1" applyFill="1" applyBorder="1" applyAlignment="1">
      <alignment horizontal="left" vertical="top" wrapText="1"/>
    </xf>
    <xf numFmtId="3" fontId="13" fillId="4" borderId="62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center" vertical="top" wrapText="1"/>
    </xf>
    <xf numFmtId="0" fontId="15" fillId="4" borderId="35" xfId="0" applyFont="1" applyFill="1" applyBorder="1" applyAlignment="1">
      <alignment horizontal="center" vertical="top" wrapText="1"/>
    </xf>
    <xf numFmtId="164" fontId="20" fillId="4" borderId="47" xfId="0" applyNumberFormat="1" applyFont="1" applyFill="1" applyBorder="1" applyAlignment="1">
      <alignment horizontal="center" vertical="top" wrapText="1"/>
    </xf>
    <xf numFmtId="3" fontId="15" fillId="4" borderId="51" xfId="0" applyNumberFormat="1" applyFont="1" applyFill="1" applyBorder="1" applyAlignment="1">
      <alignment horizontal="center" vertical="top"/>
    </xf>
    <xf numFmtId="3" fontId="13" fillId="0" borderId="18" xfId="0" applyNumberFormat="1" applyFont="1" applyFill="1" applyBorder="1" applyAlignment="1">
      <alignment horizontal="center" vertical="top" textRotation="90" wrapText="1"/>
    </xf>
    <xf numFmtId="3" fontId="13" fillId="0" borderId="62" xfId="0" applyNumberFormat="1" applyFont="1" applyFill="1" applyBorder="1" applyAlignment="1">
      <alignment horizontal="center" vertical="top" textRotation="90" wrapText="1"/>
    </xf>
    <xf numFmtId="3" fontId="15" fillId="4" borderId="35" xfId="0" applyNumberFormat="1" applyFont="1" applyFill="1" applyBorder="1" applyAlignment="1">
      <alignment horizontal="center" vertical="top"/>
    </xf>
    <xf numFmtId="3" fontId="15" fillId="4" borderId="18" xfId="0" applyNumberFormat="1" applyFont="1" applyFill="1" applyBorder="1" applyAlignment="1">
      <alignment horizontal="center" vertical="top"/>
    </xf>
    <xf numFmtId="3" fontId="2" fillId="4" borderId="8" xfId="0" applyNumberFormat="1" applyFont="1" applyFill="1" applyBorder="1" applyAlignment="1">
      <alignment horizontal="center" vertical="top" wrapText="1"/>
    </xf>
    <xf numFmtId="3" fontId="2" fillId="4" borderId="28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49" fontId="3" fillId="8" borderId="17" xfId="0" applyNumberFormat="1" applyFont="1" applyFill="1" applyBorder="1" applyAlignment="1">
      <alignment horizontal="center" vertical="top"/>
    </xf>
    <xf numFmtId="3" fontId="3" fillId="4" borderId="18" xfId="0" applyNumberFormat="1" applyFont="1" applyFill="1" applyBorder="1" applyAlignment="1">
      <alignment horizontal="left" vertical="top" wrapText="1"/>
    </xf>
    <xf numFmtId="164" fontId="2" fillId="4" borderId="17" xfId="0" applyNumberFormat="1" applyFont="1" applyFill="1" applyBorder="1" applyAlignment="1">
      <alignment horizontal="center" vertical="top" wrapText="1"/>
    </xf>
    <xf numFmtId="164" fontId="2" fillId="4" borderId="28" xfId="0" applyNumberFormat="1" applyFont="1" applyFill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top" wrapText="1"/>
    </xf>
    <xf numFmtId="164" fontId="16" fillId="4" borderId="18" xfId="0" applyNumberFormat="1" applyFont="1" applyFill="1" applyBorder="1" applyAlignment="1">
      <alignment horizontal="center" vertical="top" wrapText="1"/>
    </xf>
    <xf numFmtId="164" fontId="16" fillId="4" borderId="28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2" fillId="4" borderId="62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 wrapText="1"/>
    </xf>
    <xf numFmtId="49" fontId="3" fillId="8" borderId="17" xfId="0" applyNumberFormat="1" applyFont="1" applyFill="1" applyBorder="1" applyAlignment="1">
      <alignment horizontal="center" vertical="top"/>
    </xf>
    <xf numFmtId="3" fontId="2" fillId="4" borderId="17" xfId="0" applyNumberFormat="1" applyFont="1" applyFill="1" applyBorder="1" applyAlignment="1">
      <alignment horizontal="left" vertical="top" wrapText="1"/>
    </xf>
    <xf numFmtId="3" fontId="13" fillId="4" borderId="44" xfId="0" applyNumberFormat="1" applyFont="1" applyFill="1" applyBorder="1" applyAlignment="1">
      <alignment horizontal="center" vertical="top" wrapText="1"/>
    </xf>
    <xf numFmtId="3" fontId="13" fillId="4" borderId="33" xfId="0" applyNumberFormat="1" applyFont="1" applyFill="1" applyBorder="1" applyAlignment="1">
      <alignment horizontal="center" vertical="top" wrapText="1"/>
    </xf>
    <xf numFmtId="164" fontId="2" fillId="4" borderId="35" xfId="0" applyNumberFormat="1" applyFont="1" applyFill="1" applyBorder="1" applyAlignment="1">
      <alignment horizontal="center" vertical="top" wrapText="1"/>
    </xf>
    <xf numFmtId="3" fontId="2" fillId="0" borderId="7" xfId="0" applyNumberFormat="1" applyFont="1" applyBorder="1" applyAlignment="1">
      <alignment vertical="top" wrapText="1"/>
    </xf>
    <xf numFmtId="164" fontId="2" fillId="13" borderId="18" xfId="2" applyNumberFormat="1" applyFont="1" applyFill="1" applyBorder="1" applyAlignment="1">
      <alignment horizontal="center" vertical="top" wrapText="1"/>
    </xf>
    <xf numFmtId="164" fontId="2" fillId="13" borderId="28" xfId="2" applyNumberFormat="1" applyFont="1" applyFill="1" applyBorder="1" applyAlignment="1">
      <alignment horizontal="center" vertical="top" wrapText="1"/>
    </xf>
    <xf numFmtId="0" fontId="2" fillId="4" borderId="28" xfId="2" applyNumberFormat="1" applyFont="1" applyFill="1" applyBorder="1" applyAlignment="1">
      <alignment horizontal="center" vertical="top"/>
    </xf>
    <xf numFmtId="165" fontId="2" fillId="4" borderId="28" xfId="2" applyNumberFormat="1" applyFont="1" applyFill="1" applyBorder="1" applyAlignment="1">
      <alignment horizontal="center" vertical="top"/>
    </xf>
    <xf numFmtId="165" fontId="2" fillId="4" borderId="7" xfId="2" applyNumberFormat="1" applyFont="1" applyFill="1" applyBorder="1" applyAlignment="1">
      <alignment horizontal="center" vertical="top"/>
    </xf>
    <xf numFmtId="49" fontId="2" fillId="4" borderId="28" xfId="2" applyNumberFormat="1" applyFont="1" applyFill="1" applyBorder="1" applyAlignment="1">
      <alignment horizontal="center" vertical="top"/>
    </xf>
    <xf numFmtId="164" fontId="2" fillId="4" borderId="28" xfId="2" applyNumberFormat="1" applyFont="1" applyFill="1" applyBorder="1" applyAlignment="1">
      <alignment horizontal="center" vertical="top"/>
    </xf>
    <xf numFmtId="164" fontId="3" fillId="4" borderId="7" xfId="2" applyNumberFormat="1" applyFont="1" applyFill="1" applyBorder="1" applyAlignment="1">
      <alignment horizontal="right" vertical="top"/>
    </xf>
    <xf numFmtId="3" fontId="2" fillId="0" borderId="2" xfId="0" applyNumberFormat="1" applyFont="1" applyBorder="1" applyAlignment="1">
      <alignment horizontal="center" vertical="top" wrapText="1"/>
    </xf>
    <xf numFmtId="164" fontId="2" fillId="0" borderId="25" xfId="0" applyNumberFormat="1" applyFont="1" applyBorder="1" applyAlignment="1">
      <alignment horizontal="center" vertical="top" wrapText="1"/>
    </xf>
    <xf numFmtId="3" fontId="2" fillId="4" borderId="77" xfId="0" applyNumberFormat="1" applyFont="1" applyFill="1" applyBorder="1" applyAlignment="1">
      <alignment horizontal="center" vertical="top" wrapText="1"/>
    </xf>
    <xf numFmtId="3" fontId="2" fillId="0" borderId="49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164" fontId="16" fillId="4" borderId="35" xfId="0" applyNumberFormat="1" applyFont="1" applyFill="1" applyBorder="1" applyAlignment="1">
      <alignment horizontal="center" vertical="top" wrapText="1"/>
    </xf>
    <xf numFmtId="164" fontId="16" fillId="4" borderId="18" xfId="0" applyNumberFormat="1" applyFont="1" applyFill="1" applyBorder="1" applyAlignment="1">
      <alignment horizontal="center" vertical="top" wrapText="1"/>
    </xf>
    <xf numFmtId="164" fontId="16" fillId="4" borderId="28" xfId="0" applyNumberFormat="1" applyFont="1" applyFill="1" applyBorder="1" applyAlignment="1">
      <alignment horizontal="center" vertical="top" wrapText="1"/>
    </xf>
    <xf numFmtId="3" fontId="16" fillId="4" borderId="8" xfId="0" applyNumberFormat="1" applyFont="1" applyFill="1" applyBorder="1" applyAlignment="1">
      <alignment horizontal="center" vertical="top" wrapText="1"/>
    </xf>
    <xf numFmtId="49" fontId="16" fillId="4" borderId="8" xfId="2" applyNumberFormat="1" applyFont="1" applyFill="1" applyBorder="1" applyAlignment="1">
      <alignment horizontal="center" vertical="top"/>
    </xf>
    <xf numFmtId="164" fontId="16" fillId="0" borderId="35" xfId="0" applyNumberFormat="1" applyFont="1" applyBorder="1" applyAlignment="1">
      <alignment horizontal="center" vertical="top" wrapText="1"/>
    </xf>
    <xf numFmtId="3" fontId="16" fillId="4" borderId="17" xfId="0" applyNumberFormat="1" applyFont="1" applyFill="1" applyBorder="1" applyAlignment="1">
      <alignment horizontal="center" vertical="top"/>
    </xf>
    <xf numFmtId="164" fontId="16" fillId="4" borderId="7" xfId="0" applyNumberFormat="1" applyFont="1" applyFill="1" applyBorder="1" applyAlignment="1">
      <alignment horizontal="center" vertical="top"/>
    </xf>
    <xf numFmtId="164" fontId="16" fillId="4" borderId="18" xfId="1" applyNumberFormat="1" applyFont="1" applyFill="1" applyBorder="1" applyAlignment="1">
      <alignment horizontal="center" vertical="top" wrapText="1"/>
    </xf>
    <xf numFmtId="164" fontId="16" fillId="4" borderId="28" xfId="1" applyNumberFormat="1" applyFont="1" applyFill="1" applyBorder="1" applyAlignment="1">
      <alignment horizontal="center" vertical="top" wrapText="1"/>
    </xf>
    <xf numFmtId="0" fontId="16" fillId="4" borderId="51" xfId="0" applyFont="1" applyFill="1" applyBorder="1" applyAlignment="1">
      <alignment horizontal="center" vertical="top" wrapText="1"/>
    </xf>
    <xf numFmtId="164" fontId="2" fillId="4" borderId="28" xfId="0" applyNumberFormat="1" applyFont="1" applyFill="1" applyBorder="1" applyAlignment="1">
      <alignment horizontal="center" vertical="top" wrapText="1"/>
    </xf>
    <xf numFmtId="164" fontId="2" fillId="4" borderId="62" xfId="0" applyNumberFormat="1" applyFont="1" applyFill="1" applyBorder="1" applyAlignment="1">
      <alignment horizontal="center" vertical="top" wrapText="1"/>
    </xf>
    <xf numFmtId="164" fontId="2" fillId="4" borderId="69" xfId="0" applyNumberFormat="1" applyFont="1" applyFill="1" applyBorder="1" applyAlignment="1">
      <alignment horizontal="center" vertical="top" wrapText="1"/>
    </xf>
    <xf numFmtId="49" fontId="3" fillId="8" borderId="17" xfId="0" applyNumberFormat="1" applyFont="1" applyFill="1" applyBorder="1" applyAlignment="1">
      <alignment horizontal="center" vertical="top"/>
    </xf>
    <xf numFmtId="3" fontId="13" fillId="4" borderId="52" xfId="0" applyNumberFormat="1" applyFont="1" applyFill="1" applyBorder="1" applyAlignment="1">
      <alignment horizontal="center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center" vertical="top" wrapText="1"/>
    </xf>
    <xf numFmtId="3" fontId="16" fillId="4" borderId="8" xfId="0" applyNumberFormat="1" applyFont="1" applyFill="1" applyBorder="1" applyAlignment="1">
      <alignment horizontal="center" vertical="top" wrapText="1"/>
    </xf>
    <xf numFmtId="164" fontId="16" fillId="4" borderId="35" xfId="0" applyNumberFormat="1" applyFont="1" applyFill="1" applyBorder="1" applyAlignment="1">
      <alignment horizontal="center" vertical="top" wrapText="1"/>
    </xf>
    <xf numFmtId="3" fontId="15" fillId="0" borderId="17" xfId="0" applyNumberFormat="1" applyFont="1" applyBorder="1" applyAlignment="1">
      <alignment vertical="top"/>
    </xf>
    <xf numFmtId="3" fontId="15" fillId="0" borderId="44" xfId="0" applyNumberFormat="1" applyFont="1" applyBorder="1" applyAlignment="1">
      <alignment vertical="top"/>
    </xf>
    <xf numFmtId="3" fontId="2" fillId="0" borderId="16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vertical="top"/>
    </xf>
    <xf numFmtId="3" fontId="15" fillId="0" borderId="13" xfId="0" applyNumberFormat="1" applyFont="1" applyBorder="1" applyAlignment="1">
      <alignment vertical="top"/>
    </xf>
    <xf numFmtId="0" fontId="2" fillId="4" borderId="18" xfId="0" applyFont="1" applyFill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horizontal="left" vertical="top" wrapText="1"/>
    </xf>
    <xf numFmtId="3" fontId="13" fillId="4" borderId="62" xfId="0" applyNumberFormat="1" applyFont="1" applyFill="1" applyBorder="1" applyAlignment="1">
      <alignment horizontal="center" vertical="top" wrapText="1"/>
    </xf>
    <xf numFmtId="3" fontId="13" fillId="4" borderId="34" xfId="0" applyNumberFormat="1" applyFont="1" applyFill="1" applyBorder="1" applyAlignment="1">
      <alignment horizontal="center" vertical="top" wrapText="1"/>
    </xf>
    <xf numFmtId="164" fontId="16" fillId="4" borderId="35" xfId="0" applyNumberFormat="1" applyFont="1" applyFill="1" applyBorder="1" applyAlignment="1">
      <alignment horizontal="center" vertical="top" wrapText="1"/>
    </xf>
    <xf numFmtId="3" fontId="16" fillId="4" borderId="8" xfId="0" applyNumberFormat="1" applyFont="1" applyFill="1" applyBorder="1" applyAlignment="1">
      <alignment horizontal="center" vertical="top" wrapText="1"/>
    </xf>
    <xf numFmtId="3" fontId="2" fillId="4" borderId="53" xfId="3" applyNumberFormat="1" applyFont="1" applyFill="1" applyBorder="1" applyAlignment="1">
      <alignment vertical="top" wrapText="1"/>
    </xf>
    <xf numFmtId="3" fontId="2" fillId="4" borderId="2" xfId="3" applyNumberFormat="1" applyFont="1" applyFill="1" applyBorder="1" applyAlignment="1">
      <alignment vertical="top" wrapText="1"/>
    </xf>
    <xf numFmtId="2" fontId="2" fillId="4" borderId="32" xfId="0" applyNumberFormat="1" applyFont="1" applyFill="1" applyBorder="1" applyAlignment="1">
      <alignment horizontal="center" vertical="top" wrapText="1"/>
    </xf>
    <xf numFmtId="2" fontId="2" fillId="4" borderId="69" xfId="0" applyNumberFormat="1" applyFont="1" applyFill="1" applyBorder="1" applyAlignment="1">
      <alignment horizontal="center" vertical="top" wrapText="1"/>
    </xf>
    <xf numFmtId="3" fontId="2" fillId="4" borderId="43" xfId="0" applyNumberFormat="1" applyFont="1" applyFill="1" applyBorder="1" applyAlignment="1">
      <alignment vertical="top" wrapText="1"/>
    </xf>
    <xf numFmtId="167" fontId="2" fillId="9" borderId="61" xfId="2" applyNumberFormat="1" applyFont="1" applyFill="1" applyBorder="1" applyAlignment="1">
      <alignment horizontal="center" vertical="top"/>
    </xf>
    <xf numFmtId="167" fontId="2" fillId="9" borderId="18" xfId="2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3" fontId="2" fillId="4" borderId="34" xfId="0" applyNumberFormat="1" applyFont="1" applyFill="1" applyBorder="1" applyAlignment="1">
      <alignment horizontal="center" vertical="top" wrapText="1"/>
    </xf>
    <xf numFmtId="3" fontId="2" fillId="4" borderId="62" xfId="0" applyNumberFormat="1" applyFont="1" applyFill="1" applyBorder="1" applyAlignment="1">
      <alignment horizontal="center" vertical="top" wrapText="1"/>
    </xf>
    <xf numFmtId="167" fontId="2" fillId="9" borderId="64" xfId="2" applyNumberFormat="1" applyFont="1" applyFill="1" applyBorder="1" applyAlignment="1">
      <alignment horizontal="center" vertical="top" wrapText="1"/>
    </xf>
    <xf numFmtId="167" fontId="2" fillId="9" borderId="69" xfId="2" applyNumberFormat="1" applyFont="1" applyFill="1" applyBorder="1" applyAlignment="1">
      <alignment horizontal="center" vertical="top" wrapText="1"/>
    </xf>
    <xf numFmtId="167" fontId="2" fillId="9" borderId="49" xfId="2" applyNumberFormat="1" applyFont="1" applyFill="1" applyBorder="1" applyAlignment="1">
      <alignment horizontal="center" vertical="top" wrapText="1"/>
    </xf>
    <xf numFmtId="167" fontId="2" fillId="9" borderId="36" xfId="2" applyNumberFormat="1" applyFont="1" applyFill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5" xfId="0" applyNumberFormat="1" applyFont="1" applyBorder="1" applyAlignment="1">
      <alignment horizontal="center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textRotation="90" wrapText="1"/>
    </xf>
    <xf numFmtId="3" fontId="2" fillId="0" borderId="41" xfId="0" applyNumberFormat="1" applyFont="1" applyBorder="1" applyAlignment="1">
      <alignment horizontal="center" vertical="center" textRotation="90" wrapText="1"/>
    </xf>
    <xf numFmtId="3" fontId="2" fillId="0" borderId="37" xfId="0" applyNumberFormat="1" applyFont="1" applyBorder="1" applyAlignment="1">
      <alignment horizontal="right" wrapText="1"/>
    </xf>
    <xf numFmtId="3" fontId="2" fillId="4" borderId="49" xfId="0" applyNumberFormat="1" applyFont="1" applyFill="1" applyBorder="1" applyAlignment="1">
      <alignment horizontal="center" vertical="top" wrapText="1"/>
    </xf>
    <xf numFmtId="3" fontId="2" fillId="4" borderId="36" xfId="0" applyNumberFormat="1" applyFont="1" applyFill="1" applyBorder="1" applyAlignment="1">
      <alignment horizontal="center" vertical="top" wrapText="1"/>
    </xf>
    <xf numFmtId="167" fontId="2" fillId="9" borderId="6" xfId="2" applyNumberFormat="1" applyFont="1" applyFill="1" applyBorder="1" applyAlignment="1">
      <alignment horizontal="left" vertical="top" wrapText="1"/>
    </xf>
    <xf numFmtId="167" fontId="2" fillId="9" borderId="5" xfId="2" applyNumberFormat="1" applyFont="1" applyFill="1" applyBorder="1" applyAlignment="1">
      <alignment horizontal="left" vertical="top" wrapText="1"/>
    </xf>
    <xf numFmtId="3" fontId="2" fillId="4" borderId="13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2" fillId="4" borderId="19" xfId="0" applyNumberFormat="1" applyFont="1" applyFill="1" applyBorder="1" applyAlignment="1">
      <alignment horizontal="left" vertical="top" wrapText="1"/>
    </xf>
    <xf numFmtId="3" fontId="2" fillId="4" borderId="49" xfId="0" applyNumberFormat="1" applyFont="1" applyFill="1" applyBorder="1" applyAlignment="1">
      <alignment horizontal="left" vertical="top" wrapText="1"/>
    </xf>
    <xf numFmtId="3" fontId="2" fillId="4" borderId="36" xfId="0" applyNumberFormat="1" applyFont="1" applyFill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center" vertical="center" textRotation="90" wrapText="1"/>
    </xf>
    <xf numFmtId="3" fontId="2" fillId="0" borderId="18" xfId="0" applyNumberFormat="1" applyFont="1" applyBorder="1" applyAlignment="1">
      <alignment horizontal="center" vertical="center" textRotation="90" wrapText="1"/>
    </xf>
    <xf numFmtId="3" fontId="2" fillId="0" borderId="19" xfId="0" applyNumberFormat="1" applyFont="1" applyBorder="1" applyAlignment="1">
      <alignment horizontal="center" vertical="center" textRotation="90" wrapText="1"/>
    </xf>
    <xf numFmtId="3" fontId="3" fillId="7" borderId="60" xfId="0" applyNumberFormat="1" applyFont="1" applyFill="1" applyBorder="1" applyAlignment="1">
      <alignment horizontal="right" vertical="top" wrapText="1"/>
    </xf>
    <xf numFmtId="3" fontId="3" fillId="7" borderId="48" xfId="0" applyNumberFormat="1" applyFont="1" applyFill="1" applyBorder="1" applyAlignment="1">
      <alignment horizontal="right" vertical="top" wrapText="1"/>
    </xf>
    <xf numFmtId="3" fontId="3" fillId="6" borderId="60" xfId="0" applyNumberFormat="1" applyFont="1" applyFill="1" applyBorder="1" applyAlignment="1">
      <alignment horizontal="left" vertical="top" wrapText="1"/>
    </xf>
    <xf numFmtId="3" fontId="3" fillId="6" borderId="48" xfId="0" applyNumberFormat="1" applyFont="1" applyFill="1" applyBorder="1" applyAlignment="1">
      <alignment horizontal="left" vertical="top" wrapText="1"/>
    </xf>
    <xf numFmtId="3" fontId="4" fillId="7" borderId="53" xfId="0" applyNumberFormat="1" applyFont="1" applyFill="1" applyBorder="1" applyAlignment="1">
      <alignment horizontal="left" vertical="top" wrapText="1"/>
    </xf>
    <xf numFmtId="3" fontId="4" fillId="7" borderId="31" xfId="0" applyNumberFormat="1" applyFont="1" applyFill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top" wrapText="1"/>
    </xf>
    <xf numFmtId="11" fontId="2" fillId="0" borderId="22" xfId="0" applyNumberFormat="1" applyFont="1" applyBorder="1" applyAlignment="1">
      <alignment horizontal="center" vertical="center" textRotation="90" wrapText="1"/>
    </xf>
    <xf numFmtId="11" fontId="2" fillId="0" borderId="35" xfId="0" applyNumberFormat="1" applyFont="1" applyBorder="1" applyAlignment="1">
      <alignment horizontal="center" vertical="center" textRotation="90" wrapText="1"/>
    </xf>
    <xf numFmtId="11" fontId="2" fillId="0" borderId="20" xfId="0" applyNumberFormat="1" applyFont="1" applyBorder="1" applyAlignment="1">
      <alignment horizontal="center" vertical="center" textRotation="90" wrapText="1"/>
    </xf>
    <xf numFmtId="11" fontId="2" fillId="0" borderId="13" xfId="0" applyNumberFormat="1" applyFont="1" applyBorder="1" applyAlignment="1">
      <alignment horizontal="center" vertical="center" textRotation="90" wrapText="1"/>
    </xf>
    <xf numFmtId="11" fontId="2" fillId="0" borderId="18" xfId="0" applyNumberFormat="1" applyFont="1" applyBorder="1" applyAlignment="1">
      <alignment horizontal="center" vertical="center" textRotation="90" wrapText="1"/>
    </xf>
    <xf numFmtId="11" fontId="2" fillId="0" borderId="19" xfId="0" applyNumberFormat="1" applyFont="1" applyBorder="1" applyAlignment="1">
      <alignment horizontal="center" vertical="center" textRotation="90" wrapText="1"/>
    </xf>
    <xf numFmtId="49" fontId="2" fillId="0" borderId="13" xfId="0" applyNumberFormat="1" applyFont="1" applyBorder="1" applyAlignment="1">
      <alignment horizontal="center" vertical="center" textRotation="90" wrapText="1"/>
    </xf>
    <xf numFmtId="49" fontId="2" fillId="0" borderId="18" xfId="0" applyNumberFormat="1" applyFont="1" applyBorder="1" applyAlignment="1">
      <alignment horizontal="center" vertical="center" textRotation="90" wrapText="1"/>
    </xf>
    <xf numFmtId="49" fontId="2" fillId="0" borderId="19" xfId="0" applyNumberFormat="1" applyFont="1" applyBorder="1" applyAlignment="1">
      <alignment horizontal="center" vertical="center" textRotation="90" wrapText="1"/>
    </xf>
    <xf numFmtId="3" fontId="3" fillId="3" borderId="13" xfId="0" applyNumberFormat="1" applyFont="1" applyFill="1" applyBorder="1" applyAlignment="1">
      <alignment horizontal="left" vertical="top" wrapText="1"/>
    </xf>
    <xf numFmtId="3" fontId="3" fillId="3" borderId="18" xfId="0" applyNumberFormat="1" applyFont="1" applyFill="1" applyBorder="1" applyAlignment="1">
      <alignment horizontal="left" vertical="top" wrapText="1"/>
    </xf>
    <xf numFmtId="0" fontId="2" fillId="4" borderId="49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left" vertical="top" wrapText="1"/>
    </xf>
    <xf numFmtId="3" fontId="3" fillId="10" borderId="14" xfId="0" applyNumberFormat="1" applyFont="1" applyFill="1" applyBorder="1" applyAlignment="1">
      <alignment horizontal="left" vertical="top" wrapText="1"/>
    </xf>
    <xf numFmtId="3" fontId="3" fillId="10" borderId="45" xfId="0" applyNumberFormat="1" applyFont="1" applyFill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5" borderId="43" xfId="0" applyNumberFormat="1" applyFont="1" applyFill="1" applyBorder="1" applyAlignment="1">
      <alignment horizontal="left" vertical="top" wrapText="1"/>
    </xf>
    <xf numFmtId="3" fontId="3" fillId="7" borderId="53" xfId="0" applyNumberFormat="1" applyFont="1" applyFill="1" applyBorder="1" applyAlignment="1">
      <alignment horizontal="right" vertical="top" wrapText="1"/>
    </xf>
    <xf numFmtId="3" fontId="3" fillId="7" borderId="31" xfId="0" applyNumberFormat="1" applyFont="1" applyFill="1" applyBorder="1" applyAlignment="1">
      <alignment horizontal="right" vertical="top" wrapText="1"/>
    </xf>
    <xf numFmtId="3" fontId="2" fillId="0" borderId="53" xfId="0" applyNumberFormat="1" applyFont="1" applyBorder="1" applyAlignment="1">
      <alignment horizontal="left" vertical="top" wrapText="1"/>
    </xf>
    <xf numFmtId="3" fontId="2" fillId="0" borderId="31" xfId="0" applyNumberFormat="1" applyFont="1" applyBorder="1" applyAlignment="1">
      <alignment horizontal="left" vertical="top" wrapText="1"/>
    </xf>
    <xf numFmtId="3" fontId="2" fillId="0" borderId="25" xfId="0" applyNumberFormat="1" applyFont="1" applyBorder="1" applyAlignment="1">
      <alignment horizontal="left" vertical="top" wrapText="1"/>
    </xf>
    <xf numFmtId="3" fontId="3" fillId="5" borderId="40" xfId="0" applyNumberFormat="1" applyFont="1" applyFill="1" applyBorder="1" applyAlignment="1">
      <alignment horizontal="right" vertical="top" wrapText="1"/>
    </xf>
    <xf numFmtId="3" fontId="3" fillId="5" borderId="38" xfId="0" applyNumberFormat="1" applyFont="1" applyFill="1" applyBorder="1" applyAlignment="1">
      <alignment horizontal="right" vertical="top" wrapText="1"/>
    </xf>
    <xf numFmtId="3" fontId="2" fillId="0" borderId="53" xfId="0" applyNumberFormat="1" applyFont="1" applyBorder="1" applyAlignment="1">
      <alignment vertical="top" wrapText="1"/>
    </xf>
    <xf numFmtId="3" fontId="2" fillId="0" borderId="31" xfId="0" applyNumberFormat="1" applyFont="1" applyBorder="1" applyAlignment="1">
      <alignment vertical="top" wrapText="1"/>
    </xf>
    <xf numFmtId="3" fontId="3" fillId="4" borderId="53" xfId="0" applyNumberFormat="1" applyFont="1" applyFill="1" applyBorder="1" applyAlignment="1">
      <alignment horizontal="left" vertical="top" wrapText="1"/>
    </xf>
    <xf numFmtId="3" fontId="3" fillId="4" borderId="31" xfId="0" applyNumberFormat="1" applyFont="1" applyFill="1" applyBorder="1" applyAlignment="1">
      <alignment horizontal="left" vertical="top" wrapText="1"/>
    </xf>
    <xf numFmtId="3" fontId="3" fillId="4" borderId="25" xfId="0" applyNumberFormat="1" applyFont="1" applyFill="1" applyBorder="1" applyAlignment="1">
      <alignment horizontal="left" vertical="top" wrapText="1"/>
    </xf>
    <xf numFmtId="3" fontId="3" fillId="5" borderId="53" xfId="0" applyNumberFormat="1" applyFont="1" applyFill="1" applyBorder="1" applyAlignment="1">
      <alignment horizontal="right" vertical="top" wrapText="1"/>
    </xf>
    <xf numFmtId="3" fontId="3" fillId="5" borderId="31" xfId="0" applyNumberFormat="1" applyFont="1" applyFill="1" applyBorder="1" applyAlignment="1">
      <alignment horizontal="right" vertical="top" wrapText="1"/>
    </xf>
    <xf numFmtId="3" fontId="3" fillId="2" borderId="14" xfId="0" applyNumberFormat="1" applyFont="1" applyFill="1" applyBorder="1" applyAlignment="1">
      <alignment horizontal="right" vertical="top" wrapText="1"/>
    </xf>
    <xf numFmtId="3" fontId="3" fillId="2" borderId="45" xfId="0" applyNumberFormat="1" applyFont="1" applyFill="1" applyBorder="1" applyAlignment="1">
      <alignment horizontal="right" vertical="top" wrapText="1"/>
    </xf>
    <xf numFmtId="3" fontId="3" fillId="8" borderId="14" xfId="0" applyNumberFormat="1" applyFont="1" applyFill="1" applyBorder="1" applyAlignment="1">
      <alignment horizontal="right" vertical="top" wrapText="1"/>
    </xf>
    <xf numFmtId="3" fontId="3" fillId="8" borderId="45" xfId="0" applyNumberFormat="1" applyFont="1" applyFill="1" applyBorder="1" applyAlignment="1">
      <alignment horizontal="right" vertical="top" wrapText="1"/>
    </xf>
    <xf numFmtId="3" fontId="3" fillId="7" borderId="14" xfId="0" applyNumberFormat="1" applyFont="1" applyFill="1" applyBorder="1" applyAlignment="1">
      <alignment horizontal="right" vertical="top" wrapText="1"/>
    </xf>
    <xf numFmtId="3" fontId="3" fillId="7" borderId="45" xfId="0" applyNumberFormat="1" applyFont="1" applyFill="1" applyBorder="1" applyAlignment="1">
      <alignment horizontal="right" vertical="top" wrapText="1"/>
    </xf>
    <xf numFmtId="49" fontId="2" fillId="4" borderId="3" xfId="0" applyNumberFormat="1" applyFont="1" applyFill="1" applyBorder="1" applyAlignment="1">
      <alignment horizontal="left" vertical="top" wrapText="1"/>
    </xf>
    <xf numFmtId="3" fontId="3" fillId="0" borderId="37" xfId="0" applyNumberFormat="1" applyFont="1" applyFill="1" applyBorder="1" applyAlignment="1">
      <alignment horizontal="center" wrapText="1"/>
    </xf>
    <xf numFmtId="3" fontId="3" fillId="5" borderId="39" xfId="0" applyNumberFormat="1" applyFont="1" applyFill="1" applyBorder="1" applyAlignment="1">
      <alignment horizontal="right" vertical="top" wrapText="1"/>
    </xf>
    <xf numFmtId="3" fontId="3" fillId="5" borderId="42" xfId="0" applyNumberFormat="1" applyFont="1" applyFill="1" applyBorder="1" applyAlignment="1">
      <alignment horizontal="right" vertical="top" wrapText="1"/>
    </xf>
    <xf numFmtId="3" fontId="3" fillId="2" borderId="58" xfId="0" applyNumberFormat="1" applyFont="1" applyFill="1" applyBorder="1" applyAlignment="1">
      <alignment horizontal="right" vertical="top" wrapText="1"/>
    </xf>
    <xf numFmtId="3" fontId="2" fillId="4" borderId="49" xfId="0" applyNumberFormat="1" applyFont="1" applyFill="1" applyBorder="1" applyAlignment="1">
      <alignment vertical="top" wrapText="1"/>
    </xf>
    <xf numFmtId="3" fontId="2" fillId="4" borderId="36" xfId="0" applyNumberFormat="1" applyFont="1" applyFill="1" applyBorder="1" applyAlignment="1">
      <alignment vertical="top" wrapText="1"/>
    </xf>
    <xf numFmtId="3" fontId="2" fillId="4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3" fillId="2" borderId="14" xfId="0" applyNumberFormat="1" applyFont="1" applyFill="1" applyBorder="1" applyAlignment="1">
      <alignment horizontal="left" vertical="top" wrapText="1"/>
    </xf>
    <xf numFmtId="3" fontId="3" fillId="2" borderId="45" xfId="0" applyNumberFormat="1" applyFont="1" applyFill="1" applyBorder="1" applyAlignment="1">
      <alignment horizontal="left" vertical="top" wrapText="1"/>
    </xf>
    <xf numFmtId="3" fontId="11" fillId="4" borderId="36" xfId="0" applyNumberFormat="1" applyFont="1" applyFill="1" applyBorder="1" applyAlignment="1">
      <alignment horizontal="left" vertical="top" wrapText="1"/>
    </xf>
    <xf numFmtId="167" fontId="2" fillId="9" borderId="8" xfId="2" applyNumberFormat="1" applyFont="1" applyFill="1" applyBorder="1" applyAlignment="1">
      <alignment horizontal="left" vertical="top" wrapText="1"/>
    </xf>
    <xf numFmtId="3" fontId="2" fillId="4" borderId="6" xfId="0" applyNumberFormat="1" applyFont="1" applyFill="1" applyBorder="1" applyAlignment="1">
      <alignment horizontal="left" vertical="top" wrapText="1"/>
    </xf>
    <xf numFmtId="3" fontId="2" fillId="4" borderId="41" xfId="0" applyNumberFormat="1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167" fontId="15" fillId="9" borderId="64" xfId="2" applyNumberFormat="1" applyFont="1" applyFill="1" applyBorder="1" applyAlignment="1">
      <alignment horizontal="center" vertical="top" wrapText="1"/>
    </xf>
    <xf numFmtId="167" fontId="15" fillId="9" borderId="69" xfId="2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3" fontId="15" fillId="0" borderId="0" xfId="0" applyNumberFormat="1" applyFont="1" applyBorder="1" applyAlignment="1">
      <alignment horizontal="left" vertical="top" wrapText="1"/>
    </xf>
    <xf numFmtId="3" fontId="13" fillId="5" borderId="39" xfId="0" applyNumberFormat="1" applyFont="1" applyFill="1" applyBorder="1" applyAlignment="1">
      <alignment horizontal="right" vertical="top" wrapText="1"/>
    </xf>
    <xf numFmtId="3" fontId="3" fillId="4" borderId="49" xfId="0" applyNumberFormat="1" applyFont="1" applyFill="1" applyBorder="1" applyAlignment="1">
      <alignment horizontal="left" vertical="top" wrapText="1"/>
    </xf>
    <xf numFmtId="3" fontId="3" fillId="4" borderId="18" xfId="0" applyNumberFormat="1" applyFont="1" applyFill="1" applyBorder="1" applyAlignment="1">
      <alignment horizontal="left" vertical="top" wrapText="1"/>
    </xf>
    <xf numFmtId="3" fontId="3" fillId="4" borderId="36" xfId="0" applyNumberFormat="1" applyFont="1" applyFill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center" textRotation="90" wrapText="1"/>
    </xf>
    <xf numFmtId="165" fontId="2" fillId="0" borderId="28" xfId="0" applyNumberFormat="1" applyFont="1" applyBorder="1" applyAlignment="1">
      <alignment horizontal="center" vertical="center" textRotation="90" wrapText="1"/>
    </xf>
    <xf numFmtId="165" fontId="2" fillId="0" borderId="21" xfId="0" applyNumberFormat="1" applyFont="1" applyBorder="1" applyAlignment="1">
      <alignment horizontal="center" vertical="center" textRotation="90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textRotation="90" wrapText="1"/>
    </xf>
    <xf numFmtId="3" fontId="3" fillId="8" borderId="43" xfId="0" applyNumberFormat="1" applyFont="1" applyFill="1" applyBorder="1" applyAlignment="1">
      <alignment horizontal="left" vertical="top" wrapText="1"/>
    </xf>
    <xf numFmtId="3" fontId="3" fillId="8" borderId="31" xfId="0" applyNumberFormat="1" applyFont="1" applyFill="1" applyBorder="1" applyAlignment="1">
      <alignment horizontal="left" vertical="top" wrapText="1"/>
    </xf>
    <xf numFmtId="3" fontId="3" fillId="2" borderId="39" xfId="0" applyNumberFormat="1" applyFont="1" applyFill="1" applyBorder="1" applyAlignment="1">
      <alignment horizontal="left" vertical="top" wrapText="1"/>
    </xf>
    <xf numFmtId="3" fontId="3" fillId="2" borderId="38" xfId="0" applyNumberFormat="1" applyFont="1" applyFill="1" applyBorder="1" applyAlignment="1">
      <alignment horizontal="left" vertical="top" wrapText="1"/>
    </xf>
    <xf numFmtId="3" fontId="3" fillId="8" borderId="14" xfId="0" applyNumberFormat="1" applyFont="1" applyFill="1" applyBorder="1" applyAlignment="1">
      <alignment horizontal="left" vertical="top" wrapText="1"/>
    </xf>
    <xf numFmtId="3" fontId="3" fillId="8" borderId="45" xfId="0" applyNumberFormat="1" applyFont="1" applyFill="1" applyBorder="1" applyAlignment="1">
      <alignment horizontal="left" vertical="top" wrapText="1"/>
    </xf>
    <xf numFmtId="3" fontId="2" fillId="4" borderId="10" xfId="0" applyNumberFormat="1" applyFont="1" applyFill="1" applyBorder="1" applyAlignment="1">
      <alignment horizontal="left" vertical="top" wrapText="1"/>
    </xf>
    <xf numFmtId="3" fontId="2" fillId="5" borderId="31" xfId="0" applyNumberFormat="1" applyFont="1" applyFill="1" applyBorder="1" applyAlignment="1">
      <alignment horizontal="left" vertical="top" wrapText="1"/>
    </xf>
    <xf numFmtId="3" fontId="2" fillId="5" borderId="25" xfId="0" applyNumberFormat="1" applyFont="1" applyFill="1" applyBorder="1" applyAlignment="1">
      <alignment horizontal="left" vertical="top" wrapText="1"/>
    </xf>
    <xf numFmtId="3" fontId="3" fillId="10" borderId="13" xfId="0" quotePrefix="1" applyNumberFormat="1" applyFont="1" applyFill="1" applyBorder="1" applyAlignment="1">
      <alignment horizontal="center" vertical="top" wrapText="1"/>
    </xf>
    <xf numFmtId="3" fontId="3" fillId="10" borderId="18" xfId="0" quotePrefix="1" applyNumberFormat="1" applyFont="1" applyFill="1" applyBorder="1" applyAlignment="1">
      <alignment horizontal="center" vertical="top" wrapText="1"/>
    </xf>
    <xf numFmtId="3" fontId="3" fillId="10" borderId="19" xfId="0" quotePrefix="1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41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3" fontId="13" fillId="4" borderId="34" xfId="0" applyNumberFormat="1" applyFont="1" applyFill="1" applyBorder="1" applyAlignment="1">
      <alignment horizontal="center" vertical="top" wrapText="1"/>
    </xf>
    <xf numFmtId="3" fontId="13" fillId="4" borderId="62" xfId="0" applyNumberFormat="1" applyFont="1" applyFill="1" applyBorder="1" applyAlignment="1">
      <alignment horizontal="center" vertical="top" wrapText="1"/>
    </xf>
    <xf numFmtId="3" fontId="3" fillId="8" borderId="58" xfId="0" applyNumberFormat="1" applyFont="1" applyFill="1" applyBorder="1" applyAlignment="1">
      <alignment horizontal="right" vertical="top" wrapText="1"/>
    </xf>
    <xf numFmtId="3" fontId="2" fillId="4" borderId="8" xfId="0" applyNumberFormat="1" applyFont="1" applyFill="1" applyBorder="1" applyAlignment="1">
      <alignment horizontal="left" vertical="top" wrapText="1"/>
    </xf>
    <xf numFmtId="49" fontId="20" fillId="4" borderId="8" xfId="2" applyNumberFormat="1" applyFont="1" applyFill="1" applyBorder="1" applyAlignment="1">
      <alignment horizontal="center" vertical="top"/>
    </xf>
    <xf numFmtId="3" fontId="3" fillId="5" borderId="57" xfId="0" applyNumberFormat="1" applyFont="1" applyFill="1" applyBorder="1" applyAlignment="1">
      <alignment horizontal="right" vertical="top" wrapText="1"/>
    </xf>
    <xf numFmtId="3" fontId="6" fillId="0" borderId="0" xfId="0" applyNumberFormat="1" applyFont="1" applyAlignment="1">
      <alignment horizontal="left" vertical="top" wrapText="1"/>
    </xf>
    <xf numFmtId="168" fontId="2" fillId="9" borderId="6" xfId="2" applyNumberFormat="1" applyFont="1" applyFill="1" applyBorder="1" applyAlignment="1">
      <alignment horizontal="left" vertical="top" wrapText="1"/>
    </xf>
    <xf numFmtId="168" fontId="2" fillId="9" borderId="8" xfId="2" applyNumberFormat="1" applyFont="1" applyFill="1" applyBorder="1" applyAlignment="1">
      <alignment horizontal="left" vertical="top" wrapText="1"/>
    </xf>
    <xf numFmtId="49" fontId="3" fillId="8" borderId="22" xfId="0" applyNumberFormat="1" applyFont="1" applyFill="1" applyBorder="1" applyAlignment="1">
      <alignment horizontal="center" vertical="top"/>
    </xf>
    <xf numFmtId="49" fontId="3" fillId="8" borderId="35" xfId="0" applyNumberFormat="1" applyFont="1" applyFill="1" applyBorder="1" applyAlignment="1">
      <alignment horizontal="center" vertical="top"/>
    </xf>
    <xf numFmtId="49" fontId="3" fillId="8" borderId="20" xfId="0" applyNumberFormat="1" applyFont="1" applyFill="1" applyBorder="1" applyAlignment="1">
      <alignment horizontal="center" vertical="top"/>
    </xf>
    <xf numFmtId="3" fontId="3" fillId="4" borderId="13" xfId="0" quotePrefix="1" applyNumberFormat="1" applyFont="1" applyFill="1" applyBorder="1" applyAlignment="1">
      <alignment horizontal="center" vertical="top" wrapText="1"/>
    </xf>
    <xf numFmtId="3" fontId="3" fillId="4" borderId="18" xfId="0" quotePrefix="1" applyNumberFormat="1" applyFont="1" applyFill="1" applyBorder="1" applyAlignment="1">
      <alignment horizontal="center" vertical="top" wrapText="1"/>
    </xf>
    <xf numFmtId="3" fontId="3" fillId="4" borderId="19" xfId="0" quotePrefix="1" applyNumberFormat="1" applyFont="1" applyFill="1" applyBorder="1" applyAlignment="1">
      <alignment horizontal="center" vertical="top" wrapText="1"/>
    </xf>
    <xf numFmtId="3" fontId="13" fillId="4" borderId="33" xfId="0" applyNumberFormat="1" applyFont="1" applyFill="1" applyBorder="1" applyAlignment="1">
      <alignment horizontal="center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3" fontId="13" fillId="4" borderId="21" xfId="0" applyNumberFormat="1" applyFont="1" applyFill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60" xfId="0" applyNumberFormat="1" applyFont="1" applyBorder="1" applyAlignment="1">
      <alignment horizontal="center" vertical="top" wrapText="1"/>
    </xf>
    <xf numFmtId="3" fontId="2" fillId="0" borderId="48" xfId="0" applyNumberFormat="1" applyFont="1" applyBorder="1" applyAlignment="1">
      <alignment horizontal="center" vertical="top" wrapText="1"/>
    </xf>
    <xf numFmtId="3" fontId="2" fillId="0" borderId="59" xfId="0" applyNumberFormat="1" applyFont="1" applyBorder="1" applyAlignment="1">
      <alignment horizontal="center" vertical="top" wrapText="1"/>
    </xf>
    <xf numFmtId="3" fontId="3" fillId="4" borderId="13" xfId="0" applyNumberFormat="1" applyFont="1" applyFill="1" applyBorder="1" applyAlignment="1">
      <alignment horizontal="left" vertical="top" wrapText="1"/>
    </xf>
    <xf numFmtId="3" fontId="12" fillId="0" borderId="33" xfId="0" applyNumberFormat="1" applyFont="1" applyBorder="1" applyAlignment="1">
      <alignment horizontal="center" vertical="center" textRotation="90" wrapText="1"/>
    </xf>
    <xf numFmtId="3" fontId="12" fillId="0" borderId="28" xfId="0" applyNumberFormat="1" applyFont="1" applyBorder="1" applyAlignment="1">
      <alignment horizontal="center" vertical="center" textRotation="90" wrapText="1"/>
    </xf>
    <xf numFmtId="3" fontId="12" fillId="0" borderId="21" xfId="0" applyNumberFormat="1" applyFont="1" applyBorder="1" applyAlignment="1">
      <alignment horizontal="center" vertical="center" textRotation="90" wrapText="1"/>
    </xf>
    <xf numFmtId="3" fontId="3" fillId="6" borderId="59" xfId="0" applyNumberFormat="1" applyFont="1" applyFill="1" applyBorder="1" applyAlignment="1">
      <alignment horizontal="left" vertical="top" wrapText="1"/>
    </xf>
    <xf numFmtId="3" fontId="2" fillId="0" borderId="22" xfId="0" applyNumberFormat="1" applyFont="1" applyBorder="1" applyAlignment="1">
      <alignment horizontal="center" vertical="center" textRotation="90" wrapText="1"/>
    </xf>
    <xf numFmtId="3" fontId="2" fillId="0" borderId="35" xfId="0" applyNumberFormat="1" applyFont="1" applyBorder="1" applyAlignment="1">
      <alignment horizontal="center" vertical="center" textRotation="90" wrapText="1"/>
    </xf>
    <xf numFmtId="3" fontId="2" fillId="0" borderId="20" xfId="0" applyNumberFormat="1" applyFont="1" applyBorder="1" applyAlignment="1">
      <alignment horizontal="center" vertical="center" textRotation="90" wrapText="1"/>
    </xf>
    <xf numFmtId="3" fontId="13" fillId="5" borderId="42" xfId="0" applyNumberFormat="1" applyFont="1" applyFill="1" applyBorder="1" applyAlignment="1">
      <alignment horizontal="right" vertical="top" wrapText="1"/>
    </xf>
    <xf numFmtId="3" fontId="16" fillId="4" borderId="8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left" vertical="top" wrapText="1"/>
    </xf>
    <xf numFmtId="164" fontId="16" fillId="12" borderId="8" xfId="2" applyNumberFormat="1" applyFont="1" applyFill="1" applyBorder="1" applyAlignment="1">
      <alignment horizontal="center" vertical="top"/>
    </xf>
    <xf numFmtId="3" fontId="11" fillId="4" borderId="49" xfId="0" applyNumberFormat="1" applyFont="1" applyFill="1" applyBorder="1" applyAlignment="1">
      <alignment horizontal="left" vertical="top" wrapText="1"/>
    </xf>
    <xf numFmtId="49" fontId="16" fillId="4" borderId="8" xfId="2" applyNumberFormat="1" applyFont="1" applyFill="1" applyBorder="1" applyAlignment="1">
      <alignment horizontal="center" vertical="top"/>
    </xf>
    <xf numFmtId="164" fontId="16" fillId="4" borderId="35" xfId="0" applyNumberFormat="1" applyFont="1" applyFill="1" applyBorder="1" applyAlignment="1">
      <alignment horizontal="center" vertical="top" wrapText="1"/>
    </xf>
    <xf numFmtId="164" fontId="16" fillId="4" borderId="18" xfId="0" applyNumberFormat="1" applyFont="1" applyFill="1" applyBorder="1" applyAlignment="1">
      <alignment horizontal="center" vertical="top" wrapText="1"/>
    </xf>
    <xf numFmtId="164" fontId="16" fillId="4" borderId="28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left" vertical="top" wrapText="1"/>
    </xf>
    <xf numFmtId="3" fontId="3" fillId="7" borderId="59" xfId="0" applyNumberFormat="1" applyFont="1" applyFill="1" applyBorder="1" applyAlignment="1">
      <alignment horizontal="right" vertical="top" wrapText="1"/>
    </xf>
    <xf numFmtId="3" fontId="3" fillId="5" borderId="25" xfId="0" applyNumberFormat="1" applyFont="1" applyFill="1" applyBorder="1" applyAlignment="1">
      <alignment horizontal="right" vertical="top" wrapText="1"/>
    </xf>
    <xf numFmtId="3" fontId="3" fillId="7" borderId="58" xfId="0" applyNumberFormat="1" applyFont="1" applyFill="1" applyBorder="1" applyAlignment="1">
      <alignment horizontal="right" vertical="top" wrapText="1"/>
    </xf>
    <xf numFmtId="164" fontId="16" fillId="0" borderId="8" xfId="0" applyNumberFormat="1" applyFont="1" applyBorder="1" applyAlignment="1">
      <alignment horizontal="center" vertical="top"/>
    </xf>
    <xf numFmtId="164" fontId="16" fillId="0" borderId="18" xfId="0" applyNumberFormat="1" applyFont="1" applyBorder="1" applyAlignment="1">
      <alignment horizontal="center" vertical="top"/>
    </xf>
    <xf numFmtId="3" fontId="13" fillId="0" borderId="33" xfId="0" applyNumberFormat="1" applyFont="1" applyFill="1" applyBorder="1" applyAlignment="1">
      <alignment horizontal="center" vertical="top" wrapText="1"/>
    </xf>
    <xf numFmtId="3" fontId="13" fillId="0" borderId="21" xfId="0" applyNumberFormat="1" applyFont="1" applyFill="1" applyBorder="1" applyAlignment="1">
      <alignment horizontal="center" vertical="top" wrapText="1"/>
    </xf>
    <xf numFmtId="3" fontId="3" fillId="7" borderId="25" xfId="0" applyNumberFormat="1" applyFont="1" applyFill="1" applyBorder="1" applyAlignment="1">
      <alignment horizontal="right" vertical="top" wrapText="1"/>
    </xf>
    <xf numFmtId="3" fontId="2" fillId="0" borderId="25" xfId="0" applyNumberFormat="1" applyFont="1" applyBorder="1" applyAlignment="1">
      <alignment vertical="top" wrapText="1"/>
    </xf>
    <xf numFmtId="49" fontId="3" fillId="2" borderId="13" xfId="0" applyNumberFormat="1" applyFont="1" applyFill="1" applyBorder="1" applyAlignment="1">
      <alignment horizontal="center" vertical="top"/>
    </xf>
    <xf numFmtId="49" fontId="3" fillId="2" borderId="19" xfId="0" applyNumberFormat="1" applyFont="1" applyFill="1" applyBorder="1" applyAlignment="1">
      <alignment horizontal="center" vertical="top"/>
    </xf>
  </cellXfs>
  <cellStyles count="4">
    <cellStyle name="Excel Built-in Normal" xfId="2" xr:uid="{00000000-0005-0000-0000-000000000000}"/>
    <cellStyle name="Įprastas" xfId="0" builtinId="0"/>
    <cellStyle name="Įprastas 2" xfId="1" xr:uid="{00000000-0005-0000-0000-000002000000}"/>
    <cellStyle name="Įprastas 3" xfId="3" xr:uid="{C9C6EAAE-DB80-4169-88DE-ABD88F8BB6CA}"/>
  </cellStyles>
  <dxfs count="0"/>
  <tableStyles count="0" defaultTableStyle="TableStyleMedium2" defaultPivotStyle="PivotStyleLight16"/>
  <colors>
    <mruColors>
      <color rgb="FFFFFF99"/>
      <color rgb="FF00FFFF"/>
      <color rgb="FFCCFFCC"/>
      <color rgb="FFFFFFCC"/>
      <color rgb="FFFFCCFF"/>
      <color rgb="FFCCFFFF"/>
      <color rgb="FF66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2"/>
  <sheetViews>
    <sheetView tabSelected="1" zoomScaleNormal="100" zoomScaleSheetLayoutView="100" workbookViewId="0">
      <selection activeCell="A5" sqref="A5:M5"/>
    </sheetView>
  </sheetViews>
  <sheetFormatPr defaultColWidth="9.33203125" defaultRowHeight="13.2" x14ac:dyDescent="0.25"/>
  <cols>
    <col min="1" max="3" width="3.33203125" style="59" customWidth="1"/>
    <col min="4" max="4" width="30.88671875" style="25" customWidth="1"/>
    <col min="5" max="5" width="3.44140625" style="60" customWidth="1"/>
    <col min="6" max="6" width="8.109375" style="10" customWidth="1"/>
    <col min="7" max="7" width="8.88671875" style="225" customWidth="1"/>
    <col min="8" max="8" width="8.6640625" style="222" customWidth="1"/>
    <col min="9" max="9" width="9" style="476" customWidth="1"/>
    <col min="10" max="10" width="26" style="25" customWidth="1"/>
    <col min="11" max="11" width="6.44140625" style="25" customWidth="1"/>
    <col min="12" max="12" width="6.33203125" style="25" customWidth="1"/>
    <col min="13" max="13" width="6.44140625" style="10" customWidth="1"/>
    <col min="14" max="14" width="6.44140625" style="420" customWidth="1"/>
    <col min="15" max="15" width="9.33203125" style="12"/>
    <col min="16" max="16" width="10.109375" style="12" bestFit="1" customWidth="1"/>
    <col min="17" max="16384" width="9.33203125" style="12"/>
  </cols>
  <sheetData>
    <row r="1" spans="1:20" ht="34.5" customHeight="1" x14ac:dyDescent="0.25">
      <c r="G1" s="545"/>
      <c r="H1" s="545"/>
      <c r="I1" s="975" t="s">
        <v>260</v>
      </c>
      <c r="J1" s="975"/>
      <c r="K1" s="975"/>
      <c r="L1" s="975"/>
      <c r="M1" s="975"/>
    </row>
    <row r="2" spans="1:20" ht="17.25" customHeight="1" x14ac:dyDescent="0.25">
      <c r="F2" s="515"/>
      <c r="G2" s="515"/>
      <c r="H2" s="515"/>
      <c r="I2" s="941" t="s">
        <v>261</v>
      </c>
      <c r="J2" s="941"/>
      <c r="K2" s="515"/>
      <c r="L2" s="515"/>
      <c r="M2" s="515"/>
      <c r="N2" s="401"/>
      <c r="O2" s="515"/>
      <c r="P2" s="515"/>
      <c r="Q2" s="515"/>
      <c r="R2" s="515"/>
      <c r="S2" s="515"/>
      <c r="T2" s="515"/>
    </row>
    <row r="3" spans="1:20" ht="17.25" customHeight="1" x14ac:dyDescent="0.25">
      <c r="F3" s="712"/>
      <c r="G3" s="712"/>
      <c r="H3" s="712"/>
      <c r="I3" s="713"/>
      <c r="J3" s="713"/>
      <c r="K3" s="712"/>
      <c r="L3" s="712"/>
      <c r="M3" s="712"/>
      <c r="N3" s="401"/>
      <c r="O3" s="712"/>
      <c r="P3" s="712"/>
      <c r="Q3" s="712"/>
      <c r="R3" s="712"/>
      <c r="S3" s="712"/>
      <c r="T3" s="712"/>
    </row>
    <row r="4" spans="1:20" ht="19.5" customHeight="1" x14ac:dyDescent="0.3">
      <c r="A4" s="816" t="s">
        <v>257</v>
      </c>
      <c r="B4" s="816"/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6"/>
      <c r="N4" s="402"/>
      <c r="O4" s="324"/>
      <c r="P4" s="324"/>
      <c r="Q4" s="324"/>
      <c r="R4" s="324"/>
      <c r="S4" s="324"/>
      <c r="T4" s="324"/>
    </row>
    <row r="5" spans="1:20" ht="16.5" customHeight="1" x14ac:dyDescent="0.3">
      <c r="A5" s="817" t="s">
        <v>22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403"/>
      <c r="O5" s="325"/>
      <c r="P5" s="325"/>
      <c r="Q5" s="325"/>
      <c r="R5" s="325"/>
      <c r="S5" s="325"/>
      <c r="T5" s="325"/>
    </row>
    <row r="6" spans="1:20" s="11" customFormat="1" ht="15.75" customHeight="1" x14ac:dyDescent="0.3">
      <c r="A6" s="818" t="s">
        <v>38</v>
      </c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404"/>
      <c r="O6" s="326"/>
      <c r="P6" s="326"/>
      <c r="Q6" s="326"/>
      <c r="R6" s="326"/>
      <c r="S6" s="326"/>
      <c r="T6" s="326"/>
    </row>
    <row r="7" spans="1:20" s="11" customFormat="1" ht="13.5" customHeight="1" x14ac:dyDescent="0.25">
      <c r="A7" s="849"/>
      <c r="B7" s="849"/>
      <c r="C7" s="849"/>
      <c r="D7" s="849"/>
      <c r="E7" s="849"/>
      <c r="F7" s="849"/>
      <c r="G7" s="849"/>
      <c r="H7" s="849"/>
      <c r="I7" s="849"/>
      <c r="J7" s="849"/>
      <c r="K7" s="464"/>
      <c r="L7" s="464"/>
      <c r="M7" s="464"/>
      <c r="N7" s="405"/>
    </row>
    <row r="8" spans="1:20" ht="18.75" customHeight="1" thickBot="1" x14ac:dyDescent="0.3">
      <c r="A8" s="16"/>
      <c r="B8" s="16"/>
      <c r="D8" s="473"/>
      <c r="E8" s="61"/>
      <c r="F8" s="15"/>
      <c r="G8" s="247"/>
      <c r="H8" s="247"/>
      <c r="I8" s="247"/>
      <c r="J8" s="830" t="s">
        <v>49</v>
      </c>
      <c r="K8" s="830"/>
      <c r="L8" s="830"/>
      <c r="M8" s="830"/>
      <c r="N8" s="406"/>
      <c r="O8" s="135"/>
    </row>
    <row r="9" spans="1:20" ht="21" customHeight="1" thickBot="1" x14ac:dyDescent="0.3">
      <c r="A9" s="850" t="s">
        <v>161</v>
      </c>
      <c r="B9" s="853" t="s">
        <v>7</v>
      </c>
      <c r="C9" s="856" t="s">
        <v>8</v>
      </c>
      <c r="D9" s="915" t="s">
        <v>19</v>
      </c>
      <c r="E9" s="959" t="s">
        <v>162</v>
      </c>
      <c r="F9" s="828" t="s">
        <v>9</v>
      </c>
      <c r="G9" s="963" t="s">
        <v>262</v>
      </c>
      <c r="H9" s="840" t="s">
        <v>165</v>
      </c>
      <c r="I9" s="912" t="s">
        <v>225</v>
      </c>
      <c r="J9" s="825" t="s">
        <v>160</v>
      </c>
      <c r="K9" s="826"/>
      <c r="L9" s="826"/>
      <c r="M9" s="827"/>
      <c r="N9" s="407"/>
      <c r="O9" s="135"/>
    </row>
    <row r="10" spans="1:20" ht="15.75" customHeight="1" x14ac:dyDescent="0.25">
      <c r="A10" s="851"/>
      <c r="B10" s="854"/>
      <c r="C10" s="857"/>
      <c r="D10" s="916"/>
      <c r="E10" s="960"/>
      <c r="F10" s="918"/>
      <c r="G10" s="964"/>
      <c r="H10" s="841"/>
      <c r="I10" s="913"/>
      <c r="J10" s="953" t="s">
        <v>19</v>
      </c>
      <c r="K10" s="955" t="s">
        <v>156</v>
      </c>
      <c r="L10" s="956"/>
      <c r="M10" s="957"/>
      <c r="N10" s="24"/>
      <c r="O10" s="135"/>
    </row>
    <row r="11" spans="1:20" ht="117" customHeight="1" thickBot="1" x14ac:dyDescent="0.3">
      <c r="A11" s="852"/>
      <c r="B11" s="855"/>
      <c r="C11" s="858"/>
      <c r="D11" s="917"/>
      <c r="E11" s="961"/>
      <c r="F11" s="829"/>
      <c r="G11" s="965"/>
      <c r="H11" s="842"/>
      <c r="I11" s="914"/>
      <c r="J11" s="954"/>
      <c r="K11" s="557" t="s">
        <v>163</v>
      </c>
      <c r="L11" s="255" t="s">
        <v>164</v>
      </c>
      <c r="M11" s="256" t="s">
        <v>226</v>
      </c>
      <c r="N11" s="408"/>
      <c r="O11" s="135"/>
    </row>
    <row r="12" spans="1:20" ht="12.75" customHeight="1" x14ac:dyDescent="0.25">
      <c r="A12" s="845" t="s">
        <v>43</v>
      </c>
      <c r="B12" s="846"/>
      <c r="C12" s="846"/>
      <c r="D12" s="846"/>
      <c r="E12" s="846"/>
      <c r="F12" s="846"/>
      <c r="G12" s="846"/>
      <c r="H12" s="846"/>
      <c r="I12" s="846"/>
      <c r="J12" s="846"/>
      <c r="K12" s="846"/>
      <c r="L12" s="846"/>
      <c r="M12" s="962"/>
      <c r="N12" s="409"/>
      <c r="O12" s="246"/>
    </row>
    <row r="13" spans="1:20" ht="15.75" customHeight="1" x14ac:dyDescent="0.25">
      <c r="A13" s="847" t="s">
        <v>23</v>
      </c>
      <c r="B13" s="848"/>
      <c r="C13" s="848"/>
      <c r="D13" s="848"/>
      <c r="E13" s="848"/>
      <c r="F13" s="848"/>
      <c r="G13" s="848"/>
      <c r="H13" s="848"/>
      <c r="I13" s="848"/>
      <c r="J13" s="848"/>
      <c r="K13" s="248"/>
      <c r="L13" s="491"/>
      <c r="M13" s="249"/>
      <c r="N13" s="410"/>
      <c r="O13" s="246"/>
    </row>
    <row r="14" spans="1:20" ht="15.75" customHeight="1" x14ac:dyDescent="0.25">
      <c r="A14" s="62" t="s">
        <v>10</v>
      </c>
      <c r="B14" s="919" t="s">
        <v>27</v>
      </c>
      <c r="C14" s="920"/>
      <c r="D14" s="920"/>
      <c r="E14" s="920"/>
      <c r="F14" s="920"/>
      <c r="G14" s="920"/>
      <c r="H14" s="920"/>
      <c r="I14" s="920"/>
      <c r="J14" s="920"/>
      <c r="K14" s="250"/>
      <c r="L14" s="251"/>
      <c r="M14" s="252"/>
      <c r="N14" s="409"/>
      <c r="O14" s="9"/>
    </row>
    <row r="15" spans="1:20" ht="15.75" customHeight="1" thickBot="1" x14ac:dyDescent="0.3">
      <c r="A15" s="63" t="s">
        <v>10</v>
      </c>
      <c r="B15" s="64" t="s">
        <v>10</v>
      </c>
      <c r="C15" s="921" t="s">
        <v>46</v>
      </c>
      <c r="D15" s="922"/>
      <c r="E15" s="922"/>
      <c r="F15" s="922"/>
      <c r="G15" s="922"/>
      <c r="H15" s="922"/>
      <c r="I15" s="922"/>
      <c r="J15" s="922"/>
      <c r="K15" s="253"/>
      <c r="L15" s="253"/>
      <c r="M15" s="254"/>
      <c r="N15" s="411"/>
      <c r="O15" s="9"/>
    </row>
    <row r="16" spans="1:20" ht="15.75" customHeight="1" x14ac:dyDescent="0.25">
      <c r="A16" s="65" t="s">
        <v>10</v>
      </c>
      <c r="B16" s="66" t="s">
        <v>10</v>
      </c>
      <c r="C16" s="67" t="s">
        <v>10</v>
      </c>
      <c r="D16" s="958" t="s">
        <v>35</v>
      </c>
      <c r="E16" s="68"/>
      <c r="F16" s="144" t="s">
        <v>11</v>
      </c>
      <c r="G16" s="209">
        <f>55498+526.4+353.7</f>
        <v>56378.1</v>
      </c>
      <c r="H16" s="53">
        <f>55739.6+10.9</f>
        <v>55750.5</v>
      </c>
      <c r="I16" s="593">
        <f>55320.5+10.9</f>
        <v>55331.4</v>
      </c>
      <c r="J16" s="29"/>
      <c r="K16" s="3"/>
      <c r="L16" s="481"/>
      <c r="M16" s="483"/>
      <c r="N16" s="194"/>
      <c r="O16" s="9"/>
    </row>
    <row r="17" spans="1:16" ht="15" customHeight="1" x14ac:dyDescent="0.25">
      <c r="A17" s="62"/>
      <c r="B17" s="71"/>
      <c r="C17" s="75"/>
      <c r="D17" s="910"/>
      <c r="E17" s="592"/>
      <c r="F17" s="18" t="s">
        <v>14</v>
      </c>
      <c r="G17" s="6">
        <f>78666-1160.1+281.7</f>
        <v>77787.599999999991</v>
      </c>
      <c r="H17" s="38">
        <v>78661.899999999994</v>
      </c>
      <c r="I17" s="372">
        <v>78659.5</v>
      </c>
      <c r="J17" s="30"/>
      <c r="K17" s="432"/>
      <c r="L17" s="482"/>
      <c r="M17" s="520"/>
      <c r="N17" s="194"/>
      <c r="O17" s="9"/>
    </row>
    <row r="18" spans="1:16" ht="15" customHeight="1" x14ac:dyDescent="0.25">
      <c r="A18" s="62"/>
      <c r="B18" s="71"/>
      <c r="C18" s="75"/>
      <c r="D18" s="591"/>
      <c r="E18" s="592"/>
      <c r="F18" s="18" t="s">
        <v>34</v>
      </c>
      <c r="G18" s="177">
        <f>7111.5+139.2</f>
        <v>7250.7</v>
      </c>
      <c r="H18" s="38">
        <v>7179.5</v>
      </c>
      <c r="I18" s="372">
        <v>7179.5</v>
      </c>
      <c r="J18" s="30"/>
      <c r="K18" s="432"/>
      <c r="L18" s="482"/>
      <c r="M18" s="520"/>
      <c r="N18" s="194"/>
      <c r="O18" s="9"/>
    </row>
    <row r="19" spans="1:16" ht="16.5" customHeight="1" x14ac:dyDescent="0.25">
      <c r="A19" s="62"/>
      <c r="B19" s="71"/>
      <c r="C19" s="75"/>
      <c r="D19" s="591"/>
      <c r="E19" s="592"/>
      <c r="F19" s="528" t="s">
        <v>42</v>
      </c>
      <c r="G19" s="704">
        <f>13.7+968.1</f>
        <v>981.80000000000007</v>
      </c>
      <c r="H19" s="38"/>
      <c r="I19" s="372"/>
      <c r="J19" s="30"/>
      <c r="K19" s="432"/>
      <c r="L19" s="482"/>
      <c r="M19" s="520"/>
      <c r="N19" s="194"/>
      <c r="O19" s="9"/>
    </row>
    <row r="20" spans="1:16" ht="16.5" customHeight="1" x14ac:dyDescent="0.25">
      <c r="A20" s="62"/>
      <c r="B20" s="71"/>
      <c r="C20" s="75"/>
      <c r="D20" s="591"/>
      <c r="E20" s="592"/>
      <c r="F20" s="528" t="s">
        <v>110</v>
      </c>
      <c r="G20" s="704">
        <v>91.9</v>
      </c>
      <c r="H20" s="38"/>
      <c r="I20" s="372"/>
      <c r="J20" s="30"/>
      <c r="K20" s="432"/>
      <c r="L20" s="482"/>
      <c r="M20" s="520"/>
      <c r="N20" s="194"/>
      <c r="O20" s="9"/>
    </row>
    <row r="21" spans="1:16" ht="14.25" customHeight="1" x14ac:dyDescent="0.25">
      <c r="A21" s="62"/>
      <c r="B21" s="71"/>
      <c r="C21" s="75"/>
      <c r="D21" s="591"/>
      <c r="E21" s="592"/>
      <c r="F21" s="18" t="s">
        <v>172</v>
      </c>
      <c r="G21" s="6">
        <v>3380</v>
      </c>
      <c r="H21" s="38">
        <v>5140</v>
      </c>
      <c r="I21" s="372">
        <v>1980</v>
      </c>
      <c r="J21" s="30"/>
      <c r="K21" s="432"/>
      <c r="L21" s="482"/>
      <c r="M21" s="520"/>
      <c r="N21" s="194"/>
      <c r="O21" s="9"/>
    </row>
    <row r="22" spans="1:16" ht="14.25" customHeight="1" x14ac:dyDescent="0.25">
      <c r="A22" s="62"/>
      <c r="B22" s="69"/>
      <c r="C22" s="70"/>
      <c r="D22" s="838" t="s">
        <v>73</v>
      </c>
      <c r="E22" s="211" t="s">
        <v>119</v>
      </c>
      <c r="F22" s="794" t="s">
        <v>246</v>
      </c>
      <c r="G22" s="795">
        <f>27580.8+150.6</f>
        <v>27731.399999999998</v>
      </c>
      <c r="H22" s="777">
        <v>27580.799999999999</v>
      </c>
      <c r="I22" s="778">
        <v>27580.799999999999</v>
      </c>
      <c r="J22" s="477" t="s">
        <v>64</v>
      </c>
      <c r="K22" s="4">
        <v>41</v>
      </c>
      <c r="L22" s="36">
        <v>42</v>
      </c>
      <c r="M22" s="49">
        <v>42</v>
      </c>
      <c r="N22" s="194"/>
      <c r="O22" s="9"/>
    </row>
    <row r="23" spans="1:16" ht="12" customHeight="1" x14ac:dyDescent="0.25">
      <c r="A23" s="62"/>
      <c r="B23" s="69"/>
      <c r="C23" s="70"/>
      <c r="D23" s="836"/>
      <c r="E23" s="172" t="s">
        <v>171</v>
      </c>
      <c r="F23" s="794" t="s">
        <v>247</v>
      </c>
      <c r="G23" s="595">
        <v>17147.8</v>
      </c>
      <c r="H23" s="777">
        <v>17147.8</v>
      </c>
      <c r="I23" s="778">
        <v>17147.8</v>
      </c>
      <c r="J23" s="7" t="s">
        <v>65</v>
      </c>
      <c r="K23" s="259">
        <v>7975</v>
      </c>
      <c r="L23" s="36">
        <v>8075</v>
      </c>
      <c r="M23" s="49">
        <v>8075</v>
      </c>
      <c r="N23" s="194"/>
      <c r="O23" s="9"/>
      <c r="P23" s="135"/>
    </row>
    <row r="24" spans="1:16" ht="26.25" customHeight="1" x14ac:dyDescent="0.25">
      <c r="A24" s="62"/>
      <c r="B24" s="69"/>
      <c r="C24" s="70"/>
      <c r="D24" s="836"/>
      <c r="E24" s="951" t="s">
        <v>170</v>
      </c>
      <c r="F24" s="794" t="s">
        <v>247</v>
      </c>
      <c r="G24" s="595">
        <v>38.9</v>
      </c>
      <c r="H24" s="777"/>
      <c r="I24" s="778"/>
      <c r="J24" s="33" t="s">
        <v>185</v>
      </c>
      <c r="K24" s="377">
        <v>55.12</v>
      </c>
      <c r="L24" s="36"/>
      <c r="M24" s="49"/>
      <c r="N24" s="194"/>
      <c r="O24" s="9"/>
      <c r="P24" s="135"/>
    </row>
    <row r="25" spans="1:16" ht="27" customHeight="1" x14ac:dyDescent="0.25">
      <c r="A25" s="62"/>
      <c r="B25" s="69"/>
      <c r="C25" s="70"/>
      <c r="D25" s="836"/>
      <c r="E25" s="951"/>
      <c r="F25" s="794" t="s">
        <v>247</v>
      </c>
      <c r="G25" s="595">
        <f>117.3+113</f>
        <v>230.3</v>
      </c>
      <c r="H25" s="777"/>
      <c r="I25" s="778"/>
      <c r="J25" s="30" t="s">
        <v>186</v>
      </c>
      <c r="K25" s="386">
        <v>20.41</v>
      </c>
      <c r="L25" s="733"/>
      <c r="M25" s="719"/>
      <c r="N25" s="194"/>
      <c r="O25" s="9"/>
      <c r="P25" s="135"/>
    </row>
    <row r="26" spans="1:16" ht="3" customHeight="1" x14ac:dyDescent="0.25">
      <c r="A26" s="62"/>
      <c r="B26" s="69"/>
      <c r="C26" s="70"/>
      <c r="D26" s="839"/>
      <c r="E26" s="936"/>
      <c r="F26" s="779" t="s">
        <v>248</v>
      </c>
      <c r="G26" s="776">
        <v>5179.5</v>
      </c>
      <c r="H26" s="777">
        <v>5247.5</v>
      </c>
      <c r="I26" s="778">
        <v>5247.5</v>
      </c>
      <c r="J26" s="503"/>
      <c r="K26" s="193"/>
      <c r="L26" s="332"/>
      <c r="M26" s="369"/>
      <c r="N26" s="194"/>
      <c r="O26" s="9"/>
      <c r="P26" s="135"/>
    </row>
    <row r="27" spans="1:16" ht="15.75" customHeight="1" x14ac:dyDescent="0.25">
      <c r="A27" s="62"/>
      <c r="B27" s="71"/>
      <c r="C27" s="70"/>
      <c r="D27" s="838" t="s">
        <v>114</v>
      </c>
      <c r="E27" s="496" t="s">
        <v>170</v>
      </c>
      <c r="F27" s="794" t="s">
        <v>247</v>
      </c>
      <c r="G27" s="795">
        <f>1248.4</f>
        <v>1248.4000000000001</v>
      </c>
      <c r="H27" s="777">
        <v>1248.4000000000001</v>
      </c>
      <c r="I27" s="778">
        <v>1248.4000000000001</v>
      </c>
      <c r="J27" s="503" t="s">
        <v>64</v>
      </c>
      <c r="K27" s="432">
        <v>9</v>
      </c>
      <c r="L27" s="482">
        <v>9</v>
      </c>
      <c r="M27" s="484">
        <v>9</v>
      </c>
      <c r="N27" s="194"/>
      <c r="O27" s="9"/>
    </row>
    <row r="28" spans="1:16" ht="24" customHeight="1" x14ac:dyDescent="0.25">
      <c r="A28" s="62"/>
      <c r="B28" s="69"/>
      <c r="C28" s="70"/>
      <c r="D28" s="839"/>
      <c r="E28" s="511"/>
      <c r="F28" s="794" t="s">
        <v>247</v>
      </c>
      <c r="G28" s="795">
        <f>1.7+2.2</f>
        <v>3.9000000000000004</v>
      </c>
      <c r="H28" s="777"/>
      <c r="I28" s="778"/>
      <c r="J28" s="33" t="s">
        <v>65</v>
      </c>
      <c r="K28" s="259">
        <v>351</v>
      </c>
      <c r="L28" s="478">
        <v>360</v>
      </c>
      <c r="M28" s="49">
        <v>360</v>
      </c>
      <c r="N28" s="194"/>
      <c r="O28" s="9"/>
    </row>
    <row r="29" spans="1:16" ht="15" customHeight="1" x14ac:dyDescent="0.25">
      <c r="A29" s="73"/>
      <c r="B29" s="71"/>
      <c r="C29" s="74"/>
      <c r="D29" s="838" t="s">
        <v>48</v>
      </c>
      <c r="E29" s="172" t="s">
        <v>170</v>
      </c>
      <c r="F29" s="794" t="s">
        <v>246</v>
      </c>
      <c r="G29" s="795">
        <f>1751.6+5</f>
        <v>1756.6</v>
      </c>
      <c r="H29" s="777">
        <v>1776.2</v>
      </c>
      <c r="I29" s="778">
        <v>1776.2</v>
      </c>
      <c r="J29" s="131" t="s">
        <v>64</v>
      </c>
      <c r="K29" s="259">
        <v>4</v>
      </c>
      <c r="L29" s="36">
        <v>4</v>
      </c>
      <c r="M29" s="468">
        <v>4</v>
      </c>
      <c r="N29" s="194"/>
      <c r="O29" s="9"/>
    </row>
    <row r="30" spans="1:16" ht="15.75" customHeight="1" x14ac:dyDescent="0.25">
      <c r="A30" s="73"/>
      <c r="B30" s="71"/>
      <c r="C30" s="75"/>
      <c r="D30" s="836"/>
      <c r="E30" s="172"/>
      <c r="F30" s="794" t="s">
        <v>247</v>
      </c>
      <c r="G30" s="795">
        <v>2497.8000000000002</v>
      </c>
      <c r="H30" s="777">
        <v>2497.8000000000002</v>
      </c>
      <c r="I30" s="601">
        <v>2497.8000000000002</v>
      </c>
      <c r="J30" s="500" t="s">
        <v>65</v>
      </c>
      <c r="K30" s="517">
        <v>1251</v>
      </c>
      <c r="L30" s="36">
        <v>1260</v>
      </c>
      <c r="M30" s="257">
        <v>1260</v>
      </c>
      <c r="N30" s="194"/>
      <c r="O30" s="9"/>
    </row>
    <row r="31" spans="1:16" ht="12" customHeight="1" x14ac:dyDescent="0.25">
      <c r="A31" s="73"/>
      <c r="B31" s="71"/>
      <c r="C31" s="75"/>
      <c r="D31" s="836"/>
      <c r="E31" s="51"/>
      <c r="F31" s="794" t="s">
        <v>247</v>
      </c>
      <c r="G31" s="795">
        <f>5+6.6</f>
        <v>11.6</v>
      </c>
      <c r="H31" s="777"/>
      <c r="I31" s="601"/>
      <c r="J31" s="7" t="s">
        <v>101</v>
      </c>
      <c r="K31" s="727">
        <v>914</v>
      </c>
      <c r="L31" s="729">
        <v>920</v>
      </c>
      <c r="M31" s="720">
        <v>920</v>
      </c>
      <c r="N31" s="194"/>
      <c r="O31" s="9"/>
    </row>
    <row r="32" spans="1:16" ht="5.25" customHeight="1" x14ac:dyDescent="0.25">
      <c r="A32" s="73"/>
      <c r="B32" s="71"/>
      <c r="C32" s="75"/>
      <c r="D32" s="839"/>
      <c r="E32" s="560"/>
      <c r="F32" s="794" t="s">
        <v>248</v>
      </c>
      <c r="G32" s="795">
        <v>397.9</v>
      </c>
      <c r="H32" s="777">
        <v>397.9</v>
      </c>
      <c r="I32" s="778">
        <v>397.9</v>
      </c>
      <c r="J32" s="558"/>
      <c r="K32" s="728"/>
      <c r="L32" s="730"/>
      <c r="M32" s="721"/>
      <c r="N32" s="194"/>
      <c r="O32" s="9"/>
    </row>
    <row r="33" spans="1:17" ht="16.95" customHeight="1" x14ac:dyDescent="0.25">
      <c r="A33" s="76"/>
      <c r="B33" s="71"/>
      <c r="C33" s="75"/>
      <c r="D33" s="838" t="s">
        <v>124</v>
      </c>
      <c r="E33" s="559" t="s">
        <v>170</v>
      </c>
      <c r="F33" s="794" t="s">
        <v>247</v>
      </c>
      <c r="G33" s="795">
        <v>362</v>
      </c>
      <c r="H33" s="777">
        <v>362</v>
      </c>
      <c r="I33" s="778">
        <v>362</v>
      </c>
      <c r="J33" s="500" t="s">
        <v>64</v>
      </c>
      <c r="K33" s="432">
        <v>2</v>
      </c>
      <c r="L33" s="482">
        <v>2</v>
      </c>
      <c r="M33" s="484">
        <v>2</v>
      </c>
      <c r="N33" s="194"/>
      <c r="O33" s="895"/>
    </row>
    <row r="34" spans="1:17" ht="16.95" customHeight="1" x14ac:dyDescent="0.25">
      <c r="A34" s="76"/>
      <c r="B34" s="71"/>
      <c r="C34" s="75"/>
      <c r="D34" s="839"/>
      <c r="E34" s="560"/>
      <c r="F34" s="794" t="s">
        <v>247</v>
      </c>
      <c r="G34" s="795">
        <f>1.1+1.1</f>
        <v>2.2000000000000002</v>
      </c>
      <c r="H34" s="777"/>
      <c r="I34" s="778"/>
      <c r="J34" s="37" t="s">
        <v>65</v>
      </c>
      <c r="K34" s="507">
        <v>147</v>
      </c>
      <c r="L34" s="478">
        <v>150</v>
      </c>
      <c r="M34" s="522">
        <v>150</v>
      </c>
      <c r="N34" s="194"/>
      <c r="O34" s="895"/>
    </row>
    <row r="35" spans="1:17" ht="15.75" customHeight="1" x14ac:dyDescent="0.25">
      <c r="A35" s="76"/>
      <c r="B35" s="69"/>
      <c r="C35" s="75"/>
      <c r="D35" s="838" t="s">
        <v>74</v>
      </c>
      <c r="E35" s="172" t="s">
        <v>170</v>
      </c>
      <c r="F35" s="794" t="s">
        <v>246</v>
      </c>
      <c r="G35" s="795">
        <f>12197.8+47.7</f>
        <v>12245.5</v>
      </c>
      <c r="H35" s="777">
        <v>12197.8</v>
      </c>
      <c r="I35" s="778">
        <v>12197.8</v>
      </c>
      <c r="J35" s="131" t="s">
        <v>64</v>
      </c>
      <c r="K35" s="507">
        <v>32</v>
      </c>
      <c r="L35" s="478">
        <v>32</v>
      </c>
      <c r="M35" s="468">
        <v>32</v>
      </c>
      <c r="N35" s="194"/>
      <c r="O35" s="9"/>
    </row>
    <row r="36" spans="1:17" ht="15.75" customHeight="1" x14ac:dyDescent="0.25">
      <c r="A36" s="76"/>
      <c r="B36" s="69"/>
      <c r="C36" s="75"/>
      <c r="D36" s="836"/>
      <c r="E36" s="172"/>
      <c r="F36" s="794" t="s">
        <v>247</v>
      </c>
      <c r="G36" s="795">
        <f>49746.2-1539.3</f>
        <v>48206.899999999994</v>
      </c>
      <c r="H36" s="777">
        <v>49746.2</v>
      </c>
      <c r="I36" s="778">
        <v>49746.2</v>
      </c>
      <c r="J36" s="37" t="s">
        <v>65</v>
      </c>
      <c r="K36" s="259">
        <v>20420</v>
      </c>
      <c r="L36" s="36">
        <v>20420</v>
      </c>
      <c r="M36" s="49">
        <v>20420</v>
      </c>
      <c r="N36" s="194"/>
      <c r="O36" s="9"/>
    </row>
    <row r="37" spans="1:17" ht="15" customHeight="1" x14ac:dyDescent="0.25">
      <c r="A37" s="76"/>
      <c r="B37" s="69"/>
      <c r="C37" s="75"/>
      <c r="D37" s="836"/>
      <c r="E37" s="172"/>
      <c r="F37" s="794" t="s">
        <v>247</v>
      </c>
      <c r="G37" s="795">
        <v>1830.6</v>
      </c>
      <c r="H37" s="777">
        <v>1830.6</v>
      </c>
      <c r="I37" s="778">
        <v>1830.6</v>
      </c>
      <c r="J37" s="30" t="s">
        <v>101</v>
      </c>
      <c r="K37" s="259">
        <v>20280</v>
      </c>
      <c r="L37" s="36">
        <v>20280</v>
      </c>
      <c r="M37" s="49">
        <v>20280</v>
      </c>
      <c r="N37" s="194"/>
      <c r="O37" s="9"/>
    </row>
    <row r="38" spans="1:17" ht="27" customHeight="1" x14ac:dyDescent="0.25">
      <c r="A38" s="76"/>
      <c r="B38" s="69"/>
      <c r="C38" s="75"/>
      <c r="D38" s="836"/>
      <c r="E38" s="172"/>
      <c r="F38" s="794" t="s">
        <v>247</v>
      </c>
      <c r="G38" s="795">
        <f>5.9+6.6</f>
        <v>12.5</v>
      </c>
      <c r="H38" s="777"/>
      <c r="I38" s="778"/>
      <c r="J38" s="809" t="s">
        <v>185</v>
      </c>
      <c r="K38" s="811">
        <v>2.16</v>
      </c>
      <c r="L38" s="36"/>
      <c r="M38" s="49"/>
      <c r="N38" s="194"/>
      <c r="O38" s="9"/>
    </row>
    <row r="39" spans="1:17" ht="27" customHeight="1" x14ac:dyDescent="0.25">
      <c r="A39" s="76"/>
      <c r="B39" s="69"/>
      <c r="C39" s="75"/>
      <c r="D39" s="839"/>
      <c r="E39" s="497"/>
      <c r="F39" s="808" t="s">
        <v>248</v>
      </c>
      <c r="G39" s="807">
        <v>996.7</v>
      </c>
      <c r="H39" s="777">
        <v>996.7</v>
      </c>
      <c r="I39" s="778">
        <v>996.7</v>
      </c>
      <c r="J39" s="810" t="s">
        <v>186</v>
      </c>
      <c r="K39" s="812">
        <v>0.78</v>
      </c>
      <c r="L39" s="332"/>
      <c r="M39" s="469"/>
      <c r="N39" s="194"/>
      <c r="O39" s="9"/>
    </row>
    <row r="40" spans="1:17" ht="15.6" customHeight="1" x14ac:dyDescent="0.25">
      <c r="A40" s="76"/>
      <c r="B40" s="69"/>
      <c r="C40" s="75"/>
      <c r="D40" s="838" t="s">
        <v>215</v>
      </c>
      <c r="E40" s="561" t="s">
        <v>170</v>
      </c>
      <c r="F40" s="779" t="s">
        <v>249</v>
      </c>
      <c r="G40" s="776">
        <v>91.9</v>
      </c>
      <c r="H40" s="461"/>
      <c r="I40" s="748"/>
      <c r="J40" s="30" t="s">
        <v>64</v>
      </c>
      <c r="K40" s="432">
        <v>5</v>
      </c>
      <c r="L40" s="170"/>
      <c r="M40" s="484"/>
      <c r="N40" s="194"/>
      <c r="O40" s="895"/>
      <c r="P40" s="895"/>
      <c r="Q40" s="895"/>
    </row>
    <row r="41" spans="1:17" ht="25.5" customHeight="1" x14ac:dyDescent="0.25">
      <c r="A41" s="76"/>
      <c r="B41" s="69"/>
      <c r="C41" s="75"/>
      <c r="D41" s="839"/>
      <c r="E41" s="562"/>
      <c r="F41" s="742"/>
      <c r="G41" s="761"/>
      <c r="H41" s="461"/>
      <c r="I41" s="748"/>
      <c r="J41" s="131"/>
      <c r="K41" s="431"/>
      <c r="L41" s="332"/>
      <c r="M41" s="523"/>
      <c r="N41" s="194"/>
      <c r="O41" s="895"/>
      <c r="P41" s="895"/>
      <c r="Q41" s="895"/>
    </row>
    <row r="42" spans="1:17" ht="28.5" customHeight="1" x14ac:dyDescent="0.25">
      <c r="A42" s="76"/>
      <c r="B42" s="69"/>
      <c r="C42" s="75"/>
      <c r="D42" s="457" t="s">
        <v>263</v>
      </c>
      <c r="E42" s="215" t="s">
        <v>170</v>
      </c>
      <c r="F42" s="742"/>
      <c r="G42" s="761"/>
      <c r="H42" s="461"/>
      <c r="I42" s="564"/>
      <c r="J42" s="131" t="s">
        <v>233</v>
      </c>
      <c r="K42" s="499">
        <v>26.5</v>
      </c>
      <c r="L42" s="519"/>
      <c r="M42" s="469"/>
      <c r="N42" s="194"/>
      <c r="O42" s="467"/>
      <c r="P42" s="467"/>
      <c r="Q42" s="467"/>
    </row>
    <row r="43" spans="1:17" ht="30.75" customHeight="1" x14ac:dyDescent="0.25">
      <c r="A43" s="76"/>
      <c r="B43" s="69"/>
      <c r="C43" s="75"/>
      <c r="D43" s="457" t="s">
        <v>259</v>
      </c>
      <c r="E43" s="215" t="s">
        <v>173</v>
      </c>
      <c r="F43" s="779" t="s">
        <v>251</v>
      </c>
      <c r="G43" s="776">
        <v>3380</v>
      </c>
      <c r="H43" s="777">
        <v>5140</v>
      </c>
      <c r="I43" s="778">
        <v>1980</v>
      </c>
      <c r="J43" s="131" t="s">
        <v>64</v>
      </c>
      <c r="K43" s="4">
        <v>6</v>
      </c>
      <c r="L43" s="36">
        <v>6</v>
      </c>
      <c r="M43" s="49">
        <v>6</v>
      </c>
      <c r="N43" s="194"/>
      <c r="O43" s="467"/>
      <c r="P43" s="467"/>
      <c r="Q43" s="467"/>
    </row>
    <row r="44" spans="1:17" ht="18.75" customHeight="1" x14ac:dyDescent="0.25">
      <c r="A44" s="76"/>
      <c r="B44" s="69"/>
      <c r="C44" s="75"/>
      <c r="D44" s="838" t="s">
        <v>241</v>
      </c>
      <c r="E44" s="496" t="s">
        <v>170</v>
      </c>
      <c r="F44" s="794" t="s">
        <v>247</v>
      </c>
      <c r="G44" s="795">
        <v>4022.3</v>
      </c>
      <c r="H44" s="777">
        <v>4022.3</v>
      </c>
      <c r="I44" s="778">
        <v>4022.3</v>
      </c>
      <c r="J44" s="466" t="s">
        <v>64</v>
      </c>
      <c r="K44" s="4">
        <v>6</v>
      </c>
      <c r="L44" s="36">
        <v>6</v>
      </c>
      <c r="M44" s="257">
        <v>6</v>
      </c>
      <c r="N44" s="194"/>
      <c r="O44" s="9"/>
    </row>
    <row r="45" spans="1:17" ht="21.75" customHeight="1" x14ac:dyDescent="0.25">
      <c r="A45" s="76"/>
      <c r="B45" s="69"/>
      <c r="C45" s="75"/>
      <c r="D45" s="839"/>
      <c r="E45" s="497" t="s">
        <v>171</v>
      </c>
      <c r="F45" s="794" t="s">
        <v>247</v>
      </c>
      <c r="G45" s="795">
        <f>2.6+3.4</f>
        <v>6</v>
      </c>
      <c r="H45" s="777"/>
      <c r="I45" s="778"/>
      <c r="J45" s="33" t="s">
        <v>65</v>
      </c>
      <c r="K45" s="4">
        <v>1442</v>
      </c>
      <c r="L45" s="36">
        <v>1450</v>
      </c>
      <c r="M45" s="257">
        <v>1450</v>
      </c>
      <c r="N45" s="194"/>
      <c r="O45" s="9"/>
    </row>
    <row r="46" spans="1:17" ht="21.75" customHeight="1" x14ac:dyDescent="0.25">
      <c r="A46" s="76"/>
      <c r="B46" s="69"/>
      <c r="C46" s="75"/>
      <c r="D46" s="838" t="s">
        <v>99</v>
      </c>
      <c r="E46" s="211" t="s">
        <v>170</v>
      </c>
      <c r="F46" s="779" t="s">
        <v>246</v>
      </c>
      <c r="G46" s="776">
        <f>41.3-5</f>
        <v>36.299999999999997</v>
      </c>
      <c r="H46" s="777">
        <v>41.3</v>
      </c>
      <c r="I46" s="778">
        <v>41.4</v>
      </c>
      <c r="J46" s="901" t="s">
        <v>93</v>
      </c>
      <c r="K46" s="480">
        <v>2050</v>
      </c>
      <c r="L46" s="831">
        <v>2050</v>
      </c>
      <c r="M46" s="468">
        <v>2050</v>
      </c>
      <c r="N46" s="194"/>
      <c r="O46" s="9"/>
    </row>
    <row r="47" spans="1:17" s="77" customFormat="1" ht="19.5" customHeight="1" x14ac:dyDescent="0.25">
      <c r="A47" s="62"/>
      <c r="B47" s="69"/>
      <c r="C47" s="74"/>
      <c r="D47" s="839"/>
      <c r="E47" s="216"/>
      <c r="F47" s="742"/>
      <c r="G47" s="747"/>
      <c r="H47" s="461"/>
      <c r="I47" s="748"/>
      <c r="J47" s="968"/>
      <c r="K47" s="480"/>
      <c r="L47" s="832"/>
      <c r="M47" s="469"/>
      <c r="N47" s="194"/>
      <c r="O47" s="132"/>
    </row>
    <row r="48" spans="1:17" ht="15.6" customHeight="1" x14ac:dyDescent="0.25">
      <c r="A48" s="73"/>
      <c r="B48" s="69"/>
      <c r="C48" s="75"/>
      <c r="D48" s="838" t="s">
        <v>147</v>
      </c>
      <c r="E48" s="51" t="s">
        <v>170</v>
      </c>
      <c r="F48" s="779" t="s">
        <v>246</v>
      </c>
      <c r="G48" s="776">
        <f>9895+2.2</f>
        <v>9897.2000000000007</v>
      </c>
      <c r="H48" s="777">
        <v>9895</v>
      </c>
      <c r="I48" s="778">
        <f>+H48</f>
        <v>9895</v>
      </c>
      <c r="J48" s="131" t="s">
        <v>64</v>
      </c>
      <c r="K48" s="259">
        <v>6</v>
      </c>
      <c r="L48" s="519">
        <v>6</v>
      </c>
      <c r="M48" s="469">
        <v>6</v>
      </c>
      <c r="N48" s="194"/>
      <c r="O48" s="9"/>
    </row>
    <row r="49" spans="1:15" ht="15.6" customHeight="1" x14ac:dyDescent="0.25">
      <c r="A49" s="73"/>
      <c r="B49" s="69"/>
      <c r="C49" s="75"/>
      <c r="D49" s="836"/>
      <c r="E49" s="52"/>
      <c r="F49" s="779" t="s">
        <v>247</v>
      </c>
      <c r="G49" s="776">
        <v>176.3</v>
      </c>
      <c r="H49" s="777">
        <v>176.3</v>
      </c>
      <c r="I49" s="778">
        <v>176.3</v>
      </c>
      <c r="J49" s="532" t="s">
        <v>65</v>
      </c>
      <c r="K49" s="517">
        <v>5468</v>
      </c>
      <c r="L49" s="478">
        <f>+K49</f>
        <v>5468</v>
      </c>
      <c r="M49" s="468">
        <f>+L49</f>
        <v>5468</v>
      </c>
      <c r="N49" s="194"/>
      <c r="O49" s="9"/>
    </row>
    <row r="50" spans="1:15" ht="12.75" customHeight="1" x14ac:dyDescent="0.25">
      <c r="A50" s="73"/>
      <c r="B50" s="69"/>
      <c r="C50" s="75"/>
      <c r="D50" s="836"/>
      <c r="E50" s="52"/>
      <c r="F50" s="779" t="s">
        <v>248</v>
      </c>
      <c r="G50" s="776">
        <v>444</v>
      </c>
      <c r="H50" s="777">
        <v>444</v>
      </c>
      <c r="I50" s="778">
        <v>444</v>
      </c>
      <c r="J50" s="901" t="s">
        <v>153</v>
      </c>
      <c r="K50" s="517">
        <v>180</v>
      </c>
      <c r="L50" s="478">
        <v>180</v>
      </c>
      <c r="M50" s="468">
        <v>180</v>
      </c>
      <c r="N50" s="194"/>
      <c r="O50" s="9"/>
    </row>
    <row r="51" spans="1:15" ht="15.6" customHeight="1" x14ac:dyDescent="0.25">
      <c r="A51" s="73"/>
      <c r="B51" s="69"/>
      <c r="C51" s="75"/>
      <c r="D51" s="543"/>
      <c r="E51" s="213"/>
      <c r="F51" s="742"/>
      <c r="G51" s="761"/>
      <c r="H51" s="461"/>
      <c r="I51" s="748"/>
      <c r="J51" s="968"/>
      <c r="K51" s="518"/>
      <c r="L51" s="519"/>
      <c r="M51" s="200"/>
      <c r="N51" s="194"/>
      <c r="O51" s="9"/>
    </row>
    <row r="52" spans="1:15" ht="29.25" customHeight="1" x14ac:dyDescent="0.25">
      <c r="A52" s="73"/>
      <c r="B52" s="69"/>
      <c r="C52" s="75"/>
      <c r="D52" s="457" t="s">
        <v>174</v>
      </c>
      <c r="E52" s="72" t="s">
        <v>170</v>
      </c>
      <c r="F52" s="779" t="s">
        <v>246</v>
      </c>
      <c r="G52" s="776">
        <f>32.4+32.2</f>
        <v>64.599999999999994</v>
      </c>
      <c r="H52" s="777">
        <v>53.1</v>
      </c>
      <c r="I52" s="778"/>
      <c r="J52" s="477" t="s">
        <v>175</v>
      </c>
      <c r="K52" s="432">
        <v>106</v>
      </c>
      <c r="L52" s="482">
        <v>22</v>
      </c>
      <c r="M52" s="199"/>
      <c r="N52" s="194"/>
      <c r="O52" s="9"/>
    </row>
    <row r="53" spans="1:15" ht="17.25" customHeight="1" x14ac:dyDescent="0.25">
      <c r="A53" s="73"/>
      <c r="B53" s="69"/>
      <c r="C53" s="75"/>
      <c r="D53" s="909" t="s">
        <v>148</v>
      </c>
      <c r="E53" s="211" t="s">
        <v>169</v>
      </c>
      <c r="F53" s="779" t="s">
        <v>246</v>
      </c>
      <c r="G53" s="776">
        <v>551.79999999999995</v>
      </c>
      <c r="H53" s="777">
        <v>598.5</v>
      </c>
      <c r="I53" s="778">
        <v>598.5</v>
      </c>
      <c r="J53" s="30" t="s">
        <v>127</v>
      </c>
      <c r="K53" s="259">
        <v>10000</v>
      </c>
      <c r="L53" s="478">
        <v>10000</v>
      </c>
      <c r="M53" s="49">
        <v>10000</v>
      </c>
      <c r="N53" s="194"/>
      <c r="O53" s="9"/>
    </row>
    <row r="54" spans="1:15" ht="25.5" customHeight="1" x14ac:dyDescent="0.25">
      <c r="A54" s="73"/>
      <c r="B54" s="69"/>
      <c r="C54" s="75"/>
      <c r="D54" s="910"/>
      <c r="E54" s="172" t="s">
        <v>170</v>
      </c>
      <c r="F54" s="779" t="s">
        <v>247</v>
      </c>
      <c r="G54" s="595">
        <v>1050.5</v>
      </c>
      <c r="H54" s="777">
        <v>1050.5</v>
      </c>
      <c r="I54" s="778">
        <v>1050.5</v>
      </c>
      <c r="J54" s="477" t="s">
        <v>120</v>
      </c>
      <c r="K54" s="432">
        <v>3</v>
      </c>
      <c r="L54" s="478"/>
      <c r="M54" s="484"/>
      <c r="N54" s="194"/>
      <c r="O54" s="9"/>
    </row>
    <row r="55" spans="1:15" ht="16.5" customHeight="1" x14ac:dyDescent="0.25">
      <c r="A55" s="73"/>
      <c r="B55" s="69"/>
      <c r="C55" s="75"/>
      <c r="D55" s="911"/>
      <c r="E55" s="215" t="s">
        <v>171</v>
      </c>
      <c r="F55" s="779" t="s">
        <v>248</v>
      </c>
      <c r="G55" s="776">
        <v>18</v>
      </c>
      <c r="H55" s="777">
        <v>18</v>
      </c>
      <c r="I55" s="778">
        <v>18</v>
      </c>
      <c r="J55" s="477" t="s">
        <v>157</v>
      </c>
      <c r="K55" s="377">
        <v>4.75</v>
      </c>
      <c r="L55" s="36"/>
      <c r="M55" s="49"/>
      <c r="N55" s="194"/>
      <c r="O55" s="9"/>
    </row>
    <row r="56" spans="1:15" ht="12.75" customHeight="1" x14ac:dyDescent="0.25">
      <c r="A56" s="78"/>
      <c r="B56" s="71"/>
      <c r="C56" s="70"/>
      <c r="D56" s="909" t="s">
        <v>78</v>
      </c>
      <c r="E56" s="806" t="s">
        <v>170</v>
      </c>
      <c r="F56" s="967" t="s">
        <v>246</v>
      </c>
      <c r="G56" s="795">
        <v>769.9</v>
      </c>
      <c r="H56" s="777">
        <v>769.9</v>
      </c>
      <c r="I56" s="778">
        <v>769.9</v>
      </c>
      <c r="J56" s="131" t="s">
        <v>65</v>
      </c>
      <c r="K56" s="4">
        <v>76</v>
      </c>
      <c r="L56" s="36">
        <v>77</v>
      </c>
      <c r="M56" s="49">
        <v>77</v>
      </c>
      <c r="N56" s="194"/>
      <c r="O56" s="9"/>
    </row>
    <row r="57" spans="1:15" ht="15" customHeight="1" x14ac:dyDescent="0.25">
      <c r="A57" s="78"/>
      <c r="B57" s="71"/>
      <c r="C57" s="70"/>
      <c r="D57" s="910"/>
      <c r="E57" s="951" t="s">
        <v>171</v>
      </c>
      <c r="F57" s="967"/>
      <c r="G57" s="595"/>
      <c r="H57" s="777"/>
      <c r="I57" s="601"/>
      <c r="J57" s="37" t="s">
        <v>127</v>
      </c>
      <c r="K57" s="259">
        <v>150</v>
      </c>
      <c r="L57" s="36">
        <v>150</v>
      </c>
      <c r="M57" s="49">
        <v>150</v>
      </c>
      <c r="N57" s="194"/>
      <c r="O57" s="9"/>
    </row>
    <row r="58" spans="1:15" ht="25.5" customHeight="1" x14ac:dyDescent="0.25">
      <c r="A58" s="78"/>
      <c r="B58" s="71"/>
      <c r="C58" s="70"/>
      <c r="D58" s="910"/>
      <c r="E58" s="951"/>
      <c r="F58" s="794" t="s">
        <v>247</v>
      </c>
      <c r="G58" s="795">
        <v>289.7</v>
      </c>
      <c r="H58" s="777">
        <v>289.7</v>
      </c>
      <c r="I58" s="778">
        <v>289.7</v>
      </c>
      <c r="J58" s="813" t="s">
        <v>185</v>
      </c>
      <c r="K58" s="177">
        <v>1.8</v>
      </c>
      <c r="L58" s="19"/>
      <c r="M58" s="158"/>
      <c r="N58" s="194"/>
      <c r="O58" s="9"/>
    </row>
    <row r="59" spans="1:15" ht="25.5" customHeight="1" x14ac:dyDescent="0.25">
      <c r="A59" s="78"/>
      <c r="B59" s="71"/>
      <c r="C59" s="70"/>
      <c r="D59" s="911"/>
      <c r="E59" s="805"/>
      <c r="F59" s="794" t="s">
        <v>247</v>
      </c>
      <c r="G59" s="795">
        <f>0.4+0.4</f>
        <v>0.8</v>
      </c>
      <c r="H59" s="777"/>
      <c r="I59" s="778"/>
      <c r="J59" s="813" t="s">
        <v>186</v>
      </c>
      <c r="K59" s="377">
        <v>0.65</v>
      </c>
      <c r="L59" s="36"/>
      <c r="M59" s="49"/>
      <c r="N59" s="194"/>
      <c r="O59" s="9"/>
    </row>
    <row r="60" spans="1:15" ht="31.5" customHeight="1" x14ac:dyDescent="0.25">
      <c r="A60" s="78"/>
      <c r="B60" s="71"/>
      <c r="C60" s="70"/>
      <c r="D60" s="452" t="s">
        <v>79</v>
      </c>
      <c r="E60" s="172" t="s">
        <v>170</v>
      </c>
      <c r="F60" s="779" t="s">
        <v>246</v>
      </c>
      <c r="G60" s="776">
        <f>406.4+11.7</f>
        <v>418.09999999999997</v>
      </c>
      <c r="H60" s="777">
        <v>406.4</v>
      </c>
      <c r="I60" s="778">
        <v>406.4</v>
      </c>
      <c r="J60" s="131" t="s">
        <v>133</v>
      </c>
      <c r="K60" s="517">
        <v>2190</v>
      </c>
      <c r="L60" s="482">
        <v>2190</v>
      </c>
      <c r="M60" s="468">
        <v>2190</v>
      </c>
      <c r="N60" s="194"/>
      <c r="O60" s="9"/>
    </row>
    <row r="61" spans="1:15" ht="28.5" customHeight="1" x14ac:dyDescent="0.25">
      <c r="A61" s="78"/>
      <c r="B61" s="71"/>
      <c r="C61" s="70"/>
      <c r="D61" s="452"/>
      <c r="E61" s="169"/>
      <c r="F61" s="779" t="s">
        <v>248</v>
      </c>
      <c r="G61" s="776">
        <v>30</v>
      </c>
      <c r="H61" s="777">
        <v>30</v>
      </c>
      <c r="I61" s="778">
        <v>30</v>
      </c>
      <c r="J61" s="33" t="s">
        <v>187</v>
      </c>
      <c r="K61" s="259">
        <v>90</v>
      </c>
      <c r="L61" s="36">
        <v>90</v>
      </c>
      <c r="M61" s="49">
        <v>90</v>
      </c>
      <c r="N61" s="194"/>
      <c r="O61" s="9"/>
    </row>
    <row r="62" spans="1:15" ht="25.5" customHeight="1" x14ac:dyDescent="0.25">
      <c r="A62" s="78"/>
      <c r="B62" s="71"/>
      <c r="C62" s="70"/>
      <c r="D62" s="452"/>
      <c r="E62" s="221"/>
      <c r="F62" s="742"/>
      <c r="G62" s="747"/>
      <c r="H62" s="461"/>
      <c r="I62" s="564"/>
      <c r="J62" s="33" t="s">
        <v>67</v>
      </c>
      <c r="K62" s="259">
        <v>12000</v>
      </c>
      <c r="L62" s="36">
        <v>12000</v>
      </c>
      <c r="M62" s="49">
        <v>12000</v>
      </c>
      <c r="N62" s="194"/>
      <c r="O62" s="9"/>
    </row>
    <row r="63" spans="1:15" ht="29.25" customHeight="1" x14ac:dyDescent="0.25">
      <c r="A63" s="62"/>
      <c r="B63" s="71"/>
      <c r="C63" s="70"/>
      <c r="D63" s="909" t="s">
        <v>94</v>
      </c>
      <c r="E63" s="496" t="s">
        <v>183</v>
      </c>
      <c r="F63" s="779" t="s">
        <v>246</v>
      </c>
      <c r="G63" s="776">
        <v>10</v>
      </c>
      <c r="H63" s="777">
        <v>10</v>
      </c>
      <c r="I63" s="778">
        <v>10</v>
      </c>
      <c r="J63" s="131" t="s">
        <v>188</v>
      </c>
      <c r="K63" s="4">
        <v>50</v>
      </c>
      <c r="L63" s="36">
        <v>50</v>
      </c>
      <c r="M63" s="49">
        <v>50</v>
      </c>
      <c r="N63" s="194"/>
      <c r="O63" s="9"/>
    </row>
    <row r="64" spans="1:15" ht="26.25" customHeight="1" x14ac:dyDescent="0.25">
      <c r="A64" s="62"/>
      <c r="B64" s="71"/>
      <c r="C64" s="70"/>
      <c r="D64" s="911"/>
      <c r="E64" s="497" t="s">
        <v>171</v>
      </c>
      <c r="F64" s="779"/>
      <c r="G64" s="776"/>
      <c r="H64" s="777"/>
      <c r="I64" s="601"/>
      <c r="J64" s="7" t="s">
        <v>121</v>
      </c>
      <c r="K64" s="259">
        <v>34</v>
      </c>
      <c r="L64" s="36">
        <v>34</v>
      </c>
      <c r="M64" s="484">
        <v>34</v>
      </c>
      <c r="N64" s="194"/>
      <c r="O64" s="9"/>
    </row>
    <row r="65" spans="1:15" ht="42" customHeight="1" x14ac:dyDescent="0.25">
      <c r="A65" s="62"/>
      <c r="B65" s="71"/>
      <c r="C65" s="70"/>
      <c r="D65" s="456" t="s">
        <v>210</v>
      </c>
      <c r="E65" s="212" t="s">
        <v>171</v>
      </c>
      <c r="F65" s="779"/>
      <c r="G65" s="776"/>
      <c r="H65" s="777"/>
      <c r="I65" s="778"/>
      <c r="J65" s="183"/>
      <c r="K65" s="508"/>
      <c r="L65" s="519"/>
      <c r="M65" s="49"/>
      <c r="N65" s="194"/>
      <c r="O65" s="9"/>
    </row>
    <row r="66" spans="1:15" ht="18.75" customHeight="1" x14ac:dyDescent="0.25">
      <c r="A66" s="62"/>
      <c r="B66" s="71"/>
      <c r="C66" s="70"/>
      <c r="D66" s="453" t="s">
        <v>113</v>
      </c>
      <c r="E66" s="935" t="s">
        <v>201</v>
      </c>
      <c r="F66" s="779" t="s">
        <v>246</v>
      </c>
      <c r="G66" s="595">
        <v>138.4</v>
      </c>
      <c r="H66" s="777">
        <v>157.19999999999999</v>
      </c>
      <c r="I66" s="601">
        <v>176</v>
      </c>
      <c r="J66" s="477" t="s">
        <v>64</v>
      </c>
      <c r="K66" s="432">
        <v>2</v>
      </c>
      <c r="L66" s="36">
        <v>1</v>
      </c>
      <c r="M66" s="484">
        <v>1</v>
      </c>
      <c r="N66" s="194"/>
      <c r="O66" s="9"/>
    </row>
    <row r="67" spans="1:15" ht="17.25" customHeight="1" x14ac:dyDescent="0.25">
      <c r="A67" s="62"/>
      <c r="B67" s="71"/>
      <c r="C67" s="70"/>
      <c r="D67" s="457"/>
      <c r="E67" s="936"/>
      <c r="F67" s="779"/>
      <c r="G67" s="776"/>
      <c r="H67" s="777"/>
      <c r="I67" s="778"/>
      <c r="J67" s="503" t="s">
        <v>66</v>
      </c>
      <c r="K67" s="259">
        <v>187</v>
      </c>
      <c r="L67" s="519">
        <v>210</v>
      </c>
      <c r="M67" s="49">
        <v>210</v>
      </c>
      <c r="N67" s="194"/>
      <c r="O67" s="9"/>
    </row>
    <row r="68" spans="1:15" ht="27.75" customHeight="1" x14ac:dyDescent="0.25">
      <c r="A68" s="62"/>
      <c r="B68" s="71"/>
      <c r="C68" s="79"/>
      <c r="D68" s="214" t="s">
        <v>118</v>
      </c>
      <c r="E68" s="211" t="s">
        <v>170</v>
      </c>
      <c r="F68" s="779" t="s">
        <v>246</v>
      </c>
      <c r="G68" s="776">
        <v>131</v>
      </c>
      <c r="H68" s="777">
        <v>155.1</v>
      </c>
      <c r="I68" s="778">
        <v>172.1</v>
      </c>
      <c r="J68" s="477" t="s">
        <v>66</v>
      </c>
      <c r="K68" s="365">
        <v>211</v>
      </c>
      <c r="L68" s="366">
        <v>260</v>
      </c>
      <c r="M68" s="367">
        <v>310</v>
      </c>
      <c r="N68" s="194"/>
      <c r="O68" s="9"/>
    </row>
    <row r="69" spans="1:15" ht="28.5" customHeight="1" x14ac:dyDescent="0.25">
      <c r="A69" s="62"/>
      <c r="B69" s="71"/>
      <c r="C69" s="70"/>
      <c r="D69" s="457" t="s">
        <v>126</v>
      </c>
      <c r="E69" s="215"/>
      <c r="F69" s="779"/>
      <c r="G69" s="595"/>
      <c r="H69" s="777"/>
      <c r="I69" s="601"/>
      <c r="J69" s="503" t="s">
        <v>100</v>
      </c>
      <c r="K69" s="365">
        <v>12</v>
      </c>
      <c r="L69" s="366">
        <v>14</v>
      </c>
      <c r="M69" s="368">
        <v>15</v>
      </c>
      <c r="N69" s="194"/>
      <c r="O69" s="9"/>
    </row>
    <row r="70" spans="1:15" ht="26.25" customHeight="1" x14ac:dyDescent="0.25">
      <c r="A70" s="62"/>
      <c r="B70" s="71"/>
      <c r="C70" s="70"/>
      <c r="D70" s="838" t="s">
        <v>222</v>
      </c>
      <c r="E70" s="511" t="s">
        <v>182</v>
      </c>
      <c r="F70" s="779" t="s">
        <v>246</v>
      </c>
      <c r="G70" s="776">
        <v>339</v>
      </c>
      <c r="H70" s="777">
        <v>350</v>
      </c>
      <c r="I70" s="778">
        <v>350</v>
      </c>
      <c r="J70" s="131" t="s">
        <v>95</v>
      </c>
      <c r="K70" s="177">
        <v>12.1</v>
      </c>
      <c r="L70" s="288">
        <v>13.39</v>
      </c>
      <c r="M70" s="56">
        <v>13.39</v>
      </c>
      <c r="N70" s="194"/>
      <c r="O70" s="9"/>
    </row>
    <row r="71" spans="1:15" ht="27.75" customHeight="1" x14ac:dyDescent="0.25">
      <c r="A71" s="62"/>
      <c r="B71" s="71"/>
      <c r="C71" s="70"/>
      <c r="D71" s="836"/>
      <c r="E71" s="511" t="s">
        <v>171</v>
      </c>
      <c r="F71" s="742"/>
      <c r="G71" s="747"/>
      <c r="H71" s="461"/>
      <c r="I71" s="564"/>
      <c r="J71" s="33" t="s">
        <v>192</v>
      </c>
      <c r="K71" s="4">
        <v>3</v>
      </c>
      <c r="L71" s="36">
        <v>1</v>
      </c>
      <c r="M71" s="49"/>
      <c r="N71" s="194"/>
      <c r="O71" s="9"/>
    </row>
    <row r="72" spans="1:15" ht="27" customHeight="1" x14ac:dyDescent="0.25">
      <c r="A72" s="62"/>
      <c r="B72" s="71"/>
      <c r="C72" s="70"/>
      <c r="D72" s="839"/>
      <c r="E72" s="497" t="s">
        <v>122</v>
      </c>
      <c r="F72" s="742"/>
      <c r="G72" s="747"/>
      <c r="H72" s="461"/>
      <c r="I72" s="748"/>
      <c r="J72" s="131" t="s">
        <v>212</v>
      </c>
      <c r="K72" s="379">
        <v>720</v>
      </c>
      <c r="L72" s="380">
        <v>720</v>
      </c>
      <c r="M72" s="378">
        <v>720</v>
      </c>
      <c r="N72" s="194"/>
      <c r="O72" s="9"/>
    </row>
    <row r="73" spans="1:15" ht="54" customHeight="1" x14ac:dyDescent="0.25">
      <c r="A73" s="76"/>
      <c r="B73" s="69"/>
      <c r="C73" s="75"/>
      <c r="D73" s="455" t="s">
        <v>52</v>
      </c>
      <c r="E73" s="172" t="s">
        <v>170</v>
      </c>
      <c r="F73" s="779" t="s">
        <v>246</v>
      </c>
      <c r="G73" s="776">
        <f>299.9+187.9</f>
        <v>487.79999999999995</v>
      </c>
      <c r="H73" s="777">
        <v>623</v>
      </c>
      <c r="I73" s="778">
        <v>623</v>
      </c>
      <c r="J73" s="30" t="s">
        <v>80</v>
      </c>
      <c r="K73" s="259">
        <v>180</v>
      </c>
      <c r="L73" s="36">
        <v>180</v>
      </c>
      <c r="M73" s="469">
        <v>180</v>
      </c>
      <c r="N73" s="194"/>
      <c r="O73" s="9"/>
    </row>
    <row r="74" spans="1:15" ht="19.2" customHeight="1" x14ac:dyDescent="0.25">
      <c r="A74" s="76"/>
      <c r="B74" s="69"/>
      <c r="C74" s="75"/>
      <c r="D74" s="457"/>
      <c r="E74" s="215"/>
      <c r="F74" s="779" t="s">
        <v>247</v>
      </c>
      <c r="G74" s="776">
        <v>227.9</v>
      </c>
      <c r="H74" s="777">
        <v>227.9</v>
      </c>
      <c r="I74" s="601">
        <v>227.9</v>
      </c>
      <c r="J74" s="33" t="s">
        <v>117</v>
      </c>
      <c r="K74" s="803">
        <v>15</v>
      </c>
      <c r="L74" s="462">
        <v>13.5</v>
      </c>
      <c r="M74" s="181">
        <v>13.5</v>
      </c>
      <c r="N74" s="194"/>
      <c r="O74" s="9"/>
    </row>
    <row r="75" spans="1:15" ht="18.75" customHeight="1" x14ac:dyDescent="0.25">
      <c r="A75" s="76"/>
      <c r="B75" s="69"/>
      <c r="C75" s="75"/>
      <c r="D75" s="838" t="s">
        <v>240</v>
      </c>
      <c r="E75" s="935" t="s">
        <v>173</v>
      </c>
      <c r="F75" s="794" t="s">
        <v>246</v>
      </c>
      <c r="G75" s="795">
        <f>96+3.1</f>
        <v>99.1</v>
      </c>
      <c r="H75" s="777">
        <v>96</v>
      </c>
      <c r="I75" s="778">
        <v>96</v>
      </c>
      <c r="J75" s="48" t="s">
        <v>65</v>
      </c>
      <c r="K75" s="727">
        <v>689</v>
      </c>
      <c r="L75" s="729">
        <v>689</v>
      </c>
      <c r="M75" s="485">
        <v>689</v>
      </c>
      <c r="N75" s="194"/>
      <c r="O75" s="9"/>
    </row>
    <row r="76" spans="1:15" ht="22.5" customHeight="1" x14ac:dyDescent="0.25">
      <c r="A76" s="76"/>
      <c r="B76" s="69"/>
      <c r="C76" s="75"/>
      <c r="D76" s="839"/>
      <c r="E76" s="936"/>
      <c r="F76" s="794" t="s">
        <v>247</v>
      </c>
      <c r="G76" s="795">
        <f>64.5+77.9+148.4</f>
        <v>290.8</v>
      </c>
      <c r="H76" s="777"/>
      <c r="I76" s="778"/>
      <c r="J76" s="131"/>
      <c r="K76" s="726"/>
      <c r="L76" s="730"/>
      <c r="M76" s="130"/>
      <c r="N76" s="194"/>
      <c r="O76" s="9"/>
    </row>
    <row r="77" spans="1:15" ht="27.75" customHeight="1" x14ac:dyDescent="0.25">
      <c r="A77" s="76"/>
      <c r="B77" s="69"/>
      <c r="C77" s="75"/>
      <c r="D77" s="457" t="s">
        <v>41</v>
      </c>
      <c r="E77" s="497" t="s">
        <v>201</v>
      </c>
      <c r="F77" s="779" t="s">
        <v>247</v>
      </c>
      <c r="G77" s="776">
        <v>60</v>
      </c>
      <c r="H77" s="777">
        <v>60</v>
      </c>
      <c r="I77" s="778">
        <v>60</v>
      </c>
      <c r="J77" s="503" t="s">
        <v>69</v>
      </c>
      <c r="K77" s="518">
        <v>17</v>
      </c>
      <c r="L77" s="482">
        <v>17</v>
      </c>
      <c r="M77" s="103">
        <v>17</v>
      </c>
      <c r="N77" s="194"/>
      <c r="O77" s="9"/>
    </row>
    <row r="78" spans="1:15" ht="19.5" customHeight="1" x14ac:dyDescent="0.25">
      <c r="A78" s="76"/>
      <c r="B78" s="69"/>
      <c r="C78" s="70"/>
      <c r="D78" s="453" t="s">
        <v>62</v>
      </c>
      <c r="E78" s="51" t="s">
        <v>170</v>
      </c>
      <c r="F78" s="779" t="s">
        <v>246</v>
      </c>
      <c r="G78" s="776">
        <f>728.8-200+129.9</f>
        <v>658.69999999999993</v>
      </c>
      <c r="H78" s="777">
        <f>700-170</f>
        <v>530</v>
      </c>
      <c r="I78" s="778">
        <f>700-170</f>
        <v>530</v>
      </c>
      <c r="J78" s="33" t="s">
        <v>65</v>
      </c>
      <c r="K78" s="259">
        <v>1532</v>
      </c>
      <c r="L78" s="36">
        <v>1400</v>
      </c>
      <c r="M78" s="49">
        <v>1400</v>
      </c>
      <c r="N78" s="194"/>
      <c r="O78" s="9"/>
    </row>
    <row r="79" spans="1:15" ht="66.75" customHeight="1" x14ac:dyDescent="0.25">
      <c r="A79" s="76"/>
      <c r="B79" s="69"/>
      <c r="C79" s="70"/>
      <c r="D79" s="19" t="s">
        <v>71</v>
      </c>
      <c r="E79" s="168" t="s">
        <v>170</v>
      </c>
      <c r="F79" s="779" t="s">
        <v>246</v>
      </c>
      <c r="G79" s="776">
        <v>44.7</v>
      </c>
      <c r="H79" s="777">
        <v>44.7</v>
      </c>
      <c r="I79" s="778">
        <v>44.7</v>
      </c>
      <c r="J79" s="33" t="s">
        <v>189</v>
      </c>
      <c r="K79" s="259">
        <v>6000</v>
      </c>
      <c r="L79" s="36">
        <v>6000</v>
      </c>
      <c r="M79" s="49">
        <v>6000</v>
      </c>
      <c r="N79" s="194"/>
    </row>
    <row r="80" spans="1:15" ht="43.5" customHeight="1" x14ac:dyDescent="0.25">
      <c r="A80" s="76"/>
      <c r="B80" s="69"/>
      <c r="C80" s="70"/>
      <c r="D80" s="838" t="s">
        <v>158</v>
      </c>
      <c r="E80" s="472" t="s">
        <v>170</v>
      </c>
      <c r="F80" s="779" t="s">
        <v>246</v>
      </c>
      <c r="G80" s="595">
        <f>376.8-100-6.7</f>
        <v>270.10000000000002</v>
      </c>
      <c r="H80" s="777">
        <v>401.9</v>
      </c>
      <c r="I80" s="778"/>
      <c r="J80" s="131" t="s">
        <v>134</v>
      </c>
      <c r="K80" s="259">
        <v>66</v>
      </c>
      <c r="L80" s="36">
        <v>65</v>
      </c>
      <c r="M80" s="469"/>
      <c r="N80" s="194"/>
    </row>
    <row r="81" spans="1:17" ht="40.5" customHeight="1" x14ac:dyDescent="0.25">
      <c r="A81" s="76"/>
      <c r="B81" s="69"/>
      <c r="C81" s="70"/>
      <c r="D81" s="836"/>
      <c r="E81" s="472" t="s">
        <v>171</v>
      </c>
      <c r="F81" s="779" t="s">
        <v>247</v>
      </c>
      <c r="G81" s="776">
        <v>6.5</v>
      </c>
      <c r="H81" s="777">
        <v>2.4</v>
      </c>
      <c r="I81" s="778"/>
      <c r="J81" s="30" t="s">
        <v>228</v>
      </c>
      <c r="K81" s="507">
        <v>259</v>
      </c>
      <c r="L81" s="478">
        <v>162</v>
      </c>
      <c r="M81" s="469"/>
      <c r="N81" s="194"/>
    </row>
    <row r="82" spans="1:17" ht="41.4" customHeight="1" x14ac:dyDescent="0.25">
      <c r="A82" s="76"/>
      <c r="B82" s="69"/>
      <c r="C82" s="70"/>
      <c r="D82" s="839"/>
      <c r="E82" s="514"/>
      <c r="F82" s="779" t="s">
        <v>247</v>
      </c>
      <c r="G82" s="781">
        <v>63.9</v>
      </c>
      <c r="H82" s="602"/>
      <c r="I82" s="705"/>
      <c r="J82" s="7" t="s">
        <v>135</v>
      </c>
      <c r="K82" s="507"/>
      <c r="L82" s="478">
        <v>10</v>
      </c>
      <c r="M82" s="158"/>
      <c r="N82" s="194"/>
    </row>
    <row r="83" spans="1:17" ht="31.5" customHeight="1" x14ac:dyDescent="0.25">
      <c r="A83" s="76"/>
      <c r="B83" s="69"/>
      <c r="C83" s="70"/>
      <c r="D83" s="838" t="s">
        <v>176</v>
      </c>
      <c r="E83" s="72" t="s">
        <v>170</v>
      </c>
      <c r="F83" s="594" t="s">
        <v>246</v>
      </c>
      <c r="G83" s="596">
        <f>144.9-92.2</f>
        <v>52.7</v>
      </c>
      <c r="H83" s="597">
        <f>144.9-92.2</f>
        <v>52.7</v>
      </c>
      <c r="I83" s="323">
        <f>144.9-92.2</f>
        <v>52.7</v>
      </c>
      <c r="J83" s="7" t="s">
        <v>64</v>
      </c>
      <c r="K83" s="517">
        <v>53</v>
      </c>
      <c r="L83" s="478">
        <v>53</v>
      </c>
      <c r="M83" s="484">
        <v>53</v>
      </c>
      <c r="N83" s="194"/>
      <c r="O83" s="907"/>
      <c r="P83" s="907"/>
    </row>
    <row r="84" spans="1:17" ht="15.6" customHeight="1" thickBot="1" x14ac:dyDescent="0.3">
      <c r="A84" s="81"/>
      <c r="B84" s="82"/>
      <c r="C84" s="83"/>
      <c r="D84" s="837"/>
      <c r="E84" s="908" t="s">
        <v>37</v>
      </c>
      <c r="F84" s="966"/>
      <c r="G84" s="17">
        <f>SUM(G16:G21)</f>
        <v>145870.09999999998</v>
      </c>
      <c r="H84" s="41">
        <f>SUM(H16:H21)</f>
        <v>146731.9</v>
      </c>
      <c r="I84" s="261">
        <f>SUM(I16:I21)</f>
        <v>143150.39999999999</v>
      </c>
      <c r="J84" s="463"/>
      <c r="K84" s="331"/>
      <c r="L84" s="170"/>
      <c r="M84" s="381"/>
      <c r="N84" s="194"/>
    </row>
    <row r="85" spans="1:17" ht="14.25" customHeight="1" x14ac:dyDescent="0.25">
      <c r="A85" s="84" t="s">
        <v>10</v>
      </c>
      <c r="B85" s="85" t="s">
        <v>10</v>
      </c>
      <c r="C85" s="67" t="s">
        <v>13</v>
      </c>
      <c r="D85" s="958" t="s">
        <v>53</v>
      </c>
      <c r="E85" s="555"/>
      <c r="F85" s="144" t="s">
        <v>11</v>
      </c>
      <c r="G85" s="704">
        <f>200-2</f>
        <v>198</v>
      </c>
      <c r="H85" s="703">
        <v>200</v>
      </c>
      <c r="I85" s="148">
        <v>220</v>
      </c>
      <c r="J85" s="29"/>
      <c r="K85" s="336"/>
      <c r="L85" s="337"/>
      <c r="M85" s="520"/>
      <c r="N85" s="194"/>
    </row>
    <row r="86" spans="1:17" ht="15" customHeight="1" x14ac:dyDescent="0.25">
      <c r="A86" s="76"/>
      <c r="B86" s="69"/>
      <c r="C86" s="75"/>
      <c r="D86" s="911"/>
      <c r="E86" s="560"/>
      <c r="F86" s="4" t="s">
        <v>14</v>
      </c>
      <c r="G86" s="6">
        <f>1490.6+25.5</f>
        <v>1516.1</v>
      </c>
      <c r="H86" s="38">
        <v>1490.6</v>
      </c>
      <c r="I86" s="372">
        <v>1490.6</v>
      </c>
      <c r="J86" s="30"/>
      <c r="K86" s="193"/>
      <c r="L86" s="332"/>
      <c r="M86" s="523"/>
      <c r="N86" s="194"/>
      <c r="P86" s="135"/>
    </row>
    <row r="87" spans="1:17" ht="27.75" customHeight="1" x14ac:dyDescent="0.25">
      <c r="A87" s="76"/>
      <c r="B87" s="69"/>
      <c r="C87" s="75"/>
      <c r="D87" s="31" t="s">
        <v>205</v>
      </c>
      <c r="E87" s="51" t="s">
        <v>170</v>
      </c>
      <c r="F87" s="779" t="s">
        <v>247</v>
      </c>
      <c r="G87" s="776">
        <v>333.1</v>
      </c>
      <c r="H87" s="777">
        <v>333.1</v>
      </c>
      <c r="I87" s="778">
        <v>333.1</v>
      </c>
      <c r="J87" s="33" t="s">
        <v>65</v>
      </c>
      <c r="K87" s="508">
        <v>3100</v>
      </c>
      <c r="L87" s="519">
        <v>3100</v>
      </c>
      <c r="M87" s="469">
        <v>3100</v>
      </c>
      <c r="N87" s="194"/>
      <c r="O87" s="896"/>
      <c r="P87" s="896"/>
      <c r="Q87" s="896"/>
    </row>
    <row r="88" spans="1:17" ht="16.2" customHeight="1" x14ac:dyDescent="0.25">
      <c r="A88" s="76"/>
      <c r="B88" s="69"/>
      <c r="C88" s="75"/>
      <c r="D88" s="838" t="s">
        <v>40</v>
      </c>
      <c r="E88" s="935" t="s">
        <v>182</v>
      </c>
      <c r="F88" s="779" t="s">
        <v>246</v>
      </c>
      <c r="G88" s="595">
        <v>200</v>
      </c>
      <c r="H88" s="777">
        <v>200</v>
      </c>
      <c r="I88" s="778">
        <v>220</v>
      </c>
      <c r="J88" s="901" t="s">
        <v>81</v>
      </c>
      <c r="K88" s="507">
        <v>89</v>
      </c>
      <c r="L88" s="478">
        <v>100</v>
      </c>
      <c r="M88" s="468">
        <v>110</v>
      </c>
      <c r="N88" s="194"/>
      <c r="O88" s="896"/>
      <c r="P88" s="896"/>
      <c r="Q88" s="896"/>
    </row>
    <row r="89" spans="1:17" ht="7.5" customHeight="1" x14ac:dyDescent="0.25">
      <c r="A89" s="76"/>
      <c r="B89" s="69"/>
      <c r="C89" s="75"/>
      <c r="D89" s="836"/>
      <c r="E89" s="951"/>
      <c r="F89" s="779"/>
      <c r="G89" s="595"/>
      <c r="H89" s="777"/>
      <c r="I89" s="601"/>
      <c r="J89" s="938"/>
      <c r="K89" s="480"/>
      <c r="L89" s="482"/>
      <c r="M89" s="484"/>
      <c r="N89" s="194"/>
    </row>
    <row r="90" spans="1:17" ht="13.5" customHeight="1" x14ac:dyDescent="0.25">
      <c r="A90" s="76"/>
      <c r="B90" s="69"/>
      <c r="C90" s="75"/>
      <c r="D90" s="455"/>
      <c r="E90" s="472" t="s">
        <v>171</v>
      </c>
      <c r="F90" s="779"/>
      <c r="G90" s="776"/>
      <c r="H90" s="777"/>
      <c r="I90" s="601"/>
      <c r="J90" s="466"/>
      <c r="K90" s="518"/>
      <c r="L90" s="482"/>
      <c r="M90" s="484"/>
      <c r="N90" s="194"/>
    </row>
    <row r="91" spans="1:17" ht="15.75" customHeight="1" x14ac:dyDescent="0.25">
      <c r="A91" s="76"/>
      <c r="B91" s="69"/>
      <c r="C91" s="75"/>
      <c r="D91" s="838" t="s">
        <v>50</v>
      </c>
      <c r="E91" s="487" t="s">
        <v>170</v>
      </c>
      <c r="F91" s="603" t="s">
        <v>247</v>
      </c>
      <c r="G91" s="595">
        <f>1157.5+25.5</f>
        <v>1183</v>
      </c>
      <c r="H91" s="777">
        <v>1157.5</v>
      </c>
      <c r="I91" s="778">
        <v>1157.5</v>
      </c>
      <c r="J91" s="500" t="s">
        <v>81</v>
      </c>
      <c r="K91" s="432">
        <v>115</v>
      </c>
      <c r="L91" s="36">
        <v>115</v>
      </c>
      <c r="M91" s="49">
        <v>115</v>
      </c>
      <c r="N91" s="194"/>
    </row>
    <row r="92" spans="1:17" ht="21" customHeight="1" x14ac:dyDescent="0.25">
      <c r="A92" s="76"/>
      <c r="B92" s="69"/>
      <c r="C92" s="75"/>
      <c r="D92" s="836"/>
      <c r="E92" s="51" t="s">
        <v>171</v>
      </c>
      <c r="F92" s="603"/>
      <c r="G92" s="595"/>
      <c r="H92" s="777"/>
      <c r="I92" s="601"/>
      <c r="J92" s="901" t="s">
        <v>193</v>
      </c>
      <c r="K92" s="507">
        <v>7000</v>
      </c>
      <c r="L92" s="478">
        <v>7000</v>
      </c>
      <c r="M92" s="468">
        <v>7000</v>
      </c>
      <c r="N92" s="194"/>
    </row>
    <row r="93" spans="1:17" ht="15.75" customHeight="1" thickBot="1" x14ac:dyDescent="0.3">
      <c r="A93" s="86"/>
      <c r="B93" s="87"/>
      <c r="C93" s="88"/>
      <c r="D93" s="837"/>
      <c r="E93" s="188"/>
      <c r="F93" s="5" t="s">
        <v>12</v>
      </c>
      <c r="G93" s="17">
        <f>SUM(G85:G86)</f>
        <v>1714.1</v>
      </c>
      <c r="H93" s="41">
        <f>SUM(H85:H86)</f>
        <v>1690.6</v>
      </c>
      <c r="I93" s="565">
        <f>SUM(I85:I86)</f>
        <v>1710.6</v>
      </c>
      <c r="J93" s="902"/>
      <c r="K93" s="331"/>
      <c r="L93" s="170"/>
      <c r="M93" s="484"/>
      <c r="N93" s="194"/>
    </row>
    <row r="94" spans="1:17" ht="26.25" customHeight="1" x14ac:dyDescent="0.25">
      <c r="A94" s="84" t="s">
        <v>10</v>
      </c>
      <c r="B94" s="85" t="s">
        <v>10</v>
      </c>
      <c r="C94" s="67" t="s">
        <v>15</v>
      </c>
      <c r="D94" s="835" t="s">
        <v>44</v>
      </c>
      <c r="E94" s="51" t="s">
        <v>170</v>
      </c>
      <c r="F94" s="3" t="s">
        <v>11</v>
      </c>
      <c r="G94" s="530">
        <v>3.9</v>
      </c>
      <c r="H94" s="460">
        <v>3.9</v>
      </c>
      <c r="I94" s="563">
        <v>3.9</v>
      </c>
      <c r="J94" s="29" t="s">
        <v>70</v>
      </c>
      <c r="K94" s="387">
        <v>10</v>
      </c>
      <c r="L94" s="47">
        <v>10</v>
      </c>
      <c r="M94" s="55">
        <v>10</v>
      </c>
      <c r="N94" s="194"/>
    </row>
    <row r="95" spans="1:17" ht="16.5" customHeight="1" x14ac:dyDescent="0.25">
      <c r="A95" s="76"/>
      <c r="B95" s="69"/>
      <c r="C95" s="75"/>
      <c r="D95" s="836"/>
      <c r="E95" s="51"/>
      <c r="F95" s="432"/>
      <c r="G95" s="531"/>
      <c r="H95" s="461"/>
      <c r="I95" s="564"/>
      <c r="J95" s="7" t="s">
        <v>66</v>
      </c>
      <c r="K95" s="507">
        <v>860</v>
      </c>
      <c r="L95" s="478">
        <v>860</v>
      </c>
      <c r="M95" s="468">
        <v>860</v>
      </c>
      <c r="N95" s="194"/>
    </row>
    <row r="96" spans="1:17" ht="28.5" customHeight="1" x14ac:dyDescent="0.25">
      <c r="A96" s="76"/>
      <c r="B96" s="69"/>
      <c r="C96" s="75"/>
      <c r="D96" s="836"/>
      <c r="E96" s="51"/>
      <c r="F96" s="432"/>
      <c r="G96" s="531"/>
      <c r="H96" s="461"/>
      <c r="I96" s="564"/>
      <c r="J96" s="901" t="s">
        <v>198</v>
      </c>
      <c r="K96" s="507">
        <v>3</v>
      </c>
      <c r="L96" s="478">
        <v>3</v>
      </c>
      <c r="M96" s="468">
        <v>3</v>
      </c>
      <c r="N96" s="194"/>
    </row>
    <row r="97" spans="1:16" ht="13.8" thickBot="1" x14ac:dyDescent="0.3">
      <c r="A97" s="86"/>
      <c r="B97" s="82"/>
      <c r="C97" s="88"/>
      <c r="D97" s="837"/>
      <c r="E97" s="188"/>
      <c r="F97" s="5" t="s">
        <v>12</v>
      </c>
      <c r="G97" s="260">
        <f t="shared" ref="G97:I97" si="0">G94</f>
        <v>3.9</v>
      </c>
      <c r="H97" s="41">
        <f t="shared" si="0"/>
        <v>3.9</v>
      </c>
      <c r="I97" s="261">
        <f t="shared" si="0"/>
        <v>3.9</v>
      </c>
      <c r="J97" s="902"/>
      <c r="K97" s="334"/>
      <c r="L97" s="335"/>
      <c r="M97" s="474"/>
      <c r="N97" s="194"/>
    </row>
    <row r="98" spans="1:16" ht="20.25" customHeight="1" x14ac:dyDescent="0.25">
      <c r="A98" s="84" t="s">
        <v>10</v>
      </c>
      <c r="B98" s="85" t="s">
        <v>10</v>
      </c>
      <c r="C98" s="67" t="s">
        <v>17</v>
      </c>
      <c r="D98" s="835" t="s">
        <v>72</v>
      </c>
      <c r="E98" s="54" t="s">
        <v>170</v>
      </c>
      <c r="F98" s="3" t="s">
        <v>11</v>
      </c>
      <c r="G98" s="530">
        <v>57.3</v>
      </c>
      <c r="H98" s="460">
        <v>61.3</v>
      </c>
      <c r="I98" s="563">
        <v>65.5</v>
      </c>
      <c r="J98" s="925" t="s">
        <v>82</v>
      </c>
      <c r="K98" s="479">
        <v>39</v>
      </c>
      <c r="L98" s="481">
        <v>39</v>
      </c>
      <c r="M98" s="483">
        <v>39</v>
      </c>
      <c r="N98" s="194"/>
    </row>
    <row r="99" spans="1:16" ht="14.25" customHeight="1" thickBot="1" x14ac:dyDescent="0.3">
      <c r="A99" s="86"/>
      <c r="B99" s="87"/>
      <c r="C99" s="88"/>
      <c r="D99" s="837"/>
      <c r="E99" s="188"/>
      <c r="F99" s="5" t="s">
        <v>12</v>
      </c>
      <c r="G99" s="260">
        <f t="shared" ref="G99:I99" si="1">SUM(G98)</f>
        <v>57.3</v>
      </c>
      <c r="H99" s="39">
        <f t="shared" si="1"/>
        <v>61.3</v>
      </c>
      <c r="I99" s="261">
        <f t="shared" si="1"/>
        <v>65.5</v>
      </c>
      <c r="J99" s="902"/>
      <c r="K99" s="338"/>
      <c r="L99" s="335"/>
      <c r="M99" s="474"/>
      <c r="N99" s="194"/>
    </row>
    <row r="100" spans="1:16" ht="28.2" customHeight="1" x14ac:dyDescent="0.25">
      <c r="A100" s="84" t="s">
        <v>10</v>
      </c>
      <c r="B100" s="85" t="s">
        <v>10</v>
      </c>
      <c r="C100" s="67" t="s">
        <v>18</v>
      </c>
      <c r="D100" s="835" t="s">
        <v>129</v>
      </c>
      <c r="E100" s="54" t="s">
        <v>170</v>
      </c>
      <c r="F100" s="3" t="s">
        <v>11</v>
      </c>
      <c r="G100" s="530">
        <v>4.4000000000000004</v>
      </c>
      <c r="H100" s="460">
        <v>4.4000000000000004</v>
      </c>
      <c r="I100" s="563">
        <v>4.4000000000000004</v>
      </c>
      <c r="J100" s="925" t="s">
        <v>128</v>
      </c>
      <c r="K100" s="479">
        <v>1</v>
      </c>
      <c r="L100" s="481">
        <v>1</v>
      </c>
      <c r="M100" s="483">
        <v>1</v>
      </c>
      <c r="N100" s="194"/>
    </row>
    <row r="101" spans="1:16" ht="15.75" customHeight="1" thickBot="1" x14ac:dyDescent="0.3">
      <c r="A101" s="86"/>
      <c r="B101" s="87"/>
      <c r="C101" s="88"/>
      <c r="D101" s="837"/>
      <c r="E101" s="188"/>
      <c r="F101" s="5" t="s">
        <v>12</v>
      </c>
      <c r="G101" s="17">
        <f t="shared" ref="G101:I101" si="2">SUM(G100:G100)</f>
        <v>4.4000000000000004</v>
      </c>
      <c r="H101" s="289">
        <f t="shared" si="2"/>
        <v>4.4000000000000004</v>
      </c>
      <c r="I101" s="261">
        <f t="shared" si="2"/>
        <v>4.4000000000000004</v>
      </c>
      <c r="J101" s="902"/>
      <c r="K101" s="338"/>
      <c r="L101" s="335"/>
      <c r="M101" s="474"/>
      <c r="N101" s="194"/>
    </row>
    <row r="102" spans="1:16" ht="16.2" customHeight="1" x14ac:dyDescent="0.25">
      <c r="A102" s="84" t="s">
        <v>10</v>
      </c>
      <c r="B102" s="85" t="s">
        <v>10</v>
      </c>
      <c r="C102" s="67" t="s">
        <v>58</v>
      </c>
      <c r="D102" s="835" t="s">
        <v>77</v>
      </c>
      <c r="E102" s="189" t="s">
        <v>170</v>
      </c>
      <c r="F102" s="1" t="s">
        <v>11</v>
      </c>
      <c r="G102" s="203">
        <v>5</v>
      </c>
      <c r="H102" s="58">
        <v>8</v>
      </c>
      <c r="I102" s="566">
        <v>5</v>
      </c>
      <c r="J102" s="502" t="s">
        <v>64</v>
      </c>
      <c r="K102" s="1">
        <v>86</v>
      </c>
      <c r="L102" s="234">
        <v>87</v>
      </c>
      <c r="M102" s="540">
        <v>87</v>
      </c>
      <c r="N102" s="194"/>
    </row>
    <row r="103" spans="1:16" ht="13.5" customHeight="1" thickBot="1" x14ac:dyDescent="0.3">
      <c r="A103" s="86"/>
      <c r="B103" s="87"/>
      <c r="C103" s="88"/>
      <c r="D103" s="837"/>
      <c r="E103" s="190"/>
      <c r="F103" s="5" t="s">
        <v>12</v>
      </c>
      <c r="G103" s="17">
        <f t="shared" ref="G103:I103" si="3">SUM(G102)</f>
        <v>5</v>
      </c>
      <c r="H103" s="41">
        <f t="shared" si="3"/>
        <v>8</v>
      </c>
      <c r="I103" s="565">
        <f t="shared" si="3"/>
        <v>5</v>
      </c>
      <c r="J103" s="501"/>
      <c r="K103" s="338"/>
      <c r="L103" s="335"/>
      <c r="M103" s="533"/>
      <c r="N103" s="194"/>
    </row>
    <row r="104" spans="1:16" ht="13.5" customHeight="1" thickBot="1" x14ac:dyDescent="0.3">
      <c r="A104" s="89" t="s">
        <v>10</v>
      </c>
      <c r="B104" s="90" t="s">
        <v>10</v>
      </c>
      <c r="C104" s="882" t="s">
        <v>16</v>
      </c>
      <c r="D104" s="883"/>
      <c r="E104" s="883"/>
      <c r="F104" s="892"/>
      <c r="G104" s="91">
        <f>G84+G93+G99+G101+G103+G97</f>
        <v>147654.79999999996</v>
      </c>
      <c r="H104" s="91">
        <f>H84+H93+H99+H101+H103+H97</f>
        <v>148500.09999999998</v>
      </c>
      <c r="I104" s="91">
        <f>I84+I93+I99+I101+I103+I97</f>
        <v>144939.79999999999</v>
      </c>
      <c r="J104" s="184"/>
      <c r="K104" s="339"/>
      <c r="L104" s="339"/>
      <c r="M104" s="185"/>
      <c r="N104" s="412"/>
    </row>
    <row r="105" spans="1:16" ht="15.75" customHeight="1" thickBot="1" x14ac:dyDescent="0.3">
      <c r="A105" s="89" t="s">
        <v>10</v>
      </c>
      <c r="B105" s="884" t="s">
        <v>5</v>
      </c>
      <c r="C105" s="885"/>
      <c r="D105" s="885"/>
      <c r="E105" s="885"/>
      <c r="F105" s="937"/>
      <c r="G105" s="291">
        <f t="shared" ref="G105:I105" si="4">G104</f>
        <v>147654.79999999996</v>
      </c>
      <c r="H105" s="93">
        <f t="shared" si="4"/>
        <v>148500.09999999998</v>
      </c>
      <c r="I105" s="227">
        <f t="shared" si="4"/>
        <v>144939.79999999999</v>
      </c>
      <c r="J105" s="186"/>
      <c r="K105" s="340"/>
      <c r="L105" s="340"/>
      <c r="M105" s="187"/>
      <c r="N105" s="412"/>
    </row>
    <row r="106" spans="1:16" ht="15.75" customHeight="1" thickBot="1" x14ac:dyDescent="0.3">
      <c r="A106" s="84" t="s">
        <v>13</v>
      </c>
      <c r="B106" s="923" t="s">
        <v>28</v>
      </c>
      <c r="C106" s="924"/>
      <c r="D106" s="924"/>
      <c r="E106" s="924"/>
      <c r="F106" s="924"/>
      <c r="G106" s="924"/>
      <c r="H106" s="924"/>
      <c r="I106" s="924"/>
      <c r="J106" s="924"/>
      <c r="K106" s="341"/>
      <c r="L106" s="341"/>
      <c r="M106" s="285"/>
      <c r="N106" s="409"/>
    </row>
    <row r="107" spans="1:16" ht="15.75" customHeight="1" thickBot="1" x14ac:dyDescent="0.3">
      <c r="A107" s="89" t="s">
        <v>13</v>
      </c>
      <c r="B107" s="94" t="s">
        <v>10</v>
      </c>
      <c r="C107" s="897" t="s">
        <v>24</v>
      </c>
      <c r="D107" s="898"/>
      <c r="E107" s="898"/>
      <c r="F107" s="898"/>
      <c r="G107" s="898"/>
      <c r="H107" s="898"/>
      <c r="I107" s="898"/>
      <c r="J107" s="898"/>
      <c r="K107" s="342"/>
      <c r="L107" s="342"/>
      <c r="M107" s="284"/>
      <c r="N107" s="411"/>
    </row>
    <row r="108" spans="1:16" s="95" customFormat="1" ht="15" customHeight="1" x14ac:dyDescent="0.25">
      <c r="A108" s="944" t="s">
        <v>13</v>
      </c>
      <c r="B108" s="928" t="s">
        <v>10</v>
      </c>
      <c r="C108" s="947" t="s">
        <v>10</v>
      </c>
      <c r="D108" s="835" t="s">
        <v>96</v>
      </c>
      <c r="E108" s="950" t="s">
        <v>235</v>
      </c>
      <c r="F108" s="490" t="s">
        <v>11</v>
      </c>
      <c r="G108" s="585">
        <v>71.8</v>
      </c>
      <c r="H108" s="587">
        <v>71.8</v>
      </c>
      <c r="I108" s="194">
        <v>71.8</v>
      </c>
      <c r="J108" s="925" t="s">
        <v>203</v>
      </c>
      <c r="K108" s="432">
        <v>4</v>
      </c>
      <c r="L108" s="482">
        <v>4</v>
      </c>
      <c r="M108" s="224">
        <v>4</v>
      </c>
      <c r="N108" s="413"/>
    </row>
    <row r="109" spans="1:16" s="95" customFormat="1" ht="8.25" customHeight="1" x14ac:dyDescent="0.25">
      <c r="A109" s="945"/>
      <c r="B109" s="929"/>
      <c r="C109" s="948"/>
      <c r="D109" s="836"/>
      <c r="E109" s="951"/>
      <c r="F109" s="584"/>
      <c r="G109" s="586"/>
      <c r="H109" s="588"/>
      <c r="I109" s="589"/>
      <c r="J109" s="938"/>
      <c r="K109" s="331"/>
      <c r="L109" s="170"/>
      <c r="M109" s="484"/>
      <c r="N109" s="413"/>
    </row>
    <row r="110" spans="1:16" s="95" customFormat="1" ht="14.7" customHeight="1" thickBot="1" x14ac:dyDescent="0.3">
      <c r="A110" s="946"/>
      <c r="B110" s="930"/>
      <c r="C110" s="949"/>
      <c r="D110" s="837"/>
      <c r="E110" s="952"/>
      <c r="F110" s="5" t="s">
        <v>12</v>
      </c>
      <c r="G110" s="17">
        <f>SUM(G108:G109)</f>
        <v>71.8</v>
      </c>
      <c r="H110" s="289">
        <f>SUM(H108:H109)</f>
        <v>71.8</v>
      </c>
      <c r="I110" s="261">
        <f>SUM(I108:I109)</f>
        <v>71.8</v>
      </c>
      <c r="J110" s="902"/>
      <c r="K110" s="338"/>
      <c r="L110" s="330"/>
      <c r="M110" s="262"/>
      <c r="N110" s="413"/>
    </row>
    <row r="111" spans="1:16" ht="16.5" customHeight="1" x14ac:dyDescent="0.25">
      <c r="A111" s="84" t="s">
        <v>13</v>
      </c>
      <c r="B111" s="85" t="s">
        <v>10</v>
      </c>
      <c r="C111" s="67" t="s">
        <v>13</v>
      </c>
      <c r="D111" s="958" t="s">
        <v>123</v>
      </c>
      <c r="E111" s="54"/>
      <c r="F111" s="50" t="s">
        <v>11</v>
      </c>
      <c r="G111" s="209">
        <f>6738.5+68-332.4</f>
        <v>6474.1</v>
      </c>
      <c r="H111" s="53">
        <f>3698.8+50+86.7+6100.6</f>
        <v>9936.1</v>
      </c>
      <c r="I111" s="593">
        <f>4800.3+74.9+5929.1</f>
        <v>10804.3</v>
      </c>
      <c r="J111" s="490"/>
      <c r="K111" s="610"/>
      <c r="L111" s="337"/>
      <c r="M111" s="526"/>
      <c r="N111" s="194"/>
    </row>
    <row r="112" spans="1:16" ht="16.5" customHeight="1" x14ac:dyDescent="0.25">
      <c r="A112" s="76"/>
      <c r="B112" s="69"/>
      <c r="C112" s="75"/>
      <c r="D112" s="910"/>
      <c r="E112" s="51"/>
      <c r="F112" s="542" t="s">
        <v>59</v>
      </c>
      <c r="G112" s="6">
        <f>344.1+674.1+535.2</f>
        <v>1553.4</v>
      </c>
      <c r="H112" s="38"/>
      <c r="I112" s="372"/>
      <c r="J112" s="432"/>
      <c r="K112" s="331"/>
      <c r="L112" s="170"/>
      <c r="M112" s="520"/>
      <c r="N112" s="194"/>
      <c r="P112" s="135"/>
    </row>
    <row r="113" spans="1:16" ht="17.25" customHeight="1" x14ac:dyDescent="0.25">
      <c r="A113" s="76"/>
      <c r="B113" s="69"/>
      <c r="C113" s="75"/>
      <c r="D113" s="536"/>
      <c r="E113" s="51"/>
      <c r="F113" s="542" t="s">
        <v>14</v>
      </c>
      <c r="G113" s="6">
        <f>26.2+596.9</f>
        <v>623.1</v>
      </c>
      <c r="H113" s="38"/>
      <c r="I113" s="372"/>
      <c r="J113" s="432"/>
      <c r="K113" s="331"/>
      <c r="L113" s="170"/>
      <c r="M113" s="520"/>
      <c r="N113" s="194"/>
      <c r="P113" s="135"/>
    </row>
    <row r="114" spans="1:16" ht="16.5" customHeight="1" x14ac:dyDescent="0.25">
      <c r="A114" s="76"/>
      <c r="B114" s="69"/>
      <c r="C114" s="75"/>
      <c r="D114" s="609"/>
      <c r="E114" s="51"/>
      <c r="F114" s="542" t="s">
        <v>61</v>
      </c>
      <c r="G114" s="6">
        <f>296.7+190.7</f>
        <v>487.4</v>
      </c>
      <c r="H114" s="38"/>
      <c r="I114" s="372"/>
      <c r="J114" s="432"/>
      <c r="K114" s="272"/>
      <c r="L114" s="170"/>
      <c r="M114" s="520"/>
      <c r="N114" s="194"/>
    </row>
    <row r="115" spans="1:16" ht="16.5" customHeight="1" x14ac:dyDescent="0.25">
      <c r="A115" s="76"/>
      <c r="B115" s="69"/>
      <c r="C115" s="75"/>
      <c r="D115" s="609"/>
      <c r="E115" s="51"/>
      <c r="F115" s="542" t="s">
        <v>142</v>
      </c>
      <c r="G115" s="6">
        <v>3719.5</v>
      </c>
      <c r="H115" s="38"/>
      <c r="I115" s="372"/>
      <c r="J115" s="432"/>
      <c r="K115" s="331"/>
      <c r="L115" s="170"/>
      <c r="M115" s="520"/>
      <c r="N115" s="194"/>
      <c r="P115" s="135"/>
    </row>
    <row r="116" spans="1:16" ht="16.5" customHeight="1" x14ac:dyDescent="0.25">
      <c r="A116" s="76"/>
      <c r="B116" s="69"/>
      <c r="C116" s="75"/>
      <c r="D116" s="609"/>
      <c r="E116" s="51"/>
      <c r="F116" s="542" t="s">
        <v>243</v>
      </c>
      <c r="G116" s="6">
        <v>230</v>
      </c>
      <c r="H116" s="38"/>
      <c r="I116" s="372"/>
      <c r="J116" s="432"/>
      <c r="K116" s="331"/>
      <c r="L116" s="170"/>
      <c r="M116" s="520"/>
      <c r="N116" s="194"/>
    </row>
    <row r="117" spans="1:16" ht="15" customHeight="1" x14ac:dyDescent="0.25">
      <c r="A117" s="76"/>
      <c r="B117" s="69"/>
      <c r="C117" s="75"/>
      <c r="D117" s="609"/>
      <c r="E117" s="51"/>
      <c r="F117" s="726" t="s">
        <v>110</v>
      </c>
      <c r="G117" s="6">
        <v>125.9</v>
      </c>
      <c r="H117" s="38"/>
      <c r="I117" s="372"/>
      <c r="J117" s="734"/>
      <c r="K117" s="331"/>
      <c r="L117" s="170"/>
      <c r="M117" s="719"/>
      <c r="N117" s="194"/>
    </row>
    <row r="118" spans="1:16" ht="15" customHeight="1" x14ac:dyDescent="0.25">
      <c r="A118" s="76"/>
      <c r="B118" s="69"/>
      <c r="C118" s="75"/>
      <c r="D118" s="609"/>
      <c r="E118" s="51"/>
      <c r="F118" s="726" t="s">
        <v>111</v>
      </c>
      <c r="G118" s="6">
        <v>11.1</v>
      </c>
      <c r="H118" s="38"/>
      <c r="I118" s="372"/>
      <c r="J118" s="734"/>
      <c r="K118" s="331"/>
      <c r="L118" s="170"/>
      <c r="M118" s="719"/>
      <c r="N118" s="194"/>
    </row>
    <row r="119" spans="1:16" ht="15" customHeight="1" x14ac:dyDescent="0.25">
      <c r="A119" s="76"/>
      <c r="B119" s="69"/>
      <c r="C119" s="75"/>
      <c r="D119" s="609"/>
      <c r="E119" s="51"/>
      <c r="F119" s="542" t="s">
        <v>172</v>
      </c>
      <c r="G119" s="6"/>
      <c r="H119" s="38"/>
      <c r="I119" s="372">
        <f>6115-3235</f>
        <v>2880</v>
      </c>
      <c r="J119" s="432"/>
      <c r="K119" s="331"/>
      <c r="L119" s="170"/>
      <c r="M119" s="520"/>
      <c r="N119" s="194"/>
    </row>
    <row r="120" spans="1:16" ht="15.75" customHeight="1" x14ac:dyDescent="0.25">
      <c r="A120" s="76"/>
      <c r="B120" s="69"/>
      <c r="C120" s="75"/>
      <c r="D120" s="609"/>
      <c r="E120" s="51"/>
      <c r="F120" s="4" t="s">
        <v>3</v>
      </c>
      <c r="G120" s="6">
        <v>200</v>
      </c>
      <c r="H120" s="38">
        <v>843</v>
      </c>
      <c r="I120" s="372">
        <v>976.1</v>
      </c>
      <c r="J120" s="432"/>
      <c r="K120" s="331"/>
      <c r="L120" s="170"/>
      <c r="M120" s="520"/>
      <c r="N120" s="194"/>
    </row>
    <row r="121" spans="1:16" s="27" customFormat="1" ht="43.5" customHeight="1" x14ac:dyDescent="0.25">
      <c r="A121" s="96"/>
      <c r="B121" s="97"/>
      <c r="C121" s="98"/>
      <c r="D121" s="28" t="s">
        <v>83</v>
      </c>
      <c r="E121" s="99"/>
      <c r="F121" s="631"/>
      <c r="G121" s="632"/>
      <c r="H121" s="134"/>
      <c r="I121" s="633"/>
      <c r="J121" s="133"/>
      <c r="K121" s="193"/>
      <c r="L121" s="332"/>
      <c r="M121" s="523"/>
      <c r="N121" s="414"/>
    </row>
    <row r="122" spans="1:16" ht="12" customHeight="1" x14ac:dyDescent="0.25">
      <c r="A122" s="76"/>
      <c r="B122" s="69"/>
      <c r="C122" s="75"/>
      <c r="D122" s="838" t="s">
        <v>149</v>
      </c>
      <c r="E122" s="487" t="s">
        <v>119</v>
      </c>
      <c r="F122" s="634" t="s">
        <v>252</v>
      </c>
      <c r="G122" s="635">
        <f>48+674.1</f>
        <v>722.1</v>
      </c>
      <c r="H122" s="763"/>
      <c r="I122" s="764"/>
      <c r="J122" s="942" t="s">
        <v>144</v>
      </c>
      <c r="K122" s="432">
        <v>100</v>
      </c>
      <c r="L122" s="343"/>
      <c r="M122" s="263"/>
      <c r="N122" s="415"/>
    </row>
    <row r="123" spans="1:16" ht="14.25" customHeight="1" x14ac:dyDescent="0.25">
      <c r="A123" s="76"/>
      <c r="B123" s="69"/>
      <c r="C123" s="75"/>
      <c r="D123" s="836"/>
      <c r="E123" s="472" t="s">
        <v>2</v>
      </c>
      <c r="F123" s="634" t="s">
        <v>253</v>
      </c>
      <c r="G123" s="635">
        <v>3719.5</v>
      </c>
      <c r="H123" s="763"/>
      <c r="I123" s="764"/>
      <c r="J123" s="943"/>
      <c r="K123" s="344"/>
      <c r="L123" s="345"/>
      <c r="M123" s="192"/>
      <c r="N123" s="415"/>
    </row>
    <row r="124" spans="1:16" ht="6.75" customHeight="1" x14ac:dyDescent="0.25">
      <c r="A124" s="76"/>
      <c r="B124" s="69"/>
      <c r="C124" s="75"/>
      <c r="D124" s="836"/>
      <c r="E124" s="951" t="s">
        <v>202</v>
      </c>
      <c r="F124" s="634" t="s">
        <v>246</v>
      </c>
      <c r="G124" s="635">
        <f>3072.7</f>
        <v>3072.7</v>
      </c>
      <c r="H124" s="763"/>
      <c r="I124" s="764"/>
      <c r="J124" s="154"/>
      <c r="K124" s="434"/>
      <c r="L124" s="345"/>
      <c r="M124" s="192"/>
      <c r="N124" s="415"/>
    </row>
    <row r="125" spans="1:16" ht="8.25" customHeight="1" x14ac:dyDescent="0.25">
      <c r="A125" s="76"/>
      <c r="B125" s="69"/>
      <c r="C125" s="75"/>
      <c r="D125" s="754"/>
      <c r="E125" s="951"/>
      <c r="F125" s="634" t="s">
        <v>247</v>
      </c>
      <c r="G125" s="635">
        <v>580</v>
      </c>
      <c r="H125" s="763"/>
      <c r="I125" s="764"/>
      <c r="J125" s="154"/>
      <c r="K125" s="434"/>
      <c r="L125" s="345"/>
      <c r="M125" s="192"/>
      <c r="N125" s="415"/>
    </row>
    <row r="126" spans="1:16" ht="3" customHeight="1" x14ac:dyDescent="0.25">
      <c r="A126" s="76"/>
      <c r="B126" s="69"/>
      <c r="C126" s="75"/>
      <c r="D126" s="455"/>
      <c r="E126" s="951"/>
      <c r="F126" s="634" t="s">
        <v>254</v>
      </c>
      <c r="G126" s="635">
        <v>230</v>
      </c>
      <c r="H126" s="763"/>
      <c r="I126" s="764"/>
      <c r="J126" s="154"/>
      <c r="K126" s="434"/>
      <c r="L126" s="345"/>
      <c r="M126" s="192"/>
      <c r="N126" s="415"/>
    </row>
    <row r="127" spans="1:16" ht="6" customHeight="1" x14ac:dyDescent="0.25">
      <c r="A127" s="76"/>
      <c r="B127" s="69"/>
      <c r="C127" s="75"/>
      <c r="D127" s="754"/>
      <c r="E127" s="936"/>
      <c r="F127" s="634" t="s">
        <v>255</v>
      </c>
      <c r="G127" s="635">
        <v>200</v>
      </c>
      <c r="H127" s="763"/>
      <c r="I127" s="764"/>
      <c r="J127" s="154"/>
      <c r="K127" s="434"/>
      <c r="L127" s="345"/>
      <c r="M127" s="449"/>
      <c r="N127" s="415"/>
    </row>
    <row r="128" spans="1:16" ht="18" customHeight="1" x14ac:dyDescent="0.25">
      <c r="A128" s="76"/>
      <c r="B128" s="69"/>
      <c r="C128" s="70"/>
      <c r="D128" s="838" t="s">
        <v>277</v>
      </c>
      <c r="E128" s="487" t="s">
        <v>171</v>
      </c>
      <c r="F128" s="598" t="s">
        <v>246</v>
      </c>
      <c r="G128" s="600">
        <f>975-650</f>
        <v>325</v>
      </c>
      <c r="H128" s="471">
        <f>1110+350</f>
        <v>1460</v>
      </c>
      <c r="I128" s="599">
        <v>1405</v>
      </c>
      <c r="J128" s="33" t="s">
        <v>87</v>
      </c>
      <c r="K128" s="259">
        <v>1</v>
      </c>
      <c r="L128" s="36">
        <v>3</v>
      </c>
      <c r="M128" s="237">
        <v>1</v>
      </c>
      <c r="N128" s="906"/>
      <c r="O128" s="906"/>
    </row>
    <row r="129" spans="1:15" ht="17.25" customHeight="1" x14ac:dyDescent="0.25">
      <c r="A129" s="76"/>
      <c r="B129" s="69"/>
      <c r="C129" s="70"/>
      <c r="D129" s="836"/>
      <c r="E129" s="51" t="s">
        <v>170</v>
      </c>
      <c r="F129" s="598" t="s">
        <v>252</v>
      </c>
      <c r="G129" s="600">
        <v>146.1</v>
      </c>
      <c r="H129" s="471"/>
      <c r="I129" s="599"/>
      <c r="J129" s="7" t="s">
        <v>137</v>
      </c>
      <c r="K129" s="517">
        <v>1</v>
      </c>
      <c r="L129" s="376">
        <v>3</v>
      </c>
      <c r="M129" s="153">
        <v>3</v>
      </c>
      <c r="N129" s="194"/>
      <c r="O129" s="9"/>
    </row>
    <row r="130" spans="1:15" ht="20.399999999999999" customHeight="1" x14ac:dyDescent="0.25">
      <c r="A130" s="76"/>
      <c r="B130" s="69"/>
      <c r="C130" s="70"/>
      <c r="D130" s="836"/>
      <c r="E130" s="51" t="s">
        <v>2</v>
      </c>
      <c r="F130" s="598"/>
      <c r="G130" s="600"/>
      <c r="H130" s="471"/>
      <c r="I130" s="599"/>
      <c r="J130" s="30"/>
      <c r="K130" s="435"/>
      <c r="L130" s="346"/>
      <c r="M130" s="155"/>
      <c r="N130" s="194"/>
    </row>
    <row r="131" spans="1:15" ht="43.8" customHeight="1" x14ac:dyDescent="0.25">
      <c r="A131" s="76"/>
      <c r="B131" s="69"/>
      <c r="C131" s="70"/>
      <c r="D131" s="839"/>
      <c r="E131" s="51"/>
      <c r="F131" s="598"/>
      <c r="G131" s="595"/>
      <c r="H131" s="471"/>
      <c r="I131" s="601"/>
      <c r="J131" s="30"/>
      <c r="K131" s="435"/>
      <c r="L131" s="346"/>
      <c r="M131" s="155"/>
      <c r="N131" s="194"/>
    </row>
    <row r="132" spans="1:15" ht="18" customHeight="1" x14ac:dyDescent="0.25">
      <c r="A132" s="76"/>
      <c r="B132" s="69"/>
      <c r="C132" s="75"/>
      <c r="D132" s="838" t="s">
        <v>216</v>
      </c>
      <c r="E132" s="487" t="s">
        <v>119</v>
      </c>
      <c r="F132" s="780" t="s">
        <v>246</v>
      </c>
      <c r="G132" s="636">
        <f>37.4-10.3</f>
        <v>27.099999999999998</v>
      </c>
      <c r="H132" s="230"/>
      <c r="I132" s="765"/>
      <c r="J132" s="833" t="s">
        <v>194</v>
      </c>
      <c r="K132" s="390">
        <v>4</v>
      </c>
      <c r="L132" s="347"/>
      <c r="M132" s="153"/>
      <c r="N132" s="415"/>
    </row>
    <row r="133" spans="1:15" ht="16.5" customHeight="1" x14ac:dyDescent="0.25">
      <c r="A133" s="76"/>
      <c r="B133" s="69"/>
      <c r="C133" s="75"/>
      <c r="D133" s="836"/>
      <c r="E133" s="472" t="s">
        <v>170</v>
      </c>
      <c r="F133" s="780" t="s">
        <v>250</v>
      </c>
      <c r="G133" s="636">
        <v>128.9</v>
      </c>
      <c r="H133" s="230"/>
      <c r="I133" s="765"/>
      <c r="J133" s="900"/>
      <c r="K133" s="389"/>
      <c r="L133" s="346"/>
      <c r="M133" s="155"/>
      <c r="N133" s="415"/>
    </row>
    <row r="134" spans="1:15" ht="15" customHeight="1" x14ac:dyDescent="0.25">
      <c r="A134" s="76"/>
      <c r="B134" s="69"/>
      <c r="C134" s="75"/>
      <c r="D134" s="836"/>
      <c r="E134" s="472" t="s">
        <v>281</v>
      </c>
      <c r="F134" s="780" t="s">
        <v>247</v>
      </c>
      <c r="G134" s="637">
        <v>11.4</v>
      </c>
      <c r="H134" s="230"/>
      <c r="I134" s="765"/>
      <c r="J134" s="137"/>
      <c r="K134" s="735"/>
      <c r="L134" s="176"/>
      <c r="M134" s="210"/>
      <c r="N134" s="415"/>
    </row>
    <row r="135" spans="1:15" ht="15.75" customHeight="1" x14ac:dyDescent="0.25">
      <c r="A135" s="76"/>
      <c r="B135" s="69"/>
      <c r="C135" s="75"/>
      <c r="D135" s="836"/>
      <c r="E135" s="723"/>
      <c r="F135" s="780" t="s">
        <v>249</v>
      </c>
      <c r="G135" s="637">
        <v>53.3</v>
      </c>
      <c r="H135" s="230"/>
      <c r="I135" s="765"/>
      <c r="J135" s="137"/>
      <c r="K135" s="735"/>
      <c r="L135" s="176"/>
      <c r="M135" s="210"/>
      <c r="N135" s="415"/>
    </row>
    <row r="136" spans="1:15" ht="17.25" customHeight="1" x14ac:dyDescent="0.25">
      <c r="A136" s="76"/>
      <c r="B136" s="69"/>
      <c r="C136" s="75"/>
      <c r="D136" s="839"/>
      <c r="E136" s="723"/>
      <c r="F136" s="780" t="s">
        <v>269</v>
      </c>
      <c r="G136" s="637">
        <v>4.7</v>
      </c>
      <c r="H136" s="230"/>
      <c r="I136" s="765"/>
      <c r="J136" s="137"/>
      <c r="K136" s="735"/>
      <c r="L136" s="176"/>
      <c r="M136" s="210"/>
      <c r="N136" s="415"/>
    </row>
    <row r="137" spans="1:15" ht="15.75" customHeight="1" x14ac:dyDescent="0.25">
      <c r="A137" s="76"/>
      <c r="B137" s="69"/>
      <c r="C137" s="75"/>
      <c r="D137" s="838" t="s">
        <v>280</v>
      </c>
      <c r="E137" s="487" t="s">
        <v>119</v>
      </c>
      <c r="F137" s="613" t="s">
        <v>246</v>
      </c>
      <c r="G137" s="637">
        <v>300</v>
      </c>
      <c r="H137" s="612"/>
      <c r="I137" s="638"/>
      <c r="J137" s="833" t="s">
        <v>166</v>
      </c>
      <c r="K137" s="516">
        <v>2</v>
      </c>
      <c r="L137" s="716">
        <v>3</v>
      </c>
      <c r="M137" s="468"/>
      <c r="N137" s="415"/>
    </row>
    <row r="138" spans="1:15" ht="8.25" customHeight="1" x14ac:dyDescent="0.25">
      <c r="A138" s="76"/>
      <c r="B138" s="69"/>
      <c r="C138" s="75"/>
      <c r="D138" s="836"/>
      <c r="E138" s="951" t="s">
        <v>170</v>
      </c>
      <c r="F138" s="613"/>
      <c r="G138" s="637"/>
      <c r="H138" s="612"/>
      <c r="I138" s="638"/>
      <c r="J138" s="900"/>
      <c r="K138" s="272"/>
      <c r="L138" s="170"/>
      <c r="M138" s="484"/>
      <c r="N138" s="415"/>
    </row>
    <row r="139" spans="1:15" ht="10.5" customHeight="1" x14ac:dyDescent="0.25">
      <c r="A139" s="76"/>
      <c r="B139" s="69"/>
      <c r="C139" s="75"/>
      <c r="D139" s="836"/>
      <c r="E139" s="951"/>
      <c r="F139" s="613" t="s">
        <v>246</v>
      </c>
      <c r="G139" s="637">
        <v>30</v>
      </c>
      <c r="H139" s="612"/>
      <c r="I139" s="638"/>
      <c r="J139" s="900"/>
      <c r="K139" s="715"/>
      <c r="L139" s="170"/>
      <c r="M139" s="714"/>
      <c r="N139" s="415"/>
    </row>
    <row r="140" spans="1:15" ht="6.75" customHeight="1" x14ac:dyDescent="0.25">
      <c r="A140" s="76"/>
      <c r="B140" s="69"/>
      <c r="C140" s="75"/>
      <c r="D140" s="839"/>
      <c r="E140" s="472"/>
      <c r="F140" s="613" t="s">
        <v>252</v>
      </c>
      <c r="G140" s="637">
        <v>150</v>
      </c>
      <c r="H140" s="612"/>
      <c r="I140" s="638"/>
      <c r="J140" s="834"/>
      <c r="K140" s="431"/>
      <c r="L140" s="332"/>
      <c r="M140" s="469"/>
      <c r="N140" s="415"/>
    </row>
    <row r="141" spans="1:15" ht="18" customHeight="1" x14ac:dyDescent="0.25">
      <c r="A141" s="76"/>
      <c r="B141" s="69"/>
      <c r="C141" s="75"/>
      <c r="D141" s="838" t="s">
        <v>217</v>
      </c>
      <c r="E141" s="487" t="s">
        <v>2</v>
      </c>
      <c r="F141" s="780" t="s">
        <v>246</v>
      </c>
      <c r="G141" s="637">
        <f>400-100+200</f>
        <v>500</v>
      </c>
      <c r="H141" s="612">
        <f>100-50</f>
        <v>50</v>
      </c>
      <c r="I141" s="766"/>
      <c r="J141" s="521" t="s">
        <v>144</v>
      </c>
      <c r="K141" s="548">
        <v>50</v>
      </c>
      <c r="L141" s="549">
        <v>100</v>
      </c>
      <c r="M141" s="522"/>
      <c r="N141" s="415"/>
    </row>
    <row r="142" spans="1:15" ht="24.75" customHeight="1" x14ac:dyDescent="0.25">
      <c r="A142" s="76"/>
      <c r="B142" s="69"/>
      <c r="C142" s="75"/>
      <c r="D142" s="839"/>
      <c r="E142" s="514" t="s">
        <v>170</v>
      </c>
      <c r="F142" s="175"/>
      <c r="G142" s="205"/>
      <c r="H142" s="223"/>
      <c r="I142" s="767"/>
      <c r="J142" s="539"/>
      <c r="K142" s="459"/>
      <c r="L142" s="550"/>
      <c r="M142" s="523"/>
      <c r="N142" s="415"/>
    </row>
    <row r="143" spans="1:15" s="25" customFormat="1" ht="27" customHeight="1" x14ac:dyDescent="0.25">
      <c r="A143" s="76"/>
      <c r="B143" s="69"/>
      <c r="C143" s="75"/>
      <c r="D143" s="838" t="s">
        <v>139</v>
      </c>
      <c r="E143" s="487" t="s">
        <v>140</v>
      </c>
      <c r="F143" s="969" t="s">
        <v>255</v>
      </c>
      <c r="G143" s="628"/>
      <c r="H143" s="641">
        <v>843</v>
      </c>
      <c r="I143" s="617"/>
      <c r="J143" s="191" t="s">
        <v>141</v>
      </c>
      <c r="K143" s="350"/>
      <c r="L143" s="391">
        <v>1</v>
      </c>
      <c r="M143" s="293"/>
      <c r="N143" s="196"/>
    </row>
    <row r="144" spans="1:15" s="25" customFormat="1" ht="24.75" customHeight="1" x14ac:dyDescent="0.25">
      <c r="A144" s="76"/>
      <c r="B144" s="69"/>
      <c r="C144" s="75"/>
      <c r="D144" s="839"/>
      <c r="E144" s="514" t="s">
        <v>199</v>
      </c>
      <c r="F144" s="969"/>
      <c r="G144" s="628"/>
      <c r="H144" s="602"/>
      <c r="I144" s="617"/>
      <c r="J144" s="191" t="s">
        <v>144</v>
      </c>
      <c r="K144" s="350"/>
      <c r="L144" s="391">
        <v>100</v>
      </c>
      <c r="M144" s="293"/>
      <c r="N144" s="196"/>
    </row>
    <row r="145" spans="1:17" ht="26.25" customHeight="1" x14ac:dyDescent="0.25">
      <c r="A145" s="76"/>
      <c r="B145" s="69"/>
      <c r="C145" s="75"/>
      <c r="D145" s="838" t="s">
        <v>143</v>
      </c>
      <c r="E145" s="487" t="s">
        <v>169</v>
      </c>
      <c r="F145" s="611" t="s">
        <v>246</v>
      </c>
      <c r="G145" s="640">
        <f>186.9-1.2-132</f>
        <v>53.700000000000017</v>
      </c>
      <c r="H145" s="642">
        <f>119.1+75</f>
        <v>194.1</v>
      </c>
      <c r="I145" s="643">
        <f>119.1+74.9</f>
        <v>194</v>
      </c>
      <c r="J145" s="220" t="s">
        <v>141</v>
      </c>
      <c r="K145" s="436">
        <v>1</v>
      </c>
      <c r="L145" s="349"/>
      <c r="M145" s="49"/>
      <c r="N145" s="416"/>
      <c r="O145" s="896"/>
      <c r="P145" s="896"/>
      <c r="Q145" s="896"/>
    </row>
    <row r="146" spans="1:17" ht="14.25" customHeight="1" x14ac:dyDescent="0.25">
      <c r="A146" s="76"/>
      <c r="B146" s="69"/>
      <c r="C146" s="75"/>
      <c r="D146" s="836"/>
      <c r="E146" s="472" t="s">
        <v>171</v>
      </c>
      <c r="F146" s="780" t="s">
        <v>251</v>
      </c>
      <c r="G146" s="639"/>
      <c r="H146" s="642">
        <v>1275</v>
      </c>
      <c r="I146" s="643">
        <v>1275</v>
      </c>
      <c r="J146" s="392" t="s">
        <v>144</v>
      </c>
      <c r="K146" s="505"/>
      <c r="L146" s="393">
        <v>50</v>
      </c>
      <c r="M146" s="468">
        <v>100</v>
      </c>
      <c r="N146" s="416"/>
      <c r="O146" s="896"/>
      <c r="P146" s="896"/>
      <c r="Q146" s="896"/>
    </row>
    <row r="147" spans="1:17" ht="13.5" customHeight="1" x14ac:dyDescent="0.25">
      <c r="A147" s="76"/>
      <c r="B147" s="69"/>
      <c r="C147" s="75"/>
      <c r="D147" s="839"/>
      <c r="E147" s="514" t="s">
        <v>2</v>
      </c>
      <c r="F147" s="175"/>
      <c r="G147" s="204"/>
      <c r="H147" s="156"/>
      <c r="I147" s="768"/>
      <c r="J147" s="159"/>
      <c r="K147" s="506"/>
      <c r="L147" s="165"/>
      <c r="M147" s="469"/>
      <c r="N147" s="416"/>
    </row>
    <row r="148" spans="1:17" s="25" customFormat="1" ht="15" customHeight="1" x14ac:dyDescent="0.25">
      <c r="A148" s="76"/>
      <c r="B148" s="69"/>
      <c r="C148" s="75"/>
      <c r="D148" s="838" t="s">
        <v>159</v>
      </c>
      <c r="E148" s="487" t="s">
        <v>169</v>
      </c>
      <c r="F148" s="614" t="s">
        <v>246</v>
      </c>
      <c r="G148" s="645"/>
      <c r="H148" s="602"/>
      <c r="I148" s="599">
        <v>58.6</v>
      </c>
      <c r="J148" s="833" t="s">
        <v>144</v>
      </c>
      <c r="K148" s="904"/>
      <c r="L148" s="333"/>
      <c r="M148" s="437">
        <v>100</v>
      </c>
      <c r="N148" s="196"/>
    </row>
    <row r="149" spans="1:17" s="25" customFormat="1" ht="24.75" customHeight="1" x14ac:dyDescent="0.25">
      <c r="A149" s="76"/>
      <c r="B149" s="69"/>
      <c r="C149" s="75"/>
      <c r="D149" s="839"/>
      <c r="E149" s="514" t="s">
        <v>199</v>
      </c>
      <c r="F149" s="614" t="s">
        <v>255</v>
      </c>
      <c r="G149" s="645"/>
      <c r="H149" s="602"/>
      <c r="I149" s="599">
        <v>300</v>
      </c>
      <c r="J149" s="834"/>
      <c r="K149" s="905"/>
      <c r="L149" s="197"/>
      <c r="M149" s="398"/>
      <c r="N149" s="196"/>
    </row>
    <row r="150" spans="1:17" ht="27" customHeight="1" x14ac:dyDescent="0.25">
      <c r="A150" s="76"/>
      <c r="B150" s="69"/>
      <c r="C150" s="75"/>
      <c r="D150" s="838" t="s">
        <v>264</v>
      </c>
      <c r="E150" s="472" t="s">
        <v>227</v>
      </c>
      <c r="F150" s="971" t="s">
        <v>246</v>
      </c>
      <c r="G150" s="644">
        <f>13.5+10.3+1.2</f>
        <v>25</v>
      </c>
      <c r="H150" s="624"/>
      <c r="I150" s="646">
        <v>707.5</v>
      </c>
      <c r="J150" s="327" t="s">
        <v>141</v>
      </c>
      <c r="K150" s="436">
        <v>1</v>
      </c>
      <c r="L150" s="157"/>
      <c r="M150" s="49"/>
      <c r="N150" s="415"/>
      <c r="O150" s="896"/>
      <c r="P150" s="896"/>
      <c r="Q150" s="896"/>
    </row>
    <row r="151" spans="1:17" ht="36" customHeight="1" x14ac:dyDescent="0.25">
      <c r="A151" s="76"/>
      <c r="B151" s="69"/>
      <c r="C151" s="75"/>
      <c r="D151" s="839"/>
      <c r="E151" s="514" t="s">
        <v>234</v>
      </c>
      <c r="F151" s="971"/>
      <c r="G151" s="620"/>
      <c r="H151" s="624"/>
      <c r="I151" s="625"/>
      <c r="J151" s="191" t="s">
        <v>144</v>
      </c>
      <c r="K151" s="264"/>
      <c r="L151" s="36">
        <v>25</v>
      </c>
      <c r="M151" s="469">
        <v>60</v>
      </c>
      <c r="N151" s="415"/>
      <c r="O151" s="896"/>
      <c r="P151" s="896"/>
      <c r="Q151" s="896"/>
    </row>
    <row r="152" spans="1:17" ht="40.5" customHeight="1" x14ac:dyDescent="0.25">
      <c r="A152" s="76"/>
      <c r="B152" s="69"/>
      <c r="C152" s="75"/>
      <c r="D152" s="706" t="s">
        <v>265</v>
      </c>
      <c r="E152" s="709" t="s">
        <v>173</v>
      </c>
      <c r="F152" s="611" t="s">
        <v>246</v>
      </c>
      <c r="G152" s="620"/>
      <c r="H152" s="624">
        <v>50</v>
      </c>
      <c r="I152" s="711"/>
      <c r="J152" s="710" t="s">
        <v>39</v>
      </c>
      <c r="K152" s="459"/>
      <c r="L152" s="224">
        <v>1</v>
      </c>
      <c r="M152" s="707"/>
      <c r="N152" s="415"/>
      <c r="O152" s="708"/>
      <c r="P152" s="708"/>
      <c r="Q152" s="708"/>
    </row>
    <row r="153" spans="1:17" ht="17.25" customHeight="1" x14ac:dyDescent="0.25">
      <c r="A153" s="76"/>
      <c r="B153" s="69"/>
      <c r="C153" s="75"/>
      <c r="D153" s="838" t="s">
        <v>236</v>
      </c>
      <c r="E153" s="583" t="s">
        <v>170</v>
      </c>
      <c r="F153" s="611" t="s">
        <v>246</v>
      </c>
      <c r="G153" s="644"/>
      <c r="H153" s="624">
        <v>81</v>
      </c>
      <c r="I153" s="646">
        <v>83</v>
      </c>
      <c r="J153" s="833" t="s">
        <v>206</v>
      </c>
      <c r="K153" s="821"/>
      <c r="L153" s="823">
        <v>81</v>
      </c>
      <c r="M153" s="819">
        <v>83</v>
      </c>
      <c r="N153" s="415"/>
    </row>
    <row r="154" spans="1:17" ht="21" customHeight="1" x14ac:dyDescent="0.25">
      <c r="A154" s="76"/>
      <c r="B154" s="69"/>
      <c r="C154" s="75"/>
      <c r="D154" s="839"/>
      <c r="E154" s="560"/>
      <c r="F154" s="613"/>
      <c r="G154" s="644"/>
      <c r="H154" s="624"/>
      <c r="I154" s="646"/>
      <c r="J154" s="834"/>
      <c r="K154" s="822"/>
      <c r="L154" s="824"/>
      <c r="M154" s="820"/>
      <c r="N154" s="415"/>
    </row>
    <row r="155" spans="1:17" ht="14.7" customHeight="1" x14ac:dyDescent="0.25">
      <c r="A155" s="73"/>
      <c r="B155" s="69"/>
      <c r="C155" s="75"/>
      <c r="D155" s="970" t="s">
        <v>84</v>
      </c>
      <c r="E155" s="538"/>
      <c r="F155" s="598"/>
      <c r="G155" s="615"/>
      <c r="H155" s="616"/>
      <c r="I155" s="617"/>
      <c r="J155" s="432"/>
      <c r="K155" s="344"/>
      <c r="L155" s="345"/>
      <c r="M155" s="484"/>
      <c r="N155" s="194"/>
    </row>
    <row r="156" spans="1:17" ht="14.7" customHeight="1" x14ac:dyDescent="0.25">
      <c r="A156" s="76"/>
      <c r="B156" s="69"/>
      <c r="C156" s="75"/>
      <c r="D156" s="899"/>
      <c r="E156" s="472"/>
      <c r="F156" s="611"/>
      <c r="G156" s="611"/>
      <c r="H156" s="618"/>
      <c r="I156" s="619"/>
      <c r="J156" s="508"/>
      <c r="K156" s="438"/>
      <c r="L156" s="165"/>
      <c r="M156" s="469"/>
      <c r="N156" s="194"/>
    </row>
    <row r="157" spans="1:17" ht="17.399999999999999" customHeight="1" x14ac:dyDescent="0.25">
      <c r="A157" s="76"/>
      <c r="B157" s="69"/>
      <c r="C157" s="75"/>
      <c r="D157" s="838" t="s">
        <v>104</v>
      </c>
      <c r="E157" s="537" t="s">
        <v>119</v>
      </c>
      <c r="F157" s="780" t="s">
        <v>246</v>
      </c>
      <c r="G157" s="644">
        <v>1911.9</v>
      </c>
      <c r="H157" s="231"/>
      <c r="I157" s="769"/>
      <c r="J157" s="160" t="s">
        <v>63</v>
      </c>
      <c r="K157" s="439">
        <v>100</v>
      </c>
      <c r="L157" s="345"/>
      <c r="M157" s="484"/>
      <c r="N157" s="418"/>
    </row>
    <row r="158" spans="1:17" ht="14.7" customHeight="1" x14ac:dyDescent="0.25">
      <c r="A158" s="76"/>
      <c r="B158" s="69"/>
      <c r="C158" s="75"/>
      <c r="D158" s="836"/>
      <c r="E158" s="472" t="s">
        <v>171</v>
      </c>
      <c r="F158" s="780" t="s">
        <v>250</v>
      </c>
      <c r="G158" s="644">
        <f>167.8+190.7</f>
        <v>358.5</v>
      </c>
      <c r="H158" s="231"/>
      <c r="I158" s="769"/>
      <c r="J158" s="161"/>
      <c r="K158" s="434"/>
      <c r="L158" s="345"/>
      <c r="M158" s="192"/>
      <c r="N158" s="418"/>
    </row>
    <row r="159" spans="1:17" ht="13.5" customHeight="1" x14ac:dyDescent="0.25">
      <c r="A159" s="76"/>
      <c r="B159" s="69"/>
      <c r="C159" s="75"/>
      <c r="D159" s="836"/>
      <c r="E159" s="538" t="s">
        <v>155</v>
      </c>
      <c r="F159" s="780" t="s">
        <v>247</v>
      </c>
      <c r="G159" s="644">
        <f>14.8+16.9</f>
        <v>31.7</v>
      </c>
      <c r="H159" s="231"/>
      <c r="I159" s="769"/>
      <c r="J159" s="161"/>
      <c r="K159" s="331"/>
      <c r="L159" s="170"/>
      <c r="M159" s="484"/>
      <c r="N159" s="418"/>
    </row>
    <row r="160" spans="1:17" ht="9.75" customHeight="1" x14ac:dyDescent="0.25">
      <c r="A160" s="76"/>
      <c r="B160" s="69"/>
      <c r="C160" s="75"/>
      <c r="D160" s="836"/>
      <c r="E160" s="723" t="s">
        <v>2</v>
      </c>
      <c r="F160" s="780" t="s">
        <v>249</v>
      </c>
      <c r="G160" s="644">
        <v>72.599999999999994</v>
      </c>
      <c r="H160" s="231"/>
      <c r="I160" s="769"/>
      <c r="J160" s="161"/>
      <c r="K160" s="272"/>
      <c r="L160" s="170"/>
      <c r="M160" s="719"/>
      <c r="N160" s="418"/>
    </row>
    <row r="161" spans="1:18" ht="3.75" customHeight="1" x14ac:dyDescent="0.25">
      <c r="A161" s="76"/>
      <c r="B161" s="69"/>
      <c r="C161" s="75"/>
      <c r="D161" s="839"/>
      <c r="E161" s="514"/>
      <c r="F161" s="780" t="s">
        <v>269</v>
      </c>
      <c r="G161" s="644">
        <v>6.4</v>
      </c>
      <c r="H161" s="231"/>
      <c r="I161" s="769"/>
      <c r="J161" s="164"/>
      <c r="K161" s="272"/>
      <c r="L161" s="170"/>
      <c r="M161" s="484"/>
      <c r="N161" s="418"/>
    </row>
    <row r="162" spans="1:18" ht="13.95" customHeight="1" x14ac:dyDescent="0.25">
      <c r="A162" s="76"/>
      <c r="B162" s="69"/>
      <c r="C162" s="75"/>
      <c r="D162" s="861" t="s">
        <v>130</v>
      </c>
      <c r="E162" s="472" t="s">
        <v>119</v>
      </c>
      <c r="F162" s="939"/>
      <c r="G162" s="621"/>
      <c r="H162" s="622"/>
      <c r="I162" s="647"/>
      <c r="J162" s="492"/>
      <c r="K162" s="440"/>
      <c r="L162" s="351"/>
      <c r="M162" s="236"/>
      <c r="N162" s="415"/>
    </row>
    <row r="163" spans="1:18" ht="13.95" customHeight="1" x14ac:dyDescent="0.25">
      <c r="A163" s="76"/>
      <c r="B163" s="69"/>
      <c r="C163" s="75"/>
      <c r="D163" s="863"/>
      <c r="E163" s="546"/>
      <c r="F163" s="939"/>
      <c r="G163" s="621"/>
      <c r="H163" s="622"/>
      <c r="I163" s="623"/>
      <c r="J163" s="492"/>
      <c r="K163" s="441"/>
      <c r="L163" s="352"/>
      <c r="M163" s="163"/>
      <c r="N163" s="415"/>
    </row>
    <row r="164" spans="1:18" ht="18" customHeight="1" x14ac:dyDescent="0.25">
      <c r="A164" s="76"/>
      <c r="B164" s="69"/>
      <c r="C164" s="75"/>
      <c r="D164" s="861" t="s">
        <v>266</v>
      </c>
      <c r="E164" s="472" t="s">
        <v>2</v>
      </c>
      <c r="F164" s="780" t="s">
        <v>246</v>
      </c>
      <c r="G164" s="644">
        <f>170.4-1</f>
        <v>169.4</v>
      </c>
      <c r="H164" s="624">
        <v>690.3</v>
      </c>
      <c r="I164" s="646">
        <v>1324.2</v>
      </c>
      <c r="J164" s="220" t="s">
        <v>87</v>
      </c>
      <c r="K164" s="394"/>
      <c r="L164" s="433">
        <v>2</v>
      </c>
      <c r="M164" s="442">
        <v>2</v>
      </c>
      <c r="N164" s="419"/>
      <c r="O164" s="896"/>
      <c r="P164" s="896"/>
      <c r="Q164" s="896"/>
      <c r="R164" s="896"/>
    </row>
    <row r="165" spans="1:18" ht="17.25" customHeight="1" x14ac:dyDescent="0.25">
      <c r="A165" s="76"/>
      <c r="B165" s="69"/>
      <c r="C165" s="75"/>
      <c r="D165" s="862"/>
      <c r="E165" s="951" t="s">
        <v>202</v>
      </c>
      <c r="F165" s="204"/>
      <c r="G165" s="206"/>
      <c r="H165" s="231"/>
      <c r="I165" s="711"/>
      <c r="J165" s="146" t="s">
        <v>144</v>
      </c>
      <c r="K165" s="443">
        <v>25</v>
      </c>
      <c r="L165" s="162">
        <v>55</v>
      </c>
      <c r="M165" s="236">
        <v>70</v>
      </c>
      <c r="N165" s="415"/>
      <c r="O165" s="896"/>
      <c r="P165" s="896"/>
      <c r="Q165" s="896"/>
      <c r="R165" s="896"/>
    </row>
    <row r="166" spans="1:18" ht="30" customHeight="1" x14ac:dyDescent="0.25">
      <c r="A166" s="76"/>
      <c r="B166" s="69"/>
      <c r="C166" s="75"/>
      <c r="D166" s="863"/>
      <c r="E166" s="936"/>
      <c r="F166" s="166"/>
      <c r="G166" s="207"/>
      <c r="H166" s="232"/>
      <c r="I166" s="770"/>
      <c r="J166" s="539"/>
      <c r="K166" s="725"/>
      <c r="L166" s="165"/>
      <c r="M166" s="167"/>
      <c r="N166" s="415"/>
      <c r="O166" s="896"/>
      <c r="P166" s="896"/>
      <c r="Q166" s="896"/>
      <c r="R166" s="896"/>
    </row>
    <row r="167" spans="1:18" ht="24" customHeight="1" x14ac:dyDescent="0.25">
      <c r="A167" s="76"/>
      <c r="B167" s="69"/>
      <c r="C167" s="75"/>
      <c r="D167" s="861" t="s">
        <v>270</v>
      </c>
      <c r="E167" s="723" t="s">
        <v>171</v>
      </c>
      <c r="F167" s="611" t="s">
        <v>246</v>
      </c>
      <c r="G167" s="620">
        <v>1</v>
      </c>
      <c r="H167" s="622"/>
      <c r="I167" s="623"/>
      <c r="J167" s="833" t="s">
        <v>271</v>
      </c>
      <c r="K167" s="459">
        <v>100</v>
      </c>
      <c r="L167" s="345"/>
      <c r="M167" s="155"/>
      <c r="N167" s="415"/>
      <c r="O167" s="722"/>
      <c r="P167" s="722"/>
      <c r="Q167" s="722"/>
      <c r="R167" s="722"/>
    </row>
    <row r="168" spans="1:18" ht="17.25" customHeight="1" x14ac:dyDescent="0.25">
      <c r="A168" s="76"/>
      <c r="B168" s="69"/>
      <c r="C168" s="75"/>
      <c r="D168" s="863"/>
      <c r="E168" s="732" t="s">
        <v>2</v>
      </c>
      <c r="F168" s="166"/>
      <c r="G168" s="207"/>
      <c r="H168" s="622"/>
      <c r="I168" s="623"/>
      <c r="J168" s="834"/>
      <c r="K168" s="344"/>
      <c r="L168" s="345"/>
      <c r="M168" s="155"/>
      <c r="N168" s="415"/>
      <c r="O168" s="722"/>
      <c r="P168" s="722"/>
      <c r="Q168" s="722"/>
      <c r="R168" s="722"/>
    </row>
    <row r="169" spans="1:18" s="25" customFormat="1" ht="29.25" customHeight="1" x14ac:dyDescent="0.25">
      <c r="A169" s="76"/>
      <c r="B169" s="69"/>
      <c r="C169" s="111"/>
      <c r="D169" s="57" t="s">
        <v>145</v>
      </c>
      <c r="E169" s="168" t="s">
        <v>190</v>
      </c>
      <c r="F169" s="648" t="s">
        <v>246</v>
      </c>
      <c r="G169" s="667">
        <f>546.4-200</f>
        <v>346.4</v>
      </c>
      <c r="H169" s="659">
        <f>569.6+200</f>
        <v>769.6</v>
      </c>
      <c r="I169" s="626"/>
      <c r="J169" s="470" t="s">
        <v>144</v>
      </c>
      <c r="K169" s="264">
        <v>87</v>
      </c>
      <c r="L169" s="395">
        <v>100</v>
      </c>
      <c r="M169" s="295"/>
      <c r="N169" s="196"/>
    </row>
    <row r="170" spans="1:18" s="25" customFormat="1" ht="24" customHeight="1" x14ac:dyDescent="0.25">
      <c r="A170" s="76"/>
      <c r="B170" s="69"/>
      <c r="C170" s="75"/>
      <c r="D170" s="861" t="s">
        <v>167</v>
      </c>
      <c r="E170" s="487" t="s">
        <v>168</v>
      </c>
      <c r="F170" s="648" t="s">
        <v>246</v>
      </c>
      <c r="G170" s="667"/>
      <c r="H170" s="659">
        <v>478.8</v>
      </c>
      <c r="I170" s="660">
        <v>392.3</v>
      </c>
      <c r="J170" s="833" t="s">
        <v>144</v>
      </c>
      <c r="K170" s="516"/>
      <c r="L170" s="396">
        <v>50</v>
      </c>
      <c r="M170" s="512">
        <v>100</v>
      </c>
      <c r="N170" s="196"/>
    </row>
    <row r="171" spans="1:18" s="25" customFormat="1" ht="13.5" customHeight="1" x14ac:dyDescent="0.25">
      <c r="A171" s="76"/>
      <c r="B171" s="69"/>
      <c r="C171" s="111"/>
      <c r="D171" s="862"/>
      <c r="E171" s="472" t="s">
        <v>171</v>
      </c>
      <c r="F171" s="627" t="s">
        <v>251</v>
      </c>
      <c r="G171" s="628"/>
      <c r="H171" s="629">
        <v>1960</v>
      </c>
      <c r="I171" s="630">
        <v>1960</v>
      </c>
      <c r="J171" s="900"/>
      <c r="K171" s="353"/>
      <c r="L171" s="354"/>
      <c r="M171" s="294"/>
      <c r="N171" s="196"/>
    </row>
    <row r="172" spans="1:18" s="25" customFormat="1" ht="17.25" customHeight="1" x14ac:dyDescent="0.25">
      <c r="A172" s="76"/>
      <c r="B172" s="69"/>
      <c r="C172" s="75"/>
      <c r="D172" s="863"/>
      <c r="E172" s="546" t="s">
        <v>2</v>
      </c>
      <c r="F172" s="649"/>
      <c r="G172" s="628"/>
      <c r="H172" s="658"/>
      <c r="I172" s="661"/>
      <c r="J172" s="834"/>
      <c r="K172" s="444"/>
      <c r="L172" s="397"/>
      <c r="M172" s="398"/>
      <c r="N172" s="420"/>
    </row>
    <row r="173" spans="1:18" s="25" customFormat="1" ht="27" customHeight="1" x14ac:dyDescent="0.25">
      <c r="A173" s="76"/>
      <c r="B173" s="69"/>
      <c r="C173" s="75"/>
      <c r="D173" s="861" t="s">
        <v>245</v>
      </c>
      <c r="E173" s="538" t="s">
        <v>2</v>
      </c>
      <c r="F173" s="650" t="s">
        <v>246</v>
      </c>
      <c r="G173" s="666">
        <v>44.3</v>
      </c>
      <c r="H173" s="629">
        <v>61.7</v>
      </c>
      <c r="I173" s="630">
        <v>710.6</v>
      </c>
      <c r="J173" s="191" t="s">
        <v>39</v>
      </c>
      <c r="K173" s="445"/>
      <c r="L173" s="391">
        <v>1</v>
      </c>
      <c r="M173" s="293"/>
      <c r="N173" s="896"/>
      <c r="O173" s="903"/>
      <c r="P173" s="903"/>
    </row>
    <row r="174" spans="1:18" s="25" customFormat="1" ht="16.5" customHeight="1" x14ac:dyDescent="0.25">
      <c r="A174" s="76"/>
      <c r="B174" s="69"/>
      <c r="C174" s="75"/>
      <c r="D174" s="862"/>
      <c r="E174" s="538" t="s">
        <v>171</v>
      </c>
      <c r="F174" s="650" t="s">
        <v>251</v>
      </c>
      <c r="G174" s="628"/>
      <c r="H174" s="629"/>
      <c r="I174" s="630">
        <v>2880</v>
      </c>
      <c r="J174" s="458" t="s">
        <v>144</v>
      </c>
      <c r="K174" s="353"/>
      <c r="L174" s="399"/>
      <c r="M174" s="513">
        <v>50</v>
      </c>
      <c r="N174" s="420"/>
    </row>
    <row r="175" spans="1:18" ht="14.25" customHeight="1" x14ac:dyDescent="0.25">
      <c r="A175" s="76"/>
      <c r="B175" s="69"/>
      <c r="C175" s="75"/>
      <c r="D175" s="863"/>
      <c r="E175" s="546" t="s">
        <v>173</v>
      </c>
      <c r="F175" s="652"/>
      <c r="G175" s="665"/>
      <c r="H175" s="657"/>
      <c r="I175" s="662"/>
      <c r="J175" s="470"/>
      <c r="K175" s="506"/>
      <c r="L175" s="165"/>
      <c r="M175" s="167"/>
      <c r="N175" s="415"/>
      <c r="O175" s="896"/>
      <c r="P175" s="896"/>
    </row>
    <row r="176" spans="1:18" ht="27.75" customHeight="1" x14ac:dyDescent="0.25">
      <c r="A176" s="76"/>
      <c r="B176" s="69"/>
      <c r="C176" s="75"/>
      <c r="D176" s="801" t="s">
        <v>278</v>
      </c>
      <c r="E176" s="590" t="s">
        <v>173</v>
      </c>
      <c r="F176" s="652"/>
      <c r="G176" s="665"/>
      <c r="H176" s="657"/>
      <c r="I176" s="662"/>
      <c r="J176" s="804" t="s">
        <v>279</v>
      </c>
      <c r="K176" s="434"/>
      <c r="L176" s="815">
        <v>3</v>
      </c>
      <c r="M176" s="814"/>
      <c r="N176" s="415"/>
      <c r="O176" s="802"/>
      <c r="P176" s="802"/>
    </row>
    <row r="177" spans="1:19" ht="15" customHeight="1" x14ac:dyDescent="0.25">
      <c r="A177" s="76"/>
      <c r="B177" s="69"/>
      <c r="C177" s="75"/>
      <c r="D177" s="970" t="s">
        <v>85</v>
      </c>
      <c r="E177" s="538"/>
      <c r="F177" s="598"/>
      <c r="G177" s="615"/>
      <c r="H177" s="616"/>
      <c r="I177" s="617"/>
      <c r="J177" s="465"/>
      <c r="K177" s="446"/>
      <c r="L177" s="348"/>
      <c r="M177" s="155"/>
      <c r="N177" s="194"/>
      <c r="O177" s="9"/>
      <c r="P177" s="9"/>
      <c r="Q177" s="9"/>
      <c r="R177" s="9"/>
      <c r="S177" s="9"/>
    </row>
    <row r="178" spans="1:19" ht="13.5" customHeight="1" x14ac:dyDescent="0.25">
      <c r="A178" s="76"/>
      <c r="B178" s="69"/>
      <c r="C178" s="75"/>
      <c r="D178" s="899"/>
      <c r="E178" s="546"/>
      <c r="F178" s="598"/>
      <c r="G178" s="615"/>
      <c r="H178" s="616"/>
      <c r="I178" s="617"/>
      <c r="J178" s="503"/>
      <c r="K178" s="506"/>
      <c r="L178" s="165"/>
      <c r="M178" s="167"/>
      <c r="N178" s="194"/>
      <c r="O178" s="895"/>
      <c r="P178" s="895"/>
      <c r="Q178" s="895"/>
      <c r="R178" s="895"/>
      <c r="S178" s="895"/>
    </row>
    <row r="179" spans="1:19" ht="20.25" customHeight="1" x14ac:dyDescent="0.25">
      <c r="A179" s="76"/>
      <c r="B179" s="69"/>
      <c r="C179" s="74"/>
      <c r="D179" s="838" t="s">
        <v>267</v>
      </c>
      <c r="E179" s="472" t="s">
        <v>2</v>
      </c>
      <c r="F179" s="653" t="s">
        <v>255</v>
      </c>
      <c r="G179" s="664"/>
      <c r="H179" s="656"/>
      <c r="I179" s="663">
        <v>676.1</v>
      </c>
      <c r="J179" s="146" t="s">
        <v>144</v>
      </c>
      <c r="K179" s="344"/>
      <c r="L179" s="345"/>
      <c r="M179" s="155">
        <v>30</v>
      </c>
      <c r="N179" s="415"/>
      <c r="O179" s="9"/>
      <c r="P179" s="9"/>
      <c r="Q179" s="9"/>
      <c r="R179" s="9"/>
      <c r="S179" s="9"/>
    </row>
    <row r="180" spans="1:19" ht="21" customHeight="1" x14ac:dyDescent="0.25">
      <c r="A180" s="76"/>
      <c r="B180" s="69"/>
      <c r="C180" s="74"/>
      <c r="D180" s="839"/>
      <c r="E180" s="546" t="s">
        <v>173</v>
      </c>
      <c r="F180" s="652"/>
      <c r="G180" s="665"/>
      <c r="H180" s="657"/>
      <c r="I180" s="662"/>
      <c r="J180" s="328"/>
      <c r="K180" s="725"/>
      <c r="L180" s="165"/>
      <c r="M180" s="167"/>
      <c r="N180" s="415"/>
    </row>
    <row r="181" spans="1:19" ht="57" customHeight="1" x14ac:dyDescent="0.25">
      <c r="A181" s="76"/>
      <c r="B181" s="69"/>
      <c r="C181" s="74"/>
      <c r="D181" s="838" t="s">
        <v>272</v>
      </c>
      <c r="E181" s="723" t="s">
        <v>173</v>
      </c>
      <c r="F181" s="651"/>
      <c r="G181" s="654"/>
      <c r="H181" s="736"/>
      <c r="I181" s="655"/>
      <c r="J181" s="146" t="s">
        <v>273</v>
      </c>
      <c r="K181" s="459">
        <v>1</v>
      </c>
      <c r="L181" s="345"/>
      <c r="M181" s="155"/>
      <c r="N181" s="415"/>
    </row>
    <row r="182" spans="1:19" ht="14.25" customHeight="1" thickBot="1" x14ac:dyDescent="0.3">
      <c r="A182" s="76"/>
      <c r="B182" s="69"/>
      <c r="C182" s="75"/>
      <c r="D182" s="837"/>
      <c r="E182" s="890" t="s">
        <v>37</v>
      </c>
      <c r="F182" s="940"/>
      <c r="G182" s="384">
        <f>SUM(G111:G121)</f>
        <v>13424.5</v>
      </c>
      <c r="H182" s="567">
        <f>SUM(H111:H120)</f>
        <v>10779.1</v>
      </c>
      <c r="I182" s="385">
        <f>SUM(I111:I120)</f>
        <v>14660.4</v>
      </c>
      <c r="J182" s="146"/>
      <c r="K182" s="429"/>
      <c r="L182" s="355"/>
      <c r="M182" s="430"/>
      <c r="N182" s="416"/>
    </row>
    <row r="183" spans="1:19" ht="14.25" customHeight="1" x14ac:dyDescent="0.25">
      <c r="A183" s="84" t="s">
        <v>13</v>
      </c>
      <c r="B183" s="85" t="s">
        <v>10</v>
      </c>
      <c r="C183" s="67" t="s">
        <v>15</v>
      </c>
      <c r="D183" s="958" t="s">
        <v>57</v>
      </c>
      <c r="E183" s="760"/>
      <c r="F183" s="50" t="s">
        <v>11</v>
      </c>
      <c r="G183" s="209">
        <f>721.3+21.6</f>
        <v>742.9</v>
      </c>
      <c r="H183" s="53">
        <v>622.20000000000005</v>
      </c>
      <c r="I183" s="593">
        <v>645</v>
      </c>
      <c r="J183" s="502"/>
      <c r="K183" s="336"/>
      <c r="L183" s="337"/>
      <c r="M183" s="756"/>
      <c r="N183" s="32"/>
      <c r="P183" s="135"/>
    </row>
    <row r="184" spans="1:19" ht="15" customHeight="1" x14ac:dyDescent="0.25">
      <c r="A184" s="76"/>
      <c r="B184" s="69"/>
      <c r="C184" s="75"/>
      <c r="D184" s="911"/>
      <c r="E184" s="759"/>
      <c r="F184" s="4" t="s">
        <v>59</v>
      </c>
      <c r="G184" s="6">
        <v>200</v>
      </c>
      <c r="H184" s="38"/>
      <c r="I184" s="372"/>
      <c r="J184" s="758"/>
      <c r="K184" s="193"/>
      <c r="L184" s="332"/>
      <c r="M184" s="755"/>
      <c r="N184" s="32"/>
      <c r="P184" s="135"/>
    </row>
    <row r="185" spans="1:19" ht="39.75" customHeight="1" x14ac:dyDescent="0.25">
      <c r="A185" s="76"/>
      <c r="B185" s="69"/>
      <c r="C185" s="70"/>
      <c r="D185" s="509" t="s">
        <v>105</v>
      </c>
      <c r="E185" s="546" t="s">
        <v>170</v>
      </c>
      <c r="F185" s="598" t="s">
        <v>246</v>
      </c>
      <c r="G185" s="600">
        <v>176.8</v>
      </c>
      <c r="H185" s="471">
        <v>150</v>
      </c>
      <c r="I185" s="599">
        <v>150</v>
      </c>
      <c r="J185" s="477" t="s">
        <v>64</v>
      </c>
      <c r="K185" s="773">
        <v>16</v>
      </c>
      <c r="L185" s="482">
        <v>14</v>
      </c>
      <c r="M185" s="520">
        <v>15</v>
      </c>
      <c r="N185" s="194"/>
      <c r="P185" s="135"/>
    </row>
    <row r="186" spans="1:19" ht="16.5" customHeight="1" x14ac:dyDescent="0.25">
      <c r="A186" s="76"/>
      <c r="B186" s="69"/>
      <c r="C186" s="100"/>
      <c r="D186" s="838" t="s">
        <v>106</v>
      </c>
      <c r="E186" s="537" t="s">
        <v>170</v>
      </c>
      <c r="F186" s="779" t="s">
        <v>246</v>
      </c>
      <c r="G186" s="776">
        <v>264.60000000000002</v>
      </c>
      <c r="H186" s="471">
        <v>265</v>
      </c>
      <c r="I186" s="599">
        <v>265</v>
      </c>
      <c r="J186" s="466" t="s">
        <v>64</v>
      </c>
      <c r="K186" s="569">
        <v>44</v>
      </c>
      <c r="L186" s="375">
        <v>23</v>
      </c>
      <c r="M186" s="208">
        <v>23</v>
      </c>
      <c r="N186" s="194"/>
    </row>
    <row r="187" spans="1:19" ht="12" customHeight="1" x14ac:dyDescent="0.25">
      <c r="A187" s="76"/>
      <c r="B187" s="69"/>
      <c r="C187" s="147"/>
      <c r="D187" s="839"/>
      <c r="E187" s="546" t="s">
        <v>171</v>
      </c>
      <c r="F187" s="779" t="s">
        <v>252</v>
      </c>
      <c r="G187" s="595">
        <v>200</v>
      </c>
      <c r="H187" s="471"/>
      <c r="I187" s="601"/>
      <c r="J187" s="503"/>
      <c r="K187" s="459"/>
      <c r="L187" s="550"/>
      <c r="M187" s="167"/>
      <c r="N187" s="194"/>
    </row>
    <row r="188" spans="1:19" ht="27.75" customHeight="1" x14ac:dyDescent="0.25">
      <c r="A188" s="76"/>
      <c r="B188" s="69"/>
      <c r="C188" s="147"/>
      <c r="D188" s="19" t="s">
        <v>112</v>
      </c>
      <c r="E188" s="546" t="s">
        <v>202</v>
      </c>
      <c r="F188" s="598" t="s">
        <v>246</v>
      </c>
      <c r="G188" s="600">
        <v>18.600000000000001</v>
      </c>
      <c r="H188" s="471">
        <v>19</v>
      </c>
      <c r="I188" s="599">
        <v>70</v>
      </c>
      <c r="J188" s="477" t="s">
        <v>64</v>
      </c>
      <c r="K188" s="264">
        <v>3</v>
      </c>
      <c r="L188" s="550">
        <v>4</v>
      </c>
      <c r="M188" s="523">
        <v>11</v>
      </c>
      <c r="N188" s="194"/>
    </row>
    <row r="189" spans="1:19" ht="18.75" customHeight="1" x14ac:dyDescent="0.25">
      <c r="A189" s="76"/>
      <c r="B189" s="69"/>
      <c r="C189" s="147"/>
      <c r="D189" s="838" t="s">
        <v>218</v>
      </c>
      <c r="E189" s="935" t="s">
        <v>170</v>
      </c>
      <c r="F189" s="967" t="s">
        <v>246</v>
      </c>
      <c r="G189" s="972">
        <v>93.3</v>
      </c>
      <c r="H189" s="973"/>
      <c r="I189" s="974"/>
      <c r="J189" s="532" t="s">
        <v>258</v>
      </c>
      <c r="K189" s="571">
        <v>5</v>
      </c>
      <c r="L189" s="370"/>
      <c r="M189" s="371"/>
      <c r="N189" s="194"/>
    </row>
    <row r="190" spans="1:19" ht="24" customHeight="1" x14ac:dyDescent="0.25">
      <c r="A190" s="76"/>
      <c r="B190" s="69"/>
      <c r="C190" s="147"/>
      <c r="D190" s="839"/>
      <c r="E190" s="936"/>
      <c r="F190" s="967"/>
      <c r="G190" s="972"/>
      <c r="H190" s="973"/>
      <c r="I190" s="974"/>
      <c r="J190" s="475"/>
      <c r="K190" s="572"/>
      <c r="L190" s="573"/>
      <c r="M190" s="574"/>
      <c r="N190" s="194"/>
    </row>
    <row r="191" spans="1:19" ht="54" customHeight="1" x14ac:dyDescent="0.25">
      <c r="A191" s="76"/>
      <c r="B191" s="69"/>
      <c r="C191" s="147"/>
      <c r="D191" s="453" t="s">
        <v>177</v>
      </c>
      <c r="E191" s="168" t="s">
        <v>170</v>
      </c>
      <c r="F191" s="598" t="s">
        <v>246</v>
      </c>
      <c r="G191" s="600">
        <v>120</v>
      </c>
      <c r="H191" s="471">
        <v>188.2</v>
      </c>
      <c r="I191" s="599">
        <v>160</v>
      </c>
      <c r="J191" s="477" t="s">
        <v>178</v>
      </c>
      <c r="K191" s="568">
        <v>2</v>
      </c>
      <c r="L191" s="157">
        <v>2</v>
      </c>
      <c r="M191" s="400">
        <v>1</v>
      </c>
      <c r="N191" s="194"/>
    </row>
    <row r="192" spans="1:19" s="25" customFormat="1" ht="31.5" customHeight="1" x14ac:dyDescent="0.25">
      <c r="A192" s="76"/>
      <c r="B192" s="69"/>
      <c r="C192" s="296"/>
      <c r="D192" s="838" t="s">
        <v>221</v>
      </c>
      <c r="E192" s="168" t="s">
        <v>170</v>
      </c>
      <c r="F192" s="604" t="s">
        <v>246</v>
      </c>
      <c r="G192" s="596">
        <f>48+21.6</f>
        <v>69.599999999999994</v>
      </c>
      <c r="H192" s="292"/>
      <c r="I192" s="130"/>
      <c r="J192" s="901" t="s">
        <v>191</v>
      </c>
      <c r="K192" s="432">
        <v>1</v>
      </c>
      <c r="L192" s="333"/>
      <c r="M192" s="295"/>
      <c r="N192" s="417"/>
    </row>
    <row r="193" spans="1:16" ht="14.25" customHeight="1" thickBot="1" x14ac:dyDescent="0.3">
      <c r="A193" s="86"/>
      <c r="B193" s="87"/>
      <c r="C193" s="217"/>
      <c r="D193" s="837"/>
      <c r="E193" s="890" t="s">
        <v>37</v>
      </c>
      <c r="F193" s="891"/>
      <c r="G193" s="384">
        <f>G183+G184</f>
        <v>942.9</v>
      </c>
      <c r="H193" s="136">
        <f>H183</f>
        <v>622.20000000000005</v>
      </c>
      <c r="I193" s="385">
        <f>I183</f>
        <v>645</v>
      </c>
      <c r="J193" s="902"/>
      <c r="K193" s="570"/>
      <c r="L193" s="355"/>
      <c r="M193" s="533"/>
      <c r="N193" s="32"/>
    </row>
    <row r="194" spans="1:16" ht="16.5" customHeight="1" thickBot="1" x14ac:dyDescent="0.3">
      <c r="A194" s="89" t="s">
        <v>13</v>
      </c>
      <c r="B194" s="90" t="s">
        <v>10</v>
      </c>
      <c r="C194" s="882" t="s">
        <v>16</v>
      </c>
      <c r="D194" s="883"/>
      <c r="E194" s="883"/>
      <c r="F194" s="892"/>
      <c r="G194" s="91">
        <f>+G193+G182+G110</f>
        <v>14439.199999999999</v>
      </c>
      <c r="H194" s="92">
        <f>+H193+H182+H110</f>
        <v>11473.1</v>
      </c>
      <c r="I194" s="226">
        <f>+I193+I182+I110</f>
        <v>15377.199999999999</v>
      </c>
      <c r="J194" s="179"/>
      <c r="K194" s="356"/>
      <c r="L194" s="357"/>
      <c r="M194" s="274"/>
      <c r="N194" s="26"/>
    </row>
    <row r="195" spans="1:16" ht="15" customHeight="1" thickBot="1" x14ac:dyDescent="0.3">
      <c r="A195" s="89" t="s">
        <v>13</v>
      </c>
      <c r="B195" s="90" t="s">
        <v>13</v>
      </c>
      <c r="C195" s="897" t="s">
        <v>47</v>
      </c>
      <c r="D195" s="898"/>
      <c r="E195" s="898"/>
      <c r="F195" s="898"/>
      <c r="G195" s="898"/>
      <c r="H195" s="898"/>
      <c r="I195" s="898"/>
      <c r="J195" s="898"/>
      <c r="K195" s="358"/>
      <c r="L195" s="359"/>
      <c r="M195" s="273"/>
      <c r="N195" s="409"/>
    </row>
    <row r="196" spans="1:16" ht="16.2" customHeight="1" x14ac:dyDescent="0.25">
      <c r="A196" s="84" t="s">
        <v>13</v>
      </c>
      <c r="B196" s="85" t="s">
        <v>13</v>
      </c>
      <c r="C196" s="105" t="s">
        <v>10</v>
      </c>
      <c r="D196" s="451" t="s">
        <v>54</v>
      </c>
      <c r="E196" s="547"/>
      <c r="F196" s="297" t="s">
        <v>11</v>
      </c>
      <c r="G196" s="668">
        <f>55.6+6.3</f>
        <v>61.9</v>
      </c>
      <c r="H196" s="669">
        <f>57+200+744.6</f>
        <v>1001.6</v>
      </c>
      <c r="I196" s="670">
        <v>45</v>
      </c>
      <c r="J196" s="502"/>
      <c r="K196" s="608"/>
      <c r="L196" s="360"/>
      <c r="M196" s="526"/>
      <c r="N196" s="194"/>
    </row>
    <row r="197" spans="1:16" ht="16.2" customHeight="1" x14ac:dyDescent="0.25">
      <c r="A197" s="76"/>
      <c r="B197" s="69"/>
      <c r="C197" s="70"/>
      <c r="D197" s="536"/>
      <c r="E197" s="607"/>
      <c r="F197" s="771" t="s">
        <v>59</v>
      </c>
      <c r="G197" s="45">
        <f>1862.6-200-1044.6</f>
        <v>618</v>
      </c>
      <c r="H197" s="150"/>
      <c r="I197" s="772"/>
      <c r="J197" s="534"/>
      <c r="K197" s="605"/>
      <c r="L197" s="606"/>
      <c r="M197" s="520"/>
      <c r="N197" s="194"/>
      <c r="P197" s="135"/>
    </row>
    <row r="198" spans="1:16" ht="18.75" customHeight="1" x14ac:dyDescent="0.25">
      <c r="A198" s="76"/>
      <c r="B198" s="69"/>
      <c r="C198" s="70"/>
      <c r="D198" s="838" t="s">
        <v>219</v>
      </c>
      <c r="E198" s="152" t="s">
        <v>170</v>
      </c>
      <c r="F198" s="675" t="s">
        <v>246</v>
      </c>
      <c r="G198" s="676">
        <v>13.2</v>
      </c>
      <c r="H198" s="672">
        <v>15</v>
      </c>
      <c r="I198" s="677">
        <v>15</v>
      </c>
      <c r="J198" s="477" t="s">
        <v>64</v>
      </c>
      <c r="K198" s="259">
        <v>4</v>
      </c>
      <c r="L198" s="36">
        <v>3</v>
      </c>
      <c r="M198" s="129">
        <v>5</v>
      </c>
      <c r="N198" s="194"/>
    </row>
    <row r="199" spans="1:16" ht="21.75" customHeight="1" x14ac:dyDescent="0.25">
      <c r="A199" s="76"/>
      <c r="B199" s="69"/>
      <c r="C199" s="70"/>
      <c r="D199" s="839"/>
      <c r="E199" s="575"/>
      <c r="F199" s="675"/>
      <c r="G199" s="676"/>
      <c r="H199" s="672"/>
      <c r="I199" s="677"/>
      <c r="J199" s="7" t="s">
        <v>131</v>
      </c>
      <c r="K199" s="542">
        <v>93</v>
      </c>
      <c r="L199" s="554">
        <v>100</v>
      </c>
      <c r="M199" s="523">
        <v>120</v>
      </c>
      <c r="N199" s="194"/>
    </row>
    <row r="200" spans="1:16" s="95" customFormat="1" ht="15.6" customHeight="1" x14ac:dyDescent="0.25">
      <c r="A200" s="494"/>
      <c r="B200" s="104"/>
      <c r="C200" s="106"/>
      <c r="D200" s="893" t="s">
        <v>220</v>
      </c>
      <c r="E200" s="51" t="s">
        <v>170</v>
      </c>
      <c r="F200" s="675" t="s">
        <v>246</v>
      </c>
      <c r="G200" s="671">
        <v>42.4</v>
      </c>
      <c r="H200" s="672">
        <v>42</v>
      </c>
      <c r="I200" s="677">
        <v>30</v>
      </c>
      <c r="J200" s="33" t="s">
        <v>64</v>
      </c>
      <c r="K200" s="4">
        <v>10</v>
      </c>
      <c r="L200" s="36">
        <v>7</v>
      </c>
      <c r="M200" s="49">
        <v>5</v>
      </c>
      <c r="N200" s="194"/>
    </row>
    <row r="201" spans="1:16" s="95" customFormat="1" ht="17.25" customHeight="1" x14ac:dyDescent="0.25">
      <c r="A201" s="494"/>
      <c r="B201" s="104"/>
      <c r="C201" s="106"/>
      <c r="D201" s="894"/>
      <c r="E201" s="72"/>
      <c r="F201" s="678"/>
      <c r="G201" s="671"/>
      <c r="H201" s="672"/>
      <c r="I201" s="673"/>
      <c r="J201" s="33" t="s">
        <v>213</v>
      </c>
      <c r="K201" s="259">
        <v>27</v>
      </c>
      <c r="L201" s="36">
        <v>14</v>
      </c>
      <c r="M201" s="129">
        <v>15</v>
      </c>
      <c r="N201" s="194"/>
    </row>
    <row r="202" spans="1:16" s="95" customFormat="1" ht="28.5" customHeight="1" x14ac:dyDescent="0.25">
      <c r="A202" s="494"/>
      <c r="B202" s="104"/>
      <c r="C202" s="106"/>
      <c r="D202" s="838" t="s">
        <v>223</v>
      </c>
      <c r="E202" s="51" t="s">
        <v>170</v>
      </c>
      <c r="F202" s="679" t="s">
        <v>252</v>
      </c>
      <c r="G202" s="681">
        <v>18</v>
      </c>
      <c r="H202" s="674"/>
      <c r="I202" s="683"/>
      <c r="J202" s="532" t="s">
        <v>224</v>
      </c>
      <c r="K202" s="576">
        <v>1</v>
      </c>
      <c r="L202" s="553"/>
      <c r="M202" s="485"/>
      <c r="N202" s="194"/>
    </row>
    <row r="203" spans="1:16" s="95" customFormat="1" ht="12.75" customHeight="1" x14ac:dyDescent="0.25">
      <c r="A203" s="494"/>
      <c r="B203" s="104"/>
      <c r="C203" s="106"/>
      <c r="D203" s="836"/>
      <c r="E203" s="51"/>
      <c r="F203" s="679" t="s">
        <v>252</v>
      </c>
      <c r="G203" s="681">
        <f>2344.6-500-200</f>
        <v>1644.6</v>
      </c>
      <c r="H203" s="674"/>
      <c r="I203" s="683"/>
      <c r="J203" s="901" t="s">
        <v>179</v>
      </c>
      <c r="K203" s="576">
        <v>2800</v>
      </c>
      <c r="L203" s="774">
        <v>1784</v>
      </c>
      <c r="M203" s="382"/>
      <c r="N203" s="194"/>
    </row>
    <row r="204" spans="1:16" s="95" customFormat="1" ht="4.5" customHeight="1" x14ac:dyDescent="0.25">
      <c r="A204" s="757"/>
      <c r="B204" s="104"/>
      <c r="C204" s="106"/>
      <c r="D204" s="836"/>
      <c r="E204" s="51"/>
      <c r="F204" s="782" t="s">
        <v>246</v>
      </c>
      <c r="G204" s="680"/>
      <c r="H204" s="682">
        <v>200</v>
      </c>
      <c r="I204" s="783"/>
      <c r="J204" s="938"/>
      <c r="K204" s="775"/>
      <c r="L204" s="222"/>
      <c r="M204" s="762"/>
      <c r="N204" s="194"/>
    </row>
    <row r="205" spans="1:16" s="95" customFormat="1" ht="15.6" customHeight="1" thickBot="1" x14ac:dyDescent="0.3">
      <c r="A205" s="494"/>
      <c r="B205" s="104"/>
      <c r="C205" s="106"/>
      <c r="D205" s="837"/>
      <c r="E205" s="51"/>
      <c r="F205" s="5" t="s">
        <v>12</v>
      </c>
      <c r="G205" s="17">
        <f>SUM(G196:G197)</f>
        <v>679.9</v>
      </c>
      <c r="H205" s="41">
        <f>SUM(H196:H197)</f>
        <v>1001.6</v>
      </c>
      <c r="I205" s="565">
        <f>SUM(I196:I197)</f>
        <v>45</v>
      </c>
      <c r="J205" s="34"/>
      <c r="K205" s="338"/>
      <c r="L205" s="335"/>
      <c r="M205" s="486"/>
      <c r="N205" s="194"/>
    </row>
    <row r="206" spans="1:16" s="95" customFormat="1" ht="17.25" customHeight="1" x14ac:dyDescent="0.25">
      <c r="A206" s="493" t="s">
        <v>13</v>
      </c>
      <c r="B206" s="488" t="s">
        <v>13</v>
      </c>
      <c r="C206" s="107" t="s">
        <v>13</v>
      </c>
      <c r="D206" s="958" t="s">
        <v>154</v>
      </c>
      <c r="E206" s="791"/>
      <c r="F206" s="144" t="s">
        <v>11</v>
      </c>
      <c r="G206" s="301">
        <f>167+54.4</f>
        <v>221.4</v>
      </c>
      <c r="H206" s="53">
        <v>136</v>
      </c>
      <c r="I206" s="143"/>
      <c r="J206" s="798"/>
      <c r="K206" s="578"/>
      <c r="L206" s="800"/>
      <c r="M206" s="141"/>
      <c r="N206" s="421"/>
    </row>
    <row r="207" spans="1:16" s="95" customFormat="1" ht="16.5" customHeight="1" x14ac:dyDescent="0.25">
      <c r="A207" s="790"/>
      <c r="B207" s="104"/>
      <c r="C207" s="106"/>
      <c r="D207" s="911"/>
      <c r="E207" s="792"/>
      <c r="F207" s="18" t="s">
        <v>59</v>
      </c>
      <c r="G207" s="177">
        <v>65.7</v>
      </c>
      <c r="H207" s="38"/>
      <c r="I207" s="142"/>
      <c r="J207" s="799"/>
      <c r="K207" s="796"/>
      <c r="L207" s="797"/>
      <c r="M207" s="130"/>
      <c r="N207" s="421"/>
    </row>
    <row r="208" spans="1:16" s="299" customFormat="1" ht="16.95" customHeight="1" x14ac:dyDescent="0.25">
      <c r="A208" s="494"/>
      <c r="B208" s="104"/>
      <c r="C208" s="322"/>
      <c r="D208" s="838" t="s">
        <v>98</v>
      </c>
      <c r="E208" s="472" t="s">
        <v>170</v>
      </c>
      <c r="F208" s="979" t="s">
        <v>246</v>
      </c>
      <c r="G208" s="600">
        <v>52</v>
      </c>
      <c r="H208" s="980">
        <v>36</v>
      </c>
      <c r="I208" s="687"/>
      <c r="J208" s="7" t="s">
        <v>68</v>
      </c>
      <c r="K208" s="259">
        <v>15</v>
      </c>
      <c r="L208" s="373">
        <v>11</v>
      </c>
      <c r="M208" s="300"/>
      <c r="N208" s="422"/>
    </row>
    <row r="209" spans="1:16" s="299" customFormat="1" ht="16.95" customHeight="1" x14ac:dyDescent="0.25">
      <c r="A209" s="494"/>
      <c r="B209" s="104"/>
      <c r="C209" s="322"/>
      <c r="D209" s="839"/>
      <c r="E209" s="577"/>
      <c r="F209" s="979"/>
      <c r="G209" s="600"/>
      <c r="H209" s="980"/>
      <c r="I209" s="686"/>
      <c r="J209" s="33" t="s">
        <v>116</v>
      </c>
      <c r="K209" s="259">
        <v>52</v>
      </c>
      <c r="L209" s="374">
        <v>36</v>
      </c>
      <c r="M209" s="321"/>
      <c r="N209" s="423"/>
    </row>
    <row r="210" spans="1:16" s="95" customFormat="1" ht="17.25" customHeight="1" x14ac:dyDescent="0.25">
      <c r="A210" s="494"/>
      <c r="B210" s="104"/>
      <c r="C210" s="322"/>
      <c r="D210" s="838" t="s">
        <v>180</v>
      </c>
      <c r="E210" s="537" t="s">
        <v>170</v>
      </c>
      <c r="F210" s="603" t="s">
        <v>246</v>
      </c>
      <c r="G210" s="600">
        <v>100</v>
      </c>
      <c r="H210" s="471">
        <v>100</v>
      </c>
      <c r="I210" s="599"/>
      <c r="J210" s="7" t="s">
        <v>116</v>
      </c>
      <c r="K210" s="259">
        <v>100</v>
      </c>
      <c r="L210" s="36">
        <v>100</v>
      </c>
      <c r="M210" s="129"/>
      <c r="N210" s="194"/>
    </row>
    <row r="211" spans="1:16" s="95" customFormat="1" ht="24.75" customHeight="1" x14ac:dyDescent="0.25">
      <c r="A211" s="494"/>
      <c r="B211" s="104"/>
      <c r="C211" s="106"/>
      <c r="D211" s="836"/>
      <c r="E211" s="472"/>
      <c r="F211" s="603"/>
      <c r="G211" s="685"/>
      <c r="H211" s="471"/>
      <c r="I211" s="599"/>
      <c r="J211" s="33" t="s">
        <v>64</v>
      </c>
      <c r="K211" s="542">
        <v>50</v>
      </c>
      <c r="L211" s="554">
        <v>50</v>
      </c>
      <c r="M211" s="49"/>
      <c r="N211" s="194"/>
    </row>
    <row r="212" spans="1:16" s="95" customFormat="1" ht="16.5" customHeight="1" x14ac:dyDescent="0.25">
      <c r="A212" s="494"/>
      <c r="B212" s="104"/>
      <c r="C212" s="106"/>
      <c r="D212" s="838" t="s">
        <v>132</v>
      </c>
      <c r="E212" s="561" t="s">
        <v>170</v>
      </c>
      <c r="F212" s="598" t="s">
        <v>246</v>
      </c>
      <c r="G212" s="684">
        <v>15</v>
      </c>
      <c r="H212" s="471"/>
      <c r="I212" s="601"/>
      <c r="J212" s="131" t="s">
        <v>64</v>
      </c>
      <c r="K212" s="432">
        <v>5</v>
      </c>
      <c r="L212" s="554"/>
      <c r="M212" s="520"/>
      <c r="N212" s="194"/>
    </row>
    <row r="213" spans="1:16" s="95" customFormat="1" ht="15.75" customHeight="1" x14ac:dyDescent="0.25">
      <c r="A213" s="494"/>
      <c r="B213" s="104"/>
      <c r="C213" s="106"/>
      <c r="D213" s="836"/>
      <c r="E213" s="559"/>
      <c r="F213" s="603"/>
      <c r="G213" s="685"/>
      <c r="H213" s="471"/>
      <c r="I213" s="601"/>
      <c r="J213" s="33" t="s">
        <v>116</v>
      </c>
      <c r="K213" s="541">
        <v>5</v>
      </c>
      <c r="L213" s="553"/>
      <c r="M213" s="522"/>
      <c r="N213" s="194"/>
    </row>
    <row r="214" spans="1:16" s="95" customFormat="1" ht="12.75" customHeight="1" x14ac:dyDescent="0.25">
      <c r="A214" s="494"/>
      <c r="B214" s="104"/>
      <c r="C214" s="106"/>
      <c r="D214" s="839"/>
      <c r="E214" s="562"/>
      <c r="F214" s="603"/>
      <c r="G214" s="595"/>
      <c r="H214" s="751"/>
      <c r="I214" s="752"/>
      <c r="J214" s="33" t="s">
        <v>238</v>
      </c>
      <c r="K214" s="4">
        <v>5</v>
      </c>
      <c r="L214" s="36"/>
      <c r="M214" s="49"/>
      <c r="N214" s="194"/>
    </row>
    <row r="215" spans="1:16" s="95" customFormat="1" ht="14.25" customHeight="1" x14ac:dyDescent="0.25">
      <c r="A215" s="745"/>
      <c r="B215" s="104"/>
      <c r="C215" s="106"/>
      <c r="D215" s="838" t="s">
        <v>97</v>
      </c>
      <c r="E215" s="51" t="s">
        <v>170</v>
      </c>
      <c r="F215" s="603" t="s">
        <v>246</v>
      </c>
      <c r="G215" s="595">
        <v>54.4</v>
      </c>
      <c r="H215" s="461"/>
      <c r="I215" s="787"/>
      <c r="J215" s="33" t="s">
        <v>238</v>
      </c>
      <c r="K215" s="4">
        <v>10</v>
      </c>
      <c r="L215" s="36"/>
      <c r="M215" s="49"/>
      <c r="N215" s="194"/>
    </row>
    <row r="216" spans="1:16" s="95" customFormat="1" ht="27" customHeight="1" x14ac:dyDescent="0.25">
      <c r="A216" s="745"/>
      <c r="B216" s="104"/>
      <c r="C216" s="106"/>
      <c r="D216" s="836"/>
      <c r="E216" s="51"/>
      <c r="F216" s="603" t="s">
        <v>252</v>
      </c>
      <c r="G216" s="595">
        <v>65.7</v>
      </c>
      <c r="H216" s="461"/>
      <c r="I216" s="787"/>
      <c r="J216" s="33" t="s">
        <v>276</v>
      </c>
      <c r="K216" s="4">
        <v>10</v>
      </c>
      <c r="L216" s="36"/>
      <c r="M216" s="49"/>
      <c r="N216" s="194"/>
    </row>
    <row r="217" spans="1:16" s="95" customFormat="1" ht="14.25" customHeight="1" x14ac:dyDescent="0.25">
      <c r="A217" s="745"/>
      <c r="B217" s="104"/>
      <c r="C217" s="106"/>
      <c r="D217" s="836"/>
      <c r="E217" s="51"/>
      <c r="F217" s="793"/>
      <c r="G217" s="789"/>
      <c r="H217" s="461"/>
      <c r="I217" s="788"/>
      <c r="J217" s="30" t="s">
        <v>116</v>
      </c>
      <c r="K217" s="753">
        <v>240</v>
      </c>
      <c r="L217" s="750"/>
      <c r="M217" s="743"/>
      <c r="N217" s="194"/>
    </row>
    <row r="218" spans="1:16" s="95" customFormat="1" ht="14.25" customHeight="1" thickBot="1" x14ac:dyDescent="0.3">
      <c r="A218" s="495"/>
      <c r="B218" s="489"/>
      <c r="C218" s="108"/>
      <c r="D218" s="837"/>
      <c r="E218" s="556"/>
      <c r="F218" s="5" t="s">
        <v>12</v>
      </c>
      <c r="G218" s="265">
        <f>G206+G207</f>
        <v>287.10000000000002</v>
      </c>
      <c r="H218" s="44">
        <f>H206</f>
        <v>136</v>
      </c>
      <c r="I218" s="266">
        <f>SUM(I208:I214)</f>
        <v>0</v>
      </c>
      <c r="J218" s="178"/>
      <c r="K218" s="338"/>
      <c r="L218" s="335"/>
      <c r="M218" s="533"/>
      <c r="N218" s="194"/>
    </row>
    <row r="219" spans="1:16" ht="15.75" customHeight="1" thickBot="1" x14ac:dyDescent="0.3">
      <c r="A219" s="89" t="s">
        <v>13</v>
      </c>
      <c r="B219" s="87" t="s">
        <v>13</v>
      </c>
      <c r="C219" s="882" t="s">
        <v>16</v>
      </c>
      <c r="D219" s="883"/>
      <c r="E219" s="883"/>
      <c r="F219" s="892"/>
      <c r="G219" s="109">
        <f>G205+G218</f>
        <v>967</v>
      </c>
      <c r="H219" s="302">
        <f>H205+H218</f>
        <v>1137.5999999999999</v>
      </c>
      <c r="I219" s="290">
        <f>I205+I218</f>
        <v>45</v>
      </c>
      <c r="J219" s="286"/>
      <c r="K219" s="361"/>
      <c r="L219" s="362"/>
      <c r="M219" s="287"/>
      <c r="N219" s="26"/>
      <c r="P219" s="9"/>
    </row>
    <row r="220" spans="1:16" ht="15.75" customHeight="1" thickBot="1" x14ac:dyDescent="0.3">
      <c r="A220" s="89" t="s">
        <v>13</v>
      </c>
      <c r="B220" s="110" t="s">
        <v>15</v>
      </c>
      <c r="C220" s="864" t="s">
        <v>25</v>
      </c>
      <c r="D220" s="865"/>
      <c r="E220" s="865"/>
      <c r="F220" s="865"/>
      <c r="G220" s="865"/>
      <c r="H220" s="865"/>
      <c r="I220" s="865"/>
      <c r="J220" s="865"/>
      <c r="K220" s="363"/>
      <c r="L220" s="362"/>
      <c r="M220" s="287"/>
      <c r="N220" s="409"/>
    </row>
    <row r="221" spans="1:16" ht="16.5" customHeight="1" x14ac:dyDescent="0.25">
      <c r="A221" s="84" t="s">
        <v>13</v>
      </c>
      <c r="B221" s="85" t="s">
        <v>15</v>
      </c>
      <c r="C221" s="67" t="s">
        <v>10</v>
      </c>
      <c r="D221" s="859" t="s">
        <v>26</v>
      </c>
      <c r="E221" s="201"/>
      <c r="F221" s="689" t="s">
        <v>11</v>
      </c>
      <c r="G221" s="692">
        <f>1673.3+152.8+328.6</f>
        <v>2154.6999999999998</v>
      </c>
      <c r="H221" s="693">
        <f>2026.1-2.9</f>
        <v>2023.1999999999998</v>
      </c>
      <c r="I221" s="694">
        <f>1715.6-2.9</f>
        <v>1712.6999999999998</v>
      </c>
      <c r="J221" s="139"/>
      <c r="K221" s="336"/>
      <c r="L221" s="337"/>
      <c r="M221" s="141"/>
      <c r="N221" s="194"/>
    </row>
    <row r="222" spans="1:16" ht="15" customHeight="1" x14ac:dyDescent="0.25">
      <c r="A222" s="76"/>
      <c r="B222" s="69"/>
      <c r="C222" s="75"/>
      <c r="D222" s="860"/>
      <c r="E222" s="688"/>
      <c r="F222" s="690" t="s">
        <v>59</v>
      </c>
      <c r="G222" s="2">
        <v>58.9</v>
      </c>
      <c r="H222" s="40"/>
      <c r="I222" s="695"/>
      <c r="J222" s="140"/>
      <c r="K222" s="331"/>
      <c r="L222" s="170"/>
      <c r="M222" s="103"/>
      <c r="N222" s="194"/>
    </row>
    <row r="223" spans="1:16" ht="16.5" customHeight="1" x14ac:dyDescent="0.25">
      <c r="A223" s="76"/>
      <c r="B223" s="69"/>
      <c r="C223" s="75"/>
      <c r="D223" s="860"/>
      <c r="E223" s="738"/>
      <c r="F223" s="690" t="s">
        <v>14</v>
      </c>
      <c r="G223" s="2">
        <v>2.9</v>
      </c>
      <c r="H223" s="40">
        <v>2.9</v>
      </c>
      <c r="I223" s="695">
        <v>2.9</v>
      </c>
      <c r="J223" s="140"/>
      <c r="K223" s="740"/>
      <c r="L223" s="741"/>
      <c r="M223" s="103"/>
      <c r="N223" s="424"/>
    </row>
    <row r="224" spans="1:16" ht="16.5" customHeight="1" x14ac:dyDescent="0.25">
      <c r="A224" s="76"/>
      <c r="B224" s="69"/>
      <c r="C224" s="75"/>
      <c r="D224" s="731"/>
      <c r="E224" s="739"/>
      <c r="F224" s="690" t="s">
        <v>136</v>
      </c>
      <c r="G224" s="2">
        <f>48.9+4.9</f>
        <v>53.8</v>
      </c>
      <c r="H224" s="40"/>
      <c r="I224" s="695"/>
      <c r="J224" s="140"/>
      <c r="K224" s="737"/>
      <c r="L224" s="364"/>
      <c r="M224" s="130"/>
      <c r="N224" s="424"/>
    </row>
    <row r="225" spans="1:16" ht="28.5" customHeight="1" x14ac:dyDescent="0.25">
      <c r="A225" s="76"/>
      <c r="B225" s="69"/>
      <c r="C225" s="111"/>
      <c r="D225" s="509" t="s">
        <v>207</v>
      </c>
      <c r="E225" s="590" t="s">
        <v>170</v>
      </c>
      <c r="F225" s="779" t="s">
        <v>246</v>
      </c>
      <c r="G225" s="776">
        <f>899-200-199+122.1</f>
        <v>622.1</v>
      </c>
      <c r="H225" s="777">
        <f>729-199</f>
        <v>530</v>
      </c>
      <c r="I225" s="778">
        <f>729-199</f>
        <v>530</v>
      </c>
      <c r="J225" s="33" t="s">
        <v>195</v>
      </c>
      <c r="K225" s="542">
        <v>35</v>
      </c>
      <c r="L225" s="554">
        <v>18</v>
      </c>
      <c r="M225" s="130">
        <v>18</v>
      </c>
      <c r="N225" s="194"/>
      <c r="O225" s="135"/>
    </row>
    <row r="226" spans="1:16" s="112" customFormat="1" ht="16.5" customHeight="1" x14ac:dyDescent="0.25">
      <c r="A226" s="76"/>
      <c r="B226" s="69"/>
      <c r="C226" s="111"/>
      <c r="D226" s="838" t="s">
        <v>55</v>
      </c>
      <c r="E226" s="511" t="s">
        <v>170</v>
      </c>
      <c r="F226" s="598" t="s">
        <v>246</v>
      </c>
      <c r="G226" s="600">
        <v>31.8</v>
      </c>
      <c r="H226" s="471">
        <v>34.6</v>
      </c>
      <c r="I226" s="599">
        <v>34.6</v>
      </c>
      <c r="J226" s="500" t="s">
        <v>64</v>
      </c>
      <c r="K226" s="551">
        <v>93</v>
      </c>
      <c r="L226" s="388">
        <v>93</v>
      </c>
      <c r="M226" s="485">
        <v>93</v>
      </c>
      <c r="N226" s="194"/>
      <c r="P226" s="691"/>
    </row>
    <row r="227" spans="1:16" s="112" customFormat="1" ht="12" customHeight="1" x14ac:dyDescent="0.25">
      <c r="A227" s="76"/>
      <c r="B227" s="69"/>
      <c r="C227" s="111"/>
      <c r="D227" s="839"/>
      <c r="E227" s="497"/>
      <c r="F227" s="598" t="s">
        <v>252</v>
      </c>
      <c r="G227" s="600">
        <v>2.8</v>
      </c>
      <c r="H227" s="471"/>
      <c r="I227" s="599"/>
      <c r="J227" s="535"/>
      <c r="K227" s="193"/>
      <c r="L227" s="364"/>
      <c r="M227" s="130"/>
      <c r="N227" s="194"/>
    </row>
    <row r="228" spans="1:16" ht="27" customHeight="1" x14ac:dyDescent="0.25">
      <c r="A228" s="76"/>
      <c r="B228" s="69"/>
      <c r="C228" s="111"/>
      <c r="D228" s="31" t="s">
        <v>30</v>
      </c>
      <c r="E228" s="168" t="s">
        <v>170</v>
      </c>
      <c r="F228" s="779" t="s">
        <v>246</v>
      </c>
      <c r="G228" s="776">
        <f>120+15</f>
        <v>135</v>
      </c>
      <c r="H228" s="777">
        <v>120</v>
      </c>
      <c r="I228" s="778">
        <v>120</v>
      </c>
      <c r="J228" s="477" t="s">
        <v>214</v>
      </c>
      <c r="K228" s="259">
        <v>32</v>
      </c>
      <c r="L228" s="36">
        <v>31</v>
      </c>
      <c r="M228" s="103">
        <v>31</v>
      </c>
      <c r="N228" s="194"/>
    </row>
    <row r="229" spans="1:16" ht="29.25" customHeight="1" x14ac:dyDescent="0.25">
      <c r="A229" s="76"/>
      <c r="B229" s="69"/>
      <c r="C229" s="111"/>
      <c r="D229" s="182" t="s">
        <v>32</v>
      </c>
      <c r="E229" s="544" t="s">
        <v>170</v>
      </c>
      <c r="F229" s="598" t="s">
        <v>246</v>
      </c>
      <c r="G229" s="600">
        <v>56</v>
      </c>
      <c r="H229" s="471">
        <f>56-20</f>
        <v>36</v>
      </c>
      <c r="I229" s="599">
        <f>56-20</f>
        <v>36</v>
      </c>
      <c r="J229" s="503" t="s">
        <v>196</v>
      </c>
      <c r="K229" s="552">
        <v>4</v>
      </c>
      <c r="L229" s="554">
        <v>3</v>
      </c>
      <c r="M229" s="49">
        <v>3</v>
      </c>
      <c r="N229" s="194"/>
    </row>
    <row r="230" spans="1:16" ht="17.25" customHeight="1" x14ac:dyDescent="0.25">
      <c r="A230" s="76"/>
      <c r="B230" s="69"/>
      <c r="C230" s="111"/>
      <c r="D230" s="182"/>
      <c r="E230" s="511"/>
      <c r="F230" s="603" t="s">
        <v>246</v>
      </c>
      <c r="G230" s="600">
        <v>20</v>
      </c>
      <c r="H230" s="471"/>
      <c r="I230" s="599"/>
      <c r="J230" s="503" t="s">
        <v>231</v>
      </c>
      <c r="K230" s="259">
        <v>1</v>
      </c>
      <c r="L230" s="36"/>
      <c r="M230" s="49"/>
      <c r="N230" s="194"/>
    </row>
    <row r="231" spans="1:16" ht="27.75" customHeight="1" x14ac:dyDescent="0.25">
      <c r="A231" s="76"/>
      <c r="B231" s="69"/>
      <c r="C231" s="111"/>
      <c r="D231" s="510"/>
      <c r="E231" s="497"/>
      <c r="F231" s="598" t="s">
        <v>246</v>
      </c>
      <c r="G231" s="600"/>
      <c r="H231" s="471">
        <v>100</v>
      </c>
      <c r="I231" s="599"/>
      <c r="J231" s="503" t="s">
        <v>195</v>
      </c>
      <c r="K231" s="480"/>
      <c r="L231" s="482">
        <v>1</v>
      </c>
      <c r="M231" s="49"/>
      <c r="N231" s="194"/>
    </row>
    <row r="232" spans="1:16" ht="18" customHeight="1" x14ac:dyDescent="0.25">
      <c r="A232" s="76"/>
      <c r="B232" s="69"/>
      <c r="C232" s="111"/>
      <c r="D232" s="19" t="s">
        <v>29</v>
      </c>
      <c r="E232" s="212" t="s">
        <v>170</v>
      </c>
      <c r="F232" s="598" t="s">
        <v>246</v>
      </c>
      <c r="G232" s="600">
        <v>18</v>
      </c>
      <c r="H232" s="471">
        <v>18</v>
      </c>
      <c r="I232" s="599">
        <v>18</v>
      </c>
      <c r="J232" s="477" t="s">
        <v>33</v>
      </c>
      <c r="K232" s="524">
        <v>38</v>
      </c>
      <c r="L232" s="525">
        <v>38</v>
      </c>
      <c r="M232" s="142">
        <v>38</v>
      </c>
      <c r="N232" s="194"/>
    </row>
    <row r="233" spans="1:16" ht="14.25" customHeight="1" x14ac:dyDescent="0.25">
      <c r="A233" s="76"/>
      <c r="B233" s="69"/>
      <c r="C233" s="75"/>
      <c r="D233" s="453" t="s">
        <v>31</v>
      </c>
      <c r="E233" s="472" t="s">
        <v>170</v>
      </c>
      <c r="F233" s="779" t="s">
        <v>246</v>
      </c>
      <c r="G233" s="681">
        <f>248-2.2</f>
        <v>245.8</v>
      </c>
      <c r="H233" s="674">
        <f>270-2.9</f>
        <v>267.10000000000002</v>
      </c>
      <c r="I233" s="683">
        <f>270-2.9</f>
        <v>267.10000000000002</v>
      </c>
      <c r="J233" s="901" t="s">
        <v>86</v>
      </c>
      <c r="K233" s="541">
        <v>102</v>
      </c>
      <c r="L233" s="553">
        <v>102</v>
      </c>
      <c r="M233" s="485">
        <v>103</v>
      </c>
      <c r="N233" s="194"/>
    </row>
    <row r="234" spans="1:16" ht="7.5" customHeight="1" x14ac:dyDescent="0.25">
      <c r="A234" s="76"/>
      <c r="B234" s="69"/>
      <c r="C234" s="75"/>
      <c r="D234" s="455"/>
      <c r="E234" s="472"/>
      <c r="F234" s="779" t="s">
        <v>252</v>
      </c>
      <c r="G234" s="681">
        <v>22</v>
      </c>
      <c r="H234" s="674"/>
      <c r="I234" s="683"/>
      <c r="J234" s="938"/>
      <c r="K234" s="272"/>
      <c r="L234" s="170"/>
      <c r="M234" s="103"/>
      <c r="N234" s="194"/>
    </row>
    <row r="235" spans="1:16" ht="6.6" customHeight="1" x14ac:dyDescent="0.25">
      <c r="A235" s="76"/>
      <c r="B235" s="69"/>
      <c r="C235" s="75"/>
      <c r="D235" s="457"/>
      <c r="E235" s="218"/>
      <c r="F235" s="679" t="s">
        <v>247</v>
      </c>
      <c r="G235" s="681">
        <v>2.9</v>
      </c>
      <c r="H235" s="674">
        <v>2.9</v>
      </c>
      <c r="I235" s="683">
        <v>2.9</v>
      </c>
      <c r="J235" s="968"/>
      <c r="K235" s="331"/>
      <c r="L235" s="170"/>
      <c r="M235" s="103"/>
      <c r="N235" s="194"/>
    </row>
    <row r="236" spans="1:16" ht="28.5" customHeight="1" x14ac:dyDescent="0.25">
      <c r="A236" s="76"/>
      <c r="B236" s="69"/>
      <c r="C236" s="111"/>
      <c r="D236" s="182" t="s">
        <v>36</v>
      </c>
      <c r="E236" s="212" t="s">
        <v>170</v>
      </c>
      <c r="F236" s="679" t="s">
        <v>246</v>
      </c>
      <c r="G236" s="681">
        <f>180-30-65</f>
        <v>85</v>
      </c>
      <c r="H236" s="674">
        <f>180-30</f>
        <v>150</v>
      </c>
      <c r="I236" s="683">
        <f>180-30</f>
        <v>150</v>
      </c>
      <c r="J236" s="33" t="s">
        <v>64</v>
      </c>
      <c r="K236" s="259">
        <v>5</v>
      </c>
      <c r="L236" s="36">
        <v>5</v>
      </c>
      <c r="M236" s="129">
        <v>5</v>
      </c>
      <c r="N236" s="194"/>
    </row>
    <row r="237" spans="1:16" ht="29.25" customHeight="1" x14ac:dyDescent="0.25">
      <c r="A237" s="76"/>
      <c r="B237" s="69"/>
      <c r="C237" s="111"/>
      <c r="D237" s="31" t="s">
        <v>125</v>
      </c>
      <c r="E237" s="514" t="s">
        <v>170</v>
      </c>
      <c r="F237" s="679" t="s">
        <v>246</v>
      </c>
      <c r="G237" s="681">
        <f>370-109.7-60.3</f>
        <v>200</v>
      </c>
      <c r="H237" s="674">
        <f>370-109.7-60.3</f>
        <v>200</v>
      </c>
      <c r="I237" s="683">
        <f>370-109.7-60.3</f>
        <v>200</v>
      </c>
      <c r="J237" s="33" t="s">
        <v>64</v>
      </c>
      <c r="K237" s="4">
        <v>7</v>
      </c>
      <c r="L237" s="36">
        <v>7</v>
      </c>
      <c r="M237" s="129">
        <v>7</v>
      </c>
      <c r="N237" s="194"/>
    </row>
    <row r="238" spans="1:16" ht="15" customHeight="1" x14ac:dyDescent="0.25">
      <c r="A238" s="76"/>
      <c r="B238" s="69"/>
      <c r="C238" s="111"/>
      <c r="D238" s="717" t="s">
        <v>51</v>
      </c>
      <c r="E238" s="723" t="s">
        <v>170</v>
      </c>
      <c r="F238" s="679" t="s">
        <v>246</v>
      </c>
      <c r="G238" s="681">
        <f>300-99.5+55+65</f>
        <v>320.5</v>
      </c>
      <c r="H238" s="674">
        <f>300-99.5</f>
        <v>200.5</v>
      </c>
      <c r="I238" s="683">
        <f>300-99.5</f>
        <v>200.5</v>
      </c>
      <c r="J238" s="48" t="s">
        <v>64</v>
      </c>
      <c r="K238" s="541">
        <v>12</v>
      </c>
      <c r="L238" s="553">
        <v>7</v>
      </c>
      <c r="M238" s="485">
        <v>7</v>
      </c>
      <c r="N238" s="194"/>
    </row>
    <row r="239" spans="1:16" ht="13.5" customHeight="1" x14ac:dyDescent="0.25">
      <c r="A239" s="76"/>
      <c r="B239" s="69"/>
      <c r="C239" s="75"/>
      <c r="D239" s="718"/>
      <c r="E239" s="732"/>
      <c r="F239" s="679" t="s">
        <v>274</v>
      </c>
      <c r="G239" s="681">
        <v>48.9</v>
      </c>
      <c r="H239" s="674"/>
      <c r="I239" s="683"/>
      <c r="J239" s="558"/>
      <c r="K239" s="728"/>
      <c r="L239" s="730"/>
      <c r="M239" s="130"/>
      <c r="N239" s="194"/>
    </row>
    <row r="240" spans="1:16" ht="16.5" customHeight="1" x14ac:dyDescent="0.25">
      <c r="A240" s="76"/>
      <c r="B240" s="69"/>
      <c r="C240" s="75"/>
      <c r="D240" s="838" t="s">
        <v>208</v>
      </c>
      <c r="E240" s="935" t="s">
        <v>170</v>
      </c>
      <c r="F240" s="598" t="s">
        <v>246</v>
      </c>
      <c r="G240" s="681">
        <v>24</v>
      </c>
      <c r="H240" s="674">
        <v>262</v>
      </c>
      <c r="I240" s="683">
        <v>51.5</v>
      </c>
      <c r="J240" s="466" t="s">
        <v>88</v>
      </c>
      <c r="K240" s="4">
        <v>2</v>
      </c>
      <c r="L240" s="36">
        <v>1</v>
      </c>
      <c r="M240" s="129"/>
      <c r="N240" s="194"/>
    </row>
    <row r="241" spans="1:16" ht="27" customHeight="1" x14ac:dyDescent="0.25">
      <c r="A241" s="76"/>
      <c r="B241" s="69"/>
      <c r="C241" s="75"/>
      <c r="D241" s="839"/>
      <c r="E241" s="936"/>
      <c r="F241" s="598" t="s">
        <v>252</v>
      </c>
      <c r="G241" s="600">
        <v>34.1</v>
      </c>
      <c r="H241" s="471"/>
      <c r="I241" s="599"/>
      <c r="J241" s="477" t="s">
        <v>91</v>
      </c>
      <c r="K241" s="542">
        <v>2</v>
      </c>
      <c r="L241" s="554">
        <v>2</v>
      </c>
      <c r="M241" s="130">
        <v>1</v>
      </c>
      <c r="N241" s="194"/>
    </row>
    <row r="242" spans="1:16" ht="27" customHeight="1" x14ac:dyDescent="0.25">
      <c r="A242" s="76"/>
      <c r="B242" s="69"/>
      <c r="C242" s="75"/>
      <c r="D242" s="19" t="s">
        <v>76</v>
      </c>
      <c r="E242" s="168" t="s">
        <v>170</v>
      </c>
      <c r="F242" s="779" t="s">
        <v>246</v>
      </c>
      <c r="G242" s="681">
        <f>40-17</f>
        <v>23</v>
      </c>
      <c r="H242" s="674">
        <v>40</v>
      </c>
      <c r="I242" s="683">
        <v>40</v>
      </c>
      <c r="J242" s="500" t="s">
        <v>64</v>
      </c>
      <c r="K242" s="4">
        <v>33</v>
      </c>
      <c r="L242" s="36">
        <v>33</v>
      </c>
      <c r="M242" s="238">
        <v>33</v>
      </c>
      <c r="N242" s="194"/>
    </row>
    <row r="243" spans="1:16" ht="18" customHeight="1" x14ac:dyDescent="0.25">
      <c r="A243" s="76"/>
      <c r="B243" s="69"/>
      <c r="C243" s="75"/>
      <c r="D243" s="19" t="s">
        <v>209</v>
      </c>
      <c r="E243" s="472" t="s">
        <v>170</v>
      </c>
      <c r="F243" s="779" t="s">
        <v>246</v>
      </c>
      <c r="G243" s="681">
        <f>110-60-16.9</f>
        <v>33.1</v>
      </c>
      <c r="H243" s="674">
        <f>110-60</f>
        <v>50</v>
      </c>
      <c r="I243" s="683">
        <f>110-60</f>
        <v>50</v>
      </c>
      <c r="J243" s="33" t="s">
        <v>64</v>
      </c>
      <c r="K243" s="432">
        <v>1</v>
      </c>
      <c r="L243" s="482">
        <v>1</v>
      </c>
      <c r="M243" s="103">
        <v>1</v>
      </c>
      <c r="N243" s="194"/>
    </row>
    <row r="244" spans="1:16" ht="15" customHeight="1" x14ac:dyDescent="0.25">
      <c r="A244" s="76"/>
      <c r="B244" s="69"/>
      <c r="C244" s="75"/>
      <c r="D244" s="182" t="s">
        <v>204</v>
      </c>
      <c r="E244" s="529" t="s">
        <v>170</v>
      </c>
      <c r="F244" s="594" t="s">
        <v>246</v>
      </c>
      <c r="G244" s="596">
        <f>15-3.2</f>
        <v>11.8</v>
      </c>
      <c r="H244" s="597">
        <v>15</v>
      </c>
      <c r="I244" s="323">
        <v>15</v>
      </c>
      <c r="J244" s="30" t="s">
        <v>64</v>
      </c>
      <c r="K244" s="551">
        <v>90</v>
      </c>
      <c r="L244" s="553">
        <v>90</v>
      </c>
      <c r="M244" s="485">
        <v>90</v>
      </c>
      <c r="N244" s="194"/>
    </row>
    <row r="245" spans="1:16" ht="16.95" customHeight="1" thickBot="1" x14ac:dyDescent="0.3">
      <c r="A245" s="86"/>
      <c r="B245" s="87"/>
      <c r="C245" s="88"/>
      <c r="D245" s="138"/>
      <c r="E245" s="582"/>
      <c r="F245" s="5" t="s">
        <v>12</v>
      </c>
      <c r="G245" s="17">
        <f>SUM(G221:G224)</f>
        <v>2270.3000000000002</v>
      </c>
      <c r="H245" s="41">
        <f>SUM(H221:H223)</f>
        <v>2026.1</v>
      </c>
      <c r="I245" s="39">
        <f>SUM(I221:I223)</f>
        <v>1715.6</v>
      </c>
      <c r="J245" s="34"/>
      <c r="K245" s="338"/>
      <c r="L245" s="335"/>
      <c r="M245" s="486"/>
      <c r="N245" s="194"/>
    </row>
    <row r="246" spans="1:16" s="95" customFormat="1" ht="21" customHeight="1" x14ac:dyDescent="0.25">
      <c r="A246" s="944" t="s">
        <v>13</v>
      </c>
      <c r="B246" s="985" t="s">
        <v>15</v>
      </c>
      <c r="C246" s="106" t="s">
        <v>13</v>
      </c>
      <c r="D246" s="835" t="s">
        <v>115</v>
      </c>
      <c r="E246" s="981" t="s">
        <v>170</v>
      </c>
      <c r="F246" s="22" t="s">
        <v>11</v>
      </c>
      <c r="G246" s="267">
        <v>31.8</v>
      </c>
      <c r="H246" s="174">
        <v>32</v>
      </c>
      <c r="I246" s="173">
        <v>32</v>
      </c>
      <c r="J246" s="925" t="s">
        <v>102</v>
      </c>
      <c r="K246" s="3">
        <v>300</v>
      </c>
      <c r="L246" s="481">
        <v>300</v>
      </c>
      <c r="M246" s="271">
        <v>300</v>
      </c>
      <c r="N246" s="194"/>
    </row>
    <row r="247" spans="1:16" s="95" customFormat="1" ht="14.25" customHeight="1" thickBot="1" x14ac:dyDescent="0.3">
      <c r="A247" s="946"/>
      <c r="B247" s="986"/>
      <c r="C247" s="113"/>
      <c r="D247" s="837"/>
      <c r="E247" s="982"/>
      <c r="F247" s="5" t="s">
        <v>12</v>
      </c>
      <c r="G247" s="265">
        <f t="shared" ref="G247:I247" si="5">SUM(G246:G246)</f>
        <v>31.8</v>
      </c>
      <c r="H247" s="42">
        <f t="shared" si="5"/>
        <v>32</v>
      </c>
      <c r="I247" s="266">
        <f t="shared" si="5"/>
        <v>32</v>
      </c>
      <c r="J247" s="902"/>
      <c r="K247" s="338"/>
      <c r="L247" s="170"/>
      <c r="M247" s="103"/>
      <c r="N247" s="194"/>
    </row>
    <row r="248" spans="1:16" ht="16.5" customHeight="1" x14ac:dyDescent="0.25">
      <c r="A248" s="84" t="s">
        <v>13</v>
      </c>
      <c r="B248" s="85" t="s">
        <v>15</v>
      </c>
      <c r="C248" s="105" t="s">
        <v>15</v>
      </c>
      <c r="D248" s="835" t="s">
        <v>75</v>
      </c>
      <c r="E248" s="981" t="s">
        <v>170</v>
      </c>
      <c r="F248" s="3" t="s">
        <v>11</v>
      </c>
      <c r="G248" s="498">
        <f>50-35.8</f>
        <v>14.200000000000003</v>
      </c>
      <c r="H248" s="460">
        <v>40</v>
      </c>
      <c r="I248" s="43">
        <v>40</v>
      </c>
      <c r="J248" s="29" t="s">
        <v>89</v>
      </c>
      <c r="K248" s="432">
        <v>2</v>
      </c>
      <c r="L248" s="481">
        <v>6</v>
      </c>
      <c r="M248" s="141">
        <v>6</v>
      </c>
      <c r="N248" s="194"/>
    </row>
    <row r="249" spans="1:16" ht="15" customHeight="1" thickBot="1" x14ac:dyDescent="0.3">
      <c r="A249" s="86"/>
      <c r="B249" s="87"/>
      <c r="C249" s="114"/>
      <c r="D249" s="837"/>
      <c r="E249" s="982"/>
      <c r="F249" s="5" t="s">
        <v>12</v>
      </c>
      <c r="G249" s="17">
        <f t="shared" ref="G249:I249" si="6">SUM(G248:G248)</f>
        <v>14.200000000000003</v>
      </c>
      <c r="H249" s="289">
        <f t="shared" si="6"/>
        <v>40</v>
      </c>
      <c r="I249" s="261">
        <f t="shared" si="6"/>
        <v>40</v>
      </c>
      <c r="J249" s="34"/>
      <c r="K249" s="331"/>
      <c r="L249" s="170"/>
      <c r="M249" s="103"/>
      <c r="N249" s="425"/>
    </row>
    <row r="250" spans="1:16" ht="14.25" customHeight="1" x14ac:dyDescent="0.25">
      <c r="A250" s="84" t="s">
        <v>13</v>
      </c>
      <c r="B250" s="85" t="s">
        <v>15</v>
      </c>
      <c r="C250" s="35" t="s">
        <v>17</v>
      </c>
      <c r="D250" s="958" t="s">
        <v>56</v>
      </c>
      <c r="E250" s="115"/>
      <c r="F250" s="50" t="s">
        <v>11</v>
      </c>
      <c r="G250" s="209">
        <f>111-4</f>
        <v>107</v>
      </c>
      <c r="H250" s="53">
        <v>24.8</v>
      </c>
      <c r="I250" s="593">
        <v>24.8</v>
      </c>
      <c r="J250" s="502"/>
      <c r="K250" s="336"/>
      <c r="L250" s="337"/>
      <c r="M250" s="141"/>
      <c r="N250" s="32"/>
    </row>
    <row r="251" spans="1:16" ht="13.5" customHeight="1" x14ac:dyDescent="0.25">
      <c r="A251" s="76"/>
      <c r="B251" s="69"/>
      <c r="C251" s="111"/>
      <c r="D251" s="910"/>
      <c r="E251" s="696"/>
      <c r="F251" s="4" t="s">
        <v>59</v>
      </c>
      <c r="G251" s="6">
        <v>60.5</v>
      </c>
      <c r="H251" s="38"/>
      <c r="I251" s="372"/>
      <c r="J251" s="534"/>
      <c r="K251" s="331"/>
      <c r="L251" s="170"/>
      <c r="M251" s="103"/>
      <c r="N251" s="32"/>
    </row>
    <row r="252" spans="1:16" ht="13.5" customHeight="1" x14ac:dyDescent="0.25">
      <c r="A252" s="76"/>
      <c r="B252" s="69"/>
      <c r="C252" s="111"/>
      <c r="D252" s="746"/>
      <c r="E252" s="696"/>
      <c r="F252" s="4" t="s">
        <v>14</v>
      </c>
      <c r="G252" s="6">
        <v>250.3</v>
      </c>
      <c r="H252" s="38"/>
      <c r="I252" s="372"/>
      <c r="J252" s="744"/>
      <c r="K252" s="193"/>
      <c r="L252" s="170"/>
      <c r="M252" s="103"/>
      <c r="N252" s="32"/>
    </row>
    <row r="253" spans="1:16" s="14" customFormat="1" ht="16.5" customHeight="1" x14ac:dyDescent="0.25">
      <c r="A253" s="76"/>
      <c r="B253" s="69"/>
      <c r="C253" s="102"/>
      <c r="D253" s="861" t="s">
        <v>239</v>
      </c>
      <c r="E253" s="151" t="s">
        <v>170</v>
      </c>
      <c r="F253" s="697" t="s">
        <v>246</v>
      </c>
      <c r="G253" s="681">
        <v>16.8</v>
      </c>
      <c r="H253" s="674">
        <v>17.8</v>
      </c>
      <c r="I253" s="683">
        <v>17.8</v>
      </c>
      <c r="J253" s="931" t="s">
        <v>90</v>
      </c>
      <c r="K253" s="541">
        <v>90</v>
      </c>
      <c r="L253" s="553">
        <v>90</v>
      </c>
      <c r="M253" s="485">
        <v>90</v>
      </c>
      <c r="N253" s="194"/>
      <c r="P253" s="135"/>
    </row>
    <row r="254" spans="1:16" s="14" customFormat="1" ht="16.5" customHeight="1" x14ac:dyDescent="0.25">
      <c r="A254" s="76"/>
      <c r="B254" s="69"/>
      <c r="C254" s="102"/>
      <c r="D254" s="862"/>
      <c r="E254" s="152"/>
      <c r="F254" s="697" t="s">
        <v>252</v>
      </c>
      <c r="G254" s="681">
        <v>1</v>
      </c>
      <c r="H254" s="674"/>
      <c r="I254" s="683"/>
      <c r="J254" s="934"/>
      <c r="K254" s="552"/>
      <c r="L254" s="554"/>
      <c r="M254" s="130"/>
      <c r="N254" s="194"/>
    </row>
    <row r="255" spans="1:16" s="14" customFormat="1" ht="40.5" customHeight="1" x14ac:dyDescent="0.25">
      <c r="A255" s="76"/>
      <c r="B255" s="69"/>
      <c r="C255" s="102"/>
      <c r="D255" s="863"/>
      <c r="E255" s="116"/>
      <c r="F255" s="698" t="s">
        <v>246</v>
      </c>
      <c r="G255" s="681">
        <v>88</v>
      </c>
      <c r="H255" s="674"/>
      <c r="I255" s="683"/>
      <c r="J255" s="171" t="s">
        <v>197</v>
      </c>
      <c r="K255" s="4">
        <v>10</v>
      </c>
      <c r="L255" s="36"/>
      <c r="M255" s="129"/>
      <c r="N255" s="194"/>
    </row>
    <row r="256" spans="1:16" s="14" customFormat="1" ht="28.5" customHeight="1" x14ac:dyDescent="0.25">
      <c r="A256" s="76"/>
      <c r="B256" s="71"/>
      <c r="C256" s="102"/>
      <c r="D256" s="450" t="s">
        <v>242</v>
      </c>
      <c r="E256" s="487" t="s">
        <v>171</v>
      </c>
      <c r="F256" s="697" t="s">
        <v>252</v>
      </c>
      <c r="G256" s="700">
        <v>59.5</v>
      </c>
      <c r="H256" s="777"/>
      <c r="I256" s="778"/>
      <c r="J256" s="202" t="s">
        <v>103</v>
      </c>
      <c r="K256" s="259">
        <v>5</v>
      </c>
      <c r="L256" s="329"/>
      <c r="M256" s="129"/>
      <c r="N256" s="194"/>
      <c r="O256" s="135"/>
    </row>
    <row r="257" spans="1:15" ht="16.5" customHeight="1" x14ac:dyDescent="0.25">
      <c r="A257" s="76"/>
      <c r="B257" s="71"/>
      <c r="C257" s="102"/>
      <c r="D257" s="447"/>
      <c r="E257" s="472" t="s">
        <v>170</v>
      </c>
      <c r="F257" s="697" t="s">
        <v>246</v>
      </c>
      <c r="G257" s="700">
        <v>6.2</v>
      </c>
      <c r="H257" s="784">
        <v>7</v>
      </c>
      <c r="I257" s="785">
        <v>7</v>
      </c>
      <c r="J257" s="931" t="s">
        <v>184</v>
      </c>
      <c r="K257" s="480">
        <v>7</v>
      </c>
      <c r="L257" s="482">
        <v>8</v>
      </c>
      <c r="M257" s="103">
        <v>8</v>
      </c>
      <c r="N257" s="194"/>
      <c r="O257" s="135"/>
    </row>
    <row r="258" spans="1:15" ht="11.25" customHeight="1" x14ac:dyDescent="0.25">
      <c r="A258" s="76"/>
      <c r="B258" s="71"/>
      <c r="C258" s="101"/>
      <c r="D258" s="447"/>
      <c r="E258" s="51"/>
      <c r="F258" s="786" t="s">
        <v>247</v>
      </c>
      <c r="G258" s="699">
        <v>250.3</v>
      </c>
      <c r="H258" s="701"/>
      <c r="I258" s="702"/>
      <c r="J258" s="932"/>
      <c r="K258" s="749"/>
      <c r="L258" s="750"/>
      <c r="M258" s="103"/>
      <c r="N258" s="194"/>
      <c r="O258" s="135"/>
    </row>
    <row r="259" spans="1:15" ht="14.25" customHeight="1" thickBot="1" x14ac:dyDescent="0.3">
      <c r="A259" s="76"/>
      <c r="B259" s="69"/>
      <c r="C259" s="101"/>
      <c r="D259" s="448"/>
      <c r="E259" s="52"/>
      <c r="F259" s="383" t="s">
        <v>12</v>
      </c>
      <c r="G259" s="384">
        <f>SUM(G250:G252)</f>
        <v>417.8</v>
      </c>
      <c r="H259" s="136">
        <f>SUM(H250:H251)</f>
        <v>24.8</v>
      </c>
      <c r="I259" s="385">
        <f>SUM(I250:I251)</f>
        <v>24.8</v>
      </c>
      <c r="J259" s="933"/>
      <c r="K259" s="338"/>
      <c r="L259" s="335"/>
      <c r="M259" s="520"/>
      <c r="N259" s="32"/>
      <c r="O259" s="135"/>
    </row>
    <row r="260" spans="1:15" ht="16.2" customHeight="1" x14ac:dyDescent="0.25">
      <c r="A260" s="84" t="s">
        <v>13</v>
      </c>
      <c r="B260" s="85" t="s">
        <v>15</v>
      </c>
      <c r="C260" s="117" t="s">
        <v>18</v>
      </c>
      <c r="D260" s="128" t="s">
        <v>256</v>
      </c>
      <c r="E260" s="54" t="s">
        <v>170</v>
      </c>
      <c r="F260" s="50" t="s">
        <v>11</v>
      </c>
      <c r="G260" s="209">
        <f>5380-1000-200-139.9+31.6</f>
        <v>4071.7</v>
      </c>
      <c r="H260" s="53">
        <v>6100</v>
      </c>
      <c r="I260" s="80">
        <v>6100</v>
      </c>
      <c r="J260" s="145" t="s">
        <v>237</v>
      </c>
      <c r="K260" s="387">
        <v>90</v>
      </c>
      <c r="L260" s="47">
        <v>90</v>
      </c>
      <c r="M260" s="55">
        <v>90</v>
      </c>
      <c r="N260" s="425"/>
    </row>
    <row r="261" spans="1:15" ht="29.25" customHeight="1" x14ac:dyDescent="0.25">
      <c r="A261" s="76"/>
      <c r="B261" s="69"/>
      <c r="C261" s="70"/>
      <c r="D261" s="182"/>
      <c r="E261" s="51"/>
      <c r="F261" s="18" t="s">
        <v>59</v>
      </c>
      <c r="G261" s="6">
        <v>721.8</v>
      </c>
      <c r="H261" s="38"/>
      <c r="I261" s="372"/>
      <c r="J261" s="33" t="s">
        <v>229</v>
      </c>
      <c r="K261" s="480">
        <v>90</v>
      </c>
      <c r="L261" s="482">
        <v>90</v>
      </c>
      <c r="M261" s="49">
        <v>90</v>
      </c>
      <c r="N261" s="425"/>
    </row>
    <row r="262" spans="1:15" ht="41.25" customHeight="1" x14ac:dyDescent="0.25">
      <c r="A262" s="76"/>
      <c r="B262" s="69"/>
      <c r="C262" s="75"/>
      <c r="D262" s="182"/>
      <c r="E262" s="51"/>
      <c r="F262" s="527" t="s">
        <v>14</v>
      </c>
      <c r="G262" s="198">
        <v>15</v>
      </c>
      <c r="H262" s="235">
        <v>15</v>
      </c>
      <c r="I262" s="268">
        <v>15</v>
      </c>
      <c r="J262" s="30" t="s">
        <v>230</v>
      </c>
      <c r="K262" s="551">
        <v>90</v>
      </c>
      <c r="L262" s="553">
        <v>90</v>
      </c>
      <c r="M262" s="520">
        <v>90</v>
      </c>
      <c r="N262" s="194"/>
    </row>
    <row r="263" spans="1:15" ht="28.2" customHeight="1" x14ac:dyDescent="0.25">
      <c r="A263" s="76"/>
      <c r="B263" s="69"/>
      <c r="C263" s="75"/>
      <c r="D263" s="182"/>
      <c r="E263" s="51"/>
      <c r="F263" s="432"/>
      <c r="G263" s="580"/>
      <c r="H263" s="233"/>
      <c r="I263" s="581"/>
      <c r="J263" s="901" t="s">
        <v>200</v>
      </c>
      <c r="K263" s="551">
        <v>90</v>
      </c>
      <c r="L263" s="553">
        <v>90</v>
      </c>
      <c r="M263" s="522">
        <v>90</v>
      </c>
      <c r="N263" s="194"/>
    </row>
    <row r="264" spans="1:15" ht="15" customHeight="1" thickBot="1" x14ac:dyDescent="0.3">
      <c r="A264" s="76"/>
      <c r="B264" s="69"/>
      <c r="C264" s="101"/>
      <c r="D264" s="454"/>
      <c r="E264" s="52"/>
      <c r="F264" s="23" t="s">
        <v>12</v>
      </c>
      <c r="G264" s="260">
        <f>SUM(G260:G263)</f>
        <v>4808.5</v>
      </c>
      <c r="H264" s="39">
        <f>SUM(H260:H263)</f>
        <v>6115</v>
      </c>
      <c r="I264" s="261">
        <f>SUM(I260:I263)</f>
        <v>6115</v>
      </c>
      <c r="J264" s="902"/>
      <c r="K264" s="269"/>
      <c r="L264" s="579"/>
      <c r="M264" s="533"/>
      <c r="N264" s="32"/>
    </row>
    <row r="265" spans="1:15" ht="14.25" customHeight="1" thickBot="1" x14ac:dyDescent="0.3">
      <c r="A265" s="118" t="s">
        <v>13</v>
      </c>
      <c r="B265" s="119" t="s">
        <v>15</v>
      </c>
      <c r="C265" s="882" t="s">
        <v>16</v>
      </c>
      <c r="D265" s="883"/>
      <c r="E265" s="883"/>
      <c r="F265" s="892"/>
      <c r="G265" s="91">
        <f>G247+G249+G259+G245+G264</f>
        <v>7542.6</v>
      </c>
      <c r="H265" s="302">
        <f>H247+H249+H259+H245+H264</f>
        <v>8237.9</v>
      </c>
      <c r="I265" s="290">
        <f>I247+I249+I259+I245+I264</f>
        <v>7927.4</v>
      </c>
      <c r="J265" s="179"/>
      <c r="K265" s="275"/>
      <c r="L265" s="276"/>
      <c r="M265" s="277"/>
      <c r="N265" s="26"/>
    </row>
    <row r="266" spans="1:15" s="25" customFormat="1" ht="14.25" customHeight="1" thickBot="1" x14ac:dyDescent="0.3">
      <c r="A266" s="118" t="s">
        <v>13</v>
      </c>
      <c r="B266" s="884" t="s">
        <v>5</v>
      </c>
      <c r="C266" s="885"/>
      <c r="D266" s="885"/>
      <c r="E266" s="885"/>
      <c r="F266" s="937"/>
      <c r="G266" s="291">
        <f>G265+G219+G194</f>
        <v>22948.799999999999</v>
      </c>
      <c r="H266" s="228">
        <f>H265+H219+H194</f>
        <v>20848.599999999999</v>
      </c>
      <c r="I266" s="304">
        <f>I265+I219+I194</f>
        <v>23349.599999999999</v>
      </c>
      <c r="J266" s="180"/>
      <c r="K266" s="279"/>
      <c r="L266" s="280"/>
      <c r="M266" s="282"/>
      <c r="N266" s="426"/>
    </row>
    <row r="267" spans="1:15" s="25" customFormat="1" ht="14.25" customHeight="1" thickBot="1" x14ac:dyDescent="0.3">
      <c r="A267" s="120" t="s">
        <v>4</v>
      </c>
      <c r="B267" s="886" t="s">
        <v>6</v>
      </c>
      <c r="C267" s="887"/>
      <c r="D267" s="887"/>
      <c r="E267" s="887"/>
      <c r="F267" s="978"/>
      <c r="G267" s="303">
        <f>G266+G105</f>
        <v>170603.59999999995</v>
      </c>
      <c r="H267" s="229">
        <f>H266+H105</f>
        <v>169348.69999999998</v>
      </c>
      <c r="I267" s="305">
        <f>I266+I105</f>
        <v>168289.4</v>
      </c>
      <c r="J267" s="121"/>
      <c r="K267" s="278"/>
      <c r="L267" s="281"/>
      <c r="M267" s="283"/>
      <c r="N267" s="426"/>
    </row>
    <row r="268" spans="1:15" s="25" customFormat="1" ht="24.75" customHeight="1" x14ac:dyDescent="0.25">
      <c r="A268" s="888" t="s">
        <v>268</v>
      </c>
      <c r="B268" s="888"/>
      <c r="C268" s="888"/>
      <c r="D268" s="888"/>
      <c r="E268" s="888"/>
      <c r="F268" s="888"/>
      <c r="G268" s="888"/>
      <c r="H268" s="888"/>
      <c r="I268" s="888"/>
      <c r="J268" s="888"/>
      <c r="K268" s="270"/>
      <c r="L268" s="270"/>
      <c r="M268" s="219"/>
      <c r="N268" s="32"/>
    </row>
    <row r="269" spans="1:15" s="25" customFormat="1" ht="19.5" customHeight="1" thickBot="1" x14ac:dyDescent="0.3">
      <c r="A269" s="889" t="s">
        <v>0</v>
      </c>
      <c r="B269" s="889"/>
      <c r="C269" s="889"/>
      <c r="D269" s="889"/>
      <c r="E269" s="889"/>
      <c r="F269" s="889"/>
      <c r="G269" s="313"/>
      <c r="H269" s="258"/>
      <c r="I269" s="258"/>
      <c r="J269" s="122"/>
      <c r="K269" s="239"/>
      <c r="L269" s="9"/>
      <c r="M269" s="504"/>
      <c r="N269" s="427"/>
    </row>
    <row r="270" spans="1:15" s="25" customFormat="1" ht="102" customHeight="1" thickBot="1" x14ac:dyDescent="0.3">
      <c r="A270" s="825" t="s">
        <v>1</v>
      </c>
      <c r="B270" s="826"/>
      <c r="C270" s="826"/>
      <c r="D270" s="826"/>
      <c r="E270" s="826"/>
      <c r="F270" s="827"/>
      <c r="G270" s="306" t="s">
        <v>262</v>
      </c>
      <c r="H270" s="149" t="s">
        <v>165</v>
      </c>
      <c r="I270" s="315" t="s">
        <v>225</v>
      </c>
      <c r="J270" s="20"/>
      <c r="K270" s="9"/>
      <c r="L270" s="9"/>
      <c r="M270" s="504"/>
      <c r="N270" s="428"/>
    </row>
    <row r="271" spans="1:15" s="25" customFormat="1" ht="15" customHeight="1" x14ac:dyDescent="0.25">
      <c r="A271" s="843" t="s">
        <v>211</v>
      </c>
      <c r="B271" s="844"/>
      <c r="C271" s="844"/>
      <c r="D271" s="844"/>
      <c r="E271" s="844"/>
      <c r="F271" s="976"/>
      <c r="G271" s="307">
        <f>+G272+G279+G280+G281+G282+G278</f>
        <v>166969.79999999999</v>
      </c>
      <c r="H271" s="123">
        <f>+H272+H279+H280+H281+H282+H278</f>
        <v>163365.70000000001</v>
      </c>
      <c r="I271" s="316">
        <f>+I272+I279+I280+I281+I282+I278</f>
        <v>162453.29999999999</v>
      </c>
      <c r="J271" s="20"/>
      <c r="K271" s="467"/>
      <c r="L271" s="467"/>
      <c r="M271" s="504"/>
      <c r="N271" s="428"/>
    </row>
    <row r="272" spans="1:15" s="25" customFormat="1" ht="15.75" customHeight="1" x14ac:dyDescent="0.25">
      <c r="A272" s="880" t="s">
        <v>109</v>
      </c>
      <c r="B272" s="881"/>
      <c r="C272" s="881"/>
      <c r="D272" s="881"/>
      <c r="E272" s="881"/>
      <c r="F272" s="977"/>
      <c r="G272" s="308">
        <f>SUM(G273:G277)</f>
        <v>162250.80000000002</v>
      </c>
      <c r="H272" s="124">
        <f t="shared" ref="H272:I272" si="7">SUM(H273:H277)</f>
        <v>163365.70000000001</v>
      </c>
      <c r="I272" s="317">
        <f t="shared" si="7"/>
        <v>162453.29999999999</v>
      </c>
      <c r="J272" s="20"/>
      <c r="K272" s="240"/>
      <c r="L272" s="467"/>
      <c r="M272" s="504"/>
      <c r="N272" s="428"/>
      <c r="O272" s="12"/>
    </row>
    <row r="273" spans="1:15" s="25" customFormat="1" ht="14.25" customHeight="1" x14ac:dyDescent="0.25">
      <c r="A273" s="870" t="s">
        <v>150</v>
      </c>
      <c r="B273" s="871"/>
      <c r="C273" s="871"/>
      <c r="D273" s="871"/>
      <c r="E273" s="871"/>
      <c r="F273" s="872"/>
      <c r="G273" s="309">
        <f>SUMIF(F16:F264,"sb",G16:G264)</f>
        <v>70598.200000000012</v>
      </c>
      <c r="H273" s="40">
        <f>SUMIF(F16:F264,"sb",H16:H264)</f>
        <v>76015.800000000017</v>
      </c>
      <c r="I273" s="318">
        <f>SUMIF(F16:F264,"sb",I16:I264)</f>
        <v>75105.8</v>
      </c>
      <c r="J273" s="8"/>
      <c r="K273" s="467"/>
      <c r="L273" s="467"/>
      <c r="M273" s="504"/>
      <c r="N273" s="195"/>
      <c r="O273" s="12"/>
    </row>
    <row r="274" spans="1:15" s="25" customFormat="1" ht="15.75" customHeight="1" x14ac:dyDescent="0.25">
      <c r="A274" s="870" t="s">
        <v>151</v>
      </c>
      <c r="B274" s="871"/>
      <c r="C274" s="871"/>
      <c r="D274" s="871"/>
      <c r="E274" s="871"/>
      <c r="F274" s="872"/>
      <c r="G274" s="309">
        <f>SUMIF(F16:F264,"sb(sp)",G16:G264)</f>
        <v>7250.7</v>
      </c>
      <c r="H274" s="40">
        <f>SUMIF(F16:F264,"sb(sp)",H16:H264)</f>
        <v>7179.5</v>
      </c>
      <c r="I274" s="318">
        <f>SUMIF(F16:F264,"sb(sp)",I16:I264)</f>
        <v>7179.5</v>
      </c>
      <c r="J274" s="13"/>
      <c r="K274" s="21"/>
      <c r="L274" s="21"/>
      <c r="M274" s="21"/>
      <c r="N274" s="195"/>
    </row>
    <row r="275" spans="1:15" s="25" customFormat="1" ht="15.75" customHeight="1" x14ac:dyDescent="0.25">
      <c r="A275" s="870" t="s">
        <v>146</v>
      </c>
      <c r="B275" s="871"/>
      <c r="C275" s="871"/>
      <c r="D275" s="871"/>
      <c r="E275" s="871"/>
      <c r="F275" s="872"/>
      <c r="G275" s="309">
        <f>SUMIF(F16:F264,"sb(p)",G16:G264)</f>
        <v>3719.5</v>
      </c>
      <c r="H275" s="40">
        <f>SUMIF(F16:F264,"sb(p)",H16:H264)</f>
        <v>0</v>
      </c>
      <c r="I275" s="318">
        <f>SUMIF(F16:F264,"sb(p)",I16:I264)</f>
        <v>0</v>
      </c>
      <c r="J275" s="13"/>
      <c r="K275" s="21"/>
      <c r="L275" s="21"/>
      <c r="M275" s="21"/>
      <c r="N275" s="195"/>
    </row>
    <row r="276" spans="1:15" s="25" customFormat="1" ht="15.75" customHeight="1" x14ac:dyDescent="0.25">
      <c r="A276" s="875" t="s">
        <v>152</v>
      </c>
      <c r="B276" s="876"/>
      <c r="C276" s="876"/>
      <c r="D276" s="876"/>
      <c r="E276" s="876"/>
      <c r="F276" s="984"/>
      <c r="G276" s="309">
        <f>SUMIF(F16:F263,"sb(vb)",G16:G263)</f>
        <v>80195</v>
      </c>
      <c r="H276" s="40">
        <f>SUMIF(F16:F263,"sb(vb)",H16:H263)</f>
        <v>80170.399999999994</v>
      </c>
      <c r="I276" s="318">
        <f>SUMIF(F16:F263,"sb(vb)",I16:I263)</f>
        <v>80168</v>
      </c>
      <c r="J276" s="13"/>
      <c r="K276" s="21"/>
      <c r="L276" s="21"/>
      <c r="M276" s="21"/>
      <c r="N276" s="195"/>
    </row>
    <row r="277" spans="1:15" ht="27" customHeight="1" x14ac:dyDescent="0.25">
      <c r="A277" s="870" t="s">
        <v>107</v>
      </c>
      <c r="B277" s="871"/>
      <c r="C277" s="871"/>
      <c r="D277" s="871"/>
      <c r="E277" s="871"/>
      <c r="F277" s="872"/>
      <c r="G277" s="309">
        <f>SUMIF(F16:F264,"sb(es)",G16:G264)</f>
        <v>487.4</v>
      </c>
      <c r="H277" s="40">
        <f>SUMIF(F16:F264,"sb(es)",H16:H264)</f>
        <v>0</v>
      </c>
      <c r="I277" s="318">
        <f>SUMIF(F16:F264,"sb(es)",I16:I264)</f>
        <v>0</v>
      </c>
      <c r="J277" s="13"/>
      <c r="K277" s="504"/>
      <c r="L277" s="504"/>
      <c r="M277" s="504"/>
      <c r="N277" s="195"/>
    </row>
    <row r="278" spans="1:15" ht="27" customHeight="1" x14ac:dyDescent="0.25">
      <c r="A278" s="926" t="s">
        <v>275</v>
      </c>
      <c r="B278" s="926"/>
      <c r="C278" s="926"/>
      <c r="D278" s="926"/>
      <c r="E278" s="926"/>
      <c r="F278" s="927"/>
      <c r="G278" s="310">
        <f>SUMIF(F17:F265,"sb(vbl)",G17:G265)</f>
        <v>11.1</v>
      </c>
      <c r="H278" s="46">
        <f>SUMIF(F17:F265,"sb(vbl)",H17:H265)</f>
        <v>0</v>
      </c>
      <c r="I278" s="319">
        <f>SUMIF(F17:F265,"sb(vbl)",I17:I265)</f>
        <v>0</v>
      </c>
      <c r="J278" s="13"/>
      <c r="K278" s="724"/>
      <c r="L278" s="724"/>
      <c r="M278" s="724"/>
      <c r="N278" s="195"/>
    </row>
    <row r="279" spans="1:15" ht="15.75" customHeight="1" x14ac:dyDescent="0.25">
      <c r="A279" s="867" t="s">
        <v>60</v>
      </c>
      <c r="B279" s="926"/>
      <c r="C279" s="926"/>
      <c r="D279" s="926"/>
      <c r="E279" s="926"/>
      <c r="F279" s="927"/>
      <c r="G279" s="310">
        <f>SUMIF(F16:F263,"sb(l)",G16:G263)</f>
        <v>3278.3</v>
      </c>
      <c r="H279" s="46">
        <f>SUMIF(F16:F263,"sb(l)",H16:H263)</f>
        <v>0</v>
      </c>
      <c r="I279" s="319">
        <f>SUMIF(F16:F263,"sb(l)",I16:I263)</f>
        <v>0</v>
      </c>
      <c r="J279" s="13"/>
      <c r="K279" s="244"/>
      <c r="L279" s="244"/>
      <c r="M279" s="244"/>
      <c r="N279" s="195"/>
    </row>
    <row r="280" spans="1:15" ht="26.25" customHeight="1" x14ac:dyDescent="0.25">
      <c r="A280" s="867" t="s">
        <v>108</v>
      </c>
      <c r="B280" s="926"/>
      <c r="C280" s="926"/>
      <c r="D280" s="926"/>
      <c r="E280" s="926"/>
      <c r="F280" s="927"/>
      <c r="G280" s="310">
        <f>SUMIF(F20:F264,"sb(esl)",G20:G264)</f>
        <v>217.8</v>
      </c>
      <c r="H280" s="46">
        <f>SUMIF(F22:F264,"sb(esl)",H22:H264)</f>
        <v>0</v>
      </c>
      <c r="I280" s="319">
        <f>SUMIF(F22:F264,"sb(esl)",I22:I264)</f>
        <v>0</v>
      </c>
      <c r="J280" s="13"/>
      <c r="K280" s="244"/>
      <c r="L280" s="244"/>
      <c r="M280" s="244"/>
      <c r="N280" s="195"/>
    </row>
    <row r="281" spans="1:15" ht="16.5" customHeight="1" x14ac:dyDescent="0.25">
      <c r="A281" s="867" t="s">
        <v>45</v>
      </c>
      <c r="B281" s="926"/>
      <c r="C281" s="926"/>
      <c r="D281" s="926"/>
      <c r="E281" s="926"/>
      <c r="F281" s="927"/>
      <c r="G281" s="310">
        <f>SUMIF(F16:F264,"sb(spl)",G16:G264)</f>
        <v>981.80000000000007</v>
      </c>
      <c r="H281" s="46">
        <f>SUMIF(F16:F264,"sb(spl)",H16:H264)</f>
        <v>0</v>
      </c>
      <c r="I281" s="319">
        <f>SUMIF(F16:F264,"sb(spl)",I16:I264)</f>
        <v>0</v>
      </c>
      <c r="J281" s="13"/>
      <c r="K281" s="245"/>
      <c r="L281" s="245"/>
      <c r="M281" s="245"/>
      <c r="N281" s="195"/>
    </row>
    <row r="282" spans="1:15" ht="15.75" customHeight="1" x14ac:dyDescent="0.25">
      <c r="A282" s="926" t="s">
        <v>244</v>
      </c>
      <c r="B282" s="926"/>
      <c r="C282" s="926"/>
      <c r="D282" s="926"/>
      <c r="E282" s="926"/>
      <c r="F282" s="927"/>
      <c r="G282" s="310">
        <f>SUMIF(F23:F265,"sb(spil)",G23:G265)</f>
        <v>230</v>
      </c>
      <c r="H282" s="46">
        <f>SUMIF(F23:F265,"sb(spil)",H23:H265)</f>
        <v>0</v>
      </c>
      <c r="I282" s="319">
        <f>SUMIF(F23:F265,"sb(spil)",I23:I265)</f>
        <v>0</v>
      </c>
      <c r="J282" s="13"/>
      <c r="K282" s="241"/>
      <c r="L282" s="241"/>
      <c r="N282" s="195"/>
    </row>
    <row r="283" spans="1:15" ht="15" customHeight="1" x14ac:dyDescent="0.25">
      <c r="A283" s="868" t="s">
        <v>20</v>
      </c>
      <c r="B283" s="869"/>
      <c r="C283" s="869"/>
      <c r="D283" s="869"/>
      <c r="E283" s="869"/>
      <c r="F283" s="983"/>
      <c r="G283" s="311">
        <f>SUM(G284:G286)</f>
        <v>3633.8</v>
      </c>
      <c r="H283" s="127">
        <f>SUM(H284:H286)</f>
        <v>5983</v>
      </c>
      <c r="I283" s="320">
        <f>SUM(I284:I286)</f>
        <v>5836.1</v>
      </c>
      <c r="J283" s="20"/>
      <c r="K283" s="241"/>
      <c r="L283" s="241"/>
      <c r="N283" s="428"/>
    </row>
    <row r="284" spans="1:15" ht="15" customHeight="1" x14ac:dyDescent="0.25">
      <c r="A284" s="877" t="s">
        <v>232</v>
      </c>
      <c r="B284" s="878"/>
      <c r="C284" s="878"/>
      <c r="D284" s="878"/>
      <c r="E284" s="878"/>
      <c r="F284" s="879"/>
      <c r="G284" s="6">
        <f>SUMIF(F23:F264,"lrvb",G23:G264)</f>
        <v>200</v>
      </c>
      <c r="H284" s="38">
        <f>SUMIF(F23:F264,"lrvb",H23:H264)</f>
        <v>843</v>
      </c>
      <c r="I284" s="372">
        <f>SUMIF(F23:F264,"lrvb",I23:I264)</f>
        <v>976.1</v>
      </c>
      <c r="J284" s="20"/>
      <c r="K284" s="241"/>
      <c r="L284" s="241"/>
      <c r="N284" s="428"/>
    </row>
    <row r="285" spans="1:15" ht="15" customHeight="1" x14ac:dyDescent="0.25">
      <c r="A285" s="870" t="s">
        <v>181</v>
      </c>
      <c r="B285" s="871"/>
      <c r="C285" s="871"/>
      <c r="D285" s="871"/>
      <c r="E285" s="871"/>
      <c r="F285" s="872"/>
      <c r="G285" s="312">
        <f>SUMIF(F20:F265,"es",G20:G265)</f>
        <v>3380</v>
      </c>
      <c r="H285" s="150">
        <f>SUMIF(F20:F265,"es",H20:H265)</f>
        <v>5140</v>
      </c>
      <c r="I285" s="298">
        <f>SUMIF(F20:F265,"es",I20:I265)</f>
        <v>4860</v>
      </c>
      <c r="J285" s="13"/>
      <c r="K285" s="241"/>
      <c r="L285" s="241"/>
      <c r="N285" s="195"/>
    </row>
    <row r="286" spans="1:15" ht="15" customHeight="1" x14ac:dyDescent="0.25">
      <c r="A286" s="870" t="s">
        <v>138</v>
      </c>
      <c r="B286" s="871"/>
      <c r="C286" s="871"/>
      <c r="D286" s="871"/>
      <c r="E286" s="871"/>
      <c r="F286" s="872"/>
      <c r="G286" s="312">
        <f>SUMIF(F21:F266,"kt",G21:G266)</f>
        <v>53.8</v>
      </c>
      <c r="H286" s="150">
        <f>SUMIF(F21:F266,"kt",H21:H266)</f>
        <v>0</v>
      </c>
      <c r="I286" s="298">
        <f>SUMIF(F21:F266,"kt",I21:I266)</f>
        <v>0</v>
      </c>
      <c r="J286" s="13"/>
      <c r="K286" s="241"/>
      <c r="L286" s="241"/>
      <c r="N286" s="195"/>
    </row>
    <row r="287" spans="1:15" ht="16.5" customHeight="1" thickBot="1" x14ac:dyDescent="0.3">
      <c r="A287" s="873" t="s">
        <v>21</v>
      </c>
      <c r="B287" s="874"/>
      <c r="C287" s="874"/>
      <c r="D287" s="874"/>
      <c r="E287" s="874"/>
      <c r="F287" s="891"/>
      <c r="G287" s="260">
        <f>G283+G271</f>
        <v>170603.59999999998</v>
      </c>
      <c r="H287" s="41">
        <f>H283+H271</f>
        <v>169348.7</v>
      </c>
      <c r="I287" s="261">
        <f>I283+I271</f>
        <v>168289.4</v>
      </c>
      <c r="J287" s="20"/>
      <c r="K287" s="242"/>
      <c r="L287" s="242"/>
      <c r="N287" s="428"/>
    </row>
    <row r="288" spans="1:15" ht="22.5" customHeight="1" x14ac:dyDescent="0.25">
      <c r="A288" s="866" t="s">
        <v>92</v>
      </c>
      <c r="B288" s="866"/>
      <c r="C288" s="866"/>
      <c r="D288" s="866"/>
      <c r="E288" s="866"/>
      <c r="F288" s="866"/>
      <c r="G288" s="866"/>
      <c r="H288" s="866"/>
      <c r="I288" s="866"/>
      <c r="J288" s="866"/>
      <c r="K288" s="242"/>
      <c r="L288" s="242"/>
      <c r="N288" s="24"/>
    </row>
    <row r="289" spans="1:14" x14ac:dyDescent="0.25">
      <c r="D289" s="12"/>
      <c r="E289" s="125"/>
      <c r="F289" s="504"/>
      <c r="G289" s="504"/>
      <c r="H289" s="504"/>
      <c r="I289" s="504"/>
      <c r="J289" s="9"/>
      <c r="K289" s="10"/>
      <c r="L289" s="10"/>
      <c r="N289" s="425"/>
    </row>
    <row r="290" spans="1:14" x14ac:dyDescent="0.25">
      <c r="D290" s="12"/>
      <c r="E290" s="125"/>
      <c r="F290" s="21"/>
      <c r="G290" s="21"/>
      <c r="H290" s="21"/>
      <c r="I290" s="21"/>
      <c r="J290" s="32"/>
      <c r="K290" s="10"/>
      <c r="L290" s="10"/>
      <c r="N290" s="32"/>
    </row>
    <row r="291" spans="1:14" x14ac:dyDescent="0.25">
      <c r="D291" s="12"/>
      <c r="E291" s="125"/>
      <c r="F291" s="476"/>
      <c r="G291" s="476"/>
      <c r="H291" s="476"/>
      <c r="K291" s="10"/>
      <c r="L291" s="10"/>
    </row>
    <row r="292" spans="1:14" x14ac:dyDescent="0.25">
      <c r="D292" s="12"/>
      <c r="E292" s="125"/>
      <c r="F292" s="476"/>
      <c r="G292" s="476"/>
      <c r="H292" s="476"/>
      <c r="K292" s="10"/>
      <c r="L292" s="10"/>
    </row>
    <row r="293" spans="1:14" x14ac:dyDescent="0.25">
      <c r="D293" s="12"/>
      <c r="E293" s="125"/>
      <c r="F293" s="476"/>
      <c r="G293" s="476"/>
      <c r="H293" s="476"/>
      <c r="K293" s="10"/>
      <c r="L293" s="10"/>
    </row>
    <row r="294" spans="1:14" x14ac:dyDescent="0.25">
      <c r="D294" s="12"/>
      <c r="E294" s="125"/>
      <c r="F294" s="476"/>
      <c r="G294" s="476"/>
      <c r="H294" s="476"/>
      <c r="K294" s="10"/>
      <c r="L294" s="10"/>
    </row>
    <row r="295" spans="1:14" x14ac:dyDescent="0.25">
      <c r="D295" s="12"/>
      <c r="E295" s="125"/>
      <c r="F295" s="476"/>
      <c r="G295" s="476"/>
      <c r="H295" s="476"/>
      <c r="K295" s="10"/>
      <c r="L295" s="10"/>
    </row>
    <row r="296" spans="1:14" x14ac:dyDescent="0.25">
      <c r="D296" s="12"/>
      <c r="E296" s="125"/>
      <c r="F296" s="476"/>
      <c r="G296" s="476"/>
      <c r="H296" s="476"/>
      <c r="K296" s="10"/>
      <c r="L296" s="10"/>
    </row>
    <row r="297" spans="1:14" x14ac:dyDescent="0.25">
      <c r="A297" s="126"/>
      <c r="B297" s="126"/>
      <c r="C297" s="126"/>
      <c r="D297" s="12"/>
      <c r="E297" s="125"/>
      <c r="F297" s="476"/>
      <c r="G297" s="476"/>
      <c r="H297" s="476"/>
      <c r="J297" s="12"/>
      <c r="K297" s="241"/>
      <c r="L297" s="241"/>
      <c r="N297" s="196"/>
    </row>
    <row r="298" spans="1:14" x14ac:dyDescent="0.25">
      <c r="A298" s="126"/>
      <c r="B298" s="126"/>
      <c r="C298" s="126"/>
      <c r="D298" s="12"/>
      <c r="E298" s="125"/>
      <c r="F298" s="476"/>
      <c r="G298" s="476"/>
      <c r="H298" s="476"/>
      <c r="J298" s="12"/>
      <c r="K298" s="10"/>
      <c r="L298" s="10"/>
      <c r="N298" s="196"/>
    </row>
    <row r="299" spans="1:14" x14ac:dyDescent="0.25">
      <c r="A299" s="126"/>
      <c r="B299" s="126"/>
      <c r="C299" s="126"/>
      <c r="D299" s="12"/>
      <c r="E299" s="125"/>
      <c r="F299" s="476"/>
      <c r="G299" s="476"/>
      <c r="H299" s="476"/>
      <c r="J299" s="12"/>
      <c r="K299" s="10"/>
      <c r="L299" s="10"/>
      <c r="N299" s="196"/>
    </row>
    <row r="300" spans="1:14" x14ac:dyDescent="0.25">
      <c r="A300" s="126"/>
      <c r="B300" s="126"/>
      <c r="C300" s="126"/>
      <c r="D300" s="12"/>
      <c r="E300" s="125"/>
      <c r="F300" s="476"/>
      <c r="G300" s="476"/>
      <c r="H300" s="476"/>
      <c r="J300" s="12"/>
      <c r="K300" s="241"/>
      <c r="L300" s="241"/>
      <c r="N300" s="196"/>
    </row>
    <row r="301" spans="1:14" x14ac:dyDescent="0.25">
      <c r="A301" s="126"/>
      <c r="B301" s="126"/>
      <c r="C301" s="126"/>
      <c r="D301" s="12"/>
      <c r="E301" s="125"/>
      <c r="F301" s="476"/>
      <c r="G301" s="476"/>
      <c r="H301" s="476"/>
      <c r="J301" s="12"/>
      <c r="K301" s="12"/>
      <c r="L301" s="12"/>
      <c r="M301" s="12"/>
      <c r="N301" s="196"/>
    </row>
    <row r="302" spans="1:14" x14ac:dyDescent="0.25">
      <c r="A302" s="126"/>
      <c r="B302" s="126"/>
      <c r="C302" s="126"/>
      <c r="D302" s="12"/>
      <c r="E302" s="125"/>
      <c r="F302" s="476"/>
      <c r="G302" s="476"/>
      <c r="H302" s="476"/>
      <c r="J302" s="12"/>
      <c r="K302" s="239"/>
      <c r="L302" s="239"/>
      <c r="N302" s="196"/>
    </row>
    <row r="303" spans="1:14" x14ac:dyDescent="0.25">
      <c r="A303" s="126"/>
      <c r="B303" s="126"/>
      <c r="C303" s="126"/>
      <c r="D303" s="12"/>
      <c r="E303" s="125"/>
      <c r="F303" s="476"/>
      <c r="G303" s="476"/>
      <c r="H303" s="476"/>
      <c r="J303" s="12"/>
      <c r="K303" s="243"/>
      <c r="L303" s="243"/>
      <c r="N303" s="196"/>
    </row>
    <row r="304" spans="1:14" x14ac:dyDescent="0.25">
      <c r="A304" s="126"/>
      <c r="B304" s="126"/>
      <c r="C304" s="126"/>
      <c r="D304" s="12"/>
      <c r="E304" s="125"/>
      <c r="F304" s="476"/>
      <c r="G304" s="476"/>
      <c r="H304" s="476"/>
      <c r="J304" s="12"/>
      <c r="N304" s="196"/>
    </row>
    <row r="305" spans="1:14" x14ac:dyDescent="0.25">
      <c r="A305" s="126"/>
      <c r="B305" s="126"/>
      <c r="C305" s="126"/>
      <c r="D305" s="12"/>
      <c r="E305" s="125"/>
      <c r="F305" s="476"/>
      <c r="G305" s="476"/>
      <c r="H305" s="476"/>
      <c r="J305" s="12"/>
      <c r="M305" s="25"/>
      <c r="N305" s="196"/>
    </row>
    <row r="306" spans="1:14" x14ac:dyDescent="0.25">
      <c r="A306" s="126"/>
      <c r="B306" s="126"/>
      <c r="C306" s="126"/>
      <c r="D306" s="12"/>
      <c r="E306" s="125"/>
      <c r="F306" s="476"/>
      <c r="G306" s="476"/>
      <c r="H306" s="476"/>
      <c r="J306" s="12"/>
      <c r="M306" s="25"/>
      <c r="N306" s="196"/>
    </row>
    <row r="307" spans="1:14" x14ac:dyDescent="0.25">
      <c r="A307" s="126"/>
      <c r="B307" s="126"/>
      <c r="C307" s="126"/>
      <c r="D307" s="12"/>
      <c r="E307" s="125"/>
      <c r="F307" s="476"/>
      <c r="G307" s="476"/>
      <c r="H307" s="476"/>
      <c r="J307" s="12"/>
      <c r="M307" s="25"/>
      <c r="N307" s="196"/>
    </row>
    <row r="308" spans="1:14" x14ac:dyDescent="0.25">
      <c r="A308" s="126"/>
      <c r="B308" s="126"/>
      <c r="C308" s="126"/>
      <c r="D308" s="12"/>
      <c r="E308" s="125"/>
      <c r="F308" s="476"/>
      <c r="G308" s="476"/>
      <c r="H308" s="476"/>
      <c r="J308" s="12"/>
      <c r="M308" s="25"/>
      <c r="N308" s="196"/>
    </row>
    <row r="309" spans="1:14" x14ac:dyDescent="0.25">
      <c r="A309" s="126"/>
      <c r="B309" s="126"/>
      <c r="C309" s="126"/>
      <c r="D309" s="12"/>
      <c r="E309" s="125"/>
      <c r="F309" s="476"/>
      <c r="G309" s="476"/>
      <c r="H309" s="476"/>
      <c r="J309" s="12"/>
      <c r="M309" s="25"/>
      <c r="N309" s="196"/>
    </row>
    <row r="310" spans="1:14" x14ac:dyDescent="0.25">
      <c r="G310" s="476"/>
      <c r="H310" s="476"/>
      <c r="M310" s="25"/>
    </row>
    <row r="311" spans="1:14" x14ac:dyDescent="0.25">
      <c r="G311" s="476"/>
      <c r="H311" s="476"/>
      <c r="M311" s="25"/>
    </row>
    <row r="312" spans="1:14" x14ac:dyDescent="0.25">
      <c r="G312" s="476"/>
      <c r="H312" s="476"/>
      <c r="M312" s="25"/>
    </row>
    <row r="313" spans="1:14" x14ac:dyDescent="0.25">
      <c r="G313" s="476"/>
      <c r="H313" s="476"/>
      <c r="M313" s="25"/>
    </row>
    <row r="314" spans="1:14" x14ac:dyDescent="0.25">
      <c r="G314" s="476"/>
      <c r="H314" s="476"/>
      <c r="M314" s="25"/>
    </row>
    <row r="315" spans="1:14" x14ac:dyDescent="0.25">
      <c r="G315" s="476"/>
      <c r="H315" s="476"/>
      <c r="M315" s="25"/>
    </row>
    <row r="316" spans="1:14" x14ac:dyDescent="0.25">
      <c r="G316" s="476"/>
      <c r="H316" s="476"/>
      <c r="M316" s="25"/>
    </row>
    <row r="317" spans="1:14" x14ac:dyDescent="0.25">
      <c r="G317" s="476"/>
      <c r="H317" s="476"/>
      <c r="M317" s="25"/>
    </row>
    <row r="318" spans="1:14" x14ac:dyDescent="0.25">
      <c r="G318" s="476"/>
      <c r="H318" s="476"/>
      <c r="M318" s="25"/>
    </row>
    <row r="319" spans="1:14" x14ac:dyDescent="0.25">
      <c r="G319" s="476"/>
      <c r="H319" s="476"/>
      <c r="M319" s="25"/>
    </row>
    <row r="320" spans="1:14" x14ac:dyDescent="0.25">
      <c r="G320" s="476"/>
      <c r="H320" s="476"/>
      <c r="M320" s="25"/>
    </row>
    <row r="321" spans="7:13" x14ac:dyDescent="0.25">
      <c r="G321" s="476"/>
      <c r="H321" s="476"/>
      <c r="M321" s="25"/>
    </row>
    <row r="322" spans="7:13" x14ac:dyDescent="0.25">
      <c r="G322" s="476"/>
      <c r="H322" s="476"/>
      <c r="M322" s="25"/>
    </row>
    <row r="323" spans="7:13" x14ac:dyDescent="0.25">
      <c r="G323" s="476"/>
      <c r="H323" s="476"/>
    </row>
    <row r="324" spans="7:13" x14ac:dyDescent="0.25">
      <c r="G324" s="476"/>
      <c r="H324" s="476"/>
    </row>
    <row r="325" spans="7:13" x14ac:dyDescent="0.25">
      <c r="G325" s="476"/>
      <c r="H325" s="476"/>
    </row>
    <row r="326" spans="7:13" x14ac:dyDescent="0.25">
      <c r="G326" s="476"/>
      <c r="H326" s="476"/>
    </row>
    <row r="327" spans="7:13" x14ac:dyDescent="0.25">
      <c r="G327" s="476"/>
      <c r="H327" s="476"/>
    </row>
    <row r="328" spans="7:13" x14ac:dyDescent="0.25">
      <c r="G328" s="476"/>
      <c r="H328" s="476"/>
    </row>
    <row r="329" spans="7:13" x14ac:dyDescent="0.25">
      <c r="G329" s="476"/>
      <c r="H329" s="476"/>
    </row>
    <row r="330" spans="7:13" x14ac:dyDescent="0.25">
      <c r="G330" s="476"/>
      <c r="H330" s="476"/>
    </row>
    <row r="331" spans="7:13" x14ac:dyDescent="0.25">
      <c r="G331" s="476"/>
      <c r="H331" s="476"/>
    </row>
    <row r="332" spans="7:13" x14ac:dyDescent="0.25">
      <c r="G332" s="476"/>
      <c r="H332" s="476"/>
    </row>
    <row r="333" spans="7:13" x14ac:dyDescent="0.25">
      <c r="G333" s="476"/>
      <c r="H333" s="476"/>
    </row>
    <row r="334" spans="7:13" x14ac:dyDescent="0.25">
      <c r="G334" s="476"/>
      <c r="H334" s="476"/>
    </row>
    <row r="335" spans="7:13" x14ac:dyDescent="0.25">
      <c r="G335" s="476"/>
      <c r="H335" s="476"/>
    </row>
    <row r="336" spans="7:13" x14ac:dyDescent="0.25">
      <c r="G336" s="476"/>
      <c r="H336" s="476"/>
    </row>
    <row r="337" spans="7:8" x14ac:dyDescent="0.25">
      <c r="G337" s="476"/>
      <c r="H337" s="476"/>
    </row>
    <row r="338" spans="7:8" x14ac:dyDescent="0.25">
      <c r="G338" s="476"/>
      <c r="H338" s="476"/>
    </row>
    <row r="339" spans="7:8" x14ac:dyDescent="0.25">
      <c r="G339" s="476"/>
      <c r="H339" s="476"/>
    </row>
    <row r="340" spans="7:8" x14ac:dyDescent="0.25">
      <c r="G340" s="476"/>
      <c r="H340" s="476"/>
    </row>
    <row r="341" spans="7:8" x14ac:dyDescent="0.25">
      <c r="G341" s="476"/>
      <c r="H341" s="476"/>
    </row>
    <row r="342" spans="7:8" x14ac:dyDescent="0.25">
      <c r="G342" s="476"/>
      <c r="H342" s="476"/>
    </row>
    <row r="343" spans="7:8" x14ac:dyDescent="0.25">
      <c r="G343" s="476"/>
      <c r="H343" s="476"/>
    </row>
    <row r="344" spans="7:8" x14ac:dyDescent="0.25">
      <c r="G344" s="476"/>
      <c r="H344" s="476"/>
    </row>
    <row r="345" spans="7:8" x14ac:dyDescent="0.25">
      <c r="G345" s="476"/>
      <c r="H345" s="476"/>
    </row>
    <row r="346" spans="7:8" x14ac:dyDescent="0.25">
      <c r="G346" s="476"/>
      <c r="H346" s="476"/>
    </row>
    <row r="347" spans="7:8" x14ac:dyDescent="0.25">
      <c r="G347" s="476"/>
      <c r="H347" s="476"/>
    </row>
    <row r="348" spans="7:8" x14ac:dyDescent="0.25">
      <c r="G348" s="476"/>
      <c r="H348" s="476"/>
    </row>
    <row r="349" spans="7:8" x14ac:dyDescent="0.25">
      <c r="G349" s="476"/>
      <c r="H349" s="476"/>
    </row>
    <row r="350" spans="7:8" x14ac:dyDescent="0.25">
      <c r="G350" s="476"/>
      <c r="H350" s="476"/>
    </row>
    <row r="351" spans="7:8" x14ac:dyDescent="0.25">
      <c r="G351" s="476"/>
      <c r="H351" s="476"/>
    </row>
    <row r="352" spans="7:8" x14ac:dyDescent="0.25">
      <c r="G352" s="476"/>
      <c r="H352" s="476"/>
    </row>
    <row r="353" spans="7:8" x14ac:dyDescent="0.25">
      <c r="G353" s="476"/>
      <c r="H353" s="476"/>
    </row>
    <row r="354" spans="7:8" x14ac:dyDescent="0.25">
      <c r="G354" s="476"/>
      <c r="H354" s="476"/>
    </row>
    <row r="355" spans="7:8" x14ac:dyDescent="0.25">
      <c r="G355" s="476"/>
      <c r="H355" s="476"/>
    </row>
    <row r="356" spans="7:8" x14ac:dyDescent="0.25">
      <c r="G356" s="476"/>
      <c r="H356" s="476"/>
    </row>
    <row r="357" spans="7:8" x14ac:dyDescent="0.25">
      <c r="G357" s="476"/>
      <c r="H357" s="476"/>
    </row>
    <row r="358" spans="7:8" x14ac:dyDescent="0.25">
      <c r="G358" s="476"/>
      <c r="H358" s="476"/>
    </row>
    <row r="359" spans="7:8" x14ac:dyDescent="0.25">
      <c r="G359" s="476"/>
      <c r="H359" s="476"/>
    </row>
    <row r="360" spans="7:8" x14ac:dyDescent="0.25">
      <c r="G360" s="476"/>
      <c r="H360" s="476"/>
    </row>
    <row r="361" spans="7:8" x14ac:dyDescent="0.25">
      <c r="G361" s="476"/>
      <c r="H361" s="476"/>
    </row>
    <row r="362" spans="7:8" x14ac:dyDescent="0.25">
      <c r="G362" s="476"/>
      <c r="H362" s="476"/>
    </row>
    <row r="363" spans="7:8" x14ac:dyDescent="0.25">
      <c r="G363" s="476"/>
      <c r="H363" s="476"/>
    </row>
    <row r="364" spans="7:8" x14ac:dyDescent="0.25">
      <c r="G364" s="476"/>
      <c r="H364" s="476"/>
    </row>
    <row r="365" spans="7:8" x14ac:dyDescent="0.25">
      <c r="G365" s="476"/>
      <c r="H365" s="476"/>
    </row>
    <row r="366" spans="7:8" x14ac:dyDescent="0.25">
      <c r="G366" s="476"/>
      <c r="H366" s="476"/>
    </row>
    <row r="367" spans="7:8" x14ac:dyDescent="0.25">
      <c r="G367" s="476"/>
      <c r="H367" s="476"/>
    </row>
    <row r="368" spans="7:8" x14ac:dyDescent="0.25">
      <c r="G368" s="476"/>
      <c r="H368" s="476"/>
    </row>
    <row r="369" spans="7:8" x14ac:dyDescent="0.25">
      <c r="G369" s="476"/>
      <c r="H369" s="476"/>
    </row>
    <row r="370" spans="7:8" x14ac:dyDescent="0.25">
      <c r="G370" s="476"/>
      <c r="H370" s="476"/>
    </row>
    <row r="371" spans="7:8" x14ac:dyDescent="0.25">
      <c r="G371" s="476"/>
      <c r="H371" s="476"/>
    </row>
    <row r="372" spans="7:8" x14ac:dyDescent="0.25">
      <c r="G372" s="476"/>
      <c r="H372" s="476"/>
    </row>
    <row r="373" spans="7:8" x14ac:dyDescent="0.25">
      <c r="G373" s="476"/>
      <c r="H373" s="476"/>
    </row>
    <row r="374" spans="7:8" x14ac:dyDescent="0.25">
      <c r="G374" s="476"/>
      <c r="H374" s="476"/>
    </row>
    <row r="375" spans="7:8" x14ac:dyDescent="0.25">
      <c r="G375" s="476"/>
      <c r="H375" s="476"/>
    </row>
    <row r="376" spans="7:8" x14ac:dyDescent="0.25">
      <c r="G376" s="476"/>
      <c r="H376" s="476"/>
    </row>
    <row r="377" spans="7:8" x14ac:dyDescent="0.25">
      <c r="G377" s="476"/>
      <c r="H377" s="476"/>
    </row>
    <row r="378" spans="7:8" x14ac:dyDescent="0.25">
      <c r="G378" s="476"/>
      <c r="H378" s="476"/>
    </row>
    <row r="379" spans="7:8" x14ac:dyDescent="0.25">
      <c r="G379" s="476"/>
      <c r="H379" s="476"/>
    </row>
    <row r="380" spans="7:8" x14ac:dyDescent="0.25">
      <c r="G380" s="476"/>
      <c r="H380" s="476"/>
    </row>
    <row r="381" spans="7:8" x14ac:dyDescent="0.25">
      <c r="G381" s="476"/>
      <c r="H381" s="476"/>
    </row>
    <row r="382" spans="7:8" x14ac:dyDescent="0.25">
      <c r="G382" s="476"/>
      <c r="H382" s="476"/>
    </row>
    <row r="383" spans="7:8" x14ac:dyDescent="0.25">
      <c r="G383" s="476"/>
      <c r="H383" s="476"/>
    </row>
    <row r="384" spans="7:8" x14ac:dyDescent="0.25">
      <c r="G384" s="476"/>
      <c r="H384" s="476"/>
    </row>
    <row r="385" spans="7:8" x14ac:dyDescent="0.25">
      <c r="G385" s="476"/>
      <c r="H385" s="476"/>
    </row>
    <row r="386" spans="7:8" x14ac:dyDescent="0.25">
      <c r="G386" s="476"/>
      <c r="H386" s="476"/>
    </row>
    <row r="387" spans="7:8" x14ac:dyDescent="0.25">
      <c r="G387" s="476"/>
      <c r="H387" s="476"/>
    </row>
    <row r="388" spans="7:8" x14ac:dyDescent="0.25">
      <c r="G388" s="476"/>
      <c r="H388" s="476"/>
    </row>
    <row r="389" spans="7:8" x14ac:dyDescent="0.25">
      <c r="G389" s="476"/>
      <c r="H389" s="476"/>
    </row>
    <row r="390" spans="7:8" x14ac:dyDescent="0.25">
      <c r="G390" s="476"/>
      <c r="H390" s="476"/>
    </row>
    <row r="391" spans="7:8" x14ac:dyDescent="0.25">
      <c r="G391" s="476"/>
      <c r="H391" s="476"/>
    </row>
    <row r="392" spans="7:8" x14ac:dyDescent="0.25">
      <c r="G392" s="476"/>
      <c r="H392" s="476"/>
    </row>
    <row r="393" spans="7:8" x14ac:dyDescent="0.25">
      <c r="G393" s="476"/>
      <c r="H393" s="476"/>
    </row>
    <row r="394" spans="7:8" x14ac:dyDescent="0.25">
      <c r="G394" s="476"/>
      <c r="H394" s="476"/>
    </row>
    <row r="395" spans="7:8" x14ac:dyDescent="0.25">
      <c r="G395" s="476"/>
      <c r="H395" s="476"/>
    </row>
    <row r="396" spans="7:8" x14ac:dyDescent="0.25">
      <c r="G396" s="476"/>
      <c r="H396" s="476"/>
    </row>
    <row r="397" spans="7:8" x14ac:dyDescent="0.25">
      <c r="G397" s="476"/>
      <c r="H397" s="476"/>
    </row>
    <row r="398" spans="7:8" x14ac:dyDescent="0.25">
      <c r="G398" s="476"/>
      <c r="H398" s="476"/>
    </row>
    <row r="399" spans="7:8" x14ac:dyDescent="0.25">
      <c r="G399" s="476"/>
      <c r="H399" s="476"/>
    </row>
    <row r="400" spans="7:8" x14ac:dyDescent="0.25">
      <c r="G400" s="476"/>
      <c r="H400" s="476"/>
    </row>
    <row r="401" spans="7:8" x14ac:dyDescent="0.25">
      <c r="G401" s="476"/>
      <c r="H401" s="476"/>
    </row>
    <row r="402" spans="7:8" x14ac:dyDescent="0.25">
      <c r="G402" s="476"/>
      <c r="H402" s="476"/>
    </row>
    <row r="403" spans="7:8" x14ac:dyDescent="0.25">
      <c r="G403" s="476"/>
      <c r="H403" s="476"/>
    </row>
    <row r="404" spans="7:8" x14ac:dyDescent="0.25">
      <c r="G404" s="476"/>
      <c r="H404" s="476"/>
    </row>
    <row r="405" spans="7:8" x14ac:dyDescent="0.25">
      <c r="G405" s="476"/>
      <c r="H405" s="476"/>
    </row>
    <row r="406" spans="7:8" x14ac:dyDescent="0.25">
      <c r="G406" s="476"/>
      <c r="H406" s="476"/>
    </row>
    <row r="407" spans="7:8" x14ac:dyDescent="0.25">
      <c r="G407" s="476"/>
      <c r="H407" s="476"/>
    </row>
    <row r="408" spans="7:8" x14ac:dyDescent="0.25">
      <c r="G408" s="476"/>
      <c r="H408" s="476"/>
    </row>
    <row r="409" spans="7:8" x14ac:dyDescent="0.25">
      <c r="G409" s="476"/>
      <c r="H409" s="476"/>
    </row>
    <row r="410" spans="7:8" x14ac:dyDescent="0.25">
      <c r="G410" s="476"/>
      <c r="H410" s="476"/>
    </row>
    <row r="411" spans="7:8" x14ac:dyDescent="0.25">
      <c r="G411" s="476"/>
      <c r="H411" s="476"/>
    </row>
    <row r="412" spans="7:8" x14ac:dyDescent="0.25">
      <c r="G412" s="476"/>
      <c r="H412" s="476"/>
    </row>
    <row r="413" spans="7:8" x14ac:dyDescent="0.25">
      <c r="G413" s="476"/>
      <c r="H413" s="476"/>
    </row>
    <row r="414" spans="7:8" x14ac:dyDescent="0.25">
      <c r="G414" s="476"/>
      <c r="H414" s="476"/>
    </row>
    <row r="415" spans="7:8" x14ac:dyDescent="0.25">
      <c r="G415" s="476"/>
      <c r="H415" s="476"/>
    </row>
    <row r="416" spans="7:8" x14ac:dyDescent="0.25">
      <c r="G416" s="476"/>
      <c r="H416" s="476"/>
    </row>
    <row r="417" spans="7:8" x14ac:dyDescent="0.25">
      <c r="G417" s="476"/>
      <c r="H417" s="476"/>
    </row>
    <row r="418" spans="7:8" x14ac:dyDescent="0.25">
      <c r="G418" s="476"/>
      <c r="H418" s="476"/>
    </row>
    <row r="419" spans="7:8" x14ac:dyDescent="0.25">
      <c r="G419" s="476"/>
      <c r="H419" s="476"/>
    </row>
    <row r="420" spans="7:8" x14ac:dyDescent="0.25">
      <c r="G420" s="476"/>
      <c r="H420" s="476"/>
    </row>
    <row r="421" spans="7:8" x14ac:dyDescent="0.25">
      <c r="G421" s="476"/>
      <c r="H421" s="476"/>
    </row>
    <row r="422" spans="7:8" x14ac:dyDescent="0.25">
      <c r="G422" s="476"/>
      <c r="H422" s="476"/>
    </row>
    <row r="423" spans="7:8" x14ac:dyDescent="0.25">
      <c r="G423" s="476"/>
      <c r="H423" s="476"/>
    </row>
    <row r="424" spans="7:8" x14ac:dyDescent="0.25">
      <c r="G424" s="476"/>
      <c r="H424" s="476"/>
    </row>
    <row r="425" spans="7:8" x14ac:dyDescent="0.25">
      <c r="G425" s="476"/>
      <c r="H425" s="476"/>
    </row>
    <row r="426" spans="7:8" x14ac:dyDescent="0.25">
      <c r="G426" s="476"/>
      <c r="H426" s="476"/>
    </row>
    <row r="427" spans="7:8" x14ac:dyDescent="0.25">
      <c r="G427" s="476"/>
      <c r="H427" s="476"/>
    </row>
    <row r="428" spans="7:8" x14ac:dyDescent="0.25">
      <c r="G428" s="476"/>
      <c r="H428" s="476"/>
    </row>
    <row r="429" spans="7:8" x14ac:dyDescent="0.25">
      <c r="G429" s="476"/>
      <c r="H429" s="476"/>
    </row>
    <row r="430" spans="7:8" x14ac:dyDescent="0.25">
      <c r="G430" s="476"/>
      <c r="H430" s="476"/>
    </row>
    <row r="431" spans="7:8" x14ac:dyDescent="0.25">
      <c r="G431" s="476"/>
      <c r="H431" s="476"/>
    </row>
    <row r="432" spans="7:8" x14ac:dyDescent="0.25">
      <c r="G432" s="476"/>
      <c r="H432" s="476"/>
    </row>
    <row r="433" spans="7:8" x14ac:dyDescent="0.25">
      <c r="G433" s="476"/>
      <c r="H433" s="476"/>
    </row>
    <row r="434" spans="7:8" x14ac:dyDescent="0.25">
      <c r="G434" s="476"/>
      <c r="H434" s="476"/>
    </row>
    <row r="435" spans="7:8" x14ac:dyDescent="0.25">
      <c r="G435" s="476"/>
      <c r="H435" s="476"/>
    </row>
    <row r="436" spans="7:8" x14ac:dyDescent="0.25">
      <c r="G436" s="476"/>
      <c r="H436" s="476"/>
    </row>
    <row r="437" spans="7:8" x14ac:dyDescent="0.25">
      <c r="G437" s="476"/>
      <c r="H437" s="476"/>
    </row>
    <row r="438" spans="7:8" x14ac:dyDescent="0.25">
      <c r="G438" s="476"/>
      <c r="H438" s="476"/>
    </row>
    <row r="439" spans="7:8" x14ac:dyDescent="0.25">
      <c r="G439" s="476"/>
      <c r="H439" s="476"/>
    </row>
    <row r="440" spans="7:8" x14ac:dyDescent="0.25">
      <c r="G440" s="476"/>
      <c r="H440" s="476"/>
    </row>
    <row r="441" spans="7:8" x14ac:dyDescent="0.25">
      <c r="G441" s="476"/>
      <c r="H441" s="476"/>
    </row>
    <row r="442" spans="7:8" x14ac:dyDescent="0.25">
      <c r="G442" s="476"/>
      <c r="H442" s="476"/>
    </row>
    <row r="443" spans="7:8" x14ac:dyDescent="0.25">
      <c r="G443" s="476"/>
      <c r="H443" s="476"/>
    </row>
    <row r="444" spans="7:8" x14ac:dyDescent="0.25">
      <c r="G444" s="476"/>
      <c r="H444" s="476"/>
    </row>
    <row r="445" spans="7:8" x14ac:dyDescent="0.25">
      <c r="G445" s="476"/>
      <c r="H445" s="476"/>
    </row>
    <row r="446" spans="7:8" x14ac:dyDescent="0.25">
      <c r="G446" s="476"/>
      <c r="H446" s="476"/>
    </row>
    <row r="447" spans="7:8" x14ac:dyDescent="0.25">
      <c r="G447" s="476"/>
      <c r="H447" s="476"/>
    </row>
    <row r="448" spans="7:8" x14ac:dyDescent="0.25">
      <c r="G448" s="476"/>
      <c r="H448" s="476"/>
    </row>
    <row r="449" spans="7:8" x14ac:dyDescent="0.25">
      <c r="G449" s="476"/>
      <c r="H449" s="476"/>
    </row>
    <row r="450" spans="7:8" x14ac:dyDescent="0.25">
      <c r="G450" s="476"/>
      <c r="H450" s="476"/>
    </row>
    <row r="451" spans="7:8" x14ac:dyDescent="0.25">
      <c r="G451" s="476"/>
      <c r="H451" s="476"/>
    </row>
    <row r="452" spans="7:8" x14ac:dyDescent="0.25">
      <c r="G452" s="476"/>
      <c r="H452" s="476"/>
    </row>
    <row r="453" spans="7:8" x14ac:dyDescent="0.25">
      <c r="G453" s="476"/>
      <c r="H453" s="476"/>
    </row>
    <row r="454" spans="7:8" x14ac:dyDescent="0.25">
      <c r="G454" s="476"/>
      <c r="H454" s="476"/>
    </row>
    <row r="455" spans="7:8" x14ac:dyDescent="0.25">
      <c r="G455" s="476"/>
      <c r="H455" s="476"/>
    </row>
    <row r="456" spans="7:8" x14ac:dyDescent="0.25">
      <c r="G456" s="476"/>
      <c r="H456" s="476"/>
    </row>
    <row r="457" spans="7:8" x14ac:dyDescent="0.25">
      <c r="G457" s="476"/>
      <c r="H457" s="476"/>
    </row>
    <row r="458" spans="7:8" x14ac:dyDescent="0.25">
      <c r="G458" s="476"/>
      <c r="H458" s="476"/>
    </row>
    <row r="459" spans="7:8" x14ac:dyDescent="0.25">
      <c r="G459" s="476"/>
      <c r="H459" s="476"/>
    </row>
    <row r="460" spans="7:8" x14ac:dyDescent="0.25">
      <c r="G460" s="476"/>
      <c r="H460" s="476"/>
    </row>
    <row r="461" spans="7:8" x14ac:dyDescent="0.25">
      <c r="G461" s="476"/>
      <c r="H461" s="476"/>
    </row>
    <row r="462" spans="7:8" x14ac:dyDescent="0.25">
      <c r="G462" s="476"/>
      <c r="H462" s="476"/>
    </row>
    <row r="463" spans="7:8" x14ac:dyDescent="0.25">
      <c r="G463" s="476"/>
      <c r="H463" s="476"/>
    </row>
    <row r="464" spans="7:8" x14ac:dyDescent="0.25">
      <c r="G464" s="476"/>
      <c r="H464" s="476"/>
    </row>
    <row r="465" spans="7:8" x14ac:dyDescent="0.25">
      <c r="G465" s="476"/>
      <c r="H465" s="476"/>
    </row>
    <row r="466" spans="7:8" x14ac:dyDescent="0.25">
      <c r="G466" s="476"/>
      <c r="H466" s="476"/>
    </row>
    <row r="467" spans="7:8" x14ac:dyDescent="0.25">
      <c r="G467" s="476"/>
      <c r="H467" s="476"/>
    </row>
    <row r="468" spans="7:8" x14ac:dyDescent="0.25">
      <c r="G468" s="476"/>
      <c r="H468" s="476"/>
    </row>
    <row r="469" spans="7:8" x14ac:dyDescent="0.25">
      <c r="G469" s="476"/>
      <c r="H469" s="476"/>
    </row>
    <row r="470" spans="7:8" x14ac:dyDescent="0.25">
      <c r="G470" s="476"/>
      <c r="H470" s="476"/>
    </row>
    <row r="471" spans="7:8" x14ac:dyDescent="0.25">
      <c r="G471" s="476"/>
      <c r="H471" s="476"/>
    </row>
    <row r="472" spans="7:8" x14ac:dyDescent="0.25">
      <c r="G472" s="476"/>
      <c r="H472" s="476"/>
    </row>
    <row r="473" spans="7:8" x14ac:dyDescent="0.25">
      <c r="G473" s="476"/>
      <c r="H473" s="476"/>
    </row>
    <row r="474" spans="7:8" x14ac:dyDescent="0.25">
      <c r="G474" s="476"/>
      <c r="H474" s="476"/>
    </row>
    <row r="475" spans="7:8" x14ac:dyDescent="0.25">
      <c r="G475" s="476"/>
      <c r="H475" s="476"/>
    </row>
    <row r="476" spans="7:8" x14ac:dyDescent="0.25">
      <c r="G476" s="476"/>
      <c r="H476" s="476"/>
    </row>
    <row r="477" spans="7:8" x14ac:dyDescent="0.25">
      <c r="G477" s="476"/>
      <c r="H477" s="476"/>
    </row>
    <row r="478" spans="7:8" x14ac:dyDescent="0.25">
      <c r="G478" s="476"/>
      <c r="H478" s="476"/>
    </row>
    <row r="479" spans="7:8" x14ac:dyDescent="0.25">
      <c r="G479" s="476"/>
      <c r="H479" s="476"/>
    </row>
    <row r="480" spans="7:8" x14ac:dyDescent="0.25">
      <c r="G480" s="476"/>
      <c r="H480" s="476"/>
    </row>
    <row r="481" spans="7:8" x14ac:dyDescent="0.25">
      <c r="G481" s="476"/>
      <c r="H481" s="476"/>
    </row>
    <row r="482" spans="7:8" x14ac:dyDescent="0.25">
      <c r="G482" s="476"/>
      <c r="H482" s="476"/>
    </row>
    <row r="483" spans="7:8" x14ac:dyDescent="0.25">
      <c r="G483" s="476"/>
      <c r="H483" s="476"/>
    </row>
    <row r="484" spans="7:8" x14ac:dyDescent="0.25">
      <c r="G484" s="476"/>
      <c r="H484" s="476"/>
    </row>
    <row r="485" spans="7:8" x14ac:dyDescent="0.25">
      <c r="G485" s="476"/>
      <c r="H485" s="476"/>
    </row>
    <row r="486" spans="7:8" x14ac:dyDescent="0.25">
      <c r="G486" s="476"/>
      <c r="H486" s="476"/>
    </row>
    <row r="487" spans="7:8" x14ac:dyDescent="0.25">
      <c r="G487" s="476"/>
      <c r="H487" s="476"/>
    </row>
    <row r="488" spans="7:8" x14ac:dyDescent="0.25">
      <c r="G488" s="476"/>
      <c r="H488" s="476"/>
    </row>
    <row r="489" spans="7:8" x14ac:dyDescent="0.25">
      <c r="G489" s="476"/>
      <c r="H489" s="476"/>
    </row>
    <row r="490" spans="7:8" x14ac:dyDescent="0.25">
      <c r="G490" s="476"/>
      <c r="H490" s="476"/>
    </row>
    <row r="491" spans="7:8" x14ac:dyDescent="0.25">
      <c r="G491" s="476"/>
      <c r="H491" s="476"/>
    </row>
    <row r="492" spans="7:8" x14ac:dyDescent="0.25">
      <c r="G492" s="476"/>
      <c r="H492" s="476"/>
    </row>
    <row r="493" spans="7:8" x14ac:dyDescent="0.25">
      <c r="G493" s="476"/>
      <c r="H493" s="476"/>
    </row>
    <row r="494" spans="7:8" x14ac:dyDescent="0.25">
      <c r="G494" s="476"/>
      <c r="H494" s="476"/>
    </row>
    <row r="495" spans="7:8" x14ac:dyDescent="0.25">
      <c r="G495" s="476"/>
      <c r="H495" s="476"/>
    </row>
    <row r="496" spans="7:8" x14ac:dyDescent="0.25">
      <c r="G496" s="476"/>
      <c r="H496" s="476"/>
    </row>
    <row r="497" spans="7:8" x14ac:dyDescent="0.25">
      <c r="G497" s="476"/>
      <c r="H497" s="476"/>
    </row>
    <row r="498" spans="7:8" x14ac:dyDescent="0.25">
      <c r="G498" s="476"/>
      <c r="H498" s="476"/>
    </row>
    <row r="499" spans="7:8" x14ac:dyDescent="0.25">
      <c r="G499" s="476"/>
      <c r="H499" s="476"/>
    </row>
    <row r="500" spans="7:8" x14ac:dyDescent="0.25">
      <c r="G500" s="476"/>
      <c r="H500" s="476"/>
    </row>
    <row r="501" spans="7:8" x14ac:dyDescent="0.25">
      <c r="G501" s="476"/>
      <c r="H501" s="476"/>
    </row>
    <row r="502" spans="7:8" x14ac:dyDescent="0.25">
      <c r="G502" s="476"/>
      <c r="H502" s="476"/>
    </row>
    <row r="503" spans="7:8" x14ac:dyDescent="0.25">
      <c r="G503" s="476"/>
      <c r="H503" s="476"/>
    </row>
    <row r="504" spans="7:8" x14ac:dyDescent="0.25">
      <c r="G504" s="476"/>
      <c r="H504" s="476"/>
    </row>
    <row r="505" spans="7:8" x14ac:dyDescent="0.25">
      <c r="G505" s="476"/>
      <c r="H505" s="476"/>
    </row>
    <row r="506" spans="7:8" x14ac:dyDescent="0.25">
      <c r="G506" s="476"/>
      <c r="H506" s="476"/>
    </row>
    <row r="507" spans="7:8" x14ac:dyDescent="0.25">
      <c r="G507" s="476"/>
      <c r="H507" s="476"/>
    </row>
    <row r="508" spans="7:8" x14ac:dyDescent="0.25">
      <c r="G508" s="476"/>
      <c r="H508" s="476"/>
    </row>
    <row r="509" spans="7:8" x14ac:dyDescent="0.25">
      <c r="G509" s="476"/>
      <c r="H509" s="476"/>
    </row>
    <row r="510" spans="7:8" x14ac:dyDescent="0.25">
      <c r="G510" s="476"/>
      <c r="H510" s="476"/>
    </row>
    <row r="511" spans="7:8" x14ac:dyDescent="0.25">
      <c r="G511" s="476"/>
      <c r="H511" s="476"/>
    </row>
    <row r="512" spans="7:8" x14ac:dyDescent="0.25">
      <c r="G512" s="476"/>
      <c r="H512" s="476"/>
    </row>
    <row r="513" spans="7:8" x14ac:dyDescent="0.25">
      <c r="G513" s="476"/>
      <c r="H513" s="476"/>
    </row>
    <row r="514" spans="7:8" x14ac:dyDescent="0.25">
      <c r="G514" s="476"/>
      <c r="H514" s="476"/>
    </row>
    <row r="515" spans="7:8" x14ac:dyDescent="0.25">
      <c r="G515" s="476"/>
      <c r="H515" s="476"/>
    </row>
    <row r="516" spans="7:8" x14ac:dyDescent="0.25">
      <c r="G516" s="476"/>
      <c r="H516" s="476"/>
    </row>
    <row r="517" spans="7:8" x14ac:dyDescent="0.25">
      <c r="G517" s="476"/>
      <c r="H517" s="476"/>
    </row>
    <row r="518" spans="7:8" x14ac:dyDescent="0.25">
      <c r="G518" s="476"/>
      <c r="H518" s="476"/>
    </row>
    <row r="519" spans="7:8" x14ac:dyDescent="0.25">
      <c r="G519" s="476"/>
      <c r="H519" s="476"/>
    </row>
    <row r="520" spans="7:8" x14ac:dyDescent="0.25">
      <c r="G520" s="476"/>
      <c r="H520" s="476"/>
    </row>
    <row r="521" spans="7:8" x14ac:dyDescent="0.25">
      <c r="G521" s="476"/>
      <c r="H521" s="314"/>
    </row>
    <row r="522" spans="7:8" x14ac:dyDescent="0.25">
      <c r="G522" s="476"/>
      <c r="H522" s="314"/>
    </row>
  </sheetData>
  <mergeCells count="189">
    <mergeCell ref="D167:D168"/>
    <mergeCell ref="J167:J168"/>
    <mergeCell ref="D179:D180"/>
    <mergeCell ref="D181:D182"/>
    <mergeCell ref="A286:F286"/>
    <mergeCell ref="A278:F278"/>
    <mergeCell ref="E24:E26"/>
    <mergeCell ref="A288:J288"/>
    <mergeCell ref="A280:F280"/>
    <mergeCell ref="A281:F281"/>
    <mergeCell ref="A282:F282"/>
    <mergeCell ref="A283:F283"/>
    <mergeCell ref="A284:F284"/>
    <mergeCell ref="A273:F273"/>
    <mergeCell ref="A274:F274"/>
    <mergeCell ref="A275:F275"/>
    <mergeCell ref="A276:F276"/>
    <mergeCell ref="A277:F277"/>
    <mergeCell ref="A279:F279"/>
    <mergeCell ref="A246:A247"/>
    <mergeCell ref="B246:B247"/>
    <mergeCell ref="D246:D247"/>
    <mergeCell ref="E246:E247"/>
    <mergeCell ref="J246:J247"/>
    <mergeCell ref="I1:M1"/>
    <mergeCell ref="D48:D50"/>
    <mergeCell ref="A285:F285"/>
    <mergeCell ref="A287:F287"/>
    <mergeCell ref="A269:F269"/>
    <mergeCell ref="A270:F270"/>
    <mergeCell ref="A271:F271"/>
    <mergeCell ref="A272:F272"/>
    <mergeCell ref="J263:J264"/>
    <mergeCell ref="C265:F265"/>
    <mergeCell ref="B267:F267"/>
    <mergeCell ref="A268:J268"/>
    <mergeCell ref="D226:D227"/>
    <mergeCell ref="C219:F219"/>
    <mergeCell ref="C220:J220"/>
    <mergeCell ref="D221:D223"/>
    <mergeCell ref="D208:D209"/>
    <mergeCell ref="F208:F209"/>
    <mergeCell ref="H208:H209"/>
    <mergeCell ref="D210:D211"/>
    <mergeCell ref="B266:F266"/>
    <mergeCell ref="D248:D249"/>
    <mergeCell ref="E248:E249"/>
    <mergeCell ref="D253:D255"/>
    <mergeCell ref="D250:D251"/>
    <mergeCell ref="J233:J235"/>
    <mergeCell ref="D240:D241"/>
    <mergeCell ref="E240:E241"/>
    <mergeCell ref="C194:F194"/>
    <mergeCell ref="C195:J195"/>
    <mergeCell ref="D198:D199"/>
    <mergeCell ref="D200:D201"/>
    <mergeCell ref="D202:D205"/>
    <mergeCell ref="D215:D218"/>
    <mergeCell ref="D206:D207"/>
    <mergeCell ref="D212:D214"/>
    <mergeCell ref="G189:G190"/>
    <mergeCell ref="H189:H190"/>
    <mergeCell ref="I189:I190"/>
    <mergeCell ref="D192:D193"/>
    <mergeCell ref="J192:J193"/>
    <mergeCell ref="E193:F193"/>
    <mergeCell ref="D189:D190"/>
    <mergeCell ref="E189:E190"/>
    <mergeCell ref="F189:F190"/>
    <mergeCell ref="D186:D187"/>
    <mergeCell ref="N173:P173"/>
    <mergeCell ref="O175:P175"/>
    <mergeCell ref="D177:D178"/>
    <mergeCell ref="O178:S178"/>
    <mergeCell ref="D170:D172"/>
    <mergeCell ref="J170:J172"/>
    <mergeCell ref="D173:D175"/>
    <mergeCell ref="D183:D184"/>
    <mergeCell ref="O164:R166"/>
    <mergeCell ref="E165:E166"/>
    <mergeCell ref="D155:D156"/>
    <mergeCell ref="D157:D161"/>
    <mergeCell ref="D150:D151"/>
    <mergeCell ref="F150:F151"/>
    <mergeCell ref="O150:Q151"/>
    <mergeCell ref="D153:D154"/>
    <mergeCell ref="J153:J154"/>
    <mergeCell ref="K153:K154"/>
    <mergeCell ref="L153:L154"/>
    <mergeCell ref="M153:M154"/>
    <mergeCell ref="K148:K149"/>
    <mergeCell ref="D141:D142"/>
    <mergeCell ref="D143:D144"/>
    <mergeCell ref="F143:F144"/>
    <mergeCell ref="D137:D140"/>
    <mergeCell ref="E138:E139"/>
    <mergeCell ref="J137:J140"/>
    <mergeCell ref="D132:D136"/>
    <mergeCell ref="D122:D124"/>
    <mergeCell ref="D128:D131"/>
    <mergeCell ref="E124:E127"/>
    <mergeCell ref="O87:Q88"/>
    <mergeCell ref="D88:D89"/>
    <mergeCell ref="E88:E89"/>
    <mergeCell ref="J88:J89"/>
    <mergeCell ref="D91:D93"/>
    <mergeCell ref="J92:J93"/>
    <mergeCell ref="J132:J133"/>
    <mergeCell ref="D111:D112"/>
    <mergeCell ref="D145:D147"/>
    <mergeCell ref="O145:Q146"/>
    <mergeCell ref="N128:O128"/>
    <mergeCell ref="O83:P83"/>
    <mergeCell ref="E84:F84"/>
    <mergeCell ref="D83:D84"/>
    <mergeCell ref="D85:D86"/>
    <mergeCell ref="D53:D55"/>
    <mergeCell ref="D56:D59"/>
    <mergeCell ref="F56:F57"/>
    <mergeCell ref="D44:D45"/>
    <mergeCell ref="D46:D47"/>
    <mergeCell ref="J46:J47"/>
    <mergeCell ref="E57:E58"/>
    <mergeCell ref="D75:D76"/>
    <mergeCell ref="E75:E76"/>
    <mergeCell ref="L46:L47"/>
    <mergeCell ref="J50:J51"/>
    <mergeCell ref="O33:O34"/>
    <mergeCell ref="D35:D39"/>
    <mergeCell ref="D40:D41"/>
    <mergeCell ref="O40:Q41"/>
    <mergeCell ref="D27:D28"/>
    <mergeCell ref="D29:D32"/>
    <mergeCell ref="A4:M4"/>
    <mergeCell ref="A5:M5"/>
    <mergeCell ref="A6:M6"/>
    <mergeCell ref="A7:J7"/>
    <mergeCell ref="J8:M8"/>
    <mergeCell ref="I9:I11"/>
    <mergeCell ref="J9:M9"/>
    <mergeCell ref="J10:J11"/>
    <mergeCell ref="K10:M10"/>
    <mergeCell ref="A13:J13"/>
    <mergeCell ref="B14:J14"/>
    <mergeCell ref="C15:J15"/>
    <mergeCell ref="D22:D26"/>
    <mergeCell ref="D16:D17"/>
    <mergeCell ref="E9:E11"/>
    <mergeCell ref="F9:F11"/>
    <mergeCell ref="A12:M12"/>
    <mergeCell ref="G9:G11"/>
    <mergeCell ref="H9:H11"/>
    <mergeCell ref="A9:A11"/>
    <mergeCell ref="B9:B11"/>
    <mergeCell ref="C9:C11"/>
    <mergeCell ref="D9:D11"/>
    <mergeCell ref="I2:J2"/>
    <mergeCell ref="J108:J110"/>
    <mergeCell ref="J122:J123"/>
    <mergeCell ref="D33:D34"/>
    <mergeCell ref="A108:A110"/>
    <mergeCell ref="B108:B110"/>
    <mergeCell ref="C108:C110"/>
    <mergeCell ref="D108:D110"/>
    <mergeCell ref="E108:E110"/>
    <mergeCell ref="J257:J259"/>
    <mergeCell ref="J253:J254"/>
    <mergeCell ref="D63:D64"/>
    <mergeCell ref="E66:E67"/>
    <mergeCell ref="D70:D72"/>
    <mergeCell ref="D80:D82"/>
    <mergeCell ref="D94:D97"/>
    <mergeCell ref="J96:J97"/>
    <mergeCell ref="D102:D103"/>
    <mergeCell ref="C104:F104"/>
    <mergeCell ref="B105:F105"/>
    <mergeCell ref="B106:J106"/>
    <mergeCell ref="C107:J107"/>
    <mergeCell ref="D98:D99"/>
    <mergeCell ref="J98:J99"/>
    <mergeCell ref="D100:D101"/>
    <mergeCell ref="J100:J101"/>
    <mergeCell ref="J203:J204"/>
    <mergeCell ref="D148:D149"/>
    <mergeCell ref="J148:J149"/>
    <mergeCell ref="D162:D163"/>
    <mergeCell ref="F162:F163"/>
    <mergeCell ref="D164:D166"/>
    <mergeCell ref="E182:F182"/>
  </mergeCells>
  <pageMargins left="0.78740157480314965" right="0.39370078740157483" top="0.39370078740157483" bottom="0.39370078740157483" header="0" footer="0"/>
  <pageSetup paperSize="9" scale="74" orientation="portrait" r:id="rId1"/>
  <rowBreaks count="6" manualBreakCount="6">
    <brk id="52" max="12" man="1"/>
    <brk id="84" max="12" man="1"/>
    <brk id="131" max="12" man="1"/>
    <brk id="178" max="12" man="1"/>
    <brk id="224" max="12" man="1"/>
    <brk id="267" max="12" man="1"/>
  </rowBreaks>
  <colBreaks count="1" manualBreakCount="1">
    <brk id="13" max="1048575" man="1"/>
  </colBreaks>
  <ignoredErrors>
    <ignoredError sqref="G248" formula="1"/>
    <ignoredError sqref="H93:I9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</vt:lpstr>
      <vt:lpstr>'10 programa'!Print_Area</vt:lpstr>
      <vt:lpstr>'10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Asta Česnauskienė</cp:lastModifiedBy>
  <cp:lastPrinted>2023-06-05T15:32:51Z</cp:lastPrinted>
  <dcterms:created xsi:type="dcterms:W3CDTF">2006-05-12T05:50:12Z</dcterms:created>
  <dcterms:modified xsi:type="dcterms:W3CDTF">2023-10-26T05:10:14Z</dcterms:modified>
</cp:coreProperties>
</file>