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SVP KEITIMAI\2023-2025 SVP keitimas\2023-2025 SVP keitimas (spalis)\Sprendimas\"/>
    </mc:Choice>
  </mc:AlternateContent>
  <xr:revisionPtr revIDLastSave="0" documentId="13_ncr:1_{31717C1F-0AE1-4F82-B94B-92FEFBB95AFD}" xr6:coauthVersionLast="47" xr6:coauthVersionMax="47" xr10:uidLastSave="{00000000-0000-0000-0000-000000000000}"/>
  <bookViews>
    <workbookView xWindow="28680" yWindow="-120" windowWidth="38640" windowHeight="21120" xr2:uid="{00000000-000D-0000-FFFF-FFFF00000000}"/>
  </bookViews>
  <sheets>
    <sheet name="6 programa" sheetId="12" r:id="rId1"/>
  </sheets>
  <definedNames>
    <definedName name="_xlnm.Print_Area" localSheetId="0">'6 programa'!$A$1:$M$312</definedName>
    <definedName name="_xlnm.Print_Titles" localSheetId="0">'6 programa'!$9:$11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3" i="12" l="1"/>
  <c r="H303" i="12"/>
  <c r="G303" i="12"/>
  <c r="H259" i="12"/>
  <c r="G260" i="12"/>
  <c r="H225" i="12"/>
  <c r="H258" i="12" s="1"/>
  <c r="I258" i="12"/>
  <c r="G227" i="12" l="1"/>
  <c r="G226" i="12"/>
  <c r="G225" i="12"/>
  <c r="H181" i="12"/>
  <c r="G184" i="12"/>
  <c r="G182" i="12"/>
  <c r="G181" i="12"/>
  <c r="I23" i="12" l="1"/>
  <c r="I16" i="12"/>
  <c r="I178" i="12" s="1"/>
  <c r="I179" i="12" s="1"/>
  <c r="H29" i="12"/>
  <c r="H23" i="12"/>
  <c r="H20" i="12"/>
  <c r="H299" i="12" s="1"/>
  <c r="H16" i="12"/>
  <c r="H295" i="12" s="1"/>
  <c r="G28" i="12"/>
  <c r="G306" i="12" s="1"/>
  <c r="G23" i="12"/>
  <c r="G308" i="12" s="1"/>
  <c r="G21" i="12"/>
  <c r="G20" i="12"/>
  <c r="G19" i="12"/>
  <c r="G16" i="12"/>
  <c r="G24" i="12"/>
  <c r="G300" i="12" s="1"/>
  <c r="G304" i="12"/>
  <c r="G18" i="12"/>
  <c r="G298" i="12" s="1"/>
  <c r="I260" i="12"/>
  <c r="I285" i="12" s="1"/>
  <c r="H260" i="12"/>
  <c r="G259" i="12"/>
  <c r="I181" i="12"/>
  <c r="I295" i="12" s="1"/>
  <c r="G299" i="12"/>
  <c r="H296" i="12"/>
  <c r="H297" i="12"/>
  <c r="H298" i="12"/>
  <c r="H300" i="12"/>
  <c r="H301" i="12"/>
  <c r="H304" i="12"/>
  <c r="H302" i="12"/>
  <c r="I296" i="12"/>
  <c r="I298" i="12"/>
  <c r="I299" i="12"/>
  <c r="I300" i="12"/>
  <c r="I301" i="12"/>
  <c r="I304" i="12"/>
  <c r="I302" i="12"/>
  <c r="G296" i="12"/>
  <c r="G297" i="12"/>
  <c r="G185" i="12"/>
  <c r="G301" i="12" s="1"/>
  <c r="G229" i="12"/>
  <c r="G258" i="12" s="1"/>
  <c r="G26" i="12"/>
  <c r="G302" i="12" s="1"/>
  <c r="G29" i="12"/>
  <c r="G309" i="12" s="1"/>
  <c r="R259" i="12"/>
  <c r="G83" i="12"/>
  <c r="P18" i="12" s="1"/>
  <c r="I309" i="12"/>
  <c r="I308" i="12"/>
  <c r="I307" i="12"/>
  <c r="I306" i="12"/>
  <c r="H309" i="12"/>
  <c r="H308" i="12"/>
  <c r="H307" i="12"/>
  <c r="H306" i="12"/>
  <c r="G307" i="12"/>
  <c r="H285" i="12"/>
  <c r="Q263" i="12"/>
  <c r="R263" i="12"/>
  <c r="P263" i="12"/>
  <c r="Q262" i="12"/>
  <c r="R262" i="12"/>
  <c r="P262" i="12"/>
  <c r="Q261" i="12"/>
  <c r="Q259" i="12"/>
  <c r="Q260" i="12"/>
  <c r="R261" i="12"/>
  <c r="P261" i="12"/>
  <c r="R260" i="12"/>
  <c r="P259" i="12"/>
  <c r="Q229" i="12"/>
  <c r="R229" i="12"/>
  <c r="P229" i="12"/>
  <c r="Q228" i="12"/>
  <c r="R228" i="12"/>
  <c r="P228" i="12"/>
  <c r="Q227" i="12"/>
  <c r="R227" i="12"/>
  <c r="P227" i="12"/>
  <c r="Q226" i="12"/>
  <c r="R226" i="12"/>
  <c r="P226" i="12"/>
  <c r="Q185" i="12"/>
  <c r="R185" i="12"/>
  <c r="P185" i="12"/>
  <c r="Q184" i="12"/>
  <c r="R184" i="12"/>
  <c r="Q183" i="12"/>
  <c r="R183" i="12"/>
  <c r="P183" i="12"/>
  <c r="Q182" i="12"/>
  <c r="R182" i="12"/>
  <c r="P182" i="12"/>
  <c r="Q29" i="12"/>
  <c r="R29" i="12"/>
  <c r="P29" i="12"/>
  <c r="Q28" i="12"/>
  <c r="R28" i="12"/>
  <c r="P28" i="12"/>
  <c r="Q23" i="12"/>
  <c r="R23" i="12"/>
  <c r="P23" i="12"/>
  <c r="Q22" i="12"/>
  <c r="R22" i="12"/>
  <c r="P22" i="12"/>
  <c r="Q21" i="12"/>
  <c r="R21" i="12"/>
  <c r="P21" i="12"/>
  <c r="Q19" i="12"/>
  <c r="R19" i="12"/>
  <c r="P19" i="12"/>
  <c r="Q18" i="12"/>
  <c r="R18" i="12"/>
  <c r="Q17" i="12"/>
  <c r="R17" i="12"/>
  <c r="P17" i="12"/>
  <c r="G266" i="12"/>
  <c r="P260" i="12" s="1"/>
  <c r="G242" i="12"/>
  <c r="I233" i="12"/>
  <c r="R225" i="12" s="1"/>
  <c r="H233" i="12"/>
  <c r="Q225" i="12" s="1"/>
  <c r="G233" i="12"/>
  <c r="I199" i="12"/>
  <c r="I197" i="12"/>
  <c r="H199" i="12"/>
  <c r="G199" i="12"/>
  <c r="H197" i="12"/>
  <c r="G197" i="12"/>
  <c r="L195" i="12"/>
  <c r="K195" i="12"/>
  <c r="G193" i="12"/>
  <c r="M190" i="12"/>
  <c r="L190" i="12"/>
  <c r="K190" i="12"/>
  <c r="G187" i="12"/>
  <c r="H142" i="12"/>
  <c r="G130" i="12"/>
  <c r="G101" i="12"/>
  <c r="H129" i="12"/>
  <c r="I103" i="12"/>
  <c r="I101" i="12"/>
  <c r="H101" i="12"/>
  <c r="I96" i="12"/>
  <c r="R20" i="12" s="1"/>
  <c r="H96" i="12"/>
  <c r="G96" i="12"/>
  <c r="P20" i="12" s="1"/>
  <c r="I297" i="12" l="1"/>
  <c r="I294" i="12" s="1"/>
  <c r="I293" i="12" s="1"/>
  <c r="P16" i="12"/>
  <c r="P30" i="12" s="1"/>
  <c r="G305" i="12"/>
  <c r="H178" i="12"/>
  <c r="H179" i="12" s="1"/>
  <c r="P225" i="12"/>
  <c r="P231" i="12" s="1"/>
  <c r="P232" i="12" s="1"/>
  <c r="G222" i="12"/>
  <c r="P184" i="12"/>
  <c r="H222" i="12"/>
  <c r="H223" i="12" s="1"/>
  <c r="R16" i="12"/>
  <c r="R30" i="12" s="1"/>
  <c r="R31" i="12" s="1"/>
  <c r="I286" i="12"/>
  <c r="G178" i="12"/>
  <c r="G179" i="12" s="1"/>
  <c r="Q231" i="12"/>
  <c r="Q232" i="12" s="1"/>
  <c r="Q20" i="12"/>
  <c r="Q16" i="12"/>
  <c r="Q30" i="12" s="1"/>
  <c r="Q31" i="12" s="1"/>
  <c r="P181" i="12"/>
  <c r="P186" i="12" s="1"/>
  <c r="G295" i="12"/>
  <c r="G294" i="12" s="1"/>
  <c r="G293" i="12" s="1"/>
  <c r="H286" i="12"/>
  <c r="H287" i="12" s="1"/>
  <c r="H288" i="12" s="1"/>
  <c r="R264" i="12"/>
  <c r="R265" i="12" s="1"/>
  <c r="R181" i="12"/>
  <c r="R186" i="12" s="1"/>
  <c r="H305" i="12"/>
  <c r="I305" i="12"/>
  <c r="G223" i="12"/>
  <c r="Q264" i="12"/>
  <c r="Q265" i="12" s="1"/>
  <c r="R231" i="12"/>
  <c r="R232" i="12" s="1"/>
  <c r="Q181" i="12"/>
  <c r="Q186" i="12" s="1"/>
  <c r="I222" i="12"/>
  <c r="I223" i="12" s="1"/>
  <c r="I287" i="12" s="1"/>
  <c r="I288" i="12" s="1"/>
  <c r="H294" i="12"/>
  <c r="H293" i="12" s="1"/>
  <c r="P264" i="12"/>
  <c r="G285" i="12"/>
  <c r="G286" i="12" s="1"/>
  <c r="Q187" i="12" l="1"/>
  <c r="P31" i="12"/>
  <c r="P187" i="12"/>
  <c r="G287" i="12"/>
  <c r="G288" i="12" s="1"/>
  <c r="I310" i="12"/>
  <c r="H310" i="12"/>
  <c r="R187" i="12"/>
  <c r="G310" i="12"/>
  <c r="P26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Audra Cepiene</author>
    <author>Inga Mikalauskienė</author>
    <author>Rima Ališauskė</author>
    <author>Rima Alisauskaite</author>
    <author>Indrė Butenienė</author>
    <author>Saulina Paulauskiene</author>
    <author>Snieguole Kacerauskaite</author>
    <author>Snieguolė Kačerauskaitė</author>
    <author>Saulina Paulauskienė</author>
  </authors>
  <commentList>
    <comment ref="E30" authorId="0" shapeId="0" xr:uid="{00000000-0006-0000-0100-000001000000}">
      <text>
        <r>
          <rPr>
            <b/>
            <sz val="9"/>
            <color indexed="81"/>
            <rFont val="Tahoma"/>
            <family val="2"/>
            <charset val="186"/>
          </rPr>
          <t xml:space="preserve">P1, </t>
        </r>
        <r>
          <rPr>
            <sz val="9"/>
            <color indexed="81"/>
            <rFont val="Tahoma"/>
            <family val="2"/>
            <charset val="186"/>
          </rPr>
          <t>2.2. Miestui, uostui ir verslui aktualių investicijų projektų įgyvendinimas (1) Baltijos-Šilutės pl. sankryžos rekonstrukcija; 2) Statybininkų pr. pratęsimas iki 141 kelio; 3) Pietinio aplinkkelio įrengimas)</t>
        </r>
      </text>
    </comment>
    <comment ref="E31" authorId="0" shapeId="0" xr:uid="{00000000-0006-0000-0100-000002000000}">
      <text>
        <r>
          <rPr>
            <b/>
            <sz val="9"/>
            <color indexed="81"/>
            <rFont val="Tahoma"/>
            <family val="2"/>
            <charset val="186"/>
          </rPr>
          <t xml:space="preserve">P6, </t>
        </r>
        <r>
          <rPr>
            <sz val="9"/>
            <color indexed="81"/>
            <rFont val="Tahoma"/>
            <family val="2"/>
            <charset val="186"/>
          </rPr>
          <t xml:space="preserve">Klaipėdos miesto ekonominės plėtros strategija ir įgyvendinimo veiksmų planas iki 2030 metų, 3.3.2. priemonė 
</t>
        </r>
        <r>
          <rPr>
            <b/>
            <sz val="9"/>
            <color indexed="81"/>
            <rFont val="Tahoma"/>
            <family val="2"/>
            <charset val="186"/>
          </rPr>
          <t xml:space="preserve">
</t>
        </r>
      </text>
    </comment>
    <comment ref="E34" authorId="1" shapeId="0" xr:uid="{00000000-0006-0000-0100-000003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1.1.4. priemonė</t>
        </r>
      </text>
    </comment>
    <comment ref="E35" authorId="1" shapeId="0" xr:uid="{00000000-0006-0000-0100-000004000000}">
      <text>
        <r>
          <rPr>
            <sz val="9"/>
            <color indexed="81"/>
            <rFont val="Tahoma"/>
            <family val="2"/>
            <charset val="186"/>
          </rPr>
          <t>P-3.1.3.1.</t>
        </r>
        <r>
          <rPr>
            <sz val="9"/>
            <color indexed="81"/>
            <rFont val="Tahoma"/>
            <family val="2"/>
            <charset val="186"/>
          </rPr>
          <t xml:space="preserve">
</t>
        </r>
      </text>
    </comment>
    <comment ref="J36" authorId="1" shapeId="0" xr:uid="{2C74D97F-4978-4816-889D-CD5D2E5F0C05}">
      <text>
        <r>
          <rPr>
            <sz val="9"/>
            <color indexed="81"/>
            <rFont val="Tahoma"/>
            <family val="2"/>
            <charset val="186"/>
          </rPr>
          <t xml:space="preserve">Projektas parengtas 2019 m.
</t>
        </r>
      </text>
    </comment>
    <comment ref="E38" authorId="2" shapeId="0" xr:uid="{BE71FBB5-4593-47E7-9076-517A8294365E}">
      <text>
        <r>
          <rPr>
            <sz val="9"/>
            <color indexed="81"/>
            <rFont val="Tahoma"/>
            <family val="2"/>
            <charset val="186"/>
          </rPr>
          <t>P 3.1.3.1.</t>
        </r>
      </text>
    </comment>
    <comment ref="E39" authorId="1" shapeId="0" xr:uid="{00000000-0006-0000-0100-000005000000}">
      <text>
        <r>
          <rPr>
            <sz val="9"/>
            <color indexed="81"/>
            <rFont val="Tahoma"/>
            <family val="2"/>
            <charset val="186"/>
          </rPr>
          <t>P-3.1.3.1.</t>
        </r>
        <r>
          <rPr>
            <sz val="9"/>
            <color indexed="81"/>
            <rFont val="Tahoma"/>
            <family val="2"/>
            <charset val="186"/>
          </rPr>
          <t xml:space="preserve">
</t>
        </r>
      </text>
    </comment>
    <comment ref="E42" authorId="1" shapeId="0" xr:uid="{00000000-0006-0000-0100-000006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1.1.4. priemonė</t>
        </r>
      </text>
    </comment>
    <comment ref="E43" authorId="0" shapeId="0" xr:uid="{00000000-0006-0000-0100-000007000000}">
      <text>
        <r>
          <rPr>
            <b/>
            <sz val="9"/>
            <color indexed="81"/>
            <rFont val="Tahoma"/>
            <family val="2"/>
            <charset val="186"/>
          </rPr>
          <t>P6 KEPS</t>
        </r>
        <r>
          <rPr>
            <sz val="9"/>
            <color indexed="81"/>
            <rFont val="Tahoma"/>
            <family val="2"/>
            <charset val="186"/>
          </rPr>
          <t xml:space="preserve"> 3.3.2. priemonė - modernizuoti centrinį transporto įvadą (Baltijos prospekto sankryžos)
</t>
        </r>
        <r>
          <rPr>
            <b/>
            <sz val="9"/>
            <color indexed="81"/>
            <rFont val="Tahoma"/>
            <family val="2"/>
            <charset val="186"/>
          </rPr>
          <t xml:space="preserve">
</t>
        </r>
      </text>
    </comment>
    <comment ref="E44" authorId="0" shapeId="0" xr:uid="{00000000-0006-0000-0100-000008000000}">
      <text>
        <r>
          <rPr>
            <b/>
            <sz val="9"/>
            <color indexed="81"/>
            <rFont val="Tahoma"/>
            <family val="2"/>
            <charset val="186"/>
          </rPr>
          <t>P1, 4.1.1.</t>
        </r>
        <r>
          <rPr>
            <sz val="9"/>
            <color indexed="81"/>
            <rFont val="Tahoma"/>
            <family val="2"/>
            <charset val="186"/>
          </rPr>
          <t xml:space="preserve"> Pagal universalaus dizaino principus pritaikyta senamiesčio gatvių </t>
        </r>
      </text>
    </comment>
    <comment ref="K44" authorId="1" shapeId="0" xr:uid="{00000000-0006-0000-0100-000009000000}">
      <text>
        <r>
          <rPr>
            <sz val="9"/>
            <color indexed="81"/>
            <rFont val="Tahoma"/>
            <family val="2"/>
            <charset val="186"/>
          </rPr>
          <t xml:space="preserve">2023 m. planuojama Žvejų g., D. Vandens g., Vežėjų g., Daržų g.
</t>
        </r>
      </text>
    </comment>
    <comment ref="E46" authorId="1" shapeId="0" xr:uid="{00000000-0006-0000-0100-00000A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1.1.1. priemonė</t>
        </r>
      </text>
    </comment>
    <comment ref="E48" authorId="0" shapeId="0" xr:uid="{00000000-0006-0000-0100-00000B000000}">
      <text>
        <r>
          <rPr>
            <b/>
            <sz val="9"/>
            <color indexed="81"/>
            <rFont val="Tahoma"/>
            <family val="2"/>
            <charset val="186"/>
          </rPr>
          <t>P2,</t>
        </r>
        <r>
          <rPr>
            <sz val="9"/>
            <color indexed="81"/>
            <rFont val="Tahoma"/>
            <family val="2"/>
            <charset val="186"/>
          </rPr>
          <t xml:space="preserve"> Klaipėdos miesto darnaus judumo planas (2018-09-13, T2-185) 
</t>
        </r>
      </text>
    </comment>
    <comment ref="E49" authorId="1" shapeId="0" xr:uid="{00000000-0006-0000-0100-00000C000000}">
      <text>
        <r>
          <rPr>
            <sz val="9"/>
            <color indexed="81"/>
            <rFont val="Tahoma"/>
            <family val="2"/>
            <charset val="186"/>
          </rPr>
          <t xml:space="preserve">P-3.2.2.3., 3.1.2.2
</t>
        </r>
      </text>
    </comment>
    <comment ref="E50" authorId="0" shapeId="0" xr:uid="{00000000-0006-0000-0100-00000D000000}">
      <text>
        <r>
          <rPr>
            <b/>
            <sz val="9"/>
            <color indexed="81"/>
            <rFont val="Tahoma"/>
            <family val="2"/>
            <charset val="186"/>
          </rPr>
          <t xml:space="preserve">P1, 4.1.1. </t>
        </r>
        <r>
          <rPr>
            <sz val="9"/>
            <color indexed="81"/>
            <rFont val="Tahoma"/>
            <family val="2"/>
            <charset val="186"/>
          </rPr>
          <t xml:space="preserve">Pagal universalaus dizaino principus pritaikyta senamiesčio gatvių </t>
        </r>
      </text>
    </comment>
    <comment ref="E52" authorId="1" shapeId="0" xr:uid="{00000000-0006-0000-0100-00000E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1.1.1. priemonė</t>
        </r>
      </text>
    </comment>
    <comment ref="E54" authorId="3" shapeId="0" xr:uid="{00000000-0006-0000-0100-00000F000000}">
      <text>
        <r>
          <rPr>
            <sz val="9"/>
            <color indexed="81"/>
            <rFont val="Tahoma"/>
            <family val="2"/>
            <charset val="186"/>
          </rPr>
          <t>P-3.2.2.3.</t>
        </r>
      </text>
    </comment>
    <comment ref="E56" authorId="4" shapeId="0" xr:uid="{00000000-0006-0000-0100-000010000000}">
      <text>
        <r>
          <rPr>
            <sz val="9"/>
            <color indexed="81"/>
            <rFont val="Tahoma"/>
            <family val="2"/>
            <charset val="186"/>
          </rPr>
          <t>P1, 1.1.2. Parengtas ir įgyvendintas žvyruotų kelių asfaltavimo priemonių planas siekiant asfaltuoti ne mažiau kaip 10 km žvyruotų kelių</t>
        </r>
      </text>
    </comment>
    <comment ref="J56" authorId="1" shapeId="0" xr:uid="{00000000-0006-0000-0100-000011000000}">
      <text>
        <r>
          <rPr>
            <sz val="9"/>
            <color indexed="81"/>
            <rFont val="Tahoma"/>
            <family val="2"/>
            <charset val="186"/>
          </rPr>
          <t xml:space="preserve">Slengių g., Lietaus g., Vaivorykštės g., Griaustinio g. , Arimų g., Vėjo g. (II dalies), Žvaigždžių g. rekonstravimas
</t>
        </r>
      </text>
    </comment>
    <comment ref="E58" authorId="1" shapeId="0" xr:uid="{00000000-0006-0000-0100-000012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1.1.2. priemonė</t>
        </r>
      </text>
    </comment>
    <comment ref="E59" authorId="3" shapeId="0" xr:uid="{00000000-0006-0000-0100-000013000000}">
      <text>
        <r>
          <rPr>
            <sz val="9"/>
            <color indexed="81"/>
            <rFont val="Tahoma"/>
            <family val="2"/>
            <charset val="186"/>
          </rPr>
          <t>P-3.1.3.4.</t>
        </r>
      </text>
    </comment>
    <comment ref="K62" authorId="1" shapeId="0" xr:uid="{00000000-0006-0000-0100-000014000000}">
      <text>
        <r>
          <rPr>
            <sz val="9"/>
            <color indexed="81"/>
            <rFont val="Tahoma"/>
            <family val="2"/>
            <charset val="186"/>
          </rPr>
          <t xml:space="preserve">Ruožo nuo Laivų skg. iki Artojo g. </t>
        </r>
      </text>
    </comment>
    <comment ref="E64" authorId="3" shapeId="0" xr:uid="{00000000-0006-0000-0100-000015000000}">
      <text>
        <r>
          <rPr>
            <sz val="9"/>
            <color indexed="81"/>
            <rFont val="Tahoma"/>
            <family val="2"/>
            <charset val="186"/>
          </rPr>
          <t>P-3.1.3.5.</t>
        </r>
      </text>
    </comment>
    <comment ref="E65" authorId="4" shapeId="0" xr:uid="{00000000-0006-0000-0100-000016000000}">
      <text>
        <r>
          <rPr>
            <sz val="9"/>
            <color indexed="81"/>
            <rFont val="Tahoma"/>
            <family val="2"/>
            <charset val="186"/>
          </rPr>
          <t>P1, 1.1.2. Parengtas ir įgyvendintas žvyruotų kelių asfaltavimo priemonių planas siekiant asfaltuoti ne mažiau kaip 10 km žvyruotų kelių, vnt</t>
        </r>
      </text>
    </comment>
    <comment ref="E67" authorId="3" shapeId="0" xr:uid="{00000000-0006-0000-0100-000017000000}">
      <text>
        <r>
          <rPr>
            <sz val="9"/>
            <color indexed="81"/>
            <rFont val="Tahoma"/>
            <family val="2"/>
            <charset val="186"/>
          </rPr>
          <t>P-3.1.3.4.</t>
        </r>
      </text>
    </comment>
    <comment ref="E69" authorId="3" shapeId="0" xr:uid="{00000000-0006-0000-0100-000018000000}">
      <text>
        <r>
          <rPr>
            <sz val="9"/>
            <color indexed="81"/>
            <rFont val="Tahoma"/>
            <family val="2"/>
            <charset val="186"/>
          </rPr>
          <t>P-3.1.3.4.</t>
        </r>
      </text>
    </comment>
    <comment ref="E70" authorId="0" shapeId="0" xr:uid="{00000000-0006-0000-0100-000019000000}">
      <text>
        <r>
          <rPr>
            <sz val="9"/>
            <color indexed="81"/>
            <rFont val="Tahoma"/>
            <family val="2"/>
            <charset val="186"/>
          </rPr>
          <t xml:space="preserve">P1, 3.6. Miesto susisiekimo sistemos tobulinimas užtikrinant didesnį gatvių tinklo pralaidumą
</t>
        </r>
      </text>
    </comment>
    <comment ref="E76" authorId="0" shapeId="0" xr:uid="{00000000-0006-0000-0100-00001A000000}">
      <text>
        <r>
          <rPr>
            <sz val="9"/>
            <color indexed="81"/>
            <rFont val="Tahoma"/>
            <family val="2"/>
            <charset val="186"/>
          </rPr>
          <t>P1, 3.6. Miesto susisiekimo sistemos tobulinimas užtikrinant didesnį gatvių tinklo pralaidumą;</t>
        </r>
      </text>
    </comment>
    <comment ref="E78" authorId="3" shapeId="0" xr:uid="{00000000-0006-0000-0100-00001B000000}">
      <text>
        <r>
          <rPr>
            <sz val="9"/>
            <color indexed="81"/>
            <rFont val="Tahoma"/>
            <family val="2"/>
            <charset val="186"/>
          </rPr>
          <t>P-3.1.3.5.</t>
        </r>
      </text>
    </comment>
    <comment ref="J79" authorId="1" shapeId="0" xr:uid="{00000000-0006-0000-0100-00001C000000}">
      <text>
        <r>
          <rPr>
            <sz val="9"/>
            <color indexed="81"/>
            <rFont val="Tahoma"/>
            <family val="2"/>
            <charset val="186"/>
          </rPr>
          <t xml:space="preserve">Įrengtas naujas žvejų laivams skirtas slipas (aikštelė, skirta valtims nuleisti ir ištraukti iš vandens)
</t>
        </r>
      </text>
    </comment>
    <comment ref="E80" authorId="3" shapeId="0" xr:uid="{00000000-0006-0000-0100-00001D000000}">
      <text>
        <r>
          <rPr>
            <sz val="9"/>
            <color indexed="81"/>
            <rFont val="Tahoma"/>
            <family val="2"/>
            <charset val="186"/>
          </rPr>
          <t>P-1.1.2.3.</t>
        </r>
      </text>
    </comment>
    <comment ref="E84" authorId="3" shapeId="0" xr:uid="{00000000-0006-0000-0100-00001E000000}">
      <text>
        <r>
          <rPr>
            <sz val="9"/>
            <color indexed="81"/>
            <rFont val="Tahoma"/>
            <family val="2"/>
            <charset val="186"/>
          </rPr>
          <t>P-1.1.2.3.</t>
        </r>
      </text>
    </comment>
    <comment ref="E88" authorId="1" shapeId="0" xr:uid="{00000000-0006-0000-0100-00001F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1.1.5. priemonė</t>
        </r>
      </text>
    </comment>
    <comment ref="E90" authorId="5" shapeId="0" xr:uid="{00000000-0006-0000-0100-000020000000}">
      <text>
        <r>
          <rPr>
            <sz val="9"/>
            <color indexed="81"/>
            <rFont val="Tahoma"/>
            <family val="2"/>
            <charset val="186"/>
          </rPr>
          <t>P-3.1.3.4.</t>
        </r>
      </text>
    </comment>
    <comment ref="E96" authorId="1" shapeId="0" xr:uid="{00000000-0006-0000-0100-000021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1.1.5. priemonė</t>
        </r>
      </text>
    </comment>
    <comment ref="E98" authorId="5" shapeId="0" xr:uid="{00000000-0006-0000-0100-000022000000}">
      <text>
        <r>
          <rPr>
            <sz val="9"/>
            <color indexed="81"/>
            <rFont val="Tahoma"/>
            <family val="2"/>
            <charset val="186"/>
          </rPr>
          <t>P-3.1.3.4.</t>
        </r>
      </text>
    </comment>
    <comment ref="E102" authorId="1" shapeId="0" xr:uid="{00000000-0006-0000-0100-000023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1.1.5. priemonė</t>
        </r>
      </text>
    </comment>
    <comment ref="E104" authorId="1" shapeId="0" xr:uid="{00000000-0006-0000-0100-000024000000}">
      <text>
        <r>
          <rPr>
            <sz val="9"/>
            <color indexed="81"/>
            <rFont val="Tahoma"/>
            <family val="2"/>
            <charset val="186"/>
          </rPr>
          <t xml:space="preserve">P-3.1.1.3.; 3.1.1.2.
</t>
        </r>
      </text>
    </comment>
    <comment ref="K105" authorId="5" shapeId="0" xr:uid="{00000000-0006-0000-0100-000025000000}">
      <text>
        <r>
          <rPr>
            <sz val="9"/>
            <color indexed="81"/>
            <rFont val="Tahoma"/>
            <family val="2"/>
            <charset val="186"/>
          </rPr>
          <t>Taikos pr. šaligatvių su dviračių takais (atkarpoje nuo Sausio 15-osios g. iki Tiltų g. (abi pusės)) atnaujinimas pagal darbų aprašą</t>
        </r>
      </text>
    </comment>
    <comment ref="K107" authorId="5" shapeId="0" xr:uid="{00000000-0006-0000-0100-000026000000}">
      <text>
        <r>
          <rPr>
            <sz val="9"/>
            <color indexed="81"/>
            <rFont val="Tahoma"/>
            <family val="2"/>
            <charset val="186"/>
          </rPr>
          <t>Krantinės tarp Biržos tilto ir naujai įrengto dviračių-pėsčiųjų tako sutvarkymas (šalia Meridiano)</t>
        </r>
      </text>
    </comment>
    <comment ref="L108" authorId="5" shapeId="0" xr:uid="{00000000-0006-0000-0100-000027000000}">
      <text>
        <r>
          <rPr>
            <sz val="9"/>
            <color indexed="81"/>
            <rFont val="Tahoma"/>
            <family val="2"/>
            <charset val="186"/>
          </rPr>
          <t>Krantinės tarp Biržos tilto ir naujai įrengto dviračių-pėsčiųjų tako sutvarkymas (šalia Meridiano)</t>
        </r>
      </text>
    </comment>
    <comment ref="K109" authorId="5" shapeId="0" xr:uid="{00000000-0006-0000-0100-000028000000}">
      <text>
        <r>
          <rPr>
            <sz val="9"/>
            <color indexed="81"/>
            <rFont val="Tahoma"/>
            <family val="2"/>
            <charset val="186"/>
          </rPr>
          <t>Sportininkų gatvės šaligatvių kapitalinis remontas</t>
        </r>
      </text>
    </comment>
    <comment ref="L110" authorId="5" shapeId="0" xr:uid="{00000000-0006-0000-0100-000029000000}">
      <text>
        <r>
          <rPr>
            <sz val="9"/>
            <color indexed="81"/>
            <rFont val="Tahoma"/>
            <family val="2"/>
            <charset val="186"/>
          </rPr>
          <t>Sportininkų gatvės šaligatvių kapitalinis remontas</t>
        </r>
      </text>
    </comment>
    <comment ref="K112" authorId="5" shapeId="0" xr:uid="{00000000-0006-0000-0100-00002A000000}">
      <text>
        <r>
          <rPr>
            <sz val="9"/>
            <color indexed="81"/>
            <rFont val="Tahoma"/>
            <family val="2"/>
            <charset val="186"/>
          </rPr>
          <t>Gilijos pradinė mokykla ir l/d Saulutė</t>
        </r>
      </text>
    </comment>
    <comment ref="E113" authorId="5" shapeId="0" xr:uid="{00000000-0006-0000-0100-00002B000000}">
      <text>
        <r>
          <rPr>
            <sz val="9"/>
            <color indexed="81"/>
            <rFont val="Tahoma"/>
            <family val="2"/>
            <charset val="186"/>
          </rPr>
          <t>P-3.1.3.6.</t>
        </r>
      </text>
    </comment>
    <comment ref="K114" authorId="5" shapeId="0" xr:uid="{00000000-0006-0000-0100-00002C000000}">
      <text>
        <r>
          <rPr>
            <sz val="9"/>
            <color indexed="81"/>
            <rFont val="Tahoma"/>
            <family val="2"/>
            <charset val="186"/>
          </rPr>
          <t>1. Tiltas per Smeltalę Marių gatvėje;
2. Tiltas per Smeltalę Minijos gatvėje;
3. Tiltas per Smeltalę Jūrininkų pr.
4. Viadukas per geležinkelį Taikos pr.
5. Viadukas Liepų gatvėje;
6. Viadukas H.Manto gatvėje;
7. Viadukas per geležinkelį P. Lideikio gatvėje;
8. Tiltas per Dangę Tauralaukyje;
9. Tiltas per Dangę Mokyklos gatvėje;
10. Pakeliamas tiltas per Dangę Tiltų gatvėje – Biržos tiltas;
11. Pakeliamas tiltas per Dangę Pilies gatvėje - Pilies tiltas;   
12. Tiltas per Dangę Liepų gatvėje;
13. Tiltas Pylimo g. prie Jono kalnelio Nr. 1;
14. Tiltas Pylimo g. prie Jono kalnelio Nr. 2.
15. Tiltas Priestočio gatvėje per geležinkelį
16. Tiltas Pylimo g. per fosą prie Jono kalnelio Nr. 3</t>
        </r>
        <r>
          <rPr>
            <b/>
            <sz val="9"/>
            <color indexed="81"/>
            <rFont val="Tahoma"/>
            <family val="2"/>
            <charset val="186"/>
          </rPr>
          <t xml:space="preserve">
</t>
        </r>
      </text>
    </comment>
    <comment ref="J116" authorId="1" shapeId="0" xr:uid="{00000000-0006-0000-0100-00002D000000}">
      <text>
        <r>
          <rPr>
            <sz val="9"/>
            <color indexed="81"/>
            <rFont val="Tahoma"/>
            <family val="2"/>
            <charset val="186"/>
          </rPr>
          <t xml:space="preserve">Atlikti Biržos tilto tvarkymo darbai
</t>
        </r>
      </text>
    </comment>
    <comment ref="E120" authorId="3" shapeId="0" xr:uid="{00000000-0006-0000-0100-00002E000000}">
      <text>
        <r>
          <rPr>
            <sz val="9"/>
            <color indexed="81"/>
            <rFont val="Tahoma"/>
            <family val="2"/>
            <charset val="186"/>
          </rPr>
          <t>P-3.1.3.5.</t>
        </r>
      </text>
    </comment>
    <comment ref="K122" authorId="1" shapeId="0" xr:uid="{00000000-0006-0000-0100-00002F000000}">
      <text>
        <r>
          <rPr>
            <sz val="9"/>
            <color indexed="81"/>
            <rFont val="Tahoma"/>
            <family val="2"/>
            <charset val="186"/>
          </rPr>
          <t xml:space="preserve">1. Rasos g., Saulėlydžio g., Saulės g., Naktigonės g., Spindulio g. 
2. Pravažiavimai tarp Molo g. ir Pamario g., Serviso g., Šilo g. ir pravažiavimo kelias tarp Šilo g.
3. Nidos g. ir Gilijos g. kapitalinio remonto. 
</t>
        </r>
      </text>
    </comment>
    <comment ref="L122" authorId="1" shapeId="0" xr:uid="{00000000-0006-0000-0100-000030000000}">
      <text>
        <r>
          <rPr>
            <sz val="9"/>
            <color indexed="81"/>
            <rFont val="Tahoma"/>
            <family val="2"/>
            <charset val="186"/>
          </rPr>
          <t xml:space="preserve">1. Rasos g., Saulėlydžio g., Saulės g., Naktigonės g., Spindulio g.
2. Pravažiavimai tarp Molo g. ir Pamario g., Serviso g., Šilo g. ir pravažiavimo kelias tarp Šilo g. </t>
        </r>
      </text>
    </comment>
    <comment ref="M122" authorId="1" shapeId="0" xr:uid="{00000000-0006-0000-0100-000031000000}">
      <text>
        <r>
          <rPr>
            <sz val="9"/>
            <color indexed="81"/>
            <rFont val="Tahoma"/>
            <family val="2"/>
            <charset val="186"/>
          </rPr>
          <t xml:space="preserve">1. Rasos g., Saulėlydžio g., Saulės g., Naktigonės g., Spindulio g.
2. Pravažiavimai tarp Molo g. ir Pamario g., Serviso g., Šilo g. ir pravažiavimo kelias tarp Šilo g.
</t>
        </r>
      </text>
    </comment>
    <comment ref="E124" authorId="3" shapeId="0" xr:uid="{00000000-0006-0000-0100-000032000000}">
      <text>
        <r>
          <rPr>
            <sz val="9"/>
            <color indexed="81"/>
            <rFont val="Tahoma"/>
            <family val="2"/>
            <charset val="186"/>
          </rPr>
          <t>P-3.1.3.4.</t>
        </r>
      </text>
    </comment>
    <comment ref="E125" authorId="5" shapeId="0" xr:uid="{00000000-0006-0000-0100-000033000000}">
      <text>
        <r>
          <rPr>
            <sz val="9"/>
            <color indexed="81"/>
            <rFont val="Tahoma"/>
            <family val="2"/>
            <charset val="186"/>
          </rPr>
          <t>P-3.2.2.2.</t>
        </r>
      </text>
    </comment>
    <comment ref="D126" authorId="1" shapeId="0" xr:uid="{00000000-0006-0000-0100-000034000000}">
      <text>
        <r>
          <rPr>
            <sz val="9"/>
            <color indexed="81"/>
            <rFont val="Tahoma"/>
            <family val="2"/>
            <charset val="186"/>
          </rPr>
          <t>P-3.1.3.5.
2023-2025 m.</t>
        </r>
      </text>
    </comment>
    <comment ref="E132" authorId="3" shapeId="0" xr:uid="{00000000-0006-0000-0100-000035000000}">
      <text>
        <r>
          <rPr>
            <sz val="9"/>
            <color indexed="81"/>
            <rFont val="Tahoma"/>
            <family val="2"/>
            <charset val="186"/>
          </rPr>
          <t>P-3.1.3.6.</t>
        </r>
      </text>
    </comment>
    <comment ref="D139" authorId="6" shapeId="0" xr:uid="{00000000-0006-0000-0100-000036000000}">
      <text>
        <r>
          <rPr>
            <sz val="9"/>
            <color indexed="81"/>
            <rFont val="Tahoma"/>
            <family val="2"/>
            <charset val="186"/>
          </rPr>
          <t>Susijusi su 11 pr. "Sporto ir laisvalaikio komplekso statyba (koncesijos procedūrų vykdymas)"</t>
        </r>
        <r>
          <rPr>
            <sz val="9"/>
            <color indexed="81"/>
            <rFont val="Tahoma"/>
            <family val="2"/>
            <charset val="186"/>
          </rPr>
          <t xml:space="preserve">
</t>
        </r>
      </text>
    </comment>
    <comment ref="E141" authorId="3" shapeId="0" xr:uid="{00000000-0006-0000-0100-000037000000}">
      <text>
        <r>
          <rPr>
            <sz val="9"/>
            <color indexed="81"/>
            <rFont val="Tahoma"/>
            <family val="2"/>
            <charset val="186"/>
          </rPr>
          <t>P-3.1.3.5.</t>
        </r>
      </text>
    </comment>
    <comment ref="E144" authorId="3" shapeId="0" xr:uid="{00000000-0006-0000-0100-000038000000}">
      <text>
        <r>
          <rPr>
            <sz val="9"/>
            <color indexed="81"/>
            <rFont val="Tahoma"/>
            <family val="2"/>
            <charset val="186"/>
          </rPr>
          <t>P-1.2.1.1.</t>
        </r>
      </text>
    </comment>
    <comment ref="E148" authorId="3" shapeId="0" xr:uid="{00000000-0006-0000-0100-000039000000}">
      <text>
        <r>
          <rPr>
            <sz val="9"/>
            <color indexed="81"/>
            <rFont val="Tahoma"/>
            <family val="2"/>
            <charset val="186"/>
          </rPr>
          <t>P-1.1.1.5.</t>
        </r>
      </text>
    </comment>
    <comment ref="E150" authorId="3" shapeId="0" xr:uid="{00000000-0006-0000-0100-00003A000000}">
      <text>
        <r>
          <rPr>
            <sz val="9"/>
            <color indexed="81"/>
            <rFont val="Tahoma"/>
            <family val="2"/>
            <charset val="186"/>
          </rPr>
          <t>P-1.1.1.5.</t>
        </r>
      </text>
    </comment>
    <comment ref="E153" authorId="3" shapeId="0" xr:uid="{00000000-0006-0000-0100-00003B000000}">
      <text>
        <r>
          <rPr>
            <sz val="9"/>
            <color indexed="81"/>
            <rFont val="Tahoma"/>
            <family val="2"/>
            <charset val="186"/>
          </rPr>
          <t>P-1.1.1.5.</t>
        </r>
      </text>
    </comment>
    <comment ref="E156" authorId="1" shapeId="0" xr:uid="{00000000-0006-0000-0100-00003C000000}">
      <text>
        <r>
          <rPr>
            <sz val="9"/>
            <color indexed="81"/>
            <rFont val="Tahoma"/>
            <family val="2"/>
            <charset val="186"/>
          </rPr>
          <t xml:space="preserve">P-3.1.3.6. 2024-2025 m.
</t>
        </r>
      </text>
    </comment>
    <comment ref="E157" authorId="2" shapeId="0" xr:uid="{00000000-0006-0000-0100-00003D000000}">
      <text>
        <r>
          <rPr>
            <sz val="9"/>
            <color indexed="81"/>
            <rFont val="Tahoma"/>
            <family val="2"/>
            <charset val="186"/>
          </rPr>
          <t>3.1.1.3.</t>
        </r>
      </text>
    </comment>
    <comment ref="E160" authorId="2" shapeId="0" xr:uid="{00000000-0006-0000-0100-00003E000000}">
      <text>
        <r>
          <rPr>
            <sz val="9"/>
            <color indexed="81"/>
            <rFont val="Tahoma"/>
            <family val="2"/>
            <charset val="186"/>
          </rPr>
          <t>3.1.2.2.</t>
        </r>
      </text>
    </comment>
    <comment ref="E163" authorId="2" shapeId="0" xr:uid="{00000000-0006-0000-0100-00003F000000}">
      <text>
        <r>
          <rPr>
            <sz val="9"/>
            <color indexed="81"/>
            <rFont val="Tahoma"/>
            <family val="2"/>
            <charset val="186"/>
          </rPr>
          <t>3.1.3.5.</t>
        </r>
      </text>
    </comment>
    <comment ref="E166" authorId="2" shapeId="0" xr:uid="{00000000-0006-0000-0100-000040000000}">
      <text>
        <r>
          <rPr>
            <sz val="9"/>
            <color indexed="81"/>
            <rFont val="Tahoma"/>
            <family val="2"/>
            <charset val="186"/>
          </rPr>
          <t>3.1.3.5.</t>
        </r>
      </text>
    </comment>
    <comment ref="D169" authorId="2" shapeId="0" xr:uid="{00000000-0006-0000-0100-000041000000}">
      <text>
        <r>
          <rPr>
            <sz val="9"/>
            <color indexed="81"/>
            <rFont val="Tahoma"/>
            <family val="2"/>
            <charset val="186"/>
          </rPr>
          <t>Atsiskaitymui su LAKD po teisminio proceso su rangovu</t>
        </r>
      </text>
    </comment>
    <comment ref="E169" authorId="0" shapeId="0" xr:uid="{00000000-0006-0000-0100-000042000000}">
      <text>
        <r>
          <rPr>
            <b/>
            <sz val="9"/>
            <color indexed="81"/>
            <rFont val="Tahoma"/>
            <family val="2"/>
            <charset val="186"/>
          </rPr>
          <t xml:space="preserve">P1, </t>
        </r>
        <r>
          <rPr>
            <sz val="9"/>
            <color indexed="81"/>
            <rFont val="Tahoma"/>
            <family val="2"/>
            <charset val="186"/>
          </rPr>
          <t>3.6. Miesto susisiekimo sistemos tobulinimas užtikrinant didesnį gatvių tinklo pralaidumą:
 1) Jūrininkų pr., 2) Pamario g., 3) Tilžės g.; 4) Šilutės pl. nuo Tilžės g. iki pervažos; 5) Pajūrio g.</t>
        </r>
      </text>
    </comment>
    <comment ref="J169" authorId="7" shapeId="0" xr:uid="{00000000-0006-0000-0100-000043000000}">
      <text>
        <r>
          <rPr>
            <sz val="9"/>
            <color indexed="81"/>
            <rFont val="Tahoma"/>
            <family val="2"/>
            <charset val="186"/>
          </rPr>
          <t>2021 m. atlikti gatvės (1374 m) rekonstravimo darbai</t>
        </r>
        <r>
          <rPr>
            <sz val="9"/>
            <color indexed="81"/>
            <rFont val="Tahoma"/>
            <family val="2"/>
            <charset val="186"/>
          </rPr>
          <t xml:space="preserve">
</t>
        </r>
      </text>
    </comment>
    <comment ref="K169" authorId="1" shapeId="0" xr:uid="{00000000-0006-0000-0100-000044000000}">
      <text>
        <r>
          <rPr>
            <sz val="9"/>
            <color indexed="81"/>
            <rFont val="Tahoma"/>
            <family val="2"/>
            <charset val="186"/>
          </rPr>
          <t xml:space="preserve">Neaišku, kada  ir kaip baigsis teisminiai ginčai
</t>
        </r>
      </text>
    </comment>
    <comment ref="E172" authorId="1" shapeId="0" xr:uid="{00000000-0006-0000-0100-000045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1.1.2. priemonė</t>
        </r>
      </text>
    </comment>
    <comment ref="E173" authorId="3" shapeId="0" xr:uid="{00000000-0006-0000-0100-000046000000}">
      <text>
        <r>
          <rPr>
            <sz val="9"/>
            <color indexed="81"/>
            <rFont val="Tahoma"/>
            <family val="2"/>
            <charset val="186"/>
          </rPr>
          <t>P-3.1.1.4.</t>
        </r>
      </text>
    </comment>
    <comment ref="K173" authorId="1" shapeId="0" xr:uid="{00000000-0006-0000-0100-000047000000}">
      <text>
        <r>
          <rPr>
            <sz val="9"/>
            <color indexed="81"/>
            <rFont val="Tahoma"/>
            <family val="2"/>
            <charset val="186"/>
          </rPr>
          <t xml:space="preserve">Rangovas vėluoja atlikti darbus, planauojama juos atnaujinti po technloginės pertraukos  2023-03-15. Rangovui skaičiuojami delspinigiai. 
</t>
        </r>
      </text>
    </comment>
    <comment ref="E186" authorId="5" shapeId="0" xr:uid="{00000000-0006-0000-0100-000048000000}">
      <text>
        <r>
          <rPr>
            <sz val="9"/>
            <color indexed="81"/>
            <rFont val="Tahoma"/>
            <family val="2"/>
            <charset val="186"/>
          </rPr>
          <t>P-3.1.2., 3.1.2.1., 3.1.2.2</t>
        </r>
      </text>
    </comment>
    <comment ref="E187" authorId="0" shapeId="0" xr:uid="{00000000-0006-0000-0100-000049000000}">
      <text>
        <r>
          <rPr>
            <b/>
            <sz val="9"/>
            <color indexed="81"/>
            <rFont val="Tahoma"/>
            <family val="2"/>
            <charset val="186"/>
          </rPr>
          <t xml:space="preserve">P1 1.3. </t>
        </r>
        <r>
          <rPr>
            <sz val="9"/>
            <color indexed="81"/>
            <rFont val="Tahoma"/>
            <family val="2"/>
            <charset val="186"/>
          </rPr>
          <t xml:space="preserve">Ekologiško bei visiems prieinamo viešojo transporto  sistemos įdiegimas
1.3.2. Socialiai jautrių visuomenės grupių (moksleiviai, studentai ir senjorai), kuriems įvestos papildomos nuolaidos įsigyjant viešojo transporto bilietus, skaičius </t>
        </r>
      </text>
    </comment>
    <comment ref="J189" authorId="5" shapeId="0" xr:uid="{00000000-0006-0000-0100-00004A000000}">
      <text>
        <r>
          <rPr>
            <sz val="9"/>
            <color indexed="81"/>
            <rFont val="Tahoma"/>
            <family val="2"/>
            <charset val="186"/>
          </rPr>
          <t xml:space="preserve">Lengvatiniai 10 eurų bilietai: 
• pradinukų 9 mėnesių 
• senjorų nuo 70 metų metiniai
</t>
        </r>
      </text>
    </comment>
    <comment ref="J190" authorId="5" shapeId="0" xr:uid="{00000000-0006-0000-0100-00004B000000}">
      <text>
        <r>
          <rPr>
            <sz val="9"/>
            <color indexed="81"/>
            <rFont val="Tahoma"/>
            <family val="2"/>
            <charset val="186"/>
          </rPr>
          <t>Iš kaimų ir kitų miestų važinėjantiems moksleiviams kompensuojama per sutartis su mokyklomis</t>
        </r>
      </text>
    </comment>
    <comment ref="E192" authorId="5" shapeId="0" xr:uid="{00000000-0006-0000-0100-00004C000000}">
      <text>
        <r>
          <rPr>
            <sz val="9"/>
            <color indexed="81"/>
            <rFont val="Tahoma"/>
            <family val="2"/>
            <charset val="186"/>
          </rPr>
          <t>P-3.1.2., 3.1.2.1., 3.1.2.2</t>
        </r>
      </text>
    </comment>
    <comment ref="E195" authorId="0" shapeId="0" xr:uid="{00000000-0006-0000-0100-00004D000000}">
      <text>
        <r>
          <rPr>
            <b/>
            <sz val="9"/>
            <color indexed="81"/>
            <rFont val="Tahoma"/>
            <family val="2"/>
            <charset val="186"/>
          </rPr>
          <t xml:space="preserve">P1 </t>
        </r>
        <r>
          <rPr>
            <sz val="9"/>
            <color indexed="81"/>
            <rFont val="Tahoma"/>
            <family val="2"/>
            <charset val="186"/>
          </rPr>
          <t>1.3.1. Parengtas ir įgyvendintas viešojo transporto parko atnaujinimo veiksmų planas siekiant padidinti alternatyviu kuru varomų viešojo transporto priemonių dalį iki 65 proc.</t>
        </r>
      </text>
    </comment>
    <comment ref="K195" authorId="5" shapeId="0" xr:uid="{00000000-0006-0000-0100-00004E000000}">
      <text>
        <r>
          <rPr>
            <sz val="9"/>
            <color indexed="81"/>
            <rFont val="Tahoma"/>
            <family val="2"/>
            <charset val="186"/>
          </rPr>
          <t xml:space="preserve">2 ekspl. el.autobusai
10 veikl.nuomos el. autobusų (trumpi) nuo 2023.07
13 CPVA proj. el. autobusai (ilgi) nuo 2023.09
</t>
        </r>
      </text>
    </comment>
    <comment ref="L195" authorId="5" shapeId="0" xr:uid="{00000000-0006-0000-0100-00004F000000}">
      <text>
        <r>
          <rPr>
            <sz val="9"/>
            <color indexed="81"/>
            <rFont val="Tahoma"/>
            <family val="2"/>
            <charset val="186"/>
          </rPr>
          <t xml:space="preserve">2 ekspl. el.autobusai
10 veikl.nuomos el.autobusų (trumpi) nuo 2023.07
13 CPVA proj. el. autobusai (ilgi) nuo 2023.09
10 APVA proj. el. autobusų (trumpi) nuo 2024.02
</t>
        </r>
      </text>
    </comment>
    <comment ref="K203" authorId="5" shapeId="0" xr:uid="{00000000-0006-0000-0100-000050000000}">
      <text>
        <r>
          <rPr>
            <sz val="9"/>
            <color indexed="81"/>
            <rFont val="Tahoma"/>
            <family val="2"/>
            <charset val="186"/>
          </rPr>
          <t>Lėšų poreikis suskaičiuotas pagal šiuos išeitinius duomenis: 
1) navigacinis sezonas truks 180 dienų nuo kiekvienų metų balandžio 1 d.;
2) kursuos 3 vandens autobusai su 2 įkrovos stotelėmis (Senamiestis ir Tauralaukis), 12 ratų per dieną.
Pirmais metais bilietų pajamos dengtų ~50 proc. sąnaudų, vėliau jos gali mažėti. 
Kompensacija bus mokama nuo 2023-06-15.</t>
        </r>
      </text>
    </comment>
    <comment ref="E204" authorId="0" shapeId="0" xr:uid="{00000000-0006-0000-0100-000051000000}">
      <text>
        <r>
          <rPr>
            <sz val="9"/>
            <color indexed="81"/>
            <rFont val="Tahoma"/>
            <family val="2"/>
            <charset val="186"/>
          </rPr>
          <t xml:space="preserve">Klaipėdos miesto darnaus judumo planas (2018-09-13, T2-185)
</t>
        </r>
      </text>
    </comment>
    <comment ref="K204" authorId="1" shapeId="0" xr:uid="{00000000-0006-0000-0100-000052000000}">
      <text>
        <r>
          <rPr>
            <sz val="9"/>
            <color indexed="81"/>
            <rFont val="Tahoma"/>
            <family val="2"/>
            <charset val="186"/>
          </rPr>
          <t>Elektros įvado informacinėms švieslentėms pasažo autobusų stotelėje (šalia Vingio g. 5) įrengimo darbai su projektavimu</t>
        </r>
      </text>
    </comment>
    <comment ref="E208" authorId="3" shapeId="0" xr:uid="{00000000-0006-0000-0100-000053000000}">
      <text>
        <r>
          <rPr>
            <sz val="9"/>
            <color indexed="81"/>
            <rFont val="Tahoma"/>
            <family val="2"/>
            <charset val="186"/>
          </rPr>
          <t>P-3.1.2.2.</t>
        </r>
      </text>
    </comment>
    <comment ref="J208" authorId="1" shapeId="0" xr:uid="{00000000-0006-0000-0100-000054000000}">
      <text>
        <r>
          <rPr>
            <sz val="9"/>
            <color indexed="81"/>
            <rFont val="Tahoma"/>
            <family val="2"/>
            <charset val="186"/>
          </rPr>
          <t>Prie Valstybės įmonės „Regitra“ (2 vnt.)</t>
        </r>
      </text>
    </comment>
    <comment ref="D209" authorId="1" shapeId="0" xr:uid="{00000000-0006-0000-0100-000055000000}">
      <text>
        <r>
          <rPr>
            <sz val="9"/>
            <color indexed="81"/>
            <rFont val="Tahoma"/>
            <family val="2"/>
            <charset val="186"/>
          </rPr>
          <t>Pagal KMS tarybos sprendimą 2020-07-30 Nr. T2-174</t>
        </r>
      </text>
    </comment>
    <comment ref="E209" authorId="1" shapeId="0" xr:uid="{00000000-0006-0000-0100-000056000000}">
      <text>
        <r>
          <rPr>
            <sz val="9"/>
            <color indexed="81"/>
            <rFont val="Tahoma"/>
            <family val="2"/>
            <charset val="186"/>
          </rPr>
          <t xml:space="preserve">Viešojo transporto rūšies diegimo Klaipėdos mieste gairės (2020-07-30, Nr. T2-200)
</t>
        </r>
      </text>
    </comment>
    <comment ref="K209" authorId="1" shapeId="0" xr:uid="{00000000-0006-0000-0100-000057000000}">
      <text>
        <r>
          <rPr>
            <sz val="9"/>
            <color indexed="81"/>
            <rFont val="Tahoma"/>
            <family val="2"/>
            <charset val="186"/>
          </rPr>
          <t>Projektą įgyvendina UAB "Klaipėdos autobusų parkas" Klimato kaitos programoje projekte "Daugiau švarios erdvės" su Savivaldybės 45 % prisidėjimu. Programos lėšas gaus UAB KAP. Tarybos sprendimas 2020-07-30 Nr.T2-174. Planuojama, kad viešasis pirkimas bus paskelbtas š.m. spalio pabaigoje. Idealiu atveju viešųjų pirkimų procedūros ir sutarties pasirašymas įvyktų  š.m. gruodžio mėn. pabaigoje. Po sutarties pasirašymo avansas (562,5 tūkst. Eur) turi būti sumokėtas per 60 d. Dėl to 2022 m. lėšos keliamos į kitus metus. Autobusų pristatymas numatomas per 12 mėn., tai atsiskaitymo laikotarpis turėtų būti  suplanuotas 2023 m. t.y. 2023 m. suplanuotos lėšos (1687,5 tūkst. Eur) keliamos į 2024 m.</t>
        </r>
      </text>
    </comment>
    <comment ref="E210" authorId="1" shapeId="0" xr:uid="{00000000-0006-0000-0100-000058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1.2.3. priemonė</t>
        </r>
      </text>
    </comment>
    <comment ref="E212" authorId="1" shapeId="0" xr:uid="{00000000-0006-0000-0100-000059000000}">
      <text>
        <r>
          <rPr>
            <sz val="9"/>
            <color indexed="81"/>
            <rFont val="Tahoma"/>
            <family val="2"/>
            <charset val="186"/>
          </rPr>
          <t xml:space="preserve">P-3.1.2.2.
</t>
        </r>
      </text>
    </comment>
    <comment ref="E213" authorId="1" shapeId="0" xr:uid="{00000000-0006-0000-0100-00005A000000}">
      <text>
        <r>
          <rPr>
            <sz val="9"/>
            <color indexed="81"/>
            <rFont val="Tahoma"/>
            <family val="2"/>
            <charset val="186"/>
          </rPr>
          <t xml:space="preserve">Viešojo transporto rūšies diegimo Klaipėdos mieste gairės (2020-07-30, Nr. T2-200)
</t>
        </r>
      </text>
    </comment>
    <comment ref="J213" authorId="6" shapeId="0" xr:uid="{00000000-0006-0000-0100-00005B000000}">
      <text>
        <r>
          <rPr>
            <sz val="9"/>
            <color indexed="81"/>
            <rFont val="Tahoma"/>
            <family val="2"/>
            <charset val="186"/>
          </rPr>
          <t xml:space="preserve">KMSA su partneriu UAB „Klaipėdos autobusų parkas“ teikiamo projekto „Klaipėdos miesto viešojo transporto priemonių parko atnaujinimas“ tikslas - pagerinti viešojo transporto paslaugų kokybę Klaipėdos mieste. Fiziškai ir morališkai pasenę autobusai neskatina gyventojų naudotis viešuoju transportu. Nudėvėtų autobusų varikliai teršia aplinką CO2 ir kitais teršalais.
Preliminari projekto  pradžia 2022 m. birželio mėn., įgyvendinimo trukmė – 18 mėn. </t>
        </r>
        <r>
          <rPr>
            <b/>
            <sz val="9"/>
            <color indexed="81"/>
            <rFont val="Tahoma"/>
            <family val="2"/>
            <charset val="186"/>
          </rPr>
          <t>KMSA prisidėjimas - 15 proc.</t>
        </r>
      </text>
    </comment>
    <comment ref="E214" authorId="3" shapeId="0" xr:uid="{00000000-0006-0000-0100-00005C000000}">
      <text>
        <r>
          <rPr>
            <sz val="9"/>
            <color indexed="81"/>
            <rFont val="Tahoma"/>
            <family val="2"/>
            <charset val="186"/>
          </rPr>
          <t>P-3.1.2.2.</t>
        </r>
      </text>
    </comment>
    <comment ref="E217" authorId="1" shapeId="0" xr:uid="{00000000-0006-0000-0100-00005D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1.2.3. priemonė</t>
        </r>
      </text>
    </comment>
    <comment ref="D218" authorId="1" shapeId="0" xr:uid="{00000000-0006-0000-0100-00005E000000}">
      <text>
        <r>
          <rPr>
            <sz val="9"/>
            <color indexed="81"/>
            <rFont val="Tahoma"/>
            <family val="2"/>
            <charset val="186"/>
          </rPr>
          <t xml:space="preserve"> Integruojama į priemonę "Eismo valdymo sistemos modernizavimas žaliosios bangos principu Smiltelės g., Taikos pr., Tiltų g. ir Liepojos g. integruojant BRT, dviračių takų, apšvietimo ir dangų sutvarkymą"</t>
        </r>
      </text>
    </comment>
    <comment ref="E218" authorId="1" shapeId="0" xr:uid="{00000000-0006-0000-0100-00005F000000}">
      <text>
        <r>
          <rPr>
            <sz val="9"/>
            <color indexed="81"/>
            <rFont val="Tahoma"/>
            <family val="2"/>
            <charset val="186"/>
          </rPr>
          <t xml:space="preserve">Viešojo transporto rūšies diegimo Klaipėdos mieste gairės (2020-07-30, Nr. T2-200)
</t>
        </r>
      </text>
    </comment>
    <comment ref="E221" authorId="5" shapeId="0" xr:uid="{00000000-0006-0000-0100-000060000000}">
      <text>
        <r>
          <rPr>
            <sz val="9"/>
            <color indexed="81"/>
            <rFont val="Tahoma"/>
            <family val="2"/>
            <charset val="186"/>
          </rPr>
          <t>P</t>
        </r>
        <r>
          <rPr>
            <b/>
            <sz val="9"/>
            <color indexed="81"/>
            <rFont val="Tahoma"/>
            <family val="2"/>
            <charset val="186"/>
          </rPr>
          <t>-</t>
        </r>
        <r>
          <rPr>
            <sz val="9"/>
            <color indexed="81"/>
            <rFont val="Tahoma"/>
            <family val="2"/>
            <charset val="186"/>
          </rPr>
          <t>3.1.2.2.</t>
        </r>
      </text>
    </comment>
    <comment ref="E225" authorId="4" shapeId="0" xr:uid="{00000000-0006-0000-0100-000061000000}">
      <text>
        <r>
          <rPr>
            <sz val="9"/>
            <color indexed="81"/>
            <rFont val="Tahoma"/>
            <family val="2"/>
            <charset val="186"/>
          </rPr>
          <t>P2, Klaipėdos miesto darnaus judumo planas (2018-09-13, T2-185)</t>
        </r>
      </text>
    </comment>
    <comment ref="E232" authorId="0" shapeId="0" xr:uid="{00000000-0006-0000-0100-000062000000}">
      <text>
        <r>
          <rPr>
            <sz val="9"/>
            <color indexed="81"/>
            <rFont val="Tahoma"/>
            <family val="2"/>
            <charset val="186"/>
          </rPr>
          <t>P-3.1.1.2.</t>
        </r>
      </text>
    </comment>
    <comment ref="J235" authorId="5" shapeId="0" xr:uid="{00000000-0006-0000-0100-000063000000}">
      <text>
        <r>
          <rPr>
            <sz val="9"/>
            <color indexed="81"/>
            <rFont val="Tahoma"/>
            <family val="2"/>
            <charset val="186"/>
          </rPr>
          <t>Programinės įrangos OMNIA, skirtos koordinuoti šviesoforų darbą, papildomo funkcionalumo - viešojo transporto prioriteto modulio licencijų įsigijimas (bus mokama kas mėnesį)</t>
        </r>
      </text>
    </comment>
    <comment ref="K235" authorId="5" shapeId="0" xr:uid="{00000000-0006-0000-0100-000064000000}">
      <text>
        <r>
          <rPr>
            <sz val="9"/>
            <color indexed="81"/>
            <rFont val="Tahoma"/>
            <family val="2"/>
            <charset val="186"/>
          </rPr>
          <t xml:space="preserve">1 licencija - 1 šviesoforinei sankryžai reguliuoti. </t>
        </r>
      </text>
    </comment>
    <comment ref="K239" authorId="1" shapeId="0" xr:uid="{00000000-0006-0000-0100-000065000000}">
      <text>
        <r>
          <rPr>
            <sz val="9"/>
            <color indexed="81"/>
            <rFont val="Tahoma"/>
            <family val="2"/>
            <charset val="186"/>
          </rPr>
          <t>1. Šviesoforais reguliuojamos pėsčiųjų perėjos Dariaus ir Girėno gatvėje ties Nr. 8A.
2. Šviesoforais reguliuojamos pėsčiųjų perėjos Liepojos g. Nr. 1 (ties Panevėžio g. sankryža).
3. Šviesoforais reguliuojamos pėsčiųjų perėjos Liepojos gatvėje ties Nr. 41A.
4. Šviesoforais reguliuojamos pėsčiųjų perėjos Minijos g. Nr. 174 (ties Nendrių g. sankryža).
5. Šviesoforais reguliuojamos pėsčiųjų perėjos Smiltelės gatvėje ties Nr. 5.
6. Mokyklos g. ir Verpėjų g. sankryžos Klaipėdoje šviesoforų posto įrengimo darbai.
7. Taikos pr. ir Jachtų g. sankryžos Klaipėdoje šviesoforų posto įrengimo darbai</t>
        </r>
      </text>
    </comment>
    <comment ref="K242" authorId="8" shapeId="0" xr:uid="{CCBDCFC8-CE84-4085-9E92-8135BE60E7CD}">
      <text>
        <r>
          <rPr>
            <sz val="9"/>
            <color indexed="81"/>
            <rFont val="Tahoma"/>
            <family val="2"/>
            <charset val="186"/>
          </rPr>
          <t>Dviračių saugyklos - 8 vnt.
Dviračių skaičiuokliai - 2 vnt.
Kintamos informacijos kelio ženklai (KIŽ) - 2 vnt.</t>
        </r>
      </text>
    </comment>
    <comment ref="L242" authorId="8" shapeId="0" xr:uid="{513A9CB3-6148-4AB9-9644-AB024F528386}">
      <text>
        <r>
          <rPr>
            <sz val="9"/>
            <color indexed="81"/>
            <rFont val="Tahoma"/>
            <family val="2"/>
            <charset val="186"/>
          </rPr>
          <t xml:space="preserve">Dviračių saugyklos - 8 vnt. + 2 vnt. Taikos pr.
Dviračių skaičiuokliai - 2 vnt.
Kintamos informacijos kelio ženklai (KIŽ) - 2 vnt.
</t>
        </r>
      </text>
    </comment>
    <comment ref="M242" authorId="8" shapeId="0" xr:uid="{6CA6ADFF-ED9F-4CBE-B9FB-029C10254440}">
      <text>
        <r>
          <rPr>
            <sz val="9"/>
            <color indexed="81"/>
            <rFont val="Tahoma"/>
            <family val="2"/>
            <charset val="186"/>
          </rPr>
          <t xml:space="preserve">Dviračių saugyklos - 8 vnt. + 2 vnt. Taikos pr.
Dviračių skaičiuokliai - 2 vnt.
Kintamos informacijos kelio ženklai (KIŽ) - 2 vnt. + 
1 vnt. Mokyklos g.
</t>
        </r>
      </text>
    </comment>
    <comment ref="E246" authorId="5" shapeId="0" xr:uid="{00000000-0006-0000-0100-000068000000}">
      <text>
        <r>
          <rPr>
            <sz val="9"/>
            <color indexed="81"/>
            <rFont val="Tahoma"/>
            <family val="2"/>
            <charset val="186"/>
          </rPr>
          <t>P-3.1.2.2.</t>
        </r>
      </text>
    </comment>
    <comment ref="K247" authorId="1" shapeId="0" xr:uid="{00000000-0006-0000-0100-000069000000}">
      <text>
        <r>
          <rPr>
            <sz val="9"/>
            <color indexed="81"/>
            <rFont val="Tahoma"/>
            <family val="2"/>
            <charset val="186"/>
          </rPr>
          <t xml:space="preserve">Debreceno g. ties 47
Reikjaviko g. ties 7
Varpų g. ties 3
Panevėžio g. 44
Žardininkų g. 18
Reikjaviko g. ties 15
</t>
        </r>
      </text>
    </comment>
    <comment ref="E248" authorId="5" shapeId="0" xr:uid="{00000000-0006-0000-0100-00006A000000}">
      <text>
        <r>
          <rPr>
            <sz val="9"/>
            <color indexed="81"/>
            <rFont val="Tahoma"/>
            <family val="2"/>
            <charset val="186"/>
          </rPr>
          <t>P-3.1.3.6.</t>
        </r>
      </text>
    </comment>
    <comment ref="E250" authorId="5" shapeId="0" xr:uid="{00000000-0006-0000-0100-00006B000000}">
      <text>
        <r>
          <rPr>
            <sz val="9"/>
            <color indexed="81"/>
            <rFont val="Tahoma"/>
            <family val="2"/>
            <charset val="186"/>
          </rPr>
          <t>P-3.1.1.5.</t>
        </r>
      </text>
    </comment>
    <comment ref="E251" authorId="0" shapeId="0" xr:uid="{00000000-0006-0000-0100-00006C000000}">
      <text>
        <r>
          <rPr>
            <b/>
            <sz val="9"/>
            <color indexed="81"/>
            <rFont val="Tahoma"/>
            <family val="2"/>
            <charset val="186"/>
          </rPr>
          <t xml:space="preserve"> P2, </t>
        </r>
        <r>
          <rPr>
            <sz val="9"/>
            <color indexed="81"/>
            <rFont val="Tahoma"/>
            <family val="2"/>
            <charset val="186"/>
          </rPr>
          <t xml:space="preserve">Klaipėdos miesto darnaus judumo planas (2018-09-13, T2-185)
</t>
        </r>
      </text>
    </comment>
    <comment ref="M251" authorId="1" shapeId="0" xr:uid="{00000000-0006-0000-0100-00006D000000}">
      <text>
        <r>
          <rPr>
            <sz val="9"/>
            <color indexed="81"/>
            <rFont val="Tahoma"/>
            <family val="2"/>
            <charset val="186"/>
          </rPr>
          <t xml:space="preserve">Pasibaigus senųjų radarų sutarčiai ir  priėmus sprendimą jų daugiau neeksploatuoti, reikės išmontuoti senųjų radarų stovus ir pačius radarus
</t>
        </r>
      </text>
    </comment>
    <comment ref="E252" authorId="1" shapeId="0" xr:uid="{00000000-0006-0000-0100-00006E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1.2.5. priemonė</t>
        </r>
      </text>
    </comment>
    <comment ref="E253" authorId="5" shapeId="0" xr:uid="{00000000-0006-0000-0100-00006F000000}">
      <text>
        <r>
          <rPr>
            <sz val="9"/>
            <color indexed="81"/>
            <rFont val="Tahoma"/>
            <family val="2"/>
            <charset val="186"/>
          </rPr>
          <t>P-2.4.3.5.</t>
        </r>
      </text>
    </comment>
    <comment ref="E264" authorId="0" shapeId="0" xr:uid="{00000000-0006-0000-0100-000070000000}">
      <text>
        <r>
          <rPr>
            <b/>
            <sz val="9"/>
            <color indexed="81"/>
            <rFont val="Tahoma"/>
            <family val="2"/>
            <charset val="186"/>
          </rPr>
          <t xml:space="preserve">P1, </t>
        </r>
        <r>
          <rPr>
            <sz val="9"/>
            <color indexed="81"/>
            <rFont val="Tahoma"/>
            <family val="2"/>
            <charset val="186"/>
          </rPr>
          <t xml:space="preserve">3.6.2. Diegiama koordinuotų eismo valdymo sistemų, vnt.
</t>
        </r>
      </text>
    </comment>
    <comment ref="M265" authorId="5" shapeId="0" xr:uid="{00000000-0006-0000-0100-000071000000}">
      <text>
        <r>
          <rPr>
            <sz val="9"/>
            <color indexed="81"/>
            <rFont val="Tahoma"/>
            <family val="2"/>
            <charset val="186"/>
          </rPr>
          <t>iki 2025 metų gruodžio mėn.</t>
        </r>
      </text>
    </comment>
    <comment ref="E266" authorId="0" shapeId="0" xr:uid="{00000000-0006-0000-0100-000072000000}">
      <text>
        <r>
          <rPr>
            <sz val="9"/>
            <color indexed="81"/>
            <rFont val="Tahoma"/>
            <family val="2"/>
            <charset val="186"/>
          </rPr>
          <t xml:space="preserve">P-3.1.3.7.; 3.1.3.3.
</t>
        </r>
      </text>
    </comment>
    <comment ref="E269" authorId="5" shapeId="0" xr:uid="{00000000-0006-0000-0100-000073000000}">
      <text>
        <r>
          <rPr>
            <sz val="9"/>
            <color indexed="81"/>
            <rFont val="Tahoma"/>
            <family val="2"/>
            <charset val="186"/>
          </rPr>
          <t>P-3.1.1.1.</t>
        </r>
      </text>
    </comment>
    <comment ref="E271" authorId="0" shapeId="0" xr:uid="{00000000-0006-0000-0100-000074000000}">
      <text>
        <r>
          <rPr>
            <b/>
            <sz val="9"/>
            <color indexed="81"/>
            <rFont val="Tahoma"/>
            <family val="2"/>
            <charset val="186"/>
          </rPr>
          <t>P6 KEPS 6.1.5.</t>
        </r>
        <r>
          <rPr>
            <sz val="9"/>
            <color indexed="81"/>
            <rFont val="Tahoma"/>
            <family val="2"/>
            <charset val="186"/>
          </rPr>
          <t xml:space="preserve"> Sukurti Klaipėdos regione elektriniam transportui pritaikytą infrastruktūrą</t>
        </r>
      </text>
    </comment>
    <comment ref="E273" authorId="1" shapeId="0" xr:uid="{00000000-0006-0000-0100-000075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1.2.7. priemonė</t>
        </r>
      </text>
    </comment>
    <comment ref="E274" authorId="0" shapeId="0" xr:uid="{00000000-0006-0000-0100-000076000000}">
      <text>
        <r>
          <rPr>
            <sz val="9"/>
            <color indexed="81"/>
            <rFont val="Tahoma"/>
            <family val="2"/>
            <charset val="186"/>
          </rPr>
          <t>P2 Klaipėdos miesto darnaus judumo planas (2018-09-13, T2-185);</t>
        </r>
      </text>
    </comment>
    <comment ref="E276" authorId="5" shapeId="0" xr:uid="{00000000-0006-0000-0100-000077000000}">
      <text>
        <r>
          <rPr>
            <sz val="9"/>
            <color indexed="81"/>
            <rFont val="Tahoma"/>
            <family val="2"/>
            <charset val="186"/>
          </rPr>
          <t>P-1.2.1.3., 3.1.2.3.</t>
        </r>
      </text>
    </comment>
    <comment ref="D277" authorId="1" shapeId="0" xr:uid="{00000000-0006-0000-0100-000078000000}">
      <text>
        <r>
          <rPr>
            <sz val="9"/>
            <color indexed="81"/>
            <rFont val="Tahoma"/>
            <family val="2"/>
            <charset val="186"/>
          </rPr>
          <t xml:space="preserve">Eismo valdymo sistemos modernizavimas žaliosios bangos principu
</t>
        </r>
      </text>
    </comment>
    <comment ref="E277" authorId="2" shapeId="0" xr:uid="{00000000-0006-0000-0100-000079000000}">
      <text>
        <r>
          <rPr>
            <sz val="9"/>
            <color indexed="81"/>
            <rFont val="Tahoma"/>
            <family val="2"/>
            <charset val="186"/>
          </rPr>
          <t>3.1.2.2.; 3.1.3.3.</t>
        </r>
      </text>
    </comment>
    <comment ref="E278" authorId="1" shapeId="0" xr:uid="{00000000-0006-0000-0100-00007A000000}">
      <text>
        <r>
          <rPr>
            <sz val="9"/>
            <color indexed="81"/>
            <rFont val="Tahoma"/>
            <family val="2"/>
            <charset val="186"/>
          </rPr>
          <t xml:space="preserve">Viešojo transporto rūšies diegimo Klaipėdos mieste gairės (2020-07-30, Nr. T2-200)
</t>
        </r>
      </text>
    </comment>
    <comment ref="E282" authorId="2" shapeId="0" xr:uid="{00000000-0006-0000-0100-00007B000000}">
      <text>
        <r>
          <rPr>
            <sz val="9"/>
            <color indexed="81"/>
            <rFont val="Tahoma"/>
            <family val="2"/>
            <charset val="186"/>
          </rPr>
          <t>3.1.2.2.</t>
        </r>
      </text>
    </comment>
  </commentList>
</comments>
</file>

<file path=xl/sharedStrings.xml><?xml version="1.0" encoding="utf-8"?>
<sst xmlns="http://schemas.openxmlformats.org/spreadsheetml/2006/main" count="637" uniqueCount="248">
  <si>
    <t>Uždavinio kodas</t>
  </si>
  <si>
    <t>Priemonės kodas</t>
  </si>
  <si>
    <t>Finansavimo šaltinis</t>
  </si>
  <si>
    <t>01</t>
  </si>
  <si>
    <t>Iš viso:</t>
  </si>
  <si>
    <t>02</t>
  </si>
  <si>
    <t>Iš viso uždaviniui:</t>
  </si>
  <si>
    <t>Iš viso tikslui:</t>
  </si>
  <si>
    <t>Finansavimo šaltiniai</t>
  </si>
  <si>
    <t>Pavadinimas</t>
  </si>
  <si>
    <t>Finansavimo šaltinių suvestinė</t>
  </si>
  <si>
    <t>SAVIVALDYBĖS  LĖŠOS, IŠ VISO:</t>
  </si>
  <si>
    <t>KITI ŠALTINIAI, IŠ VISO:</t>
  </si>
  <si>
    <t>IŠ VISO:</t>
  </si>
  <si>
    <t xml:space="preserve"> TIKSLŲ, UŽDAVINIŲ, PRIEMONIŲ, PRIEMONIŲ IŠLAIDŲ IR PRODUKTO KRITERIJŲ SUVESTINĖ</t>
  </si>
  <si>
    <t>Veiklos plano tikslo kodas</t>
  </si>
  <si>
    <r>
      <t xml:space="preserve">Savivaldybės biudžeto lėšos </t>
    </r>
    <r>
      <rPr>
        <b/>
        <sz val="10"/>
        <rFont val="Times New Roman"/>
        <family val="1"/>
        <charset val="186"/>
      </rPr>
      <t>SB</t>
    </r>
  </si>
  <si>
    <r>
      <t xml:space="preserve">Europos Sąjungos paramos lėšos </t>
    </r>
    <r>
      <rPr>
        <b/>
        <sz val="10"/>
        <rFont val="Times New Roman"/>
        <family val="1"/>
        <charset val="186"/>
      </rPr>
      <t>ES</t>
    </r>
  </si>
  <si>
    <r>
      <t xml:space="preserve">Klaipėdos valstybinio jūrų uosto direkcijos lėšos </t>
    </r>
    <r>
      <rPr>
        <b/>
        <sz val="10"/>
        <rFont val="Times New Roman"/>
        <family val="1"/>
        <charset val="186"/>
      </rPr>
      <t>KVJUD</t>
    </r>
  </si>
  <si>
    <r>
      <t xml:space="preserve">Valstybės biudžeto lėšos </t>
    </r>
    <r>
      <rPr>
        <b/>
        <sz val="10"/>
        <rFont val="Times New Roman"/>
        <family val="1"/>
        <charset val="186"/>
      </rPr>
      <t>LRVB</t>
    </r>
  </si>
  <si>
    <r>
      <t xml:space="preserve">Kiti finansavimo šaltiniai </t>
    </r>
    <r>
      <rPr>
        <b/>
        <sz val="10"/>
        <rFont val="Times New Roman"/>
        <family val="1"/>
        <charset val="186"/>
      </rPr>
      <t>Kt</t>
    </r>
  </si>
  <si>
    <t>SB</t>
  </si>
  <si>
    <t>06 Susisiekimo sistemos priežiūros ir plėtros programa</t>
  </si>
  <si>
    <t>03</t>
  </si>
  <si>
    <t>SUSISIEKIMO SISTEMOS PRIEŽIŪROS IR PLĖTROS PROGRAMOS (NR. 06)</t>
  </si>
  <si>
    <t>Didinti gatvių tinklo pralaidumą ir užtikrinti jų tankumą</t>
  </si>
  <si>
    <t xml:space="preserve"> Užtikrinti patogios viešojo transporto sistemos funkcionavimą</t>
  </si>
  <si>
    <t>06</t>
  </si>
  <si>
    <t>Eksploatuojama šviesoforų, vnt.</t>
  </si>
  <si>
    <t>Tiltų ir kelio statinių priežiūra</t>
  </si>
  <si>
    <t>Viešojo transporto priežiūros ir paslaugų kokybės kontroliavimas</t>
  </si>
  <si>
    <t>ES</t>
  </si>
  <si>
    <t>Kt</t>
  </si>
  <si>
    <t>Parengtas techninis projektas, vnt.</t>
  </si>
  <si>
    <t>I</t>
  </si>
  <si>
    <t>KVJUD</t>
  </si>
  <si>
    <t>Patikrinta viešojo transporto priemonių, tūkst. vnt.</t>
  </si>
  <si>
    <t>Viešojo transporto paslaugų organizavimas:</t>
  </si>
  <si>
    <t xml:space="preserve">Iš viso  programai:  </t>
  </si>
  <si>
    <t>SB(L)</t>
  </si>
  <si>
    <t>Strateginis tikslas 02. Kurti mieste patrauklią, švarią ir saugią gyvenamąją aplinką</t>
  </si>
  <si>
    <t>Eksploatuojama prietaisų, vnt.</t>
  </si>
  <si>
    <t>SB(VR)</t>
  </si>
  <si>
    <r>
      <t xml:space="preserve">Vietinių rinkliavų lėšos </t>
    </r>
    <r>
      <rPr>
        <b/>
        <sz val="10"/>
        <rFont val="Times New Roman"/>
        <family val="1"/>
        <charset val="186"/>
      </rPr>
      <t>SB(VR)</t>
    </r>
  </si>
  <si>
    <t>SB(VRL)</t>
  </si>
  <si>
    <t>Eksploatuojama greičio matuoklių, vnt.</t>
  </si>
  <si>
    <t xml:space="preserve">Savivaldybės biudžetas, iš jo: </t>
  </si>
  <si>
    <t xml:space="preserve">Parengtas techninis projektas, vnt. </t>
  </si>
  <si>
    <r>
      <rPr>
        <sz val="10"/>
        <rFont val="Times New Roman"/>
        <family val="1"/>
        <charset val="186"/>
      </rPr>
      <t>Vietinių rinkliavų likučio lėšos</t>
    </r>
    <r>
      <rPr>
        <b/>
        <sz val="10"/>
        <rFont val="Times New Roman"/>
        <family val="1"/>
        <charset val="186"/>
      </rPr>
      <t xml:space="preserve"> SB(VRL)</t>
    </r>
  </si>
  <si>
    <t>SB(KPP)</t>
  </si>
  <si>
    <t>Eismo reguliavimo infrastruktūros eksploatacija ir įrengimas</t>
  </si>
  <si>
    <t>Mokamo automobilių stovėjimo sistemos mieste kūrimas ir išlaikymas</t>
  </si>
  <si>
    <t>Eismo srautų reguliavimo ir saugumo priemonių įgyvendinimas:</t>
  </si>
  <si>
    <t>tūkst. Eur</t>
  </si>
  <si>
    <t xml:space="preserve">Diegti eismo srautų reguliavimo ir saugumo priemones </t>
  </si>
  <si>
    <t xml:space="preserve">Eksploatuojama eismo reguliavimo priemonių, tūkst. vnt. </t>
  </si>
  <si>
    <t xml:space="preserve">Susisiekimo sistemos objektų pritaikymas neįgaliesiems  </t>
  </si>
  <si>
    <t>Klaipėdos miesto viešojo transporto švieslenčių ir informacinių švieslenčių įrengimas ir atnaujinimas</t>
  </si>
  <si>
    <t>Baltijos pr. ir Šilutės pl. žiedinės sankryžos rekonstravimas</t>
  </si>
  <si>
    <t>Suteikta gatvių dangų, konstruktyvo ir betoninių gaminių kontrolinių bandymų paslaugų. Užbaigtumas, proc.</t>
  </si>
  <si>
    <t>Eksploatuojama bilietų automatų, vnt.</t>
  </si>
  <si>
    <t>Įstaigų, kurių kiemuose atlikta asfalto dangos remonto darbų, skaičius</t>
  </si>
  <si>
    <t xml:space="preserve">Klaipėdos miesto gatvių pėsčiųjų perėjų kryptinis apšvietimas </t>
  </si>
  <si>
    <t>Kompensuota nuostolingų maršrutų, vnt.</t>
  </si>
  <si>
    <t xml:space="preserve">Nuostolių kompensacijų mokėjimas: </t>
  </si>
  <si>
    <t>patirtų įgyvendinant ES Sanglaudos fondų finansuojamus ekologiškų viešojo transporto  priemonių įsigijimo projektus</t>
  </si>
  <si>
    <r>
      <t xml:space="preserve">Programų lėšų likučių lėšos </t>
    </r>
    <r>
      <rPr>
        <b/>
        <sz val="10"/>
        <rFont val="Times New Roman"/>
        <family val="1"/>
        <charset val="186"/>
      </rPr>
      <t xml:space="preserve">SB(L) </t>
    </r>
  </si>
  <si>
    <t>Subsidijuojamų maršrutų skaičius:</t>
  </si>
  <si>
    <t>Tauralaukio gyvenvietės gatvių rekonstravimas</t>
  </si>
  <si>
    <t>Klaipėdos miestui priklausančių elektromobilių įkrovimo stotelių eksploatavimas ir priežiūra</t>
  </si>
  <si>
    <t>SB(ES)</t>
  </si>
  <si>
    <t>Eksploatuojama elektromobilių įkrovimo stotelių, vnt.</t>
  </si>
  <si>
    <t>P2</t>
  </si>
  <si>
    <t>Žvejybos produktų iškrovimo vietos prie jūros Klaipėdos miesto teritorijoje įrengimas</t>
  </si>
  <si>
    <t>LRVB</t>
  </si>
  <si>
    <r>
      <t xml:space="preserve">Valstybės biudžeto specialiosios tikslinės dotacijos lėšos </t>
    </r>
    <r>
      <rPr>
        <b/>
        <sz val="10"/>
        <rFont val="Times New Roman"/>
        <family val="1"/>
        <charset val="186"/>
      </rPr>
      <t>SB(VB)</t>
    </r>
  </si>
  <si>
    <t>Prižiūrėta tiltų ir viadukų, vnt.</t>
  </si>
  <si>
    <t>Pėsčiųjų ir dviračių takų, šaligatvių (su dviračių takais) remonto bei įrengimo darbai</t>
  </si>
  <si>
    <t>Keleivinio transporto stotelių su įvažomis Klaipėdos miesto gatvėse projektavimas ir įrengimas</t>
  </si>
  <si>
    <t>Nuostolingų maršrutų subsidijavimas priemiesčio ir miesto maršrutus aptarnaujantiems vežėjams</t>
  </si>
  <si>
    <t>P6</t>
  </si>
  <si>
    <t>Naujai įrengta šviesoforų, vnt.</t>
  </si>
  <si>
    <t>Gatvių tiesimas ir rekonstravimas:</t>
  </si>
  <si>
    <t>P1</t>
  </si>
  <si>
    <t>Darnaus judumo projektų įgyvendinimas:</t>
  </si>
  <si>
    <t>Rekonstruoti, tiesti ir prižiūrėti gatves</t>
  </si>
  <si>
    <t>P</t>
  </si>
  <si>
    <t>Klaipėdos miesto gatvių rekonstravimas bendromis savivaldybės ir privačių asmenų lėšomis</t>
  </si>
  <si>
    <t>patirtų vykdant keleivinio kelių transporto viešųjų paslaugų vežant keleivius vietinio (miesto) reguliaraus susisiekimo autobusų maršrutais</t>
  </si>
  <si>
    <t>patirtų dėl naudojamų transporto priemonių pakeitimo ekologiškomis viešojo transporto priemonėmis</t>
  </si>
  <si>
    <t xml:space="preserve">Teatro ir Sukilėlių g. rekonstrukcija </t>
  </si>
  <si>
    <t>Danės g. rekonstravimas</t>
  </si>
  <si>
    <t>Įrengta neregių vedimo dangos autobusų stotelėse, vnt.</t>
  </si>
  <si>
    <t>Apšviesta pėsčiųjų perėjų, vnt.</t>
  </si>
  <si>
    <t>Infrastruktūros įrengimas, reikalingas BRT sistemai funkcionuoti</t>
  </si>
  <si>
    <t>Saugaus eismo auditas</t>
  </si>
  <si>
    <t>Atlikta auditų, vnt.</t>
  </si>
  <si>
    <t xml:space="preserve">Transporto (eismo) valdymo sistemos diegimas: </t>
  </si>
  <si>
    <t xml:space="preserve">Valdymo sistemos su viešojo transporto prioritetu programinės įrangos diegimas ir priežiūros paslaugos </t>
  </si>
  <si>
    <t>Vykdomas garantinis aptarnavimas, mėn.</t>
  </si>
  <si>
    <t>SB(ESL)</t>
  </si>
  <si>
    <t>P3</t>
  </si>
  <si>
    <t>P4</t>
  </si>
  <si>
    <t>Produkto kriterijaus</t>
  </si>
  <si>
    <t>SB(VB)</t>
  </si>
  <si>
    <t>Įvažiuojamųjų kelių atnaujinimas:</t>
  </si>
  <si>
    <t>Įvažiuojamojo kelio į Debreceno g. 61</t>
  </si>
  <si>
    <t>SB(ŽPL)</t>
  </si>
  <si>
    <t>Pastato Pilies g. 2A nugriovimas ir automobilių stovėjimo aikštelės įrengimas (praplėtimas)</t>
  </si>
  <si>
    <t>Danės upės pritaikymas laivybai ir vandens autobuso maršruto įdiegimas</t>
  </si>
  <si>
    <t>2023-ieji metai</t>
  </si>
  <si>
    <t>2024-ieji metai</t>
  </si>
  <si>
    <t>Priemonės požymis*</t>
  </si>
  <si>
    <t>2024-ųjų metų lėšų projektas</t>
  </si>
  <si>
    <t>Klemiškės g. rekonstravimas</t>
  </si>
  <si>
    <t>Žardininkų g.</t>
  </si>
  <si>
    <t>Įvažiuojamojo kelio į Taikos pr. 101</t>
  </si>
  <si>
    <t>Dubliuojančios gatvės nuo Šiltnamių g. iki Klaipėdos g. su pėsčiųjų ir dviračių taku ir įvažomis į Liepojos g. įrengimas</t>
  </si>
  <si>
    <t>Papildomos eismo juostos ir pėsčiųjų saugumo salelės Mogiliovo gatvėje įrengimas</t>
  </si>
  <si>
    <t xml:space="preserve">Įrengta švieslenčių miesto autobusų stotelėse, vnt.  </t>
  </si>
  <si>
    <t>Įsigyta autobusų, vnt.</t>
  </si>
  <si>
    <t>Avaringiausių vietų juodųjų dėmių nustatymas ir tobulinimo ar pertvarkymo projektinių schemų parengimas</t>
  </si>
  <si>
    <t>Žvejybos produktų iškrovimo vietos prie Pilies tilto Klaipėdoje įrengimas</t>
  </si>
  <si>
    <t>N</t>
  </si>
  <si>
    <t>T</t>
  </si>
  <si>
    <t xml:space="preserve">Bangų g. </t>
  </si>
  <si>
    <t xml:space="preserve">Reikjaviko g. </t>
  </si>
  <si>
    <t>Šturmanų g.</t>
  </si>
  <si>
    <t>Prižiūrima dviračių įrenginių (dviračių saugyklų ir skaičiuoklių) ir kintamos informacijos kelio ženklų, vnt.</t>
  </si>
  <si>
    <t>Darnaus judumo priemonių diegimas Klaipėdos mieste</t>
  </si>
  <si>
    <t>Aukštosios g. rekonstrukcija</t>
  </si>
  <si>
    <t>LEZ teritorija:</t>
  </si>
  <si>
    <t>Atlikta rangos darbų. Užbaigtumas, proc.</t>
  </si>
  <si>
    <t>Atlikta rangos darbų.  Užbaigtumas, proc.</t>
  </si>
  <si>
    <t>Įrengta takų, vnt.</t>
  </si>
  <si>
    <t>Įrengta pontoninių prieplaukų, vnt.</t>
  </si>
  <si>
    <t>Įrengta elektros įvadų, vnt.</t>
  </si>
  <si>
    <t xml:space="preserve"> P</t>
  </si>
  <si>
    <t xml:space="preserve">P2   </t>
  </si>
  <si>
    <t>Atlikta rangos darbų (II etapas). Užbaigtumas, proc.</t>
  </si>
  <si>
    <t>Mokyklos g. ir Laukų g. žiedinės sankryžos įrengimas</t>
  </si>
  <si>
    <t>SB(ŽP)</t>
  </si>
  <si>
    <r>
      <t xml:space="preserve">Žemės pardavimų lėšos </t>
    </r>
    <r>
      <rPr>
        <b/>
        <sz val="10"/>
        <rFont val="Times New Roman"/>
        <family val="1"/>
        <charset val="186"/>
      </rPr>
      <t>SB(ŽP)</t>
    </r>
  </si>
  <si>
    <t>Malūninkų g.</t>
  </si>
  <si>
    <t>Automatinės eismo priežiūros prietaisų eksploatacija ir įrengimas</t>
  </si>
  <si>
    <t>Medžiagų tyrimas ir kontroliniai bandymai, topografinių nuotraukų, išpildomųjų geodezinių nuotraukų įsigijimas, statinių projektų ekspertizių, inžinerinės bei želdinių tvarkymo paslaugos</t>
  </si>
  <si>
    <r>
      <t xml:space="preserve">Europos Sąjungos finansinės paramos lėšos, kurios įtrauktos į savivaldybės biudžetą </t>
    </r>
    <r>
      <rPr>
        <b/>
        <sz val="10"/>
        <rFont val="Times New Roman"/>
        <family val="1"/>
        <charset val="186"/>
      </rPr>
      <t>SB(ES)</t>
    </r>
  </si>
  <si>
    <r>
      <t xml:space="preserve">Kelių priežiūros ir plėtros programos lėšos, įtrauktos į savivaldybės biudžetą </t>
    </r>
    <r>
      <rPr>
        <b/>
        <sz val="10"/>
        <rFont val="Times New Roman"/>
        <family val="1"/>
        <charset val="186"/>
      </rPr>
      <t>SB(KPP)</t>
    </r>
  </si>
  <si>
    <t>Ekologiškų viešojo transporto priemonių, kuriomis važiuojant patiriama nuostolių, vnt.</t>
  </si>
  <si>
    <t>Ekologiškų viešojo transporto priemonių (elektrinių autobusų), kuriomis važiuojant patiriama nuostolių, vnt.</t>
  </si>
  <si>
    <t>Įrengta elektros įvadų švieslentėms įrengti, vnt.</t>
  </si>
  <si>
    <t>Parengtas kintamos informacijos ženklų ant Mokyklos g. viaduko techninis projektas, vnt.</t>
  </si>
  <si>
    <t>Įrengti kintamos informacijos ženklai ant Mokyklos g. viaduko, proc.</t>
  </si>
  <si>
    <t>Kiemų ir privažiuojamųjų kelių prie biudžetinių įstaigų dangos remontas</t>
  </si>
  <si>
    <t xml:space="preserve">P6  </t>
  </si>
  <si>
    <t>Klaipėdos miesto viešojo transporto priemonių  atnaujinimas (naujų autobusų įsigijimas)</t>
  </si>
  <si>
    <t>Planas</t>
  </si>
  <si>
    <t>2025-ieji metai</t>
  </si>
  <si>
    <t>Lėšų poreikis biudžetiniams 2023-iesiems metams</t>
  </si>
  <si>
    <t>2025-ųjų metų lėšų projektas</t>
  </si>
  <si>
    <t>Parengtas juodųjų dėmių žemėlapis, vnt.</t>
  </si>
  <si>
    <r>
      <t>Paklota ištisinio asfaltbetonio dangos,  tūkst. m</t>
    </r>
    <r>
      <rPr>
        <vertAlign val="superscript"/>
        <sz val="10"/>
        <rFont val="Times New Roman"/>
        <family val="1"/>
        <charset val="186"/>
      </rPr>
      <t>2</t>
    </r>
  </si>
  <si>
    <t>Laukininkų g.</t>
  </si>
  <si>
    <r>
      <t>Suremontuota gatvių akmens grindinio dangos  senamiesčio gatvėse, tūkst. m</t>
    </r>
    <r>
      <rPr>
        <vertAlign val="superscript"/>
        <sz val="10"/>
        <rFont val="Times New Roman"/>
        <family val="1"/>
        <charset val="186"/>
      </rPr>
      <t>2</t>
    </r>
  </si>
  <si>
    <r>
      <t>Suremontuota asfaltbetonio dangos duobių gatvėse, tūkst. m</t>
    </r>
    <r>
      <rPr>
        <vertAlign val="superscript"/>
        <sz val="10"/>
        <rFont val="Times New Roman"/>
        <family val="1"/>
        <charset val="186"/>
      </rPr>
      <t>2</t>
    </r>
  </si>
  <si>
    <r>
      <t>Prižiūrima žvyruotos dangos, tūkst. m</t>
    </r>
    <r>
      <rPr>
        <vertAlign val="superscript"/>
        <sz val="10"/>
        <rFont val="Times New Roman"/>
        <family val="1"/>
        <charset val="186"/>
      </rPr>
      <t>2</t>
    </r>
  </si>
  <si>
    <r>
      <t>Suremontuota asfaltbetonio dangos duobių kiemuose, tūkst. m</t>
    </r>
    <r>
      <rPr>
        <vertAlign val="superscript"/>
        <sz val="10"/>
        <rFont val="Times New Roman"/>
        <family val="1"/>
        <charset val="186"/>
      </rPr>
      <t>2</t>
    </r>
  </si>
  <si>
    <t xml:space="preserve">Brožynų g. </t>
  </si>
  <si>
    <t>Atlikta techninių priežiūrų, mėn.</t>
  </si>
  <si>
    <t>Transporto kompensacijų mokėjimas</t>
  </si>
  <si>
    <t>Įsigyta viešojo transporto prioriteto licencijų, vnt.</t>
  </si>
  <si>
    <t>Parduota vienkartinių lengvatinių bilietų, mln. vnt.</t>
  </si>
  <si>
    <t>Kompensuota bilietų moksleiviams ir profesinių mokyklų moksleiviams, tūkst. vnt.</t>
  </si>
  <si>
    <t>Pajūrio g. rekonstravimas</t>
  </si>
  <si>
    <t>Atlikta rangos darbų. Užbaigtumas, proc. (Karlskronos g.)</t>
  </si>
  <si>
    <t>Atlikta rangos darbų. Užbaigtumas, proc. (Tauro 10-oji g.)</t>
  </si>
  <si>
    <t>Atlikta rangos darbų. Užbaigtumas, proc. (Tauro 1-oji  g.)</t>
  </si>
  <si>
    <t>Atlikta rangos darbų. Užbaigtumas, proc. (Jachtų g.)</t>
  </si>
  <si>
    <t>Atlikta rangos darbų. Užbaigtumas, proc. (Tilžės g.)</t>
  </si>
  <si>
    <t>Atlikta projekto korektūra, vnt.</t>
  </si>
  <si>
    <t>Atlikta želdynų ekspertizė, vnt.</t>
  </si>
  <si>
    <t>Savanorių g. rekonstrukcija</t>
  </si>
  <si>
    <t xml:space="preserve">P     </t>
  </si>
  <si>
    <t xml:space="preserve">P           </t>
  </si>
  <si>
    <t>Geležinkelio pervažos Giruliuose rekonstravimas</t>
  </si>
  <si>
    <t xml:space="preserve">P         </t>
  </si>
  <si>
    <t xml:space="preserve">Koordinuotos šviesoforų valdymo sistemos  diegimas Šilutės pl.  </t>
  </si>
  <si>
    <t>Joniškės g. saugumo pagerinimo priemonių, autobusų sustojimo įvažos, pėsčiųjų ir dviračio tako jungties su Žemaičių g. įrengimas</t>
  </si>
  <si>
    <r>
      <t>Suženklinta gatvių, tūkst. m</t>
    </r>
    <r>
      <rPr>
        <vertAlign val="superscript"/>
        <sz val="10"/>
        <rFont val="Times New Roman"/>
        <family val="1"/>
        <charset val="186"/>
      </rPr>
      <t>2</t>
    </r>
  </si>
  <si>
    <r>
      <t>Klaipėdos miesto žvyruotų gatvių kapitalinis remontas</t>
    </r>
    <r>
      <rPr>
        <sz val="10"/>
        <color rgb="FFFF0000"/>
        <rFont val="Times New Roman"/>
        <family val="1"/>
        <charset val="186"/>
      </rPr>
      <t xml:space="preserve"> </t>
    </r>
  </si>
  <si>
    <t>Parduota terminuotų lengvatinių bilietų su 50 proc. nuolaida, tūkst. vnt.</t>
  </si>
  <si>
    <t>Parduota terminuotų lengvatinių bilietų su 80 proc. nuolaida, tūkst. vnt.</t>
  </si>
  <si>
    <t>Parduota terminuotų lengvatinių bilietų su 96 proc. nuolaida, tūkst. vnt.</t>
  </si>
  <si>
    <t>Privažiuojamojo kelio prie pastato Debreceno g. 48 įrengimas ir pastato aplinkos sutvarkymas</t>
  </si>
  <si>
    <r>
      <t xml:space="preserve">Asfaltbetonio dangos, žvyruotos dangos ir akmenimis grįstų </t>
    </r>
    <r>
      <rPr>
        <sz val="10"/>
        <rFont val="Times New Roman"/>
        <family val="1"/>
        <charset val="186"/>
      </rPr>
      <t>gatvių dangos remontas</t>
    </r>
  </si>
  <si>
    <t xml:space="preserve">Atsiskaityta su LAKD pagal bendradarbiavimo sutartį, proc. </t>
  </si>
  <si>
    <t>Jaunystės g. ir privažiuojamojo kelio (įskaitant sankryžą) bei Rūko g. kapitalinis remontas</t>
  </si>
  <si>
    <t xml:space="preserve">Baltijos pr. ir Taikos pr. žiedinės sankryžos rekonstravimas </t>
  </si>
  <si>
    <r>
      <t>Suremontuota šaligatvių, tūkst. m</t>
    </r>
    <r>
      <rPr>
        <vertAlign val="superscript"/>
        <sz val="10"/>
        <rFont val="Times New Roman"/>
        <family val="1"/>
        <charset val="186"/>
      </rPr>
      <t>2</t>
    </r>
  </si>
  <si>
    <r>
      <t>Atnaujinta šaligatvių pagal prioritetinį sąrašą, tūkst. m</t>
    </r>
    <r>
      <rPr>
        <vertAlign val="superscript"/>
        <sz val="10"/>
        <rFont val="Times New Roman"/>
        <family val="1"/>
        <charset val="186"/>
      </rPr>
      <t>2</t>
    </r>
  </si>
  <si>
    <t xml:space="preserve">Įvažiuojamojo kelio į Taikos pr. 109 </t>
  </si>
  <si>
    <t>Paryžiaus Komunos g. kapitalinis remontas (nuo Šilutės pl. iki Taikos pr.)</t>
  </si>
  <si>
    <t>Įrengti kintamos informacijos ženklai Pilies g., proc.</t>
  </si>
  <si>
    <t>Pramonės g. kapitalinio remonto darbai, įgyvendinant UAB Klaipėdos laisvosios ekonominės zonos valdymo bendrovės projektą „Klaipėdos LEZ infrastruktūros plėtra siekiant pritraukti tiesioginių užsienio investicijų sumaniosios specializacijos srityse“</t>
  </si>
  <si>
    <t>P
I</t>
  </si>
  <si>
    <t xml:space="preserve">2023–2025 M. KLAIPĖDOS MIESTO SAVIVALDYBĖS  </t>
  </si>
  <si>
    <t xml:space="preserve">Klaipėdos miesto savivaldybės susisiekimo sistemos  priežiūros ir plėtros programos (Nr. 06) aprašymo       </t>
  </si>
  <si>
    <t>priedas</t>
  </si>
  <si>
    <t xml:space="preserve">Ištisinio asfaltbetonio dangos įrengimas: </t>
  </si>
  <si>
    <t>KVJUD'</t>
  </si>
  <si>
    <t>LRVB'</t>
  </si>
  <si>
    <t>SB(VR)'</t>
  </si>
  <si>
    <t>SB(ŽP)'</t>
  </si>
  <si>
    <t>SB(L)'</t>
  </si>
  <si>
    <t>SB(ES)'</t>
  </si>
  <si>
    <t>SB(KPP)'</t>
  </si>
  <si>
    <t>SB'</t>
  </si>
  <si>
    <t>Kt'</t>
  </si>
  <si>
    <t>ES'</t>
  </si>
  <si>
    <t>SB(VRL)'</t>
  </si>
  <si>
    <t>Atlikta rangos darbų. Užbaigtumas proc. (pėsčiųjų takų jungtis iki LEZ ir jungiamojo kelio į LEZ įrengimas)</t>
  </si>
  <si>
    <t>Padidintas įstatinis kapitalas, proc.</t>
  </si>
  <si>
    <t xml:space="preserve">Sodų bendrija „Vaiteliai“–„Rasa“  </t>
  </si>
  <si>
    <t xml:space="preserve">Klaipėdos autobusų stotis–Palangos oro uostas </t>
  </si>
  <si>
    <t>Į LEZ teritoriją</t>
  </si>
  <si>
    <t>Danės upės vandens kelias</t>
  </si>
  <si>
    <t>Atlikta rangos darbų. Užbaigtumas, proc. (Karlskronos g. VII etapas – skersgatvis)</t>
  </si>
  <si>
    <t>Melioracijos statinių rekonstravimas žemės sklype, adresu: Verslo g. 10, 12, 14, Klaipėdoje (Klaipėdos LEZ teritorija)</t>
  </si>
  <si>
    <t>Žaliosios energijos infrastruktūros įrengimas žemės sklype, adresu: Pramonės g. 31, Klaipėdoje</t>
  </si>
  <si>
    <t>Šilutės pl. ruožo (nuo Rimkų geležinkelio iki Smiltelės g.) Klaipėdoje ir aikštelės ties Jūrininkų pr. kapitalinis remontas</t>
  </si>
  <si>
    <t>UAB „Klaipėdos autobusų parkas“ įstatinio kapitalo didinimas  (elektra varomų autobusų įsigijimas (prisidėjimas)</t>
  </si>
  <si>
    <t xml:space="preserve">Apšvietimo ir kietųjų dangų atkūrimo ir įrengimo darbai </t>
  </si>
  <si>
    <t>Lėšų poreikis biudžetiniams             2023-iesiems metams</t>
  </si>
  <si>
    <t>* N – nauja priemonė, T – tęstinė priemonė, I – investicijų projektas.</t>
  </si>
  <si>
    <t>Atlikta rangos darbų. Užbaigtumas, proc. (Laivų skg. – Artojo g.)</t>
  </si>
  <si>
    <t>Liepų g. ir naujo kelio sankryžos kapitalinis remontas</t>
  </si>
  <si>
    <t>Pakeista infrastruktūros plėtros sutartis, vnt.</t>
  </si>
  <si>
    <t>Gauta išvada iš Valstybinės teritorijų planavimo ir statybos inspekcijos, vnt.</t>
  </si>
  <si>
    <r>
      <rPr>
        <sz val="10"/>
        <color theme="1"/>
        <rFont val="Times New Roman"/>
        <family val="1"/>
        <charset val="186"/>
      </rPr>
      <t>Atlikta rangos darbų. Užbaigtumas, proc.</t>
    </r>
    <r>
      <rPr>
        <sz val="10"/>
        <color rgb="FFFF0000"/>
        <rFont val="Times New Roman"/>
        <family val="1"/>
        <charset val="186"/>
      </rPr>
      <t xml:space="preserve"> </t>
    </r>
    <r>
      <rPr>
        <sz val="10"/>
        <color theme="1"/>
        <rFont val="Times New Roman"/>
        <family val="1"/>
        <charset val="186"/>
      </rPr>
      <t>(</t>
    </r>
    <r>
      <rPr>
        <sz val="10"/>
        <color theme="1"/>
        <rFont val="Times New Roman"/>
        <family val="1"/>
        <charset val="186"/>
      </rPr>
      <t>Atgimimo a. – Laivų skg.)</t>
    </r>
  </si>
  <si>
    <t>Mėgėjų sodų teritorijoje savivaldybės institucijų valdomų kelių remontas</t>
  </si>
  <si>
    <t>Paprastojo remonto ir priežiūros darbų techninė priežiūra bei užbaigimo deklaracijos ekspertizių paslaugos</t>
  </si>
  <si>
    <r>
      <rPr>
        <sz val="10"/>
        <rFont val="Times New Roman"/>
        <family val="1"/>
        <charset val="186"/>
      </rPr>
      <t>Europos Sąjungos paramos likučių lėšos</t>
    </r>
    <r>
      <rPr>
        <b/>
        <sz val="10"/>
        <rFont val="Times New Roman"/>
        <family val="1"/>
        <charset val="186"/>
      </rPr>
      <t xml:space="preserve"> SB(ESL)</t>
    </r>
  </si>
  <si>
    <t>Šilutės pl., Rimkų g. sankirtos ties geležinkelio pervaža rekonstravimas</t>
  </si>
  <si>
    <t>Eismo valdymo sistemos modernizavimo Smiltelės g., Taikos pr., Tiltų g., Herkaus Manto g., Liepojos g. techninio darbo projekto parengimas ir įgyvendinimas</t>
  </si>
  <si>
    <t>Smiltynės g. ir kranto tvirtinimo kapitalinis remontas nuo Jūrų muziejaus iki Senosios Smiltynės perkėlos</t>
  </si>
  <si>
    <t>Pritaikyta naudojimui dviračių saugyklų, vnt.</t>
  </si>
  <si>
    <r>
      <rPr>
        <sz val="10"/>
        <rFont val="Times New Roman"/>
        <family val="1"/>
        <charset val="186"/>
      </rPr>
      <t>Žemės pardavimų likučio lėšos</t>
    </r>
    <r>
      <rPr>
        <b/>
        <sz val="10"/>
        <rFont val="Times New Roman"/>
        <family val="1"/>
        <charset val="186"/>
      </rPr>
      <t xml:space="preserve"> SB(ŽPL)</t>
    </r>
  </si>
  <si>
    <t>Klaipėdos miesto Lypkių g. tiesimas nuo Lypkių g. ir Kretainio g. sankryžos iki Šilutės pl. ir Statybininkų pr. sankryžos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</si>
</sst>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L_t_-;\-* #,##0.00\ _L_t_-;_-* &quot;-&quot;??\ _L_t_-;_-@_-"/>
    <numFmt numFmtId="165" formatCode="#,##0.0"/>
    <numFmt numFmtId="166" formatCode="[$-409]General"/>
    <numFmt numFmtId="167" formatCode="0.0"/>
  </numFmts>
  <fonts count="28" x14ac:knownFonts="1">
    <font>
      <sz val="10"/>
      <name val="Arial"/>
      <charset val="186"/>
    </font>
    <font>
      <sz val="10"/>
      <name val="Times New Roman"/>
      <family val="1"/>
      <charset val="186"/>
    </font>
    <font>
      <b/>
      <sz val="10"/>
      <name val="Times New Roman"/>
      <family val="1"/>
      <charset val="186"/>
    </font>
    <font>
      <b/>
      <sz val="10"/>
      <name val="Times New Roman"/>
      <family val="1"/>
      <charset val="204"/>
    </font>
    <font>
      <sz val="9"/>
      <name val="Times New Roman"/>
      <family val="1"/>
      <charset val="186"/>
    </font>
    <font>
      <sz val="10"/>
      <name val="Arial"/>
      <family val="2"/>
      <charset val="186"/>
    </font>
    <font>
      <b/>
      <sz val="9"/>
      <name val="Times New Roman"/>
      <family val="1"/>
      <charset val="186"/>
    </font>
    <font>
      <i/>
      <sz val="10"/>
      <name val="Times New Roman"/>
      <family val="1"/>
      <charset val="186"/>
    </font>
    <font>
      <sz val="10"/>
      <name val="Times New Roman"/>
      <family val="1"/>
    </font>
    <font>
      <b/>
      <sz val="10"/>
      <name val="Arial"/>
      <family val="2"/>
      <charset val="186"/>
    </font>
    <font>
      <sz val="11"/>
      <color rgb="FF000000"/>
      <name val="Calibri"/>
      <family val="2"/>
      <charset val="186"/>
    </font>
    <font>
      <sz val="12"/>
      <name val="Times New Roman"/>
      <family val="1"/>
      <charset val="186"/>
    </font>
    <font>
      <b/>
      <sz val="12"/>
      <name val="Times New Roman"/>
      <family val="1"/>
      <charset val="186"/>
    </font>
    <font>
      <b/>
      <sz val="9"/>
      <color indexed="81"/>
      <name val="Tahoma"/>
      <family val="2"/>
      <charset val="186"/>
    </font>
    <font>
      <sz val="9"/>
      <color indexed="81"/>
      <name val="Tahoma"/>
      <family val="2"/>
      <charset val="186"/>
    </font>
    <font>
      <sz val="10"/>
      <name val="Times"/>
      <family val="1"/>
    </font>
    <font>
      <sz val="12"/>
      <name val="Times New Roman"/>
      <family val="1"/>
    </font>
    <font>
      <strike/>
      <sz val="10"/>
      <name val="Times New Roman"/>
      <family val="1"/>
      <charset val="186"/>
    </font>
    <font>
      <sz val="11"/>
      <name val="Times New Roman"/>
      <family val="1"/>
      <charset val="186"/>
    </font>
    <font>
      <sz val="10"/>
      <color theme="0" tint="-0.14999847407452621"/>
      <name val="Times New Roman"/>
      <family val="1"/>
      <charset val="186"/>
    </font>
    <font>
      <sz val="10"/>
      <color rgb="FFFF0000"/>
      <name val="Times New Roman"/>
      <family val="1"/>
      <charset val="186"/>
    </font>
    <font>
      <vertAlign val="superscript"/>
      <sz val="10"/>
      <name val="Times New Roman"/>
      <family val="1"/>
      <charset val="186"/>
    </font>
    <font>
      <sz val="10"/>
      <color theme="1"/>
      <name val="Times New Roman"/>
      <family val="1"/>
      <charset val="186"/>
    </font>
    <font>
      <sz val="10"/>
      <color rgb="FF0070C0"/>
      <name val="Times New Roman"/>
      <family val="1"/>
      <charset val="186"/>
    </font>
    <font>
      <sz val="10"/>
      <color theme="0"/>
      <name val="Times New Roman"/>
      <family val="1"/>
      <charset val="186"/>
    </font>
    <font>
      <b/>
      <sz val="10"/>
      <color theme="0"/>
      <name val="Times New Roman"/>
      <family val="1"/>
      <charset val="186"/>
    </font>
    <font>
      <sz val="12"/>
      <color theme="0"/>
      <name val="Times New Roman"/>
      <family val="1"/>
      <charset val="186"/>
    </font>
    <font>
      <sz val="10"/>
      <color theme="0"/>
      <name val="Arial"/>
      <family val="2"/>
      <charset val="186"/>
    </font>
  </fonts>
  <fills count="14">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D5FF"/>
        <bgColor indexed="64"/>
      </patternFill>
    </fill>
    <fill>
      <patternFill patternType="solid">
        <fgColor rgb="FFFFFF99"/>
        <bgColor indexed="64"/>
      </patternFill>
    </fill>
    <fill>
      <patternFill patternType="solid">
        <fgColor rgb="FFCCFFCC"/>
        <bgColor indexed="64"/>
      </patternFill>
    </fill>
    <fill>
      <patternFill patternType="solid">
        <fgColor rgb="FFFFFFFF"/>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style="thin">
        <color indexed="64"/>
      </top>
      <bottom/>
      <diagonal/>
    </border>
    <border>
      <left/>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top style="thin">
        <color indexed="64"/>
      </top>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right style="medium">
        <color indexed="64"/>
      </right>
      <top style="hair">
        <color indexed="64"/>
      </top>
      <bottom/>
      <diagonal/>
    </border>
    <border>
      <left/>
      <right style="thin">
        <color indexed="64"/>
      </right>
      <top style="hair">
        <color indexed="64"/>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right/>
      <top style="hair">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top style="hair">
        <color indexed="64"/>
      </top>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style="thin">
        <color indexed="64"/>
      </right>
      <top style="thin">
        <color indexed="64"/>
      </top>
      <bottom style="medium">
        <color indexed="64"/>
      </bottom>
      <diagonal/>
    </border>
    <border>
      <left style="medium">
        <color indexed="64"/>
      </left>
      <right/>
      <top/>
      <bottom style="hair">
        <color indexed="64"/>
      </bottom>
      <diagonal/>
    </border>
    <border>
      <left/>
      <right style="thin">
        <color indexed="64"/>
      </right>
      <top style="medium">
        <color indexed="64"/>
      </top>
      <bottom style="medium">
        <color indexed="64"/>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bottom style="thin">
        <color theme="0" tint="-4.9989318521683403E-2"/>
      </bottom>
      <diagonal/>
    </border>
    <border>
      <left/>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s>
  <cellStyleXfs count="4">
    <xf numFmtId="0" fontId="0" fillId="0" borderId="0"/>
    <xf numFmtId="164" fontId="5" fillId="0" borderId="0" applyFont="0" applyFill="0" applyBorder="0" applyAlignment="0" applyProtection="0"/>
    <xf numFmtId="0" fontId="5" fillId="0" borderId="0"/>
    <xf numFmtId="166" fontId="10" fillId="0" borderId="0" applyBorder="0" applyProtection="0"/>
  </cellStyleXfs>
  <cellXfs count="939">
    <xf numFmtId="0" fontId="0" fillId="0" borderId="0" xfId="0"/>
    <xf numFmtId="0" fontId="1" fillId="0" borderId="0" xfId="0" applyFont="1" applyBorder="1" applyAlignment="1">
      <alignment vertical="top"/>
    </xf>
    <xf numFmtId="0" fontId="1" fillId="0" borderId="0" xfId="0" applyFont="1" applyAlignment="1">
      <alignment vertical="top"/>
    </xf>
    <xf numFmtId="0" fontId="1" fillId="0" borderId="0" xfId="0" applyFont="1" applyAlignment="1">
      <alignment horizontal="center" vertical="top"/>
    </xf>
    <xf numFmtId="0" fontId="1" fillId="0" borderId="0" xfId="0" applyFont="1" applyFill="1" applyAlignment="1">
      <alignment vertical="top"/>
    </xf>
    <xf numFmtId="0" fontId="1" fillId="3" borderId="0" xfId="0" applyFont="1" applyFill="1" applyAlignment="1">
      <alignment vertical="top"/>
    </xf>
    <xf numFmtId="164" fontId="1" fillId="0" borderId="0" xfId="1" applyFont="1" applyBorder="1" applyAlignment="1">
      <alignment vertical="top"/>
    </xf>
    <xf numFmtId="0" fontId="5" fillId="0" borderId="0" xfId="0" applyFont="1"/>
    <xf numFmtId="165" fontId="1" fillId="0" borderId="0" xfId="0" applyNumberFormat="1" applyFont="1" applyAlignment="1">
      <alignment vertical="top"/>
    </xf>
    <xf numFmtId="49" fontId="2" fillId="9" borderId="10" xfId="0" applyNumberFormat="1" applyFont="1" applyFill="1" applyBorder="1" applyAlignment="1">
      <alignment horizontal="center" vertical="top" wrapText="1"/>
    </xf>
    <xf numFmtId="3" fontId="1" fillId="0" borderId="0" xfId="0" applyNumberFormat="1" applyFont="1" applyBorder="1" applyAlignment="1">
      <alignment vertical="top"/>
    </xf>
    <xf numFmtId="165" fontId="1" fillId="0" borderId="0" xfId="0" applyNumberFormat="1" applyFont="1" applyBorder="1" applyAlignment="1">
      <alignment vertical="top"/>
    </xf>
    <xf numFmtId="165" fontId="1" fillId="7" borderId="32" xfId="0" applyNumberFormat="1" applyFont="1" applyFill="1" applyBorder="1" applyAlignment="1">
      <alignment horizontal="center" vertical="top"/>
    </xf>
    <xf numFmtId="165" fontId="1" fillId="7" borderId="4" xfId="0" applyNumberFormat="1" applyFont="1" applyFill="1" applyBorder="1" applyAlignment="1">
      <alignment horizontal="center" vertical="top"/>
    </xf>
    <xf numFmtId="165" fontId="2" fillId="9" borderId="53" xfId="0" applyNumberFormat="1" applyFont="1" applyFill="1" applyBorder="1" applyAlignment="1">
      <alignment horizontal="center" vertical="top"/>
    </xf>
    <xf numFmtId="165" fontId="2" fillId="9" borderId="40" xfId="0" applyNumberFormat="1" applyFont="1" applyFill="1" applyBorder="1" applyAlignment="1">
      <alignment horizontal="center" vertical="top"/>
    </xf>
    <xf numFmtId="165" fontId="2" fillId="2" borderId="2" xfId="0" applyNumberFormat="1" applyFont="1" applyFill="1" applyBorder="1" applyAlignment="1">
      <alignment horizontal="center" vertical="top"/>
    </xf>
    <xf numFmtId="165" fontId="2" fillId="9" borderId="41" xfId="0" applyNumberFormat="1" applyFont="1" applyFill="1" applyBorder="1" applyAlignment="1">
      <alignment horizontal="center" vertical="top"/>
    </xf>
    <xf numFmtId="165" fontId="1" fillId="7" borderId="0" xfId="0" applyNumberFormat="1" applyFont="1" applyFill="1" applyBorder="1" applyAlignment="1">
      <alignment horizontal="center" vertical="top"/>
    </xf>
    <xf numFmtId="165" fontId="2" fillId="5" borderId="40" xfId="0" applyNumberFormat="1" applyFont="1" applyFill="1" applyBorder="1" applyAlignment="1">
      <alignment horizontal="center" vertical="top"/>
    </xf>
    <xf numFmtId="165" fontId="1" fillId="0" borderId="0" xfId="0" applyNumberFormat="1" applyFont="1" applyFill="1" applyBorder="1" applyAlignment="1">
      <alignment horizontal="center" vertical="top"/>
    </xf>
    <xf numFmtId="165" fontId="2" fillId="8" borderId="47" xfId="0" applyNumberFormat="1" applyFont="1" applyFill="1" applyBorder="1" applyAlignment="1">
      <alignment horizontal="center" vertical="top"/>
    </xf>
    <xf numFmtId="165" fontId="2" fillId="8" borderId="23" xfId="0" applyNumberFormat="1" applyFont="1" applyFill="1" applyBorder="1" applyAlignment="1">
      <alignment horizontal="center" vertical="top"/>
    </xf>
    <xf numFmtId="49" fontId="2" fillId="9" borderId="10" xfId="0" applyNumberFormat="1" applyFont="1" applyFill="1" applyBorder="1" applyAlignment="1">
      <alignment horizontal="center" vertical="top"/>
    </xf>
    <xf numFmtId="165" fontId="2" fillId="2" borderId="42" xfId="0" applyNumberFormat="1" applyFont="1" applyFill="1" applyBorder="1" applyAlignment="1">
      <alignment horizontal="center" vertical="top"/>
    </xf>
    <xf numFmtId="165" fontId="2" fillId="2" borderId="30" xfId="0" applyNumberFormat="1" applyFont="1" applyFill="1" applyBorder="1" applyAlignment="1">
      <alignment horizontal="center" vertical="top"/>
    </xf>
    <xf numFmtId="165" fontId="2" fillId="2" borderId="55" xfId="0" applyNumberFormat="1" applyFont="1" applyFill="1" applyBorder="1" applyAlignment="1">
      <alignment horizontal="center" vertical="top"/>
    </xf>
    <xf numFmtId="49" fontId="2" fillId="9" borderId="25" xfId="0" applyNumberFormat="1" applyFont="1" applyFill="1" applyBorder="1" applyAlignment="1">
      <alignment horizontal="center" vertical="top"/>
    </xf>
    <xf numFmtId="165" fontId="2" fillId="8" borderId="42" xfId="0" applyNumberFormat="1" applyFont="1" applyFill="1" applyBorder="1" applyAlignment="1">
      <alignment horizontal="center" vertical="top"/>
    </xf>
    <xf numFmtId="165" fontId="2" fillId="8" borderId="18" xfId="0" applyNumberFormat="1" applyFont="1" applyFill="1" applyBorder="1" applyAlignment="1">
      <alignment horizontal="center" vertical="top"/>
    </xf>
    <xf numFmtId="165" fontId="2" fillId="8" borderId="8" xfId="0" applyNumberFormat="1" applyFont="1" applyFill="1" applyBorder="1" applyAlignment="1">
      <alignment vertical="top"/>
    </xf>
    <xf numFmtId="165" fontId="2" fillId="8" borderId="36" xfId="0" applyNumberFormat="1" applyFont="1" applyFill="1" applyBorder="1" applyAlignment="1">
      <alignment vertical="top"/>
    </xf>
    <xf numFmtId="49" fontId="2" fillId="8" borderId="23" xfId="0" applyNumberFormat="1" applyFont="1" applyFill="1" applyBorder="1" applyAlignment="1">
      <alignment horizontal="center" vertical="top"/>
    </xf>
    <xf numFmtId="165" fontId="2" fillId="8" borderId="36" xfId="0" applyNumberFormat="1" applyFont="1" applyFill="1" applyBorder="1" applyAlignment="1">
      <alignment horizontal="center" vertical="top"/>
    </xf>
    <xf numFmtId="49" fontId="2" fillId="8" borderId="18" xfId="0" applyNumberFormat="1" applyFont="1" applyFill="1" applyBorder="1" applyAlignment="1">
      <alignment horizontal="center" vertical="top"/>
    </xf>
    <xf numFmtId="165" fontId="2" fillId="7" borderId="43" xfId="0" applyNumberFormat="1" applyFont="1" applyFill="1" applyBorder="1" applyAlignment="1">
      <alignment horizontal="center" vertical="top" wrapText="1"/>
    </xf>
    <xf numFmtId="165" fontId="2" fillId="9" borderId="7" xfId="0" applyNumberFormat="1" applyFont="1" applyFill="1" applyBorder="1" applyAlignment="1">
      <alignment horizontal="center" vertical="top"/>
    </xf>
    <xf numFmtId="165" fontId="2" fillId="2" borderId="22" xfId="0" applyNumberFormat="1" applyFont="1" applyFill="1" applyBorder="1" applyAlignment="1">
      <alignment horizontal="center" vertical="top"/>
    </xf>
    <xf numFmtId="165" fontId="1" fillId="7" borderId="16" xfId="0" applyNumberFormat="1" applyFont="1" applyFill="1" applyBorder="1" applyAlignment="1">
      <alignment horizontal="center" vertical="top"/>
    </xf>
    <xf numFmtId="49" fontId="2" fillId="2" borderId="18" xfId="0" applyNumberFormat="1" applyFont="1" applyFill="1" applyBorder="1" applyAlignment="1">
      <alignment horizontal="center" vertical="top"/>
    </xf>
    <xf numFmtId="165" fontId="2" fillId="9" borderId="3" xfId="0" applyNumberFormat="1" applyFont="1" applyFill="1" applyBorder="1" applyAlignment="1">
      <alignment horizontal="center" vertical="top"/>
    </xf>
    <xf numFmtId="165" fontId="1" fillId="7" borderId="6" xfId="0" applyNumberFormat="1" applyFont="1" applyFill="1" applyBorder="1" applyAlignment="1">
      <alignment horizontal="center" vertical="top"/>
    </xf>
    <xf numFmtId="49" fontId="2" fillId="2" borderId="36" xfId="0" applyNumberFormat="1" applyFont="1" applyFill="1" applyBorder="1" applyAlignment="1">
      <alignment horizontal="center" vertical="top"/>
    </xf>
    <xf numFmtId="49" fontId="2" fillId="9" borderId="3" xfId="0" applyNumberFormat="1" applyFont="1" applyFill="1" applyBorder="1" applyAlignment="1">
      <alignment horizontal="center" vertical="top"/>
    </xf>
    <xf numFmtId="3" fontId="1" fillId="7" borderId="28" xfId="0" applyNumberFormat="1" applyFont="1" applyFill="1" applyBorder="1" applyAlignment="1">
      <alignment horizontal="center" vertical="top"/>
    </xf>
    <xf numFmtId="3" fontId="1" fillId="7" borderId="32" xfId="0" applyNumberFormat="1" applyFont="1" applyFill="1" applyBorder="1" applyAlignment="1">
      <alignment horizontal="center" vertical="top"/>
    </xf>
    <xf numFmtId="3" fontId="1" fillId="7" borderId="39" xfId="0" applyNumberFormat="1" applyFont="1" applyFill="1" applyBorder="1" applyAlignment="1">
      <alignment horizontal="center" vertical="top"/>
    </xf>
    <xf numFmtId="165" fontId="2" fillId="7" borderId="56" xfId="0" applyNumberFormat="1" applyFont="1" applyFill="1" applyBorder="1" applyAlignment="1">
      <alignment horizontal="center" vertical="top" wrapText="1"/>
    </xf>
    <xf numFmtId="0" fontId="2" fillId="0" borderId="0" xfId="0" applyFont="1" applyAlignment="1">
      <alignment vertical="center"/>
    </xf>
    <xf numFmtId="165" fontId="9" fillId="7" borderId="8" xfId="0" applyNumberFormat="1" applyFont="1" applyFill="1" applyBorder="1" applyAlignment="1">
      <alignment horizontal="center" vertical="center" textRotation="90" wrapText="1"/>
    </xf>
    <xf numFmtId="0" fontId="2" fillId="0" borderId="0" xfId="0" applyFont="1" applyAlignment="1">
      <alignment horizontal="center" vertical="center"/>
    </xf>
    <xf numFmtId="49" fontId="1" fillId="7" borderId="8" xfId="0" applyNumberFormat="1" applyFont="1" applyFill="1" applyBorder="1" applyAlignment="1">
      <alignment horizontal="center" vertical="top"/>
    </xf>
    <xf numFmtId="49" fontId="1" fillId="7" borderId="32" xfId="0" applyNumberFormat="1" applyFont="1" applyFill="1" applyBorder="1" applyAlignment="1">
      <alignment horizontal="center" vertical="top"/>
    </xf>
    <xf numFmtId="3" fontId="1" fillId="7" borderId="70" xfId="0" applyNumberFormat="1" applyFont="1" applyFill="1" applyBorder="1" applyAlignment="1">
      <alignment horizontal="center" vertical="top"/>
    </xf>
    <xf numFmtId="165" fontId="1" fillId="7" borderId="13" xfId="0" applyNumberFormat="1" applyFont="1" applyFill="1" applyBorder="1" applyAlignment="1">
      <alignment horizontal="center" vertical="top"/>
    </xf>
    <xf numFmtId="165" fontId="1" fillId="7" borderId="67" xfId="0" applyNumberFormat="1" applyFont="1" applyFill="1" applyBorder="1" applyAlignment="1">
      <alignment horizontal="center" vertical="top"/>
    </xf>
    <xf numFmtId="165" fontId="1" fillId="7" borderId="35" xfId="0" applyNumberFormat="1" applyFont="1" applyFill="1" applyBorder="1" applyAlignment="1">
      <alignment horizontal="center" vertical="top"/>
    </xf>
    <xf numFmtId="0" fontId="2" fillId="7" borderId="14" xfId="0" applyFont="1" applyFill="1" applyBorder="1" applyAlignment="1">
      <alignment horizontal="center" vertical="top" wrapText="1"/>
    </xf>
    <xf numFmtId="0" fontId="2" fillId="7" borderId="8" xfId="0" applyFont="1" applyFill="1" applyBorder="1" applyAlignment="1">
      <alignment horizontal="center" vertical="top" wrapText="1"/>
    </xf>
    <xf numFmtId="49" fontId="1" fillId="8" borderId="8" xfId="0" applyNumberFormat="1" applyFont="1" applyFill="1" applyBorder="1" applyAlignment="1">
      <alignment horizontal="center" vertical="top"/>
    </xf>
    <xf numFmtId="165" fontId="1" fillId="7" borderId="1" xfId="0" applyNumberFormat="1" applyFont="1" applyFill="1" applyBorder="1" applyAlignment="1">
      <alignment vertical="top" wrapText="1"/>
    </xf>
    <xf numFmtId="165" fontId="1" fillId="0" borderId="0" xfId="0" applyNumberFormat="1" applyFont="1" applyFill="1" applyBorder="1" applyAlignment="1">
      <alignment horizontal="left" vertical="top"/>
    </xf>
    <xf numFmtId="165" fontId="2" fillId="8" borderId="80" xfId="0" applyNumberFormat="1" applyFont="1" applyFill="1" applyBorder="1" applyAlignment="1">
      <alignment horizontal="center" vertical="top"/>
    </xf>
    <xf numFmtId="0" fontId="1" fillId="0" borderId="21" xfId="0" applyFont="1" applyBorder="1" applyAlignment="1">
      <alignment vertical="top"/>
    </xf>
    <xf numFmtId="165" fontId="2" fillId="7" borderId="0" xfId="0" applyNumberFormat="1" applyFont="1" applyFill="1" applyBorder="1" applyAlignment="1">
      <alignment horizontal="center" vertical="top" wrapText="1"/>
    </xf>
    <xf numFmtId="0" fontId="15" fillId="7" borderId="1" xfId="0" applyFont="1" applyFill="1" applyBorder="1" applyAlignment="1">
      <alignment vertical="top" wrapText="1"/>
    </xf>
    <xf numFmtId="165" fontId="2" fillId="7" borderId="8" xfId="0" applyNumberFormat="1" applyFont="1" applyFill="1" applyBorder="1" applyAlignment="1">
      <alignment horizontal="center" vertical="center" textRotation="90" wrapText="1"/>
    </xf>
    <xf numFmtId="0" fontId="9" fillId="7" borderId="8" xfId="0" applyFont="1" applyFill="1" applyBorder="1" applyAlignment="1">
      <alignment horizontal="center" vertical="top" wrapText="1"/>
    </xf>
    <xf numFmtId="165" fontId="2" fillId="7" borderId="14" xfId="0" applyNumberFormat="1" applyFont="1" applyFill="1" applyBorder="1" applyAlignment="1">
      <alignment horizontal="center" vertical="center" wrapText="1"/>
    </xf>
    <xf numFmtId="165" fontId="2" fillId="7" borderId="36" xfId="0" applyNumberFormat="1" applyFont="1" applyFill="1" applyBorder="1" applyAlignment="1">
      <alignment horizontal="center" vertical="center" textRotation="90" wrapText="1"/>
    </xf>
    <xf numFmtId="165" fontId="2" fillId="7" borderId="26" xfId="0" applyNumberFormat="1" applyFont="1" applyFill="1" applyBorder="1" applyAlignment="1">
      <alignment horizontal="center" vertical="center" textRotation="90" wrapText="1"/>
    </xf>
    <xf numFmtId="165" fontId="1" fillId="7" borderId="57" xfId="0" applyNumberFormat="1" applyFont="1" applyFill="1" applyBorder="1" applyAlignment="1">
      <alignment horizontal="center" vertical="top"/>
    </xf>
    <xf numFmtId="0" fontId="1" fillId="0" borderId="4" xfId="0" applyFont="1" applyBorder="1" applyAlignment="1">
      <alignment vertical="top"/>
    </xf>
    <xf numFmtId="165" fontId="1" fillId="7" borderId="62" xfId="0" applyNumberFormat="1" applyFont="1" applyFill="1" applyBorder="1" applyAlignment="1">
      <alignment horizontal="center" vertical="top"/>
    </xf>
    <xf numFmtId="0" fontId="1" fillId="0" borderId="17" xfId="0" applyFont="1" applyBorder="1" applyAlignment="1">
      <alignment vertical="top"/>
    </xf>
    <xf numFmtId="165" fontId="2" fillId="7" borderId="18" xfId="0" applyNumberFormat="1" applyFont="1" applyFill="1" applyBorder="1" applyAlignment="1">
      <alignment vertical="top" wrapText="1"/>
    </xf>
    <xf numFmtId="165" fontId="6" fillId="7" borderId="18" xfId="0" applyNumberFormat="1" applyFont="1" applyFill="1" applyBorder="1" applyAlignment="1">
      <alignment horizontal="center" vertical="top" wrapText="1"/>
    </xf>
    <xf numFmtId="0" fontId="5" fillId="7" borderId="23" xfId="0" applyFont="1" applyFill="1" applyBorder="1" applyAlignment="1">
      <alignment vertical="top" wrapText="1"/>
    </xf>
    <xf numFmtId="0" fontId="9" fillId="7" borderId="77" xfId="0" applyFont="1" applyFill="1" applyBorder="1" applyAlignment="1">
      <alignment horizontal="center" textRotation="90" wrapText="1"/>
    </xf>
    <xf numFmtId="3" fontId="1" fillId="7" borderId="72" xfId="0" applyNumberFormat="1" applyFont="1" applyFill="1" applyBorder="1" applyAlignment="1">
      <alignment horizontal="center" vertical="top"/>
    </xf>
    <xf numFmtId="3" fontId="4" fillId="7" borderId="44" xfId="0" applyNumberFormat="1" applyFont="1" applyFill="1" applyBorder="1" applyAlignment="1">
      <alignment horizontal="center" vertical="top" wrapText="1"/>
    </xf>
    <xf numFmtId="165" fontId="1" fillId="7" borderId="71" xfId="0" applyNumberFormat="1" applyFont="1" applyFill="1" applyBorder="1" applyAlignment="1">
      <alignment horizontal="center" vertical="top"/>
    </xf>
    <xf numFmtId="165" fontId="2" fillId="8" borderId="0" xfId="0" applyNumberFormat="1" applyFont="1" applyFill="1" applyBorder="1" applyAlignment="1">
      <alignment vertical="top"/>
    </xf>
    <xf numFmtId="165" fontId="1" fillId="7" borderId="69" xfId="0" applyNumberFormat="1" applyFont="1" applyFill="1" applyBorder="1" applyAlignment="1">
      <alignment horizontal="center" vertical="top"/>
    </xf>
    <xf numFmtId="0" fontId="1" fillId="0" borderId="39" xfId="0" applyFont="1" applyBorder="1" applyAlignment="1">
      <alignment vertical="top"/>
    </xf>
    <xf numFmtId="0" fontId="1" fillId="0" borderId="32" xfId="0" applyFont="1" applyBorder="1" applyAlignment="1">
      <alignment vertical="top"/>
    </xf>
    <xf numFmtId="0" fontId="1" fillId="7" borderId="39" xfId="0" applyFont="1" applyFill="1" applyBorder="1" applyAlignment="1">
      <alignment vertical="top"/>
    </xf>
    <xf numFmtId="0" fontId="1" fillId="0" borderId="86" xfId="0" applyFont="1" applyBorder="1" applyAlignment="1">
      <alignment vertical="top"/>
    </xf>
    <xf numFmtId="0" fontId="1" fillId="7" borderId="86" xfId="0" applyFont="1" applyFill="1" applyBorder="1" applyAlignment="1">
      <alignment vertical="top"/>
    </xf>
    <xf numFmtId="3" fontId="1" fillId="7" borderId="32" xfId="0" applyNumberFormat="1" applyFont="1" applyFill="1" applyBorder="1" applyAlignment="1">
      <alignment horizontal="center" vertical="top" wrapText="1"/>
    </xf>
    <xf numFmtId="3" fontId="1" fillId="7" borderId="39" xfId="0" applyNumberFormat="1" applyFont="1" applyFill="1" applyBorder="1" applyAlignment="1">
      <alignment horizontal="center" vertical="top" wrapText="1"/>
    </xf>
    <xf numFmtId="3" fontId="1" fillId="7" borderId="28" xfId="0" applyNumberFormat="1" applyFont="1" applyFill="1" applyBorder="1" applyAlignment="1">
      <alignment horizontal="center" vertical="top" wrapText="1"/>
    </xf>
    <xf numFmtId="3" fontId="1" fillId="7" borderId="15" xfId="0" applyNumberFormat="1" applyFont="1" applyFill="1" applyBorder="1" applyAlignment="1">
      <alignment horizontal="center" vertical="top"/>
    </xf>
    <xf numFmtId="3" fontId="1" fillId="7" borderId="79" xfId="0" applyNumberFormat="1" applyFont="1" applyFill="1" applyBorder="1" applyAlignment="1">
      <alignment horizontal="center" vertical="top"/>
    </xf>
    <xf numFmtId="3" fontId="1" fillId="7" borderId="60" xfId="0" applyNumberFormat="1" applyFont="1" applyFill="1" applyBorder="1" applyAlignment="1">
      <alignment horizontal="center" vertical="top"/>
    </xf>
    <xf numFmtId="3" fontId="1" fillId="7" borderId="39" xfId="1" applyNumberFormat="1" applyFont="1" applyFill="1" applyBorder="1" applyAlignment="1">
      <alignment horizontal="center" vertical="top" wrapText="1"/>
    </xf>
    <xf numFmtId="3" fontId="1" fillId="7" borderId="90" xfId="0" applyNumberFormat="1" applyFont="1" applyFill="1" applyBorder="1" applyAlignment="1">
      <alignment horizontal="center" vertical="top"/>
    </xf>
    <xf numFmtId="165" fontId="1" fillId="7" borderId="20" xfId="0" applyNumberFormat="1" applyFont="1" applyFill="1" applyBorder="1" applyAlignment="1">
      <alignment horizontal="center" vertical="top"/>
    </xf>
    <xf numFmtId="3" fontId="1" fillId="7" borderId="20" xfId="0" applyNumberFormat="1" applyFont="1" applyFill="1" applyBorder="1" applyAlignment="1">
      <alignment horizontal="center" vertical="top"/>
    </xf>
    <xf numFmtId="3" fontId="1" fillId="7" borderId="78" xfId="0" applyNumberFormat="1" applyFont="1" applyFill="1" applyBorder="1" applyAlignment="1">
      <alignment horizontal="center" vertical="top"/>
    </xf>
    <xf numFmtId="0" fontId="1" fillId="0" borderId="5" xfId="0" applyFont="1" applyBorder="1" applyAlignment="1">
      <alignment vertical="top"/>
    </xf>
    <xf numFmtId="165" fontId="1" fillId="7" borderId="44" xfId="0" applyNumberFormat="1" applyFont="1" applyFill="1" applyBorder="1" applyAlignment="1">
      <alignment horizontal="center" vertical="top"/>
    </xf>
    <xf numFmtId="165" fontId="1" fillId="7" borderId="83" xfId="0" applyNumberFormat="1" applyFont="1" applyFill="1" applyBorder="1" applyAlignment="1">
      <alignment horizontal="center" vertical="top"/>
    </xf>
    <xf numFmtId="0" fontId="1" fillId="7" borderId="32" xfId="0" applyFont="1" applyFill="1" applyBorder="1" applyAlignment="1">
      <alignment horizontal="center" vertical="center"/>
    </xf>
    <xf numFmtId="49" fontId="2" fillId="8" borderId="0" xfId="0" applyNumberFormat="1" applyFont="1" applyFill="1" applyBorder="1" applyAlignment="1">
      <alignment horizontal="center" vertical="top"/>
    </xf>
    <xf numFmtId="0" fontId="1" fillId="0" borderId="0" xfId="0" applyFont="1" applyBorder="1" applyAlignment="1">
      <alignment horizontal="center" vertical="top"/>
    </xf>
    <xf numFmtId="0" fontId="2" fillId="0" borderId="0" xfId="0" applyFont="1" applyBorder="1" applyAlignment="1">
      <alignment horizontal="center" vertical="center"/>
    </xf>
    <xf numFmtId="0" fontId="1" fillId="0" borderId="23" xfId="0" applyFont="1" applyBorder="1" applyAlignment="1">
      <alignment vertical="top"/>
    </xf>
    <xf numFmtId="0" fontId="1" fillId="0" borderId="77" xfId="0" applyFont="1" applyBorder="1" applyAlignment="1">
      <alignment horizontal="center" vertical="center" textRotation="90"/>
    </xf>
    <xf numFmtId="165" fontId="1" fillId="7" borderId="59" xfId="0" applyNumberFormat="1" applyFont="1" applyFill="1" applyBorder="1" applyAlignment="1">
      <alignment horizontal="center" vertical="top"/>
    </xf>
    <xf numFmtId="165" fontId="1" fillId="7" borderId="21" xfId="0" applyNumberFormat="1" applyFont="1" applyFill="1" applyBorder="1" applyAlignment="1">
      <alignment horizontal="center" vertical="top"/>
    </xf>
    <xf numFmtId="3" fontId="1" fillId="7" borderId="5" xfId="0" applyNumberFormat="1" applyFont="1" applyFill="1" applyBorder="1" applyAlignment="1">
      <alignment horizontal="center" vertical="top"/>
    </xf>
    <xf numFmtId="3" fontId="1" fillId="7" borderId="87" xfId="0" applyNumberFormat="1" applyFont="1" applyFill="1" applyBorder="1" applyAlignment="1">
      <alignment horizontal="center" vertical="top"/>
    </xf>
    <xf numFmtId="3" fontId="1" fillId="7" borderId="85" xfId="0" applyNumberFormat="1" applyFont="1" applyFill="1" applyBorder="1" applyAlignment="1">
      <alignment horizontal="center" vertical="top"/>
    </xf>
    <xf numFmtId="3" fontId="1" fillId="7" borderId="86" xfId="0" applyNumberFormat="1" applyFont="1" applyFill="1" applyBorder="1" applyAlignment="1">
      <alignment horizontal="center" vertical="top"/>
    </xf>
    <xf numFmtId="0" fontId="1" fillId="7" borderId="21" xfId="0" applyFont="1" applyFill="1" applyBorder="1" applyAlignment="1">
      <alignment vertical="top"/>
    </xf>
    <xf numFmtId="3" fontId="1" fillId="7" borderId="8" xfId="0" applyNumberFormat="1" applyFont="1" applyFill="1" applyBorder="1" applyAlignment="1">
      <alignment horizontal="center" vertical="top"/>
    </xf>
    <xf numFmtId="3" fontId="1" fillId="7" borderId="59" xfId="0" applyNumberFormat="1" applyFont="1" applyFill="1" applyBorder="1" applyAlignment="1">
      <alignment horizontal="center" vertical="top"/>
    </xf>
    <xf numFmtId="0" fontId="1" fillId="0" borderId="8" xfId="0" applyFont="1" applyBorder="1" applyAlignment="1">
      <alignment vertical="top"/>
    </xf>
    <xf numFmtId="3" fontId="1" fillId="7" borderId="14" xfId="0" applyNumberFormat="1" applyFont="1" applyFill="1" applyBorder="1" applyAlignment="1">
      <alignment horizontal="center" vertical="top"/>
    </xf>
    <xf numFmtId="3" fontId="1" fillId="7" borderId="21" xfId="0" applyNumberFormat="1" applyFont="1" applyFill="1" applyBorder="1" applyAlignment="1">
      <alignment horizontal="center" vertical="top"/>
    </xf>
    <xf numFmtId="165" fontId="1" fillId="7" borderId="28" xfId="0" applyNumberFormat="1" applyFont="1" applyFill="1" applyBorder="1" applyAlignment="1">
      <alignment horizontal="center" vertical="top"/>
    </xf>
    <xf numFmtId="3" fontId="1" fillId="7" borderId="14" xfId="0" applyNumberFormat="1" applyFont="1" applyFill="1" applyBorder="1" applyAlignment="1">
      <alignment horizontal="center" vertical="top" wrapText="1"/>
    </xf>
    <xf numFmtId="49" fontId="1" fillId="7" borderId="35" xfId="0" applyNumberFormat="1" applyFont="1" applyFill="1" applyBorder="1" applyAlignment="1">
      <alignment horizontal="center" vertical="top"/>
    </xf>
    <xf numFmtId="3" fontId="1" fillId="7" borderId="35" xfId="0" applyNumberFormat="1" applyFont="1" applyFill="1" applyBorder="1" applyAlignment="1">
      <alignment horizontal="center" vertical="top" wrapText="1"/>
    </xf>
    <xf numFmtId="3" fontId="1" fillId="7" borderId="86" xfId="0" applyNumberFormat="1" applyFont="1" applyFill="1" applyBorder="1" applyAlignment="1">
      <alignment horizontal="center" vertical="top" wrapText="1"/>
    </xf>
    <xf numFmtId="3" fontId="1" fillId="7" borderId="94" xfId="0" applyNumberFormat="1" applyFont="1" applyFill="1" applyBorder="1" applyAlignment="1">
      <alignment horizontal="center" vertical="top"/>
    </xf>
    <xf numFmtId="3" fontId="1" fillId="7" borderId="88" xfId="0" applyNumberFormat="1" applyFont="1" applyFill="1" applyBorder="1" applyAlignment="1">
      <alignment horizontal="center" vertical="top"/>
    </xf>
    <xf numFmtId="3" fontId="1" fillId="7" borderId="75" xfId="0" applyNumberFormat="1" applyFont="1" applyFill="1" applyBorder="1" applyAlignment="1">
      <alignment horizontal="center" vertical="top"/>
    </xf>
    <xf numFmtId="3" fontId="1" fillId="7" borderId="67" xfId="0" applyNumberFormat="1" applyFont="1" applyFill="1" applyBorder="1" applyAlignment="1">
      <alignment horizontal="center" vertical="top"/>
    </xf>
    <xf numFmtId="3" fontId="1" fillId="7" borderId="61" xfId="0" applyNumberFormat="1" applyFont="1" applyFill="1" applyBorder="1" applyAlignment="1">
      <alignment horizontal="center" vertical="top"/>
    </xf>
    <xf numFmtId="3" fontId="1" fillId="7" borderId="21" xfId="1" applyNumberFormat="1" applyFont="1" applyFill="1" applyBorder="1" applyAlignment="1">
      <alignment horizontal="center" vertical="top" wrapText="1"/>
    </xf>
    <xf numFmtId="165" fontId="1" fillId="7" borderId="39" xfId="0" applyNumberFormat="1" applyFont="1" applyFill="1" applyBorder="1" applyAlignment="1">
      <alignment horizontal="center" vertical="top"/>
    </xf>
    <xf numFmtId="3" fontId="1" fillId="7" borderId="33" xfId="0" applyNumberFormat="1" applyFont="1" applyFill="1" applyBorder="1" applyAlignment="1">
      <alignment horizontal="center" vertical="top"/>
    </xf>
    <xf numFmtId="3" fontId="1" fillId="7" borderId="13" xfId="0" applyNumberFormat="1" applyFont="1" applyFill="1" applyBorder="1" applyAlignment="1">
      <alignment horizontal="center" vertical="top"/>
    </xf>
    <xf numFmtId="165" fontId="1" fillId="7" borderId="61" xfId="0" applyNumberFormat="1" applyFont="1" applyFill="1" applyBorder="1" applyAlignment="1">
      <alignment horizontal="center" vertical="top"/>
    </xf>
    <xf numFmtId="3" fontId="1" fillId="7" borderId="57" xfId="0" applyNumberFormat="1" applyFont="1" applyFill="1" applyBorder="1" applyAlignment="1">
      <alignment horizontal="center" vertical="top"/>
    </xf>
    <xf numFmtId="3" fontId="4" fillId="7" borderId="77" xfId="0" applyNumberFormat="1" applyFont="1" applyFill="1" applyBorder="1" applyAlignment="1">
      <alignment horizontal="center" vertical="top" wrapText="1"/>
    </xf>
    <xf numFmtId="0" fontId="1" fillId="0" borderId="35" xfId="0" applyFont="1" applyBorder="1" applyAlignment="1">
      <alignment vertical="top"/>
    </xf>
    <xf numFmtId="165" fontId="1" fillId="7" borderId="87" xfId="0" applyNumberFormat="1" applyFont="1" applyFill="1" applyBorder="1" applyAlignment="1">
      <alignment horizontal="center" vertical="top"/>
    </xf>
    <xf numFmtId="0" fontId="1" fillId="7" borderId="14" xfId="0" applyNumberFormat="1" applyFont="1" applyFill="1" applyBorder="1" applyAlignment="1">
      <alignment horizontal="center" vertical="top"/>
    </xf>
    <xf numFmtId="0" fontId="1" fillId="7" borderId="21" xfId="0" applyNumberFormat="1" applyFont="1" applyFill="1" applyBorder="1" applyAlignment="1">
      <alignment horizontal="center" vertical="top"/>
    </xf>
    <xf numFmtId="165" fontId="1" fillId="7" borderId="10" xfId="0" applyNumberFormat="1" applyFont="1" applyFill="1" applyBorder="1" applyAlignment="1">
      <alignment horizontal="center" vertical="top"/>
    </xf>
    <xf numFmtId="165" fontId="1" fillId="7" borderId="1" xfId="0" applyNumberFormat="1" applyFont="1" applyFill="1" applyBorder="1" applyAlignment="1">
      <alignment horizontal="center" vertical="top"/>
    </xf>
    <xf numFmtId="165" fontId="1" fillId="7" borderId="84" xfId="0" applyNumberFormat="1" applyFont="1" applyFill="1" applyBorder="1" applyAlignment="1">
      <alignment horizontal="center" vertical="top"/>
    </xf>
    <xf numFmtId="165" fontId="1" fillId="7" borderId="77" xfId="0" applyNumberFormat="1" applyFont="1" applyFill="1" applyBorder="1" applyAlignment="1">
      <alignment horizontal="center" vertical="top"/>
    </xf>
    <xf numFmtId="165" fontId="2" fillId="9" borderId="52" xfId="0" applyNumberFormat="1" applyFont="1" applyFill="1" applyBorder="1" applyAlignment="1">
      <alignment horizontal="center" vertical="top"/>
    </xf>
    <xf numFmtId="165" fontId="2" fillId="5" borderId="52" xfId="0" applyNumberFormat="1" applyFont="1" applyFill="1" applyBorder="1" applyAlignment="1">
      <alignment horizontal="center" vertical="top"/>
    </xf>
    <xf numFmtId="165" fontId="2" fillId="9" borderId="2" xfId="0" applyNumberFormat="1" applyFont="1" applyFill="1" applyBorder="1" applyAlignment="1">
      <alignment horizontal="center" vertical="top"/>
    </xf>
    <xf numFmtId="165" fontId="2" fillId="5" borderId="2" xfId="0" applyNumberFormat="1" applyFont="1" applyFill="1" applyBorder="1" applyAlignment="1">
      <alignment horizontal="center" vertical="top"/>
    </xf>
    <xf numFmtId="3" fontId="1" fillId="7" borderId="85" xfId="0" applyNumberFormat="1" applyFont="1" applyFill="1" applyBorder="1" applyAlignment="1">
      <alignment vertical="top"/>
    </xf>
    <xf numFmtId="3" fontId="1" fillId="7" borderId="14" xfId="0" applyNumberFormat="1" applyFont="1" applyFill="1" applyBorder="1" applyAlignment="1">
      <alignment vertical="top"/>
    </xf>
    <xf numFmtId="165" fontId="1" fillId="7" borderId="22" xfId="0" applyNumberFormat="1" applyFont="1" applyFill="1" applyBorder="1" applyAlignment="1">
      <alignment horizontal="center" vertical="top"/>
    </xf>
    <xf numFmtId="0" fontId="1" fillId="7" borderId="17" xfId="0" applyFont="1" applyFill="1" applyBorder="1" applyAlignment="1">
      <alignment vertical="top" wrapText="1"/>
    </xf>
    <xf numFmtId="165" fontId="1" fillId="7" borderId="17" xfId="0" applyNumberFormat="1" applyFont="1" applyFill="1" applyBorder="1" applyAlignment="1">
      <alignment vertical="top" wrapText="1"/>
    </xf>
    <xf numFmtId="165" fontId="1" fillId="7" borderId="62" xfId="0" applyNumberFormat="1" applyFont="1" applyFill="1" applyBorder="1" applyAlignment="1">
      <alignment vertical="top" wrapText="1"/>
    </xf>
    <xf numFmtId="165" fontId="1" fillId="7" borderId="69" xfId="0" applyNumberFormat="1" applyFont="1" applyFill="1" applyBorder="1" applyAlignment="1">
      <alignment vertical="top" wrapText="1"/>
    </xf>
    <xf numFmtId="165" fontId="1" fillId="7" borderId="6" xfId="0" applyNumberFormat="1" applyFont="1" applyFill="1" applyBorder="1" applyAlignment="1">
      <alignment vertical="top" wrapText="1"/>
    </xf>
    <xf numFmtId="165" fontId="1" fillId="7" borderId="102" xfId="0" applyNumberFormat="1" applyFont="1" applyFill="1" applyBorder="1" applyAlignment="1">
      <alignment horizontal="center" vertical="top"/>
    </xf>
    <xf numFmtId="165" fontId="1" fillId="7" borderId="17" xfId="0" applyNumberFormat="1" applyFont="1" applyFill="1" applyBorder="1" applyAlignment="1">
      <alignment vertical="top"/>
    </xf>
    <xf numFmtId="0" fontId="1" fillId="7" borderId="4" xfId="0" applyFont="1" applyFill="1" applyBorder="1" applyAlignment="1">
      <alignment vertical="top"/>
    </xf>
    <xf numFmtId="0" fontId="1" fillId="7" borderId="17" xfId="0" applyFont="1" applyFill="1" applyBorder="1" applyAlignment="1">
      <alignment vertical="top"/>
    </xf>
    <xf numFmtId="165" fontId="1" fillId="7" borderId="68" xfId="0" applyNumberFormat="1" applyFont="1" applyFill="1" applyBorder="1" applyAlignment="1">
      <alignment vertical="top" wrapText="1"/>
    </xf>
    <xf numFmtId="165" fontId="1" fillId="7" borderId="94" xfId="0" applyNumberFormat="1" applyFont="1" applyFill="1" applyBorder="1" applyAlignment="1">
      <alignment horizontal="center" vertical="top"/>
    </xf>
    <xf numFmtId="165" fontId="2" fillId="2" borderId="40" xfId="0" applyNumberFormat="1" applyFont="1" applyFill="1" applyBorder="1" applyAlignment="1">
      <alignment horizontal="center" vertical="top"/>
    </xf>
    <xf numFmtId="165" fontId="2" fillId="8" borderId="84" xfId="0" applyNumberFormat="1" applyFont="1" applyFill="1" applyBorder="1" applyAlignment="1">
      <alignment horizontal="center" vertical="top"/>
    </xf>
    <xf numFmtId="165" fontId="2" fillId="2" borderId="24" xfId="0" applyNumberFormat="1" applyFont="1" applyFill="1" applyBorder="1" applyAlignment="1">
      <alignment horizontal="center" vertical="top"/>
    </xf>
    <xf numFmtId="165" fontId="2" fillId="2" borderId="7" xfId="0" applyNumberFormat="1" applyFont="1" applyFill="1" applyBorder="1" applyAlignment="1">
      <alignment horizontal="center" vertical="top"/>
    </xf>
    <xf numFmtId="0" fontId="6" fillId="0" borderId="40" xfId="0" applyFont="1" applyBorder="1" applyAlignment="1">
      <alignment horizontal="center" vertical="center" textRotation="90" wrapText="1"/>
    </xf>
    <xf numFmtId="0" fontId="6" fillId="0" borderId="52" xfId="0" applyFont="1" applyBorder="1" applyAlignment="1">
      <alignment horizontal="center" vertical="center" textRotation="90" wrapText="1"/>
    </xf>
    <xf numFmtId="165" fontId="1" fillId="7" borderId="64" xfId="0" applyNumberFormat="1" applyFont="1" applyFill="1" applyBorder="1" applyAlignment="1">
      <alignment vertical="top" wrapText="1"/>
    </xf>
    <xf numFmtId="3" fontId="1" fillId="7" borderId="100" xfId="0" applyNumberFormat="1" applyFont="1" applyFill="1" applyBorder="1" applyAlignment="1">
      <alignment horizontal="center" vertical="top"/>
    </xf>
    <xf numFmtId="3" fontId="1" fillId="7" borderId="71" xfId="0" applyNumberFormat="1" applyFont="1" applyFill="1" applyBorder="1" applyAlignment="1">
      <alignment horizontal="center" vertical="top"/>
    </xf>
    <xf numFmtId="165" fontId="2" fillId="7" borderId="77" xfId="0" applyNumberFormat="1" applyFont="1" applyFill="1" applyBorder="1" applyAlignment="1">
      <alignment horizontal="center" vertical="top" wrapText="1"/>
    </xf>
    <xf numFmtId="0" fontId="1" fillId="7" borderId="32" xfId="0" applyNumberFormat="1" applyFont="1" applyFill="1" applyBorder="1" applyAlignment="1">
      <alignment horizontal="center" vertical="top"/>
    </xf>
    <xf numFmtId="0" fontId="1" fillId="7" borderId="8" xfId="0" applyNumberFormat="1" applyFont="1" applyFill="1" applyBorder="1" applyAlignment="1">
      <alignment horizontal="center" vertical="top"/>
    </xf>
    <xf numFmtId="3" fontId="4" fillId="7" borderId="21" xfId="0" applyNumberFormat="1" applyFont="1" applyFill="1" applyBorder="1" applyAlignment="1">
      <alignment horizontal="center" vertical="top" wrapText="1"/>
    </xf>
    <xf numFmtId="3" fontId="1" fillId="7" borderId="95" xfId="0" applyNumberFormat="1" applyFont="1" applyFill="1" applyBorder="1" applyAlignment="1">
      <alignment horizontal="center" vertical="top"/>
    </xf>
    <xf numFmtId="49" fontId="1" fillId="8" borderId="36" xfId="0" applyNumberFormat="1" applyFont="1" applyFill="1" applyBorder="1" applyAlignment="1">
      <alignment horizontal="center" vertical="top"/>
    </xf>
    <xf numFmtId="3" fontId="1" fillId="7" borderId="36" xfId="0" applyNumberFormat="1" applyFont="1" applyFill="1" applyBorder="1" applyAlignment="1">
      <alignment horizontal="center" vertical="top"/>
    </xf>
    <xf numFmtId="0" fontId="1" fillId="7" borderId="33" xfId="0" applyNumberFormat="1" applyFont="1" applyFill="1" applyBorder="1" applyAlignment="1">
      <alignment horizontal="center" vertical="top"/>
    </xf>
    <xf numFmtId="0" fontId="1" fillId="7" borderId="73" xfId="0" applyNumberFormat="1" applyFont="1" applyFill="1" applyBorder="1" applyAlignment="1">
      <alignment horizontal="center" vertical="top"/>
    </xf>
    <xf numFmtId="165" fontId="1" fillId="7" borderId="79" xfId="0" applyNumberFormat="1" applyFont="1" applyFill="1" applyBorder="1" applyAlignment="1">
      <alignment horizontal="center" vertical="top"/>
    </xf>
    <xf numFmtId="3" fontId="1" fillId="0" borderId="67" xfId="0" applyNumberFormat="1" applyFont="1" applyFill="1" applyBorder="1" applyAlignment="1">
      <alignment horizontal="center" vertical="top"/>
    </xf>
    <xf numFmtId="3" fontId="1" fillId="0" borderId="70" xfId="0" applyNumberFormat="1" applyFont="1" applyFill="1" applyBorder="1" applyAlignment="1">
      <alignment horizontal="center" vertical="top"/>
    </xf>
    <xf numFmtId="165" fontId="1" fillId="7" borderId="78" xfId="0" applyNumberFormat="1" applyFont="1" applyFill="1" applyBorder="1" applyAlignment="1">
      <alignment horizontal="center" vertical="top"/>
    </xf>
    <xf numFmtId="165" fontId="1" fillId="7" borderId="60" xfId="0" applyNumberFormat="1" applyFont="1" applyFill="1" applyBorder="1" applyAlignment="1">
      <alignment horizontal="center" vertical="top"/>
    </xf>
    <xf numFmtId="3" fontId="1" fillId="0" borderId="14" xfId="0" applyNumberFormat="1" applyFont="1" applyFill="1" applyBorder="1" applyAlignment="1">
      <alignment horizontal="center" vertical="top"/>
    </xf>
    <xf numFmtId="3" fontId="1" fillId="0" borderId="28" xfId="0" applyNumberFormat="1" applyFont="1" applyFill="1" applyBorder="1" applyAlignment="1">
      <alignment horizontal="center" vertical="top"/>
    </xf>
    <xf numFmtId="3" fontId="1" fillId="0" borderId="59" xfId="0" applyNumberFormat="1" applyFont="1" applyFill="1" applyBorder="1" applyAlignment="1">
      <alignment horizontal="center" vertical="top"/>
    </xf>
    <xf numFmtId="3" fontId="1" fillId="0" borderId="72" xfId="0" applyNumberFormat="1" applyFont="1" applyFill="1" applyBorder="1" applyAlignment="1">
      <alignment horizontal="center" vertical="top"/>
    </xf>
    <xf numFmtId="0" fontId="1" fillId="0" borderId="26" xfId="0" applyFont="1" applyBorder="1" applyAlignment="1">
      <alignment vertical="top"/>
    </xf>
    <xf numFmtId="165" fontId="1" fillId="7" borderId="93" xfId="0" applyNumberFormat="1" applyFont="1" applyFill="1" applyBorder="1" applyAlignment="1">
      <alignment horizontal="center" vertical="top"/>
    </xf>
    <xf numFmtId="165" fontId="1" fillId="7" borderId="58" xfId="0" applyNumberFormat="1" applyFont="1" applyFill="1" applyBorder="1" applyAlignment="1">
      <alignment horizontal="center" vertical="top"/>
    </xf>
    <xf numFmtId="165" fontId="1" fillId="7" borderId="66" xfId="0" applyNumberFormat="1" applyFont="1" applyFill="1" applyBorder="1" applyAlignment="1">
      <alignment horizontal="center" vertical="top"/>
    </xf>
    <xf numFmtId="0" fontId="1" fillId="0" borderId="59" xfId="0" applyFont="1" applyBorder="1" applyAlignment="1">
      <alignment horizontal="center" vertical="top"/>
    </xf>
    <xf numFmtId="3" fontId="1" fillId="7" borderId="12" xfId="0" applyNumberFormat="1" applyFont="1" applyFill="1" applyBorder="1" applyAlignment="1">
      <alignment horizontal="center" vertical="top"/>
    </xf>
    <xf numFmtId="3" fontId="1" fillId="7" borderId="8" xfId="0" applyNumberFormat="1" applyFont="1" applyFill="1" applyBorder="1" applyAlignment="1">
      <alignment horizontal="center" vertical="top" wrapText="1"/>
    </xf>
    <xf numFmtId="0" fontId="1" fillId="7" borderId="62" xfId="0" applyFont="1" applyFill="1" applyBorder="1" applyAlignment="1">
      <alignment horizontal="center" vertical="top"/>
    </xf>
    <xf numFmtId="0" fontId="2" fillId="7" borderId="8" xfId="0" applyFont="1" applyFill="1" applyBorder="1" applyAlignment="1">
      <alignment vertical="top" wrapText="1"/>
    </xf>
    <xf numFmtId="0" fontId="1" fillId="7" borderId="68" xfId="0" applyFont="1" applyFill="1" applyBorder="1" applyAlignment="1">
      <alignment horizontal="center" vertical="top"/>
    </xf>
    <xf numFmtId="0" fontId="1" fillId="0" borderId="13" xfId="0" applyFont="1" applyBorder="1" applyAlignment="1">
      <alignment vertical="top"/>
    </xf>
    <xf numFmtId="165" fontId="1" fillId="7" borderId="4" xfId="0" applyNumberFormat="1" applyFont="1" applyFill="1" applyBorder="1" applyAlignment="1">
      <alignment horizontal="center" vertical="top" wrapText="1"/>
    </xf>
    <xf numFmtId="167" fontId="1" fillId="7" borderId="98" xfId="0" applyNumberFormat="1" applyFont="1" applyFill="1" applyBorder="1" applyAlignment="1">
      <alignment horizontal="center" vertical="top"/>
    </xf>
    <xf numFmtId="3" fontId="1" fillId="7" borderId="35" xfId="0" applyNumberFormat="1" applyFont="1" applyFill="1" applyBorder="1" applyAlignment="1">
      <alignment horizontal="center" vertical="top"/>
    </xf>
    <xf numFmtId="0" fontId="2" fillId="7" borderId="36" xfId="0" applyFont="1" applyFill="1" applyBorder="1" applyAlignment="1">
      <alignment horizontal="center" vertical="top" wrapText="1"/>
    </xf>
    <xf numFmtId="165" fontId="2" fillId="7" borderId="0" xfId="0" applyNumberFormat="1" applyFont="1" applyFill="1" applyBorder="1" applyAlignment="1">
      <alignment horizontal="center" vertical="center" wrapText="1"/>
    </xf>
    <xf numFmtId="0" fontId="1" fillId="7" borderId="35" xfId="0" applyNumberFormat="1" applyFont="1" applyFill="1" applyBorder="1" applyAlignment="1">
      <alignment horizontal="center" vertical="top"/>
    </xf>
    <xf numFmtId="165" fontId="2" fillId="7" borderId="8" xfId="0" applyNumberFormat="1" applyFont="1" applyFill="1" applyBorder="1" applyAlignment="1">
      <alignment horizontal="center" vertical="center" wrapText="1"/>
    </xf>
    <xf numFmtId="165" fontId="2" fillId="7" borderId="1" xfId="0" applyNumberFormat="1" applyFont="1" applyFill="1" applyBorder="1" applyAlignment="1">
      <alignment horizontal="center" vertical="top" wrapText="1"/>
    </xf>
    <xf numFmtId="0" fontId="2" fillId="7" borderId="0" xfId="0" applyFont="1" applyFill="1" applyAlignment="1">
      <alignment horizontal="center" vertical="center"/>
    </xf>
    <xf numFmtId="165" fontId="2" fillId="0" borderId="14" xfId="0" applyNumberFormat="1" applyFont="1" applyFill="1" applyBorder="1" applyAlignment="1">
      <alignment horizontal="center" vertical="top" wrapText="1"/>
    </xf>
    <xf numFmtId="165" fontId="1" fillId="7" borderId="64" xfId="0" applyNumberFormat="1" applyFont="1" applyFill="1" applyBorder="1" applyAlignment="1">
      <alignment horizontal="center" vertical="top" wrapText="1"/>
    </xf>
    <xf numFmtId="0" fontId="1" fillId="7" borderId="46" xfId="0" applyFont="1" applyFill="1" applyBorder="1" applyAlignment="1">
      <alignment vertical="top"/>
    </xf>
    <xf numFmtId="165" fontId="2" fillId="7" borderId="26" xfId="0" applyNumberFormat="1" applyFont="1" applyFill="1" applyBorder="1" applyAlignment="1">
      <alignment horizontal="center" vertical="top" wrapText="1"/>
    </xf>
    <xf numFmtId="0" fontId="2" fillId="7" borderId="14" xfId="0" applyFont="1" applyFill="1" applyBorder="1" applyAlignment="1">
      <alignment horizontal="center" vertical="center"/>
    </xf>
    <xf numFmtId="0" fontId="1" fillId="0" borderId="25" xfId="0" applyFont="1" applyBorder="1" applyAlignment="1">
      <alignment vertical="top"/>
    </xf>
    <xf numFmtId="165" fontId="1" fillId="7" borderId="17" xfId="0" applyNumberFormat="1" applyFont="1" applyFill="1" applyBorder="1" applyAlignment="1">
      <alignment horizontal="center" vertical="top" wrapText="1"/>
    </xf>
    <xf numFmtId="165" fontId="2" fillId="7" borderId="34" xfId="0" applyNumberFormat="1" applyFont="1" applyFill="1" applyBorder="1" applyAlignment="1">
      <alignment horizontal="center" vertical="top" wrapText="1"/>
    </xf>
    <xf numFmtId="165" fontId="2" fillId="7" borderId="36" xfId="0" applyNumberFormat="1" applyFont="1" applyFill="1" applyBorder="1" applyAlignment="1">
      <alignment horizontal="center" vertical="top" wrapText="1"/>
    </xf>
    <xf numFmtId="165" fontId="1" fillId="7" borderId="4" xfId="0" applyNumberFormat="1" applyFont="1" applyFill="1" applyBorder="1" applyAlignment="1">
      <alignment vertical="top"/>
    </xf>
    <xf numFmtId="165" fontId="1" fillId="7" borderId="6" xfId="0" applyNumberFormat="1" applyFont="1" applyFill="1" applyBorder="1" applyAlignment="1">
      <alignment horizontal="center" vertical="top" wrapText="1"/>
    </xf>
    <xf numFmtId="0" fontId="5" fillId="7" borderId="77" xfId="0" applyFont="1" applyFill="1" applyBorder="1" applyAlignment="1">
      <alignment vertical="top" wrapText="1"/>
    </xf>
    <xf numFmtId="49" fontId="1" fillId="7" borderId="8" xfId="0" applyNumberFormat="1" applyFont="1" applyFill="1" applyBorder="1" applyAlignment="1">
      <alignment horizontal="center" vertical="top" wrapText="1"/>
    </xf>
    <xf numFmtId="165" fontId="1" fillId="7" borderId="37" xfId="0" applyNumberFormat="1" applyFont="1" applyFill="1" applyBorder="1" applyAlignment="1">
      <alignment vertical="top" wrapText="1"/>
    </xf>
    <xf numFmtId="165" fontId="1" fillId="7" borderId="25" xfId="0" applyNumberFormat="1" applyFont="1" applyFill="1" applyBorder="1" applyAlignment="1">
      <alignment vertical="top" wrapText="1"/>
    </xf>
    <xf numFmtId="165" fontId="1" fillId="7" borderId="46" xfId="0" applyNumberFormat="1" applyFont="1" applyFill="1" applyBorder="1" applyAlignment="1">
      <alignment vertical="top" wrapText="1"/>
    </xf>
    <xf numFmtId="165" fontId="1" fillId="7" borderId="105" xfId="0" applyNumberFormat="1" applyFont="1" applyFill="1" applyBorder="1" applyAlignment="1">
      <alignment vertical="top" wrapText="1"/>
    </xf>
    <xf numFmtId="165" fontId="5" fillId="7" borderId="53" xfId="0" applyNumberFormat="1" applyFont="1" applyFill="1" applyBorder="1" applyAlignment="1">
      <alignment vertical="top" wrapText="1"/>
    </xf>
    <xf numFmtId="0" fontId="1" fillId="7" borderId="37" xfId="0" applyFont="1" applyFill="1" applyBorder="1" applyAlignment="1">
      <alignment vertical="top" wrapText="1"/>
    </xf>
    <xf numFmtId="0" fontId="5" fillId="0" borderId="25" xfId="0" applyFont="1" applyBorder="1"/>
    <xf numFmtId="165" fontId="1" fillId="7" borderId="105" xfId="0" applyNumberFormat="1" applyFont="1" applyFill="1" applyBorder="1" applyAlignment="1">
      <alignment horizontal="center" vertical="top"/>
    </xf>
    <xf numFmtId="0" fontId="1" fillId="7" borderId="25" xfId="0" applyFont="1" applyFill="1" applyBorder="1" applyAlignment="1">
      <alignment vertical="top"/>
    </xf>
    <xf numFmtId="0" fontId="1" fillId="7" borderId="35" xfId="0" applyFont="1" applyFill="1" applyBorder="1" applyAlignment="1">
      <alignment vertical="top"/>
    </xf>
    <xf numFmtId="165" fontId="6" fillId="7" borderId="77" xfId="0" applyNumberFormat="1" applyFont="1" applyFill="1" applyBorder="1" applyAlignment="1">
      <alignment horizontal="center" vertical="center" textRotation="90" wrapText="1"/>
    </xf>
    <xf numFmtId="165" fontId="5" fillId="7" borderId="77" xfId="0" applyNumberFormat="1" applyFont="1" applyFill="1" applyBorder="1" applyAlignment="1">
      <alignment vertical="top" wrapText="1"/>
    </xf>
    <xf numFmtId="165" fontId="1" fillId="7" borderId="1" xfId="0" applyNumberFormat="1" applyFont="1" applyFill="1" applyBorder="1" applyAlignment="1">
      <alignment horizontal="left" vertical="top" wrapText="1"/>
    </xf>
    <xf numFmtId="0" fontId="11" fillId="0" borderId="0" xfId="0" applyFont="1" applyAlignment="1">
      <alignment vertical="top" wrapText="1"/>
    </xf>
    <xf numFmtId="0" fontId="2" fillId="0" borderId="0" xfId="0" applyFont="1" applyBorder="1" applyAlignment="1">
      <alignment horizontal="center" vertical="center" wrapText="1"/>
    </xf>
    <xf numFmtId="0" fontId="18" fillId="0" borderId="0" xfId="0" applyFont="1" applyAlignment="1">
      <alignment horizontal="center" vertical="top"/>
    </xf>
    <xf numFmtId="165" fontId="1" fillId="7" borderId="0" xfId="0" applyNumberFormat="1" applyFont="1" applyFill="1" applyAlignment="1">
      <alignment horizontal="center" vertical="top"/>
    </xf>
    <xf numFmtId="0" fontId="1" fillId="0" borderId="44" xfId="0" applyFont="1" applyBorder="1" applyAlignment="1">
      <alignment horizontal="center" vertical="center" textRotation="90"/>
    </xf>
    <xf numFmtId="0" fontId="5" fillId="11" borderId="43" xfId="0" applyFont="1" applyFill="1" applyBorder="1"/>
    <xf numFmtId="0" fontId="5" fillId="10" borderId="54" xfId="0" applyFont="1" applyFill="1" applyBorder="1"/>
    <xf numFmtId="0" fontId="1" fillId="9" borderId="43" xfId="0" applyFont="1" applyFill="1" applyBorder="1" applyAlignment="1">
      <alignment vertical="top"/>
    </xf>
    <xf numFmtId="0" fontId="1" fillId="12" borderId="45" xfId="0" applyFont="1" applyFill="1" applyBorder="1" applyAlignment="1">
      <alignment vertical="top"/>
    </xf>
    <xf numFmtId="49" fontId="17" fillId="7" borderId="32" xfId="0" applyNumberFormat="1" applyFont="1" applyFill="1" applyBorder="1" applyAlignment="1">
      <alignment horizontal="center" vertical="top"/>
    </xf>
    <xf numFmtId="0" fontId="1" fillId="7" borderId="32" xfId="0" applyFont="1" applyFill="1" applyBorder="1" applyAlignment="1">
      <alignment vertical="top"/>
    </xf>
    <xf numFmtId="0" fontId="1" fillId="7" borderId="39" xfId="0" applyNumberFormat="1" applyFont="1" applyFill="1" applyBorder="1" applyAlignment="1">
      <alignment horizontal="center" vertical="top"/>
    </xf>
    <xf numFmtId="3" fontId="4" fillId="7" borderId="39" xfId="0" applyNumberFormat="1" applyFont="1" applyFill="1" applyBorder="1" applyAlignment="1">
      <alignment horizontal="center" vertical="top" wrapText="1"/>
    </xf>
    <xf numFmtId="3" fontId="4" fillId="7" borderId="86" xfId="0" applyNumberFormat="1" applyFont="1" applyFill="1" applyBorder="1" applyAlignment="1">
      <alignment horizontal="center" vertical="top" wrapText="1"/>
    </xf>
    <xf numFmtId="165" fontId="1" fillId="7" borderId="3" xfId="0" applyNumberFormat="1" applyFont="1" applyFill="1" applyBorder="1" applyAlignment="1">
      <alignment horizontal="center" vertical="top"/>
    </xf>
    <xf numFmtId="3" fontId="1" fillId="7" borderId="21" xfId="0" applyNumberFormat="1" applyFont="1" applyFill="1" applyBorder="1" applyAlignment="1">
      <alignment horizontal="center" vertical="top" wrapText="1"/>
    </xf>
    <xf numFmtId="165" fontId="1" fillId="7" borderId="18" xfId="0" applyNumberFormat="1" applyFont="1" applyFill="1" applyBorder="1" applyAlignment="1">
      <alignment horizontal="center" vertical="top"/>
    </xf>
    <xf numFmtId="0" fontId="1" fillId="7" borderId="1" xfId="0" applyFont="1" applyFill="1" applyBorder="1" applyAlignment="1">
      <alignment vertical="top"/>
    </xf>
    <xf numFmtId="49" fontId="17" fillId="7" borderId="8" xfId="0" applyNumberFormat="1" applyFont="1" applyFill="1" applyBorder="1" applyAlignment="1">
      <alignment horizontal="center" vertical="top"/>
    </xf>
    <xf numFmtId="0" fontId="1" fillId="7" borderId="8" xfId="0" applyFont="1" applyFill="1" applyBorder="1" applyAlignment="1">
      <alignment vertical="top"/>
    </xf>
    <xf numFmtId="0" fontId="1" fillId="7" borderId="75" xfId="0" applyFont="1" applyFill="1" applyBorder="1" applyAlignment="1">
      <alignment horizontal="center" vertical="center"/>
    </xf>
    <xf numFmtId="0" fontId="1" fillId="7" borderId="79" xfId="0" applyFont="1" applyFill="1" applyBorder="1" applyAlignment="1">
      <alignment horizontal="center" vertical="center"/>
    </xf>
    <xf numFmtId="165" fontId="1" fillId="0" borderId="10" xfId="0" applyNumberFormat="1" applyFont="1" applyBorder="1" applyAlignment="1">
      <alignment horizontal="center" vertical="top"/>
    </xf>
    <xf numFmtId="165" fontId="1" fillId="0" borderId="1" xfId="0" applyNumberFormat="1" applyFont="1" applyBorder="1" applyAlignment="1">
      <alignment horizontal="center" vertical="top"/>
    </xf>
    <xf numFmtId="165" fontId="1" fillId="0" borderId="11" xfId="0" applyNumberFormat="1" applyFont="1" applyBorder="1" applyAlignment="1">
      <alignment horizontal="center" vertical="top"/>
    </xf>
    <xf numFmtId="0" fontId="1" fillId="7" borderId="75" xfId="0" applyFont="1" applyFill="1" applyBorder="1" applyAlignment="1">
      <alignment horizontal="center" vertical="top"/>
    </xf>
    <xf numFmtId="3" fontId="1" fillId="7" borderId="103" xfId="0" applyNumberFormat="1" applyFont="1" applyFill="1" applyBorder="1" applyAlignment="1">
      <alignment horizontal="center" vertical="top"/>
    </xf>
    <xf numFmtId="0" fontId="1" fillId="7" borderId="98" xfId="0" applyFont="1" applyFill="1" applyBorder="1" applyAlignment="1">
      <alignment horizontal="center" vertical="top"/>
    </xf>
    <xf numFmtId="0" fontId="1" fillId="7" borderId="104" xfId="0" applyFont="1" applyFill="1" applyBorder="1" applyAlignment="1">
      <alignment vertical="top" wrapText="1"/>
    </xf>
    <xf numFmtId="165" fontId="2" fillId="8" borderId="0" xfId="0" applyNumberFormat="1" applyFont="1" applyFill="1" applyAlignment="1">
      <alignment vertical="top"/>
    </xf>
    <xf numFmtId="0" fontId="2" fillId="7" borderId="8" xfId="0" applyFont="1" applyFill="1" applyBorder="1" applyAlignment="1">
      <alignment horizontal="center" vertical="center"/>
    </xf>
    <xf numFmtId="165" fontId="1" fillId="7" borderId="63" xfId="0" applyNumberFormat="1" applyFont="1" applyFill="1" applyBorder="1" applyAlignment="1">
      <alignment horizontal="center" vertical="top"/>
    </xf>
    <xf numFmtId="3" fontId="1" fillId="7" borderId="34" xfId="0" applyNumberFormat="1" applyFont="1" applyFill="1" applyBorder="1" applyAlignment="1">
      <alignment horizontal="center" vertical="top"/>
    </xf>
    <xf numFmtId="165" fontId="1" fillId="7" borderId="104" xfId="0" applyNumberFormat="1" applyFont="1" applyFill="1" applyBorder="1" applyAlignment="1">
      <alignment vertical="top" wrapText="1"/>
    </xf>
    <xf numFmtId="165" fontId="7" fillId="7" borderId="91" xfId="0" applyNumberFormat="1" applyFont="1" applyFill="1" applyBorder="1" applyAlignment="1">
      <alignment horizontal="left" vertical="top" wrapText="1"/>
    </xf>
    <xf numFmtId="3" fontId="1" fillId="7" borderId="98" xfId="0" applyNumberFormat="1" applyFont="1" applyFill="1" applyBorder="1" applyAlignment="1">
      <alignment horizontal="center" vertical="top"/>
    </xf>
    <xf numFmtId="0" fontId="1" fillId="7" borderId="35" xfId="0" applyFont="1" applyFill="1" applyBorder="1" applyAlignment="1">
      <alignment horizontal="center" vertical="top"/>
    </xf>
    <xf numFmtId="49" fontId="17" fillId="7" borderId="35" xfId="0" applyNumberFormat="1" applyFont="1" applyFill="1" applyBorder="1" applyAlignment="1">
      <alignment horizontal="center" vertical="top"/>
    </xf>
    <xf numFmtId="3" fontId="1" fillId="0" borderId="33" xfId="0" applyNumberFormat="1" applyFont="1" applyFill="1" applyBorder="1" applyAlignment="1">
      <alignment horizontal="center" vertical="top"/>
    </xf>
    <xf numFmtId="0" fontId="1" fillId="7" borderId="13" xfId="0" applyFont="1" applyFill="1" applyBorder="1" applyAlignment="1">
      <alignment vertical="top"/>
    </xf>
    <xf numFmtId="3" fontId="1" fillId="7" borderId="13" xfId="1" applyNumberFormat="1" applyFont="1" applyFill="1" applyBorder="1" applyAlignment="1">
      <alignment horizontal="center" vertical="top" wrapText="1"/>
    </xf>
    <xf numFmtId="3" fontId="4" fillId="7" borderId="106" xfId="0" applyNumberFormat="1" applyFont="1" applyFill="1" applyBorder="1" applyAlignment="1">
      <alignment horizontal="center" vertical="top" wrapText="1"/>
    </xf>
    <xf numFmtId="0" fontId="1" fillId="7" borderId="16" xfId="0" applyFont="1" applyFill="1" applyBorder="1" applyAlignment="1">
      <alignment vertical="top"/>
    </xf>
    <xf numFmtId="3" fontId="8" fillId="7" borderId="67" xfId="0" applyNumberFormat="1" applyFont="1" applyFill="1" applyBorder="1" applyAlignment="1">
      <alignment horizontal="center" vertical="top"/>
    </xf>
    <xf numFmtId="3" fontId="1" fillId="7" borderId="87" xfId="0" applyNumberFormat="1" applyFont="1" applyFill="1" applyBorder="1" applyAlignment="1">
      <alignment horizontal="center" vertical="top" wrapText="1"/>
    </xf>
    <xf numFmtId="3" fontId="1" fillId="7" borderId="59" xfId="0" applyNumberFormat="1" applyFont="1" applyFill="1" applyBorder="1" applyAlignment="1">
      <alignment horizontal="center" vertical="top" wrapText="1"/>
    </xf>
    <xf numFmtId="3" fontId="1" fillId="7" borderId="60" xfId="0" applyNumberFormat="1" applyFont="1" applyFill="1" applyBorder="1" applyAlignment="1">
      <alignment horizontal="center" vertical="top" wrapText="1"/>
    </xf>
    <xf numFmtId="0" fontId="5" fillId="11" borderId="45" xfId="0" applyFont="1" applyFill="1" applyBorder="1"/>
    <xf numFmtId="0" fontId="1" fillId="9" borderId="45" xfId="0" applyFont="1" applyFill="1" applyBorder="1" applyAlignment="1">
      <alignment vertical="top"/>
    </xf>
    <xf numFmtId="0" fontId="1" fillId="0" borderId="85" xfId="0" applyFont="1" applyBorder="1" applyAlignment="1">
      <alignment horizontal="center" vertical="center" textRotation="90"/>
    </xf>
    <xf numFmtId="3" fontId="1" fillId="0" borderId="99" xfId="0" applyNumberFormat="1" applyFont="1" applyFill="1" applyBorder="1" applyAlignment="1">
      <alignment horizontal="center" vertical="top"/>
    </xf>
    <xf numFmtId="3" fontId="1" fillId="0" borderId="71" xfId="0" applyNumberFormat="1" applyFont="1" applyFill="1" applyBorder="1" applyAlignment="1">
      <alignment horizontal="center" vertical="top"/>
    </xf>
    <xf numFmtId="0" fontId="1" fillId="7" borderId="13" xfId="0" applyNumberFormat="1" applyFont="1" applyFill="1" applyBorder="1" applyAlignment="1">
      <alignment horizontal="center" vertical="top"/>
    </xf>
    <xf numFmtId="165" fontId="2" fillId="2" borderId="52" xfId="0" applyNumberFormat="1" applyFont="1" applyFill="1" applyBorder="1" applyAlignment="1">
      <alignment horizontal="center" vertical="top"/>
    </xf>
    <xf numFmtId="0" fontId="1" fillId="7" borderId="86" xfId="0" applyFont="1" applyFill="1" applyBorder="1" applyAlignment="1">
      <alignment horizontal="center" vertical="top"/>
    </xf>
    <xf numFmtId="0" fontId="1" fillId="7" borderId="32" xfId="0" applyFont="1" applyFill="1" applyBorder="1" applyAlignment="1">
      <alignment horizontal="center" vertical="top"/>
    </xf>
    <xf numFmtId="49" fontId="1" fillId="7" borderId="32" xfId="0" applyNumberFormat="1" applyFont="1" applyFill="1" applyBorder="1" applyAlignment="1">
      <alignment horizontal="center" vertical="top" wrapText="1"/>
    </xf>
    <xf numFmtId="0" fontId="1" fillId="7" borderId="8" xfId="0" applyFont="1" applyFill="1" applyBorder="1" applyAlignment="1">
      <alignment horizontal="center" vertical="top"/>
    </xf>
    <xf numFmtId="0" fontId="1" fillId="7" borderId="21" xfId="0" applyFont="1" applyFill="1" applyBorder="1" applyAlignment="1">
      <alignment horizontal="center" vertical="top"/>
    </xf>
    <xf numFmtId="49" fontId="1" fillId="7" borderId="35" xfId="0" applyNumberFormat="1" applyFont="1" applyFill="1" applyBorder="1" applyAlignment="1">
      <alignment horizontal="center" vertical="top" wrapText="1"/>
    </xf>
    <xf numFmtId="0" fontId="1" fillId="7" borderId="17" xfId="0" applyFont="1" applyFill="1" applyBorder="1" applyAlignment="1">
      <alignment horizontal="center" vertical="top"/>
    </xf>
    <xf numFmtId="165" fontId="1" fillId="7" borderId="88" xfId="0" applyNumberFormat="1" applyFont="1" applyFill="1" applyBorder="1" applyAlignment="1">
      <alignment horizontal="center" vertical="top"/>
    </xf>
    <xf numFmtId="165" fontId="1" fillId="7" borderId="86" xfId="0" applyNumberFormat="1" applyFont="1" applyFill="1" applyBorder="1" applyAlignment="1">
      <alignment horizontal="center" vertical="top"/>
    </xf>
    <xf numFmtId="0" fontId="6" fillId="0" borderId="108" xfId="0" applyFont="1" applyBorder="1" applyAlignment="1">
      <alignment horizontal="center" vertical="center" textRotation="90" wrapText="1"/>
    </xf>
    <xf numFmtId="165" fontId="1" fillId="0" borderId="39" xfId="0" applyNumberFormat="1" applyFont="1" applyBorder="1" applyAlignment="1">
      <alignment horizontal="center" vertical="top"/>
    </xf>
    <xf numFmtId="165" fontId="1" fillId="8" borderId="39" xfId="0" applyNumberFormat="1" applyFont="1" applyFill="1" applyBorder="1" applyAlignment="1">
      <alignment horizontal="center" vertical="top"/>
    </xf>
    <xf numFmtId="165" fontId="2" fillId="5" borderId="39" xfId="0" applyNumberFormat="1" applyFont="1" applyFill="1" applyBorder="1" applyAlignment="1">
      <alignment horizontal="center" vertical="top"/>
    </xf>
    <xf numFmtId="165" fontId="2" fillId="4" borderId="24" xfId="0" applyNumberFormat="1" applyFont="1" applyFill="1" applyBorder="1" applyAlignment="1">
      <alignment horizontal="center" vertical="top"/>
    </xf>
    <xf numFmtId="165" fontId="1" fillId="0" borderId="13" xfId="0" applyNumberFormat="1" applyFont="1" applyBorder="1" applyAlignment="1">
      <alignment horizontal="center" vertical="top"/>
    </xf>
    <xf numFmtId="165" fontId="1" fillId="8" borderId="13" xfId="0" applyNumberFormat="1" applyFont="1" applyFill="1" applyBorder="1" applyAlignment="1">
      <alignment horizontal="center" vertical="top"/>
    </xf>
    <xf numFmtId="165" fontId="2" fillId="5" borderId="13" xfId="0" applyNumberFormat="1" applyFont="1" applyFill="1" applyBorder="1" applyAlignment="1">
      <alignment horizontal="center" vertical="top"/>
    </xf>
    <xf numFmtId="165" fontId="2" fillId="4" borderId="97" xfId="0" applyNumberFormat="1" applyFont="1" applyFill="1" applyBorder="1" applyAlignment="1">
      <alignment horizontal="center" vertical="top"/>
    </xf>
    <xf numFmtId="165" fontId="2" fillId="5" borderId="92" xfId="0" applyNumberFormat="1" applyFont="1" applyFill="1" applyBorder="1" applyAlignment="1">
      <alignment horizontal="center" vertical="top" wrapText="1"/>
    </xf>
    <xf numFmtId="165" fontId="1" fillId="0" borderId="86" xfId="0" applyNumberFormat="1" applyFont="1" applyBorder="1" applyAlignment="1">
      <alignment horizontal="center" vertical="top"/>
    </xf>
    <xf numFmtId="165" fontId="1" fillId="8" borderId="86" xfId="0" applyNumberFormat="1" applyFont="1" applyFill="1" applyBorder="1" applyAlignment="1">
      <alignment horizontal="center" vertical="top"/>
    </xf>
    <xf numFmtId="165" fontId="2" fillId="5" borderId="86" xfId="0" applyNumberFormat="1" applyFont="1" applyFill="1" applyBorder="1" applyAlignment="1">
      <alignment horizontal="center" vertical="top"/>
    </xf>
    <xf numFmtId="165" fontId="2" fillId="4" borderId="7" xfId="0" applyNumberFormat="1" applyFont="1" applyFill="1" applyBorder="1" applyAlignment="1">
      <alignment horizontal="center" vertical="top"/>
    </xf>
    <xf numFmtId="0" fontId="1" fillId="7" borderId="6" xfId="0" applyFont="1" applyFill="1" applyBorder="1" applyAlignment="1">
      <alignment vertical="top"/>
    </xf>
    <xf numFmtId="0" fontId="2" fillId="7" borderId="67" xfId="0" applyFont="1" applyFill="1" applyBorder="1" applyAlignment="1">
      <alignment horizontal="center" vertical="center"/>
    </xf>
    <xf numFmtId="3" fontId="1" fillId="0" borderId="85" xfId="0" applyNumberFormat="1" applyFont="1" applyFill="1" applyBorder="1" applyAlignment="1">
      <alignment horizontal="center" vertical="top"/>
    </xf>
    <xf numFmtId="0" fontId="19" fillId="0" borderId="0" xfId="0" applyFont="1" applyBorder="1" applyAlignment="1">
      <alignment vertical="top"/>
    </xf>
    <xf numFmtId="0" fontId="1" fillId="7" borderId="8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8" xfId="0" applyFont="1" applyFill="1" applyBorder="1" applyAlignment="1">
      <alignment horizontal="center" vertical="center"/>
    </xf>
    <xf numFmtId="3" fontId="1" fillId="7" borderId="1" xfId="0" applyNumberFormat="1" applyFont="1" applyFill="1" applyBorder="1" applyAlignment="1">
      <alignment horizontal="center" vertical="top" wrapText="1"/>
    </xf>
    <xf numFmtId="3" fontId="1" fillId="7" borderId="31" xfId="0" applyNumberFormat="1" applyFont="1" applyFill="1" applyBorder="1" applyAlignment="1">
      <alignment horizontal="center" vertical="top" wrapText="1"/>
    </xf>
    <xf numFmtId="3" fontId="1" fillId="7" borderId="5" xfId="0" applyNumberFormat="1" applyFont="1" applyFill="1" applyBorder="1" applyAlignment="1">
      <alignment horizontal="center" vertical="top" wrapText="1"/>
    </xf>
    <xf numFmtId="3" fontId="1" fillId="7" borderId="0" xfId="0" applyNumberFormat="1" applyFont="1" applyFill="1" applyBorder="1" applyAlignment="1">
      <alignment horizontal="center" vertical="top" wrapText="1"/>
    </xf>
    <xf numFmtId="165" fontId="1" fillId="7" borderId="76" xfId="0" applyNumberFormat="1" applyFont="1" applyFill="1" applyBorder="1" applyAlignment="1">
      <alignment horizontal="center" vertical="top"/>
    </xf>
    <xf numFmtId="165" fontId="1" fillId="7" borderId="33" xfId="0" applyNumberFormat="1" applyFont="1" applyFill="1" applyBorder="1" applyAlignment="1">
      <alignment vertical="top"/>
    </xf>
    <xf numFmtId="165" fontId="1" fillId="7" borderId="14" xfId="0" applyNumberFormat="1" applyFont="1" applyFill="1" applyBorder="1" applyAlignment="1">
      <alignment vertical="top"/>
    </xf>
    <xf numFmtId="165" fontId="1" fillId="7" borderId="28" xfId="0" applyNumberFormat="1" applyFont="1" applyFill="1" applyBorder="1" applyAlignment="1">
      <alignment vertical="top"/>
    </xf>
    <xf numFmtId="3" fontId="1" fillId="7" borderId="0" xfId="0" applyNumberFormat="1" applyFont="1" applyFill="1" applyBorder="1" applyAlignment="1">
      <alignment horizontal="center" vertical="top"/>
    </xf>
    <xf numFmtId="167" fontId="1" fillId="0" borderId="0" xfId="0" applyNumberFormat="1" applyFont="1" applyBorder="1" applyAlignment="1">
      <alignment vertical="top"/>
    </xf>
    <xf numFmtId="165" fontId="1" fillId="7" borderId="4" xfId="0" applyNumberFormat="1" applyFont="1" applyFill="1" applyBorder="1" applyAlignment="1">
      <alignment vertical="top" wrapText="1"/>
    </xf>
    <xf numFmtId="0" fontId="1" fillId="0" borderId="0" xfId="0" applyFont="1" applyAlignment="1">
      <alignment horizontal="right" vertical="top"/>
    </xf>
    <xf numFmtId="165" fontId="1" fillId="0" borderId="0" xfId="0" applyNumberFormat="1" applyFont="1" applyBorder="1" applyAlignment="1">
      <alignment horizontal="right" vertical="top"/>
    </xf>
    <xf numFmtId="165" fontId="1" fillId="0" borderId="0" xfId="0" applyNumberFormat="1" applyFont="1" applyAlignment="1">
      <alignment horizontal="right" vertical="top"/>
    </xf>
    <xf numFmtId="3" fontId="1" fillId="0" borderId="0" xfId="0" applyNumberFormat="1" applyFont="1" applyAlignment="1">
      <alignment horizontal="center" vertical="top"/>
    </xf>
    <xf numFmtId="0" fontId="1" fillId="0" borderId="0" xfId="0" applyFont="1" applyFill="1" applyBorder="1" applyAlignment="1">
      <alignment vertical="top"/>
    </xf>
    <xf numFmtId="165" fontId="1" fillId="7" borderId="102" xfId="0" applyNumberFormat="1" applyFont="1" applyFill="1" applyBorder="1" applyAlignment="1">
      <alignment vertical="top" wrapText="1"/>
    </xf>
    <xf numFmtId="0" fontId="1" fillId="7" borderId="102" xfId="0" applyFont="1" applyFill="1" applyBorder="1" applyAlignment="1">
      <alignment vertical="top" wrapText="1"/>
    </xf>
    <xf numFmtId="3" fontId="1" fillId="7" borderId="89" xfId="0" applyNumberFormat="1" applyFont="1" applyFill="1" applyBorder="1" applyAlignment="1">
      <alignment horizontal="center" vertical="top"/>
    </xf>
    <xf numFmtId="3" fontId="1" fillId="7" borderId="76" xfId="0" applyNumberFormat="1" applyFont="1" applyFill="1" applyBorder="1" applyAlignment="1">
      <alignment horizontal="center" vertical="top"/>
    </xf>
    <xf numFmtId="3" fontId="1" fillId="7" borderId="58" xfId="0" applyNumberFormat="1" applyFont="1" applyFill="1" applyBorder="1" applyAlignment="1">
      <alignment horizontal="center" vertical="top"/>
    </xf>
    <xf numFmtId="167" fontId="1" fillId="7" borderId="32" xfId="0" applyNumberFormat="1" applyFont="1" applyFill="1" applyBorder="1" applyAlignment="1">
      <alignment horizontal="center" vertical="top"/>
    </xf>
    <xf numFmtId="0" fontId="1" fillId="0" borderId="0" xfId="0" applyFont="1" applyBorder="1" applyAlignment="1">
      <alignment vertical="top" wrapText="1"/>
    </xf>
    <xf numFmtId="165" fontId="1" fillId="7" borderId="62" xfId="0" applyNumberFormat="1" applyFont="1" applyFill="1" applyBorder="1" applyAlignment="1">
      <alignment horizontal="left" vertical="top" wrapText="1"/>
    </xf>
    <xf numFmtId="0" fontId="1" fillId="7" borderId="85" xfId="0" applyNumberFormat="1" applyFont="1" applyFill="1" applyBorder="1" applyAlignment="1">
      <alignment horizontal="center" vertical="top" wrapText="1"/>
    </xf>
    <xf numFmtId="0" fontId="1" fillId="7" borderId="14" xfId="0" applyNumberFormat="1" applyFont="1" applyFill="1" applyBorder="1" applyAlignment="1">
      <alignment horizontal="center" vertical="top" wrapText="1"/>
    </xf>
    <xf numFmtId="0" fontId="1" fillId="7" borderId="15" xfId="0" applyNumberFormat="1" applyFont="1" applyFill="1" applyBorder="1" applyAlignment="1">
      <alignment horizontal="center" vertical="top" wrapText="1"/>
    </xf>
    <xf numFmtId="0" fontId="1" fillId="7" borderId="64" xfId="0" applyFont="1" applyFill="1" applyBorder="1" applyAlignment="1">
      <alignment horizontal="left" vertical="top" wrapText="1"/>
    </xf>
    <xf numFmtId="0" fontId="1" fillId="7" borderId="94" xfId="0" applyFont="1" applyFill="1" applyBorder="1" applyAlignment="1">
      <alignment horizontal="center" vertical="center"/>
    </xf>
    <xf numFmtId="165" fontId="22" fillId="0" borderId="0" xfId="0" applyNumberFormat="1" applyFont="1" applyAlignment="1">
      <alignment vertical="top"/>
    </xf>
    <xf numFmtId="0" fontId="22" fillId="0" borderId="0" xfId="0" applyFont="1" applyAlignment="1">
      <alignment vertical="top"/>
    </xf>
    <xf numFmtId="167" fontId="1" fillId="0" borderId="0" xfId="0" applyNumberFormat="1" applyFont="1" applyAlignment="1">
      <alignment vertical="top"/>
    </xf>
    <xf numFmtId="3" fontId="1" fillId="7" borderId="33" xfId="0" applyNumberFormat="1" applyFont="1" applyFill="1" applyBorder="1" applyAlignment="1">
      <alignment horizontal="center" vertical="center"/>
    </xf>
    <xf numFmtId="3" fontId="1" fillId="7" borderId="43" xfId="0" applyNumberFormat="1" applyFont="1" applyFill="1" applyBorder="1" applyAlignment="1">
      <alignment horizontal="center" vertical="center"/>
    </xf>
    <xf numFmtId="3" fontId="1" fillId="7" borderId="15" xfId="0" applyNumberFormat="1" applyFont="1" applyFill="1" applyBorder="1" applyAlignment="1">
      <alignment horizontal="center" vertical="center"/>
    </xf>
    <xf numFmtId="165" fontId="1" fillId="7" borderId="59" xfId="0" applyNumberFormat="1" applyFont="1" applyFill="1" applyBorder="1" applyAlignment="1">
      <alignment vertical="top" wrapText="1"/>
    </xf>
    <xf numFmtId="0" fontId="1" fillId="7" borderId="59" xfId="0" applyFont="1" applyFill="1" applyBorder="1" applyAlignment="1">
      <alignment vertical="top" wrapText="1"/>
    </xf>
    <xf numFmtId="0" fontId="2" fillId="0" borderId="8" xfId="0" applyFont="1" applyBorder="1" applyAlignment="1">
      <alignment horizontal="center" vertical="center"/>
    </xf>
    <xf numFmtId="49" fontId="1" fillId="0" borderId="75" xfId="0" applyNumberFormat="1" applyFont="1" applyFill="1" applyBorder="1" applyAlignment="1">
      <alignment horizontal="left" vertical="top" wrapText="1"/>
    </xf>
    <xf numFmtId="0" fontId="1" fillId="7" borderId="5" xfId="0" applyNumberFormat="1" applyFont="1" applyFill="1" applyBorder="1" applyAlignment="1">
      <alignment horizontal="center" vertical="top"/>
    </xf>
    <xf numFmtId="0" fontId="2" fillId="7" borderId="34" xfId="0" applyFont="1" applyFill="1" applyBorder="1" applyAlignment="1">
      <alignment horizontal="center" vertical="top" wrapText="1"/>
    </xf>
    <xf numFmtId="0" fontId="8" fillId="7" borderId="25" xfId="0" applyFont="1" applyFill="1" applyBorder="1" applyAlignment="1">
      <alignment vertical="top" wrapText="1"/>
    </xf>
    <xf numFmtId="0" fontId="1" fillId="7" borderId="68" xfId="0" applyFont="1" applyFill="1" applyBorder="1" applyAlignment="1">
      <alignment vertical="top" wrapText="1"/>
    </xf>
    <xf numFmtId="0" fontId="1" fillId="0" borderId="20" xfId="0" applyFont="1" applyBorder="1" applyAlignment="1">
      <alignment vertical="top"/>
    </xf>
    <xf numFmtId="165" fontId="1" fillId="7" borderId="21" xfId="0" applyNumberFormat="1" applyFont="1" applyFill="1" applyBorder="1" applyAlignment="1">
      <alignment vertical="top"/>
    </xf>
    <xf numFmtId="165" fontId="1" fillId="7" borderId="20" xfId="0" applyNumberFormat="1" applyFont="1" applyFill="1" applyBorder="1" applyAlignment="1">
      <alignment vertical="top"/>
    </xf>
    <xf numFmtId="0" fontId="1" fillId="7" borderId="79" xfId="0" applyFont="1" applyFill="1" applyBorder="1" applyAlignment="1">
      <alignment horizontal="center" vertical="top"/>
    </xf>
    <xf numFmtId="0" fontId="1" fillId="0" borderId="69" xfId="0" applyFont="1" applyBorder="1" applyAlignment="1">
      <alignment vertical="top" wrapText="1"/>
    </xf>
    <xf numFmtId="165" fontId="22" fillId="0" borderId="0" xfId="0" applyNumberFormat="1" applyFont="1" applyAlignment="1">
      <alignment horizontal="right" vertical="top"/>
    </xf>
    <xf numFmtId="0" fontId="22" fillId="0" borderId="0" xfId="0" applyFont="1" applyAlignment="1">
      <alignment horizontal="right" vertical="top"/>
    </xf>
    <xf numFmtId="3" fontId="1" fillId="7" borderId="13" xfId="0" applyNumberFormat="1" applyFont="1" applyFill="1" applyBorder="1" applyAlignment="1">
      <alignment horizontal="center" vertical="top" wrapText="1"/>
    </xf>
    <xf numFmtId="165" fontId="2" fillId="7" borderId="67" xfId="0" applyNumberFormat="1" applyFont="1" applyFill="1" applyBorder="1" applyAlignment="1">
      <alignment horizontal="center" vertical="top" wrapText="1"/>
    </xf>
    <xf numFmtId="3" fontId="1" fillId="7" borderId="94" xfId="1" applyNumberFormat="1" applyFont="1" applyFill="1" applyBorder="1" applyAlignment="1">
      <alignment horizontal="center" vertical="top" wrapText="1"/>
    </xf>
    <xf numFmtId="3" fontId="1" fillId="7" borderId="8" xfId="1" applyNumberFormat="1" applyFont="1" applyFill="1" applyBorder="1" applyAlignment="1">
      <alignment horizontal="center" vertical="top" wrapText="1"/>
    </xf>
    <xf numFmtId="3" fontId="1" fillId="7" borderId="32" xfId="1" applyNumberFormat="1" applyFont="1" applyFill="1" applyBorder="1" applyAlignment="1">
      <alignment horizontal="center" vertical="top" wrapText="1"/>
    </xf>
    <xf numFmtId="167" fontId="1" fillId="7" borderId="0" xfId="0" applyNumberFormat="1" applyFont="1" applyFill="1" applyBorder="1" applyAlignment="1">
      <alignment horizontal="center" vertical="center"/>
    </xf>
    <xf numFmtId="167" fontId="1" fillId="7" borderId="67" xfId="0" applyNumberFormat="1" applyFont="1" applyFill="1" applyBorder="1" applyAlignment="1">
      <alignment horizontal="center" vertical="center"/>
    </xf>
    <xf numFmtId="167" fontId="1" fillId="7" borderId="12" xfId="0" applyNumberFormat="1" applyFont="1" applyFill="1" applyBorder="1" applyAlignment="1">
      <alignment horizontal="center" vertical="center"/>
    </xf>
    <xf numFmtId="165" fontId="1" fillId="7" borderId="11" xfId="0" applyNumberFormat="1" applyFont="1" applyFill="1" applyBorder="1" applyAlignment="1">
      <alignment horizontal="center" vertical="top"/>
    </xf>
    <xf numFmtId="0" fontId="1" fillId="7" borderId="85" xfId="0" applyFont="1" applyFill="1" applyBorder="1" applyAlignment="1">
      <alignment horizontal="center" vertical="top"/>
    </xf>
    <xf numFmtId="0" fontId="1" fillId="7" borderId="15" xfId="0" applyNumberFormat="1" applyFont="1" applyFill="1" applyBorder="1" applyAlignment="1">
      <alignment horizontal="center" vertical="top"/>
    </xf>
    <xf numFmtId="165" fontId="1" fillId="7" borderId="69" xfId="0" applyNumberFormat="1" applyFont="1" applyFill="1" applyBorder="1" applyAlignment="1">
      <alignment horizontal="left" vertical="top" wrapText="1"/>
    </xf>
    <xf numFmtId="0" fontId="1" fillId="0" borderId="60" xfId="0" applyNumberFormat="1" applyFont="1" applyFill="1" applyBorder="1" applyAlignment="1">
      <alignment horizontal="center" vertical="top"/>
    </xf>
    <xf numFmtId="167" fontId="1" fillId="7" borderId="12" xfId="0" applyNumberFormat="1" applyFont="1" applyFill="1" applyBorder="1" applyAlignment="1">
      <alignment horizontal="center" vertical="top"/>
    </xf>
    <xf numFmtId="165" fontId="1" fillId="7" borderId="16" xfId="0" applyNumberFormat="1" applyFont="1" applyFill="1" applyBorder="1" applyAlignment="1">
      <alignment vertical="top" wrapText="1"/>
    </xf>
    <xf numFmtId="3" fontId="1" fillId="0" borderId="12" xfId="0" applyNumberFormat="1" applyFont="1" applyFill="1" applyBorder="1" applyAlignment="1">
      <alignment horizontal="center" vertical="top"/>
    </xf>
    <xf numFmtId="165" fontId="1" fillId="7" borderId="101" xfId="0" applyNumberFormat="1" applyFont="1" applyFill="1" applyBorder="1" applyAlignment="1">
      <alignment horizontal="center" vertical="top"/>
    </xf>
    <xf numFmtId="165" fontId="1" fillId="7" borderId="31" xfId="0" applyNumberFormat="1" applyFont="1" applyFill="1" applyBorder="1" applyAlignment="1">
      <alignment horizontal="center" vertical="top"/>
    </xf>
    <xf numFmtId="0" fontId="1" fillId="0" borderId="78" xfId="0" applyFont="1" applyBorder="1" applyAlignment="1">
      <alignment vertical="top"/>
    </xf>
    <xf numFmtId="0" fontId="1" fillId="7" borderId="87" xfId="0" applyFont="1" applyFill="1" applyBorder="1" applyAlignment="1">
      <alignment horizontal="center" vertical="top"/>
    </xf>
    <xf numFmtId="0" fontId="1" fillId="7" borderId="74" xfId="0" applyFont="1" applyFill="1" applyBorder="1" applyAlignment="1">
      <alignment horizontal="center" vertical="top"/>
    </xf>
    <xf numFmtId="167" fontId="1" fillId="7" borderId="60" xfId="0" applyNumberFormat="1" applyFont="1" applyFill="1" applyBorder="1" applyAlignment="1">
      <alignment horizontal="center" vertical="top"/>
    </xf>
    <xf numFmtId="0" fontId="1" fillId="7" borderId="0" xfId="0" applyFont="1" applyFill="1" applyBorder="1" applyAlignment="1">
      <alignment horizontal="center" vertical="top"/>
    </xf>
    <xf numFmtId="0" fontId="1" fillId="7" borderId="61" xfId="0" applyNumberFormat="1" applyFont="1" applyFill="1" applyBorder="1" applyAlignment="1">
      <alignment horizontal="center" vertical="top"/>
    </xf>
    <xf numFmtId="0" fontId="1" fillId="7" borderId="90" xfId="0" applyNumberFormat="1" applyFont="1" applyFill="1" applyBorder="1" applyAlignment="1">
      <alignment horizontal="center" vertical="top"/>
    </xf>
    <xf numFmtId="3" fontId="1" fillId="7" borderId="15" xfId="0" applyNumberFormat="1" applyFont="1" applyFill="1" applyBorder="1" applyAlignment="1">
      <alignment horizontal="center" vertical="top" wrapText="1"/>
    </xf>
    <xf numFmtId="3" fontId="1" fillId="7" borderId="66" xfId="0" applyNumberFormat="1" applyFont="1" applyFill="1" applyBorder="1" applyAlignment="1">
      <alignment horizontal="center" vertical="top"/>
    </xf>
    <xf numFmtId="3" fontId="1" fillId="7" borderId="93" xfId="0" applyNumberFormat="1" applyFont="1" applyFill="1" applyBorder="1" applyAlignment="1">
      <alignment horizontal="center" vertical="top"/>
    </xf>
    <xf numFmtId="0" fontId="1" fillId="7" borderId="12" xfId="0" applyFont="1" applyFill="1" applyBorder="1" applyAlignment="1">
      <alignment vertical="top"/>
    </xf>
    <xf numFmtId="3" fontId="1" fillId="7" borderId="46" xfId="0" applyNumberFormat="1" applyFont="1" applyFill="1" applyBorder="1" applyAlignment="1">
      <alignment horizontal="center" vertical="top"/>
    </xf>
    <xf numFmtId="3" fontId="20" fillId="7" borderId="88" xfId="0" applyNumberFormat="1" applyFont="1" applyFill="1" applyBorder="1" applyAlignment="1">
      <alignment horizontal="center" vertical="top"/>
    </xf>
    <xf numFmtId="0" fontId="1" fillId="7" borderId="20" xfId="0" applyFont="1" applyFill="1" applyBorder="1" applyAlignment="1">
      <alignment vertical="top"/>
    </xf>
    <xf numFmtId="0" fontId="1" fillId="7" borderId="85" xfId="0" applyFont="1" applyFill="1" applyBorder="1" applyAlignment="1">
      <alignment vertical="top"/>
    </xf>
    <xf numFmtId="0" fontId="1" fillId="7" borderId="15" xfId="0" applyFont="1" applyFill="1" applyBorder="1" applyAlignment="1">
      <alignment vertical="top"/>
    </xf>
    <xf numFmtId="0" fontId="5" fillId="10" borderId="50" xfId="0" applyFont="1" applyFill="1" applyBorder="1"/>
    <xf numFmtId="0" fontId="5" fillId="11" borderId="31" xfId="0" applyFont="1" applyFill="1" applyBorder="1"/>
    <xf numFmtId="0" fontId="1" fillId="12" borderId="39" xfId="0" applyFont="1" applyFill="1" applyBorder="1" applyAlignment="1">
      <alignment vertical="top"/>
    </xf>
    <xf numFmtId="0" fontId="1" fillId="9" borderId="31" xfId="0" applyFont="1" applyFill="1" applyBorder="1" applyAlignment="1">
      <alignment vertical="top"/>
    </xf>
    <xf numFmtId="0" fontId="1" fillId="7" borderId="66" xfId="0" applyFont="1" applyFill="1" applyBorder="1" applyAlignment="1">
      <alignment horizontal="center" vertical="top"/>
    </xf>
    <xf numFmtId="0" fontId="1" fillId="7" borderId="88" xfId="0" applyFont="1" applyFill="1" applyBorder="1" applyAlignment="1">
      <alignment horizontal="center" vertical="center"/>
    </xf>
    <xf numFmtId="0" fontId="1" fillId="7" borderId="71" xfId="0" applyNumberFormat="1" applyFont="1" applyFill="1" applyBorder="1" applyAlignment="1">
      <alignment horizontal="center" vertical="top"/>
    </xf>
    <xf numFmtId="0" fontId="1" fillId="7" borderId="12" xfId="0" applyFont="1" applyFill="1" applyBorder="1" applyAlignment="1">
      <alignment horizontal="center" vertical="top"/>
    </xf>
    <xf numFmtId="0" fontId="1" fillId="7" borderId="67" xfId="0" applyFont="1" applyFill="1" applyBorder="1" applyAlignment="1">
      <alignment horizontal="center" vertical="center"/>
    </xf>
    <xf numFmtId="0" fontId="1" fillId="7" borderId="68" xfId="0" applyFont="1" applyFill="1" applyBorder="1" applyAlignment="1">
      <alignment vertical="center" wrapText="1"/>
    </xf>
    <xf numFmtId="0" fontId="1" fillId="13" borderId="86" xfId="0" applyFont="1" applyFill="1" applyBorder="1" applyAlignment="1">
      <alignment horizontal="center" vertical="center"/>
    </xf>
    <xf numFmtId="0" fontId="1" fillId="13" borderId="21" xfId="0" applyFont="1" applyFill="1" applyBorder="1" applyAlignment="1">
      <alignment horizontal="center" vertical="center"/>
    </xf>
    <xf numFmtId="0" fontId="1" fillId="13" borderId="20" xfId="0" applyFont="1" applyFill="1" applyBorder="1" applyAlignment="1">
      <alignment horizontal="center" vertical="center"/>
    </xf>
    <xf numFmtId="0" fontId="2" fillId="7" borderId="14" xfId="0" applyFont="1" applyFill="1" applyBorder="1" applyAlignment="1">
      <alignment vertical="top" wrapText="1"/>
    </xf>
    <xf numFmtId="0" fontId="1" fillId="7" borderId="93" xfId="0" applyNumberFormat="1" applyFont="1" applyFill="1" applyBorder="1" applyAlignment="1">
      <alignment horizontal="center" vertical="top"/>
    </xf>
    <xf numFmtId="165" fontId="1" fillId="7" borderId="5" xfId="0" applyNumberFormat="1" applyFont="1" applyFill="1" applyBorder="1" applyAlignment="1">
      <alignment horizontal="center" vertical="top"/>
    </xf>
    <xf numFmtId="3" fontId="1" fillId="7" borderId="33" xfId="0" applyNumberFormat="1" applyFont="1" applyFill="1" applyBorder="1" applyAlignment="1">
      <alignment horizontal="center" vertical="top" wrapText="1"/>
    </xf>
    <xf numFmtId="165" fontId="2" fillId="7" borderId="57" xfId="0" applyNumberFormat="1" applyFont="1" applyFill="1" applyBorder="1" applyAlignment="1">
      <alignment horizontal="center" vertical="top" wrapText="1"/>
    </xf>
    <xf numFmtId="0" fontId="1" fillId="7" borderId="102" xfId="0" applyFont="1" applyFill="1" applyBorder="1" applyAlignment="1">
      <alignment vertical="center" wrapText="1"/>
    </xf>
    <xf numFmtId="49" fontId="2" fillId="2" borderId="1" xfId="0" applyNumberFormat="1" applyFont="1" applyFill="1" applyBorder="1" applyAlignment="1">
      <alignment horizontal="center" vertical="top"/>
    </xf>
    <xf numFmtId="165" fontId="1" fillId="7" borderId="8" xfId="0" applyNumberFormat="1" applyFont="1" applyFill="1" applyBorder="1" applyAlignment="1">
      <alignment vertical="top" wrapText="1"/>
    </xf>
    <xf numFmtId="0" fontId="1" fillId="7" borderId="67" xfId="0" applyFont="1" applyFill="1" applyBorder="1" applyAlignment="1">
      <alignment horizontal="left" vertical="top" wrapText="1"/>
    </xf>
    <xf numFmtId="165" fontId="1" fillId="7" borderId="21" xfId="0" applyNumberFormat="1" applyFont="1" applyFill="1" applyBorder="1" applyAlignment="1">
      <alignment vertical="top" wrapText="1"/>
    </xf>
    <xf numFmtId="165" fontId="1" fillId="7" borderId="14" xfId="0" applyNumberFormat="1" applyFont="1" applyFill="1" applyBorder="1" applyAlignment="1">
      <alignment horizontal="left" vertical="top" wrapText="1"/>
    </xf>
    <xf numFmtId="165" fontId="1" fillId="7" borderId="8" xfId="0" applyNumberFormat="1" applyFont="1" applyFill="1" applyBorder="1" applyAlignment="1">
      <alignment horizontal="left" vertical="top" wrapText="1"/>
    </xf>
    <xf numFmtId="165" fontId="1" fillId="7" borderId="34" xfId="0" applyNumberFormat="1" applyFont="1" applyFill="1" applyBorder="1" applyAlignment="1">
      <alignment horizontal="left" vertical="top" wrapText="1"/>
    </xf>
    <xf numFmtId="165" fontId="1" fillId="7" borderId="36" xfId="0" applyNumberFormat="1" applyFont="1" applyFill="1" applyBorder="1" applyAlignment="1">
      <alignment horizontal="left" vertical="top" wrapText="1"/>
    </xf>
    <xf numFmtId="165" fontId="1" fillId="7" borderId="4" xfId="0" applyNumberFormat="1" applyFont="1" applyFill="1" applyBorder="1" applyAlignment="1">
      <alignment horizontal="left" vertical="top" wrapText="1"/>
    </xf>
    <xf numFmtId="49" fontId="1" fillId="8" borderId="8" xfId="0" applyNumberFormat="1" applyFont="1" applyFill="1" applyBorder="1" applyAlignment="1">
      <alignment horizontal="center" vertical="center" textRotation="90" wrapText="1"/>
    </xf>
    <xf numFmtId="165" fontId="2" fillId="9" borderId="25" xfId="0" applyNumberFormat="1" applyFont="1" applyFill="1" applyBorder="1" applyAlignment="1">
      <alignment horizontal="center" vertical="top"/>
    </xf>
    <xf numFmtId="165" fontId="1" fillId="7" borderId="37" xfId="0" applyNumberFormat="1" applyFont="1" applyFill="1" applyBorder="1" applyAlignment="1">
      <alignment horizontal="left" vertical="top" wrapText="1"/>
    </xf>
    <xf numFmtId="165" fontId="1" fillId="7" borderId="25" xfId="0" applyNumberFormat="1" applyFont="1" applyFill="1" applyBorder="1" applyAlignment="1">
      <alignment horizontal="left" vertical="top" wrapText="1"/>
    </xf>
    <xf numFmtId="0" fontId="5" fillId="7" borderId="8" xfId="0" applyFont="1" applyFill="1" applyBorder="1" applyAlignment="1">
      <alignment vertical="top" wrapText="1"/>
    </xf>
    <xf numFmtId="165" fontId="2" fillId="2" borderId="8" xfId="0" applyNumberFormat="1" applyFont="1" applyFill="1" applyBorder="1" applyAlignment="1">
      <alignment horizontal="center" vertical="top"/>
    </xf>
    <xf numFmtId="165" fontId="2" fillId="9" borderId="5" xfId="0" applyNumberFormat="1" applyFont="1" applyFill="1" applyBorder="1" applyAlignment="1">
      <alignment horizontal="center" vertical="top"/>
    </xf>
    <xf numFmtId="165" fontId="1" fillId="7" borderId="6" xfId="0" applyNumberFormat="1" applyFont="1" applyFill="1" applyBorder="1" applyAlignment="1">
      <alignment horizontal="left" vertical="top" wrapText="1"/>
    </xf>
    <xf numFmtId="165" fontId="2" fillId="8" borderId="8" xfId="0" applyNumberFormat="1" applyFont="1" applyFill="1" applyBorder="1" applyAlignment="1">
      <alignment horizontal="center" vertical="top"/>
    </xf>
    <xf numFmtId="165" fontId="2" fillId="7" borderId="14" xfId="0" applyNumberFormat="1" applyFont="1" applyFill="1" applyBorder="1" applyAlignment="1">
      <alignment horizontal="center" vertical="top" wrapText="1"/>
    </xf>
    <xf numFmtId="165" fontId="2" fillId="7" borderId="8" xfId="0" applyNumberFormat="1" applyFont="1" applyFill="1" applyBorder="1" applyAlignment="1">
      <alignment horizontal="center" vertical="top" wrapText="1"/>
    </xf>
    <xf numFmtId="49" fontId="2" fillId="8" borderId="8" xfId="0" applyNumberFormat="1" applyFont="1" applyFill="1" applyBorder="1" applyAlignment="1">
      <alignment horizontal="center" vertical="top"/>
    </xf>
    <xf numFmtId="49" fontId="2" fillId="2" borderId="8" xfId="0" applyNumberFormat="1" applyFont="1" applyFill="1" applyBorder="1" applyAlignment="1">
      <alignment horizontal="center" vertical="top"/>
    </xf>
    <xf numFmtId="0" fontId="1" fillId="7" borderId="28" xfId="0" applyNumberFormat="1" applyFont="1" applyFill="1" applyBorder="1" applyAlignment="1">
      <alignment horizontal="center" vertical="top"/>
    </xf>
    <xf numFmtId="0" fontId="1" fillId="7" borderId="14" xfId="0" applyFont="1" applyFill="1" applyBorder="1" applyAlignment="1">
      <alignment horizontal="center" vertical="top"/>
    </xf>
    <xf numFmtId="0" fontId="1" fillId="7" borderId="33" xfId="0" applyFont="1" applyFill="1" applyBorder="1" applyAlignment="1">
      <alignment horizontal="center" vertical="top"/>
    </xf>
    <xf numFmtId="165" fontId="2" fillId="7" borderId="21" xfId="0" applyNumberFormat="1" applyFont="1" applyFill="1" applyBorder="1" applyAlignment="1">
      <alignment horizontal="center" vertical="top" wrapText="1"/>
    </xf>
    <xf numFmtId="0" fontId="1" fillId="7" borderId="64" xfId="0" applyFont="1" applyFill="1" applyBorder="1" applyAlignment="1">
      <alignment horizontal="center" vertical="top"/>
    </xf>
    <xf numFmtId="165" fontId="1" fillId="7" borderId="64" xfId="0" applyNumberFormat="1" applyFont="1" applyFill="1" applyBorder="1" applyAlignment="1">
      <alignment horizontal="left" vertical="top" wrapText="1"/>
    </xf>
    <xf numFmtId="165" fontId="2" fillId="0" borderId="0" xfId="0" applyNumberFormat="1" applyFont="1" applyFill="1" applyBorder="1" applyAlignment="1">
      <alignment horizontal="center" vertical="top" wrapText="1"/>
    </xf>
    <xf numFmtId="165" fontId="1" fillId="7" borderId="68" xfId="0" applyNumberFormat="1" applyFont="1" applyFill="1" applyBorder="1" applyAlignment="1">
      <alignment horizontal="center" vertical="top"/>
    </xf>
    <xf numFmtId="49" fontId="2" fillId="9" borderId="5" xfId="0" applyNumberFormat="1" applyFont="1" applyFill="1" applyBorder="1" applyAlignment="1">
      <alignment horizontal="center" vertical="top"/>
    </xf>
    <xf numFmtId="167" fontId="1" fillId="7" borderId="88" xfId="0" applyNumberFormat="1" applyFont="1" applyFill="1" applyBorder="1" applyAlignment="1">
      <alignment horizontal="center" vertical="top"/>
    </xf>
    <xf numFmtId="167" fontId="1" fillId="7" borderId="67" xfId="0" applyNumberFormat="1" applyFont="1" applyFill="1" applyBorder="1" applyAlignment="1">
      <alignment horizontal="center" vertical="top"/>
    </xf>
    <xf numFmtId="0" fontId="1" fillId="7" borderId="6" xfId="0" applyFont="1" applyFill="1" applyBorder="1" applyAlignment="1">
      <alignment horizontal="left" vertical="top" wrapText="1"/>
    </xf>
    <xf numFmtId="0" fontId="1" fillId="7" borderId="4" xfId="0" applyFont="1" applyFill="1" applyBorder="1" applyAlignment="1">
      <alignment horizontal="left" vertical="top" wrapText="1"/>
    </xf>
    <xf numFmtId="165" fontId="1" fillId="7" borderId="36" xfId="0" applyNumberFormat="1" applyFont="1" applyFill="1" applyBorder="1" applyAlignment="1">
      <alignment vertical="top" wrapText="1"/>
    </xf>
    <xf numFmtId="49" fontId="2" fillId="7" borderId="36" xfId="0" applyNumberFormat="1" applyFont="1" applyFill="1" applyBorder="1" applyAlignment="1">
      <alignment horizontal="center" vertical="top"/>
    </xf>
    <xf numFmtId="165" fontId="1" fillId="7" borderId="85" xfId="0" applyNumberFormat="1" applyFont="1" applyFill="1" applyBorder="1" applyAlignment="1">
      <alignment horizontal="center" vertical="top"/>
    </xf>
    <xf numFmtId="165" fontId="1" fillId="7" borderId="89" xfId="0" applyNumberFormat="1" applyFont="1" applyFill="1" applyBorder="1" applyAlignment="1">
      <alignment horizontal="center" vertical="top"/>
    </xf>
    <xf numFmtId="165" fontId="1" fillId="7" borderId="14" xfId="0" applyNumberFormat="1" applyFont="1" applyFill="1" applyBorder="1" applyAlignment="1">
      <alignment horizontal="center" vertical="top"/>
    </xf>
    <xf numFmtId="165" fontId="1" fillId="7" borderId="8" xfId="0" applyNumberFormat="1" applyFont="1" applyFill="1" applyBorder="1" applyAlignment="1">
      <alignment horizontal="center" vertical="top"/>
    </xf>
    <xf numFmtId="165" fontId="1" fillId="7" borderId="12" xfId="0" applyNumberFormat="1" applyFont="1" applyFill="1" applyBorder="1" applyAlignment="1">
      <alignment horizontal="center" vertical="top"/>
    </xf>
    <xf numFmtId="165" fontId="2" fillId="2" borderId="36" xfId="0" applyNumberFormat="1" applyFont="1" applyFill="1" applyBorder="1" applyAlignment="1">
      <alignment horizontal="center" vertical="top"/>
    </xf>
    <xf numFmtId="0" fontId="1" fillId="7" borderId="17" xfId="0" applyFont="1" applyFill="1" applyBorder="1" applyAlignment="1">
      <alignment horizontal="left" vertical="top" wrapText="1"/>
    </xf>
    <xf numFmtId="0" fontId="1" fillId="7" borderId="4" xfId="0" applyFont="1" applyFill="1" applyBorder="1" applyAlignment="1">
      <alignment vertical="top" wrapText="1"/>
    </xf>
    <xf numFmtId="165" fontId="1" fillId="7" borderId="16" xfId="0" applyNumberFormat="1" applyFont="1" applyFill="1" applyBorder="1" applyAlignment="1">
      <alignment horizontal="left" vertical="top" wrapText="1"/>
    </xf>
    <xf numFmtId="0" fontId="1" fillId="7" borderId="6" xfId="0" applyFont="1" applyFill="1" applyBorder="1" applyAlignment="1">
      <alignment vertical="top" wrapText="1"/>
    </xf>
    <xf numFmtId="0" fontId="8" fillId="7" borderId="102" xfId="0" applyFont="1" applyFill="1" applyBorder="1" applyAlignment="1">
      <alignment vertical="top" wrapText="1"/>
    </xf>
    <xf numFmtId="0" fontId="8" fillId="7" borderId="64" xfId="0" applyFont="1" applyFill="1" applyBorder="1" applyAlignment="1">
      <alignment vertical="top" wrapText="1"/>
    </xf>
    <xf numFmtId="3" fontId="20" fillId="7" borderId="94" xfId="0" applyNumberFormat="1" applyFont="1" applyFill="1" applyBorder="1" applyAlignment="1">
      <alignment horizontal="center" vertical="top"/>
    </xf>
    <xf numFmtId="165" fontId="2" fillId="7" borderId="12" xfId="0" applyNumberFormat="1" applyFont="1" applyFill="1" applyBorder="1" applyAlignment="1">
      <alignment horizontal="center" vertical="top" wrapText="1"/>
    </xf>
    <xf numFmtId="0" fontId="2" fillId="7" borderId="12" xfId="0" applyFont="1" applyFill="1" applyBorder="1" applyAlignment="1">
      <alignment horizontal="center" vertical="top" wrapText="1"/>
    </xf>
    <xf numFmtId="165" fontId="2" fillId="7" borderId="20" xfId="0" applyNumberFormat="1" applyFont="1" applyFill="1" applyBorder="1" applyAlignment="1">
      <alignment horizontal="center" vertical="top" wrapText="1"/>
    </xf>
    <xf numFmtId="165" fontId="7" fillId="7" borderId="80" xfId="0" applyNumberFormat="1" applyFont="1" applyFill="1" applyBorder="1" applyAlignment="1">
      <alignment horizontal="left" vertical="top" wrapText="1"/>
    </xf>
    <xf numFmtId="0" fontId="1" fillId="7" borderId="68" xfId="0" applyFont="1" applyFill="1" applyBorder="1" applyAlignment="1">
      <alignment horizontal="left" vertical="top" wrapText="1"/>
    </xf>
    <xf numFmtId="0" fontId="23" fillId="7" borderId="100" xfId="0" applyFont="1" applyFill="1" applyBorder="1" applyAlignment="1">
      <alignment vertical="top"/>
    </xf>
    <xf numFmtId="0" fontId="1" fillId="7" borderId="4" xfId="0" applyFont="1" applyFill="1" applyBorder="1" applyAlignment="1">
      <alignment vertical="center" wrapText="1"/>
    </xf>
    <xf numFmtId="3" fontId="1" fillId="7" borderId="85" xfId="0" applyNumberFormat="1" applyFont="1" applyFill="1" applyBorder="1" applyAlignment="1">
      <alignment horizontal="center" vertical="top" wrapText="1"/>
    </xf>
    <xf numFmtId="3" fontId="1" fillId="7" borderId="101" xfId="0" applyNumberFormat="1" applyFont="1" applyFill="1" applyBorder="1" applyAlignment="1">
      <alignment horizontal="center" vertical="top" wrapText="1"/>
    </xf>
    <xf numFmtId="0" fontId="2" fillId="7" borderId="26" xfId="0" applyFont="1" applyFill="1" applyBorder="1" applyAlignment="1">
      <alignment horizontal="center" vertical="top"/>
    </xf>
    <xf numFmtId="0" fontId="24" fillId="0" borderId="0" xfId="0" applyFont="1" applyBorder="1" applyAlignment="1">
      <alignment vertical="top"/>
    </xf>
    <xf numFmtId="0" fontId="1" fillId="0" borderId="12" xfId="0" applyFont="1" applyBorder="1" applyAlignment="1">
      <alignment vertical="top"/>
    </xf>
    <xf numFmtId="0" fontId="1" fillId="7" borderId="0" xfId="0" applyFont="1" applyFill="1" applyAlignment="1">
      <alignment vertical="top"/>
    </xf>
    <xf numFmtId="0" fontId="1" fillId="7" borderId="5" xfId="0" applyFont="1" applyFill="1" applyBorder="1" applyAlignment="1">
      <alignment horizontal="center" vertical="top"/>
    </xf>
    <xf numFmtId="0" fontId="1" fillId="0" borderId="36" xfId="0" applyFont="1" applyBorder="1" applyAlignment="1">
      <alignment vertical="top"/>
    </xf>
    <xf numFmtId="0" fontId="1" fillId="7" borderId="58" xfId="0" applyNumberFormat="1" applyFont="1" applyFill="1" applyBorder="1" applyAlignment="1">
      <alignment horizontal="center" vertical="top"/>
    </xf>
    <xf numFmtId="0" fontId="1" fillId="0" borderId="87" xfId="0" applyFont="1" applyBorder="1" applyAlignment="1">
      <alignment horizontal="center" vertical="top"/>
    </xf>
    <xf numFmtId="167" fontId="1" fillId="7" borderId="78" xfId="0" applyNumberFormat="1" applyFont="1" applyFill="1" applyBorder="1" applyAlignment="1">
      <alignment horizontal="center" vertical="top"/>
    </xf>
    <xf numFmtId="0" fontId="1" fillId="7" borderId="65" xfId="0" applyFont="1" applyFill="1" applyBorder="1" applyAlignment="1">
      <alignment vertical="top"/>
    </xf>
    <xf numFmtId="0" fontId="1" fillId="7" borderId="58" xfId="0" applyFont="1" applyFill="1" applyBorder="1" applyAlignment="1">
      <alignment vertical="top"/>
    </xf>
    <xf numFmtId="0" fontId="1" fillId="7" borderId="66" xfId="0" applyNumberFormat="1" applyFont="1" applyFill="1" applyBorder="1" applyAlignment="1">
      <alignment horizontal="center" vertical="top"/>
    </xf>
    <xf numFmtId="165" fontId="2" fillId="0" borderId="20" xfId="0" applyNumberFormat="1" applyFont="1" applyFill="1" applyBorder="1" applyAlignment="1">
      <alignment horizontal="center" vertical="top" wrapText="1"/>
    </xf>
    <xf numFmtId="3" fontId="8" fillId="7" borderId="85" xfId="0" applyNumberFormat="1" applyFont="1" applyFill="1" applyBorder="1" applyAlignment="1">
      <alignment horizontal="center" vertical="top"/>
    </xf>
    <xf numFmtId="3" fontId="8" fillId="7" borderId="15" xfId="0" applyNumberFormat="1" applyFont="1" applyFill="1" applyBorder="1" applyAlignment="1">
      <alignment horizontal="center" vertical="top"/>
    </xf>
    <xf numFmtId="0" fontId="2" fillId="7" borderId="36" xfId="0" applyFont="1" applyFill="1" applyBorder="1" applyAlignment="1">
      <alignment horizontal="center" vertical="top"/>
    </xf>
    <xf numFmtId="165" fontId="2" fillId="7" borderId="103" xfId="0" applyNumberFormat="1" applyFont="1" applyFill="1" applyBorder="1" applyAlignment="1">
      <alignment horizontal="center" vertical="top" wrapText="1"/>
    </xf>
    <xf numFmtId="165" fontId="1" fillId="7" borderId="8" xfId="0" applyNumberFormat="1" applyFont="1" applyFill="1" applyBorder="1" applyAlignment="1">
      <alignment vertical="top"/>
    </xf>
    <xf numFmtId="165" fontId="1" fillId="7" borderId="12" xfId="0" applyNumberFormat="1" applyFont="1" applyFill="1" applyBorder="1" applyAlignment="1">
      <alignment vertical="top"/>
    </xf>
    <xf numFmtId="0" fontId="1" fillId="7" borderId="59" xfId="0" applyNumberFormat="1" applyFont="1" applyFill="1" applyBorder="1" applyAlignment="1">
      <alignment horizontal="center" vertical="top"/>
    </xf>
    <xf numFmtId="0" fontId="1" fillId="7" borderId="60" xfId="0" applyNumberFormat="1" applyFont="1" applyFill="1" applyBorder="1" applyAlignment="1">
      <alignment horizontal="center" vertical="top"/>
    </xf>
    <xf numFmtId="0" fontId="1" fillId="0" borderId="16" xfId="0" applyFont="1" applyBorder="1" applyAlignment="1">
      <alignment vertical="top"/>
    </xf>
    <xf numFmtId="3" fontId="1" fillId="7" borderId="12" xfId="0" applyNumberFormat="1" applyFont="1" applyFill="1" applyBorder="1" applyAlignment="1">
      <alignment horizontal="center" vertical="top" wrapText="1"/>
    </xf>
    <xf numFmtId="0" fontId="1" fillId="7" borderId="15" xfId="0" applyFont="1" applyFill="1" applyBorder="1" applyAlignment="1">
      <alignment horizontal="center" vertical="center"/>
    </xf>
    <xf numFmtId="0" fontId="1" fillId="0" borderId="54" xfId="0" applyFont="1" applyFill="1" applyBorder="1" applyAlignment="1">
      <alignment horizontal="center" vertical="top"/>
    </xf>
    <xf numFmtId="0" fontId="1" fillId="0" borderId="54" xfId="0" applyFont="1" applyBorder="1" applyAlignment="1">
      <alignment vertical="top"/>
    </xf>
    <xf numFmtId="165" fontId="1" fillId="7" borderId="82" xfId="0" applyNumberFormat="1" applyFont="1" applyFill="1" applyBorder="1" applyAlignment="1">
      <alignment horizontal="center" vertical="top"/>
    </xf>
    <xf numFmtId="3" fontId="4" fillId="7" borderId="84" xfId="0" applyNumberFormat="1" applyFont="1" applyFill="1" applyBorder="1" applyAlignment="1">
      <alignment horizontal="center" vertical="top" wrapText="1"/>
    </xf>
    <xf numFmtId="0" fontId="1" fillId="7" borderId="5" xfId="0" applyFont="1" applyFill="1" applyBorder="1" applyAlignment="1">
      <alignment vertical="top"/>
    </xf>
    <xf numFmtId="0" fontId="1" fillId="7" borderId="14" xfId="0" applyFont="1" applyFill="1" applyBorder="1" applyAlignment="1">
      <alignment vertical="top"/>
    </xf>
    <xf numFmtId="165" fontId="2" fillId="8" borderId="91" xfId="0" applyNumberFormat="1" applyFont="1" applyFill="1" applyBorder="1" applyAlignment="1">
      <alignment horizontal="center" vertical="top"/>
    </xf>
    <xf numFmtId="165" fontId="2" fillId="8" borderId="82" xfId="0" applyNumberFormat="1" applyFont="1" applyFill="1" applyBorder="1" applyAlignment="1">
      <alignment horizontal="center" vertical="top"/>
    </xf>
    <xf numFmtId="165" fontId="2" fillId="8" borderId="112" xfId="0" applyNumberFormat="1" applyFont="1" applyFill="1" applyBorder="1" applyAlignment="1">
      <alignment horizontal="center" vertical="top"/>
    </xf>
    <xf numFmtId="165" fontId="2" fillId="7" borderId="36" xfId="0" applyNumberFormat="1" applyFont="1" applyFill="1" applyBorder="1" applyAlignment="1">
      <alignment vertical="top" wrapText="1"/>
    </xf>
    <xf numFmtId="165" fontId="2" fillId="7" borderId="15" xfId="0" applyNumberFormat="1" applyFont="1" applyFill="1" applyBorder="1" applyAlignment="1">
      <alignment horizontal="center" vertical="top" wrapText="1"/>
    </xf>
    <xf numFmtId="165" fontId="2" fillId="7" borderId="19" xfId="0" applyNumberFormat="1" applyFont="1" applyFill="1" applyBorder="1" applyAlignment="1">
      <alignment horizontal="center" vertical="top" wrapText="1"/>
    </xf>
    <xf numFmtId="165" fontId="1" fillId="7" borderId="29" xfId="0" applyNumberFormat="1" applyFont="1" applyFill="1" applyBorder="1" applyAlignment="1">
      <alignment vertical="top"/>
    </xf>
    <xf numFmtId="165" fontId="1" fillId="7" borderId="3" xfId="0" applyNumberFormat="1" applyFont="1" applyFill="1" applyBorder="1" applyAlignment="1">
      <alignment vertical="top"/>
    </xf>
    <xf numFmtId="165" fontId="1" fillId="7" borderId="18" xfId="0" applyNumberFormat="1" applyFont="1" applyFill="1" applyBorder="1" applyAlignment="1">
      <alignment vertical="top"/>
    </xf>
    <xf numFmtId="165" fontId="1" fillId="7" borderId="83" xfId="0" applyNumberFormat="1" applyFont="1" applyFill="1" applyBorder="1" applyAlignment="1">
      <alignment vertical="top"/>
    </xf>
    <xf numFmtId="165" fontId="1" fillId="7" borderId="0" xfId="0" applyNumberFormat="1" applyFont="1" applyFill="1" applyBorder="1" applyAlignment="1">
      <alignment vertical="top"/>
    </xf>
    <xf numFmtId="165" fontId="1" fillId="7" borderId="32" xfId="0" applyNumberFormat="1" applyFont="1" applyFill="1" applyBorder="1" applyAlignment="1">
      <alignment vertical="top"/>
    </xf>
    <xf numFmtId="165" fontId="1" fillId="7" borderId="113" xfId="0" applyNumberFormat="1" applyFont="1" applyFill="1" applyBorder="1" applyAlignment="1">
      <alignment horizontal="center" vertical="top"/>
    </xf>
    <xf numFmtId="165" fontId="1" fillId="7" borderId="114" xfId="0" applyNumberFormat="1" applyFont="1" applyFill="1" applyBorder="1" applyAlignment="1">
      <alignment horizontal="center" vertical="top"/>
    </xf>
    <xf numFmtId="49" fontId="2" fillId="7" borderId="20" xfId="0" applyNumberFormat="1" applyFont="1" applyFill="1" applyBorder="1" applyAlignment="1">
      <alignment horizontal="center" vertical="top"/>
    </xf>
    <xf numFmtId="49" fontId="2" fillId="7" borderId="19" xfId="0" applyNumberFormat="1" applyFont="1" applyFill="1" applyBorder="1" applyAlignment="1">
      <alignment horizontal="center" vertical="top"/>
    </xf>
    <xf numFmtId="49" fontId="2" fillId="7" borderId="12" xfId="0" applyNumberFormat="1" applyFont="1" applyFill="1" applyBorder="1" applyAlignment="1">
      <alignment horizontal="center" vertical="top"/>
    </xf>
    <xf numFmtId="165" fontId="1" fillId="7" borderId="29" xfId="0" applyNumberFormat="1" applyFont="1" applyFill="1" applyBorder="1" applyAlignment="1">
      <alignment horizontal="left" vertical="top" wrapText="1"/>
    </xf>
    <xf numFmtId="165" fontId="2" fillId="7" borderId="8" xfId="0" applyNumberFormat="1" applyFont="1" applyFill="1" applyBorder="1" applyAlignment="1">
      <alignment vertical="top" wrapText="1"/>
    </xf>
    <xf numFmtId="165" fontId="6" fillId="7" borderId="8" xfId="0" applyNumberFormat="1" applyFont="1" applyFill="1" applyBorder="1" applyAlignment="1">
      <alignment horizontal="center" vertical="top" wrapText="1"/>
    </xf>
    <xf numFmtId="165" fontId="5" fillId="7" borderId="25" xfId="0" applyNumberFormat="1" applyFont="1" applyFill="1" applyBorder="1" applyAlignment="1">
      <alignment vertical="top" wrapText="1"/>
    </xf>
    <xf numFmtId="165" fontId="5" fillId="7" borderId="115" xfId="0" applyNumberFormat="1" applyFont="1" applyFill="1" applyBorder="1" applyAlignment="1">
      <alignment vertical="top" wrapText="1"/>
    </xf>
    <xf numFmtId="165" fontId="5" fillId="7" borderId="4" xfId="0" applyNumberFormat="1" applyFont="1" applyFill="1" applyBorder="1" applyAlignment="1">
      <alignment vertical="top" wrapText="1"/>
    </xf>
    <xf numFmtId="165" fontId="1" fillId="7" borderId="116" xfId="0" applyNumberFormat="1" applyFont="1" applyFill="1" applyBorder="1" applyAlignment="1">
      <alignment horizontal="center" vertical="top"/>
    </xf>
    <xf numFmtId="165" fontId="1" fillId="7" borderId="117" xfId="0" applyNumberFormat="1" applyFont="1" applyFill="1" applyBorder="1" applyAlignment="1">
      <alignment horizontal="center" vertical="top"/>
    </xf>
    <xf numFmtId="0" fontId="1" fillId="7" borderId="107" xfId="0" applyFont="1" applyFill="1" applyBorder="1" applyAlignment="1">
      <alignment vertical="top" wrapText="1"/>
    </xf>
    <xf numFmtId="3" fontId="1" fillId="7" borderId="11" xfId="0" applyNumberFormat="1" applyFont="1" applyFill="1" applyBorder="1" applyAlignment="1">
      <alignment vertical="top"/>
    </xf>
    <xf numFmtId="165" fontId="2" fillId="8" borderId="81" xfId="0" applyNumberFormat="1" applyFont="1" applyFill="1" applyBorder="1" applyAlignment="1">
      <alignment horizontal="center" vertical="top"/>
    </xf>
    <xf numFmtId="165" fontId="24" fillId="7" borderId="5" xfId="0" applyNumberFormat="1" applyFont="1" applyFill="1" applyBorder="1" applyAlignment="1">
      <alignment horizontal="center" vertical="top"/>
    </xf>
    <xf numFmtId="165" fontId="24" fillId="7" borderId="12" xfId="0" applyNumberFormat="1" applyFont="1" applyFill="1" applyBorder="1" applyAlignment="1">
      <alignment horizontal="center" vertical="top"/>
    </xf>
    <xf numFmtId="0" fontId="24" fillId="7" borderId="64" xfId="0" applyFont="1" applyFill="1" applyBorder="1" applyAlignment="1">
      <alignment horizontal="center" vertical="top"/>
    </xf>
    <xf numFmtId="165" fontId="24" fillId="7" borderId="8" xfId="0" applyNumberFormat="1" applyFont="1" applyFill="1" applyBorder="1" applyAlignment="1">
      <alignment horizontal="center" vertical="top"/>
    </xf>
    <xf numFmtId="165" fontId="24" fillId="7" borderId="68" xfId="0" applyNumberFormat="1" applyFont="1" applyFill="1" applyBorder="1" applyAlignment="1">
      <alignment horizontal="center" vertical="top"/>
    </xf>
    <xf numFmtId="165" fontId="24" fillId="7" borderId="88" xfId="0" applyNumberFormat="1" applyFont="1" applyFill="1" applyBorder="1" applyAlignment="1">
      <alignment horizontal="center" vertical="top"/>
    </xf>
    <xf numFmtId="165" fontId="25" fillId="7" borderId="67" xfId="0" applyNumberFormat="1" applyFont="1" applyFill="1" applyBorder="1" applyAlignment="1">
      <alignment horizontal="center" vertical="top"/>
    </xf>
    <xf numFmtId="165" fontId="25" fillId="7" borderId="78" xfId="0" applyNumberFormat="1" applyFont="1" applyFill="1" applyBorder="1" applyAlignment="1">
      <alignment horizontal="center" vertical="top"/>
    </xf>
    <xf numFmtId="165" fontId="24" fillId="7" borderId="64" xfId="0" applyNumberFormat="1" applyFont="1" applyFill="1" applyBorder="1" applyAlignment="1">
      <alignment horizontal="center" vertical="top"/>
    </xf>
    <xf numFmtId="165" fontId="25" fillId="7" borderId="89" xfId="0" applyNumberFormat="1" applyFont="1" applyFill="1" applyBorder="1" applyAlignment="1">
      <alignment horizontal="center" vertical="top"/>
    </xf>
    <xf numFmtId="165" fontId="25" fillId="7" borderId="8" xfId="0" applyNumberFormat="1" applyFont="1" applyFill="1" applyBorder="1" applyAlignment="1">
      <alignment horizontal="center" vertical="top"/>
    </xf>
    <xf numFmtId="165" fontId="25" fillId="7" borderId="20" xfId="0" applyNumberFormat="1" applyFont="1" applyFill="1" applyBorder="1" applyAlignment="1">
      <alignment horizontal="center" vertical="top"/>
    </xf>
    <xf numFmtId="165" fontId="24" fillId="7" borderId="6" xfId="0" applyNumberFormat="1" applyFont="1" applyFill="1" applyBorder="1" applyAlignment="1">
      <alignment horizontal="center" vertical="top"/>
    </xf>
    <xf numFmtId="167" fontId="24" fillId="7" borderId="85" xfId="0" applyNumberFormat="1" applyFont="1" applyFill="1" applyBorder="1" applyAlignment="1">
      <alignment horizontal="center" vertical="top"/>
    </xf>
    <xf numFmtId="0" fontId="24" fillId="7" borderId="14" xfId="0" applyFont="1" applyFill="1" applyBorder="1" applyAlignment="1">
      <alignment horizontal="center" vertical="top"/>
    </xf>
    <xf numFmtId="0" fontId="24" fillId="7" borderId="15" xfId="0" applyFont="1" applyFill="1" applyBorder="1" applyAlignment="1">
      <alignment horizontal="center" vertical="top"/>
    </xf>
    <xf numFmtId="165" fontId="24" fillId="7" borderId="57" xfId="0" applyNumberFormat="1" applyFont="1" applyFill="1" applyBorder="1" applyAlignment="1">
      <alignment horizontal="center" vertical="top"/>
    </xf>
    <xf numFmtId="0" fontId="24" fillId="7" borderId="4" xfId="0" applyFont="1" applyFill="1" applyBorder="1" applyAlignment="1">
      <alignment horizontal="center" vertical="top"/>
    </xf>
    <xf numFmtId="0" fontId="24" fillId="7" borderId="5" xfId="0" applyFont="1" applyFill="1" applyBorder="1" applyAlignment="1">
      <alignment horizontal="center" vertical="top"/>
    </xf>
    <xf numFmtId="0" fontId="24" fillId="7" borderId="0" xfId="0" applyFont="1" applyFill="1" applyBorder="1" applyAlignment="1">
      <alignment horizontal="center" vertical="top"/>
    </xf>
    <xf numFmtId="0" fontId="24" fillId="7" borderId="12" xfId="0" applyFont="1" applyFill="1" applyBorder="1" applyAlignment="1">
      <alignment horizontal="center" vertical="top"/>
    </xf>
    <xf numFmtId="0" fontId="24" fillId="7" borderId="17" xfId="0" applyFont="1" applyFill="1" applyBorder="1" applyAlignment="1">
      <alignment horizontal="center" vertical="top"/>
    </xf>
    <xf numFmtId="0" fontId="24" fillId="7" borderId="86" xfId="0" applyFont="1" applyFill="1" applyBorder="1" applyAlignment="1">
      <alignment vertical="top"/>
    </xf>
    <xf numFmtId="0" fontId="24" fillId="7" borderId="0" xfId="0" applyFont="1" applyFill="1" applyAlignment="1">
      <alignment vertical="top"/>
    </xf>
    <xf numFmtId="0" fontId="24" fillId="7" borderId="20" xfId="0" applyFont="1" applyFill="1" applyBorder="1" applyAlignment="1">
      <alignment vertical="top"/>
    </xf>
    <xf numFmtId="165" fontId="24" fillId="7" borderId="94" xfId="0" applyNumberFormat="1" applyFont="1" applyFill="1" applyBorder="1" applyAlignment="1">
      <alignment horizontal="center" vertical="top"/>
    </xf>
    <xf numFmtId="165" fontId="24" fillId="7" borderId="75" xfId="0" applyNumberFormat="1" applyFont="1" applyFill="1" applyBorder="1" applyAlignment="1">
      <alignment horizontal="center" vertical="top"/>
    </xf>
    <xf numFmtId="165" fontId="24" fillId="7" borderId="79" xfId="0" applyNumberFormat="1" applyFont="1" applyFill="1" applyBorder="1" applyAlignment="1">
      <alignment horizontal="center" vertical="top"/>
    </xf>
    <xf numFmtId="165" fontId="24" fillId="7" borderId="67" xfId="0" applyNumberFormat="1" applyFont="1" applyFill="1" applyBorder="1" applyAlignment="1">
      <alignment horizontal="center" vertical="top"/>
    </xf>
    <xf numFmtId="165" fontId="24" fillId="7" borderId="78" xfId="0" applyNumberFormat="1" applyFont="1" applyFill="1" applyBorder="1" applyAlignment="1">
      <alignment horizontal="center" vertical="top"/>
    </xf>
    <xf numFmtId="165" fontId="24" fillId="7" borderId="35" xfId="0" applyNumberFormat="1" applyFont="1" applyFill="1" applyBorder="1" applyAlignment="1">
      <alignment horizontal="center" vertical="top"/>
    </xf>
    <xf numFmtId="165" fontId="24" fillId="7" borderId="17" xfId="0" applyNumberFormat="1" applyFont="1" applyFill="1" applyBorder="1" applyAlignment="1">
      <alignment horizontal="center" vertical="top"/>
    </xf>
    <xf numFmtId="165" fontId="24" fillId="7" borderId="86" xfId="0" applyNumberFormat="1" applyFont="1" applyFill="1" applyBorder="1" applyAlignment="1">
      <alignment horizontal="center" vertical="top"/>
    </xf>
    <xf numFmtId="165" fontId="24" fillId="7" borderId="21" xfId="0" applyNumberFormat="1" applyFont="1" applyFill="1" applyBorder="1" applyAlignment="1">
      <alignment horizontal="center" vertical="top"/>
    </xf>
    <xf numFmtId="165" fontId="24" fillId="7" borderId="20" xfId="0" applyNumberFormat="1" applyFont="1" applyFill="1" applyBorder="1" applyAlignment="1">
      <alignment horizontal="center" vertical="top"/>
    </xf>
    <xf numFmtId="165" fontId="24" fillId="7" borderId="4" xfId="0" applyNumberFormat="1" applyFont="1" applyFill="1" applyBorder="1" applyAlignment="1">
      <alignment horizontal="center" vertical="top"/>
    </xf>
    <xf numFmtId="165" fontId="24" fillId="7" borderId="85" xfId="0" applyNumberFormat="1" applyFont="1" applyFill="1" applyBorder="1" applyAlignment="1">
      <alignment horizontal="center" vertical="top"/>
    </xf>
    <xf numFmtId="165" fontId="24" fillId="7" borderId="14" xfId="0" applyNumberFormat="1" applyFont="1" applyFill="1" applyBorder="1" applyAlignment="1">
      <alignment horizontal="center" vertical="top"/>
    </xf>
    <xf numFmtId="165" fontId="24" fillId="7" borderId="15" xfId="0" applyNumberFormat="1" applyFont="1" applyFill="1" applyBorder="1" applyAlignment="1">
      <alignment horizontal="center" vertical="top"/>
    </xf>
    <xf numFmtId="165" fontId="24" fillId="7" borderId="0" xfId="0" applyNumberFormat="1" applyFont="1" applyFill="1" applyBorder="1" applyAlignment="1">
      <alignment horizontal="center" vertical="top"/>
    </xf>
    <xf numFmtId="165" fontId="24" fillId="0" borderId="0" xfId="0" applyNumberFormat="1" applyFont="1" applyBorder="1" applyAlignment="1">
      <alignment vertical="top"/>
    </xf>
    <xf numFmtId="167" fontId="24" fillId="0" borderId="0" xfId="0" applyNumberFormat="1" applyFont="1" applyBorder="1" applyAlignment="1">
      <alignment vertical="top"/>
    </xf>
    <xf numFmtId="165" fontId="24" fillId="7" borderId="0" xfId="0" applyNumberFormat="1" applyFont="1" applyFill="1" applyAlignment="1">
      <alignment horizontal="center" vertical="top"/>
    </xf>
    <xf numFmtId="165" fontId="24" fillId="7" borderId="58" xfId="0" applyNumberFormat="1" applyFont="1" applyFill="1" applyBorder="1" applyAlignment="1">
      <alignment horizontal="center" vertical="top"/>
    </xf>
    <xf numFmtId="165" fontId="24" fillId="7" borderId="13" xfId="0" applyNumberFormat="1" applyFont="1" applyFill="1" applyBorder="1" applyAlignment="1">
      <alignment horizontal="center" vertical="top"/>
    </xf>
    <xf numFmtId="165" fontId="24" fillId="7" borderId="56" xfId="0" applyNumberFormat="1" applyFont="1" applyFill="1" applyBorder="1" applyAlignment="1">
      <alignment horizontal="center" vertical="top"/>
    </xf>
    <xf numFmtId="165" fontId="24" fillId="7" borderId="16" xfId="0" applyNumberFormat="1" applyFont="1" applyFill="1" applyBorder="1" applyAlignment="1">
      <alignment horizontal="center" vertical="top"/>
    </xf>
    <xf numFmtId="165" fontId="24" fillId="7" borderId="89" xfId="0" applyNumberFormat="1" applyFont="1" applyFill="1" applyBorder="1" applyAlignment="1">
      <alignment horizontal="center" vertical="top"/>
    </xf>
    <xf numFmtId="167" fontId="24" fillId="7" borderId="15" xfId="0" applyNumberFormat="1" applyFont="1" applyFill="1" applyBorder="1" applyAlignment="1">
      <alignment horizontal="center" vertical="top"/>
    </xf>
    <xf numFmtId="165" fontId="24" fillId="7" borderId="85" xfId="0" applyNumberFormat="1" applyFont="1" applyFill="1" applyBorder="1" applyAlignment="1">
      <alignment vertical="top" wrapText="1"/>
    </xf>
    <xf numFmtId="165" fontId="24" fillId="7" borderId="21" xfId="0" applyNumberFormat="1" applyFont="1" applyFill="1" applyBorder="1" applyAlignment="1">
      <alignment vertical="top"/>
    </xf>
    <xf numFmtId="165" fontId="24" fillId="7" borderId="20" xfId="0" applyNumberFormat="1" applyFont="1" applyFill="1" applyBorder="1" applyAlignment="1">
      <alignment vertical="top"/>
    </xf>
    <xf numFmtId="165" fontId="24" fillId="7" borderId="14" xfId="0" applyNumberFormat="1" applyFont="1" applyFill="1" applyBorder="1" applyAlignment="1">
      <alignment vertical="top"/>
    </xf>
    <xf numFmtId="165" fontId="24" fillId="7" borderId="15" xfId="0" applyNumberFormat="1" applyFont="1" applyFill="1" applyBorder="1" applyAlignment="1">
      <alignment vertical="top"/>
    </xf>
    <xf numFmtId="165" fontId="24" fillId="7" borderId="5" xfId="0" applyNumberFormat="1" applyFont="1" applyFill="1" applyBorder="1" applyAlignment="1">
      <alignment vertical="top"/>
    </xf>
    <xf numFmtId="165" fontId="24" fillId="7" borderId="8" xfId="0" applyNumberFormat="1" applyFont="1" applyFill="1" applyBorder="1" applyAlignment="1">
      <alignment vertical="top"/>
    </xf>
    <xf numFmtId="165" fontId="24" fillId="7" borderId="12" xfId="0" applyNumberFormat="1" applyFont="1" applyFill="1" applyBorder="1" applyAlignment="1">
      <alignment vertical="top"/>
    </xf>
    <xf numFmtId="0" fontId="24" fillId="0" borderId="0" xfId="0" applyFont="1" applyAlignment="1">
      <alignment vertical="top"/>
    </xf>
    <xf numFmtId="165" fontId="24" fillId="0" borderId="87" xfId="0" applyNumberFormat="1" applyFont="1" applyFill="1" applyBorder="1" applyAlignment="1">
      <alignment horizontal="center" vertical="top"/>
    </xf>
    <xf numFmtId="0" fontId="24" fillId="0" borderId="46" xfId="0" applyFont="1" applyBorder="1" applyAlignment="1">
      <alignment vertical="top"/>
    </xf>
    <xf numFmtId="0" fontId="24" fillId="0" borderId="86" xfId="0" applyFont="1" applyBorder="1" applyAlignment="1">
      <alignment vertical="top"/>
    </xf>
    <xf numFmtId="0" fontId="24" fillId="0" borderId="21" xfId="0" applyFont="1" applyBorder="1" applyAlignment="1">
      <alignment vertical="top"/>
    </xf>
    <xf numFmtId="0" fontId="24" fillId="0" borderId="20" xfId="0" applyFont="1" applyBorder="1" applyAlignment="1">
      <alignment vertical="top"/>
    </xf>
    <xf numFmtId="165" fontId="24" fillId="7" borderId="28" xfId="0" applyNumberFormat="1" applyFont="1" applyFill="1" applyBorder="1" applyAlignment="1">
      <alignment horizontal="center" vertical="top"/>
    </xf>
    <xf numFmtId="0" fontId="24" fillId="0" borderId="17" xfId="0" applyFont="1" applyBorder="1" applyAlignment="1">
      <alignment vertical="top"/>
    </xf>
    <xf numFmtId="0" fontId="24" fillId="0" borderId="13" xfId="0" applyFont="1" applyBorder="1" applyAlignment="1">
      <alignment vertical="top"/>
    </xf>
    <xf numFmtId="0" fontId="24" fillId="0" borderId="8" xfId="0" applyFont="1" applyBorder="1" applyAlignment="1">
      <alignment vertical="top"/>
    </xf>
    <xf numFmtId="165" fontId="24" fillId="7" borderId="34" xfId="0" applyNumberFormat="1" applyFont="1" applyFill="1" applyBorder="1" applyAlignment="1">
      <alignment horizontal="center" vertical="top"/>
    </xf>
    <xf numFmtId="165" fontId="24" fillId="7" borderId="36" xfId="0" applyNumberFormat="1" applyFont="1" applyFill="1" applyBorder="1" applyAlignment="1">
      <alignment horizontal="center" vertical="top"/>
    </xf>
    <xf numFmtId="0" fontId="24" fillId="7" borderId="6" xfId="0" applyFont="1" applyFill="1" applyBorder="1" applyAlignment="1">
      <alignment horizontal="center" vertical="top"/>
    </xf>
    <xf numFmtId="167" fontId="24" fillId="7" borderId="37" xfId="0" applyNumberFormat="1" applyFont="1" applyFill="1" applyBorder="1" applyAlignment="1">
      <alignment horizontal="center" vertical="top" wrapText="1"/>
    </xf>
    <xf numFmtId="167" fontId="24" fillId="7" borderId="14" xfId="0" applyNumberFormat="1" applyFont="1" applyFill="1" applyBorder="1" applyAlignment="1">
      <alignment horizontal="center" vertical="top"/>
    </xf>
    <xf numFmtId="3" fontId="24" fillId="7" borderId="34" xfId="0" applyNumberFormat="1" applyFont="1" applyFill="1" applyBorder="1" applyAlignment="1">
      <alignment horizontal="center" vertical="top"/>
    </xf>
    <xf numFmtId="165" fontId="24" fillId="7" borderId="46" xfId="0" applyNumberFormat="1" applyFont="1" applyFill="1" applyBorder="1" applyAlignment="1">
      <alignment vertical="top"/>
    </xf>
    <xf numFmtId="165" fontId="24" fillId="7" borderId="46" xfId="0" applyNumberFormat="1" applyFont="1" applyFill="1" applyBorder="1" applyAlignment="1">
      <alignment vertical="top" wrapText="1"/>
    </xf>
    <xf numFmtId="3" fontId="24" fillId="7" borderId="21" xfId="0" applyNumberFormat="1" applyFont="1" applyFill="1" applyBorder="1" applyAlignment="1">
      <alignment horizontal="center" vertical="top"/>
    </xf>
    <xf numFmtId="3" fontId="24" fillId="7" borderId="26" xfId="0" applyNumberFormat="1" applyFont="1" applyFill="1" applyBorder="1" applyAlignment="1">
      <alignment horizontal="center" vertical="top"/>
    </xf>
    <xf numFmtId="165" fontId="24" fillId="7" borderId="102" xfId="1" applyNumberFormat="1" applyFont="1" applyFill="1" applyBorder="1" applyAlignment="1">
      <alignment horizontal="center" vertical="top" wrapText="1"/>
    </xf>
    <xf numFmtId="0" fontId="24" fillId="7" borderId="68" xfId="0" applyFont="1" applyFill="1" applyBorder="1" applyAlignment="1">
      <alignment horizontal="center" vertical="top"/>
    </xf>
    <xf numFmtId="0" fontId="24" fillId="7" borderId="25" xfId="0" applyFont="1" applyFill="1" applyBorder="1" applyAlignment="1">
      <alignment horizontal="center" vertical="top"/>
    </xf>
    <xf numFmtId="0" fontId="24" fillId="0" borderId="5" xfId="0" applyFont="1" applyBorder="1" applyAlignment="1">
      <alignment vertical="top"/>
    </xf>
    <xf numFmtId="165" fontId="24" fillId="0" borderId="4" xfId="0" applyNumberFormat="1" applyFont="1" applyFill="1" applyBorder="1" applyAlignment="1">
      <alignment horizontal="center" vertical="top"/>
    </xf>
    <xf numFmtId="165" fontId="24" fillId="7" borderId="26" xfId="0" applyNumberFormat="1" applyFont="1" applyFill="1" applyBorder="1" applyAlignment="1">
      <alignment horizontal="center" vertical="top"/>
    </xf>
    <xf numFmtId="165" fontId="24" fillId="7" borderId="33" xfId="0" applyNumberFormat="1" applyFont="1" applyFill="1" applyBorder="1" applyAlignment="1">
      <alignment horizontal="center" vertical="top"/>
    </xf>
    <xf numFmtId="165" fontId="24" fillId="7" borderId="43" xfId="0" applyNumberFormat="1" applyFont="1" applyFill="1" applyBorder="1" applyAlignment="1">
      <alignment horizontal="center" vertical="top"/>
    </xf>
    <xf numFmtId="0" fontId="24" fillId="0" borderId="17" xfId="0" applyFont="1" applyBorder="1" applyAlignment="1">
      <alignment horizontal="center" vertical="top"/>
    </xf>
    <xf numFmtId="167" fontId="24" fillId="0" borderId="85" xfId="0" applyNumberFormat="1" applyFont="1" applyBorder="1" applyAlignment="1">
      <alignment horizontal="center" vertical="top"/>
    </xf>
    <xf numFmtId="167" fontId="24" fillId="0" borderId="14" xfId="0" applyNumberFormat="1" applyFont="1" applyBorder="1" applyAlignment="1">
      <alignment horizontal="center" vertical="top"/>
    </xf>
    <xf numFmtId="167" fontId="24" fillId="0" borderId="34" xfId="0" applyNumberFormat="1" applyFont="1" applyBorder="1" applyAlignment="1">
      <alignment horizontal="center" vertical="top"/>
    </xf>
    <xf numFmtId="165" fontId="24" fillId="7" borderId="10" xfId="0" applyNumberFormat="1" applyFont="1" applyFill="1" applyBorder="1" applyAlignment="1">
      <alignment horizontal="center" vertical="top"/>
    </xf>
    <xf numFmtId="165" fontId="24" fillId="7" borderId="4" xfId="0" applyNumberFormat="1" applyFont="1" applyFill="1" applyBorder="1" applyAlignment="1">
      <alignment horizontal="center" vertical="top" wrapText="1"/>
    </xf>
    <xf numFmtId="0" fontId="24" fillId="0" borderId="4" xfId="0" applyFont="1" applyBorder="1" applyAlignment="1">
      <alignment horizontal="center" vertical="top"/>
    </xf>
    <xf numFmtId="165" fontId="24" fillId="7" borderId="17" xfId="0" applyNumberFormat="1" applyFont="1" applyFill="1" applyBorder="1" applyAlignment="1">
      <alignment horizontal="center" vertical="top" wrapText="1"/>
    </xf>
    <xf numFmtId="0" fontId="24" fillId="7" borderId="5" xfId="0" applyFont="1" applyFill="1" applyBorder="1" applyAlignment="1">
      <alignment horizontal="center" vertical="center"/>
    </xf>
    <xf numFmtId="0" fontId="24" fillId="0" borderId="86" xfId="0" applyFont="1" applyBorder="1" applyAlignment="1">
      <alignment horizontal="center" vertical="top"/>
    </xf>
    <xf numFmtId="0" fontId="24" fillId="0" borderId="21" xfId="0" applyFont="1" applyBorder="1" applyAlignment="1">
      <alignment horizontal="center" vertical="top"/>
    </xf>
    <xf numFmtId="0" fontId="24" fillId="0" borderId="56" xfId="0" applyFont="1" applyBorder="1" applyAlignment="1">
      <alignment horizontal="center" vertical="top"/>
    </xf>
    <xf numFmtId="0" fontId="24" fillId="0" borderId="26" xfId="0" applyFont="1" applyBorder="1" applyAlignment="1">
      <alignment vertical="top"/>
    </xf>
    <xf numFmtId="0" fontId="24" fillId="7" borderId="8" xfId="0" applyFont="1" applyFill="1" applyBorder="1" applyAlignment="1">
      <alignment vertical="top"/>
    </xf>
    <xf numFmtId="0" fontId="24" fillId="7" borderId="12" xfId="0" applyFont="1" applyFill="1" applyBorder="1" applyAlignment="1">
      <alignment vertical="top"/>
    </xf>
    <xf numFmtId="0" fontId="24" fillId="7" borderId="86" xfId="0" applyFont="1" applyFill="1" applyBorder="1" applyAlignment="1">
      <alignment horizontal="center" vertical="top"/>
    </xf>
    <xf numFmtId="0" fontId="24" fillId="7" borderId="21" xfId="0" applyFont="1" applyFill="1" applyBorder="1" applyAlignment="1">
      <alignment horizontal="center" vertical="top"/>
    </xf>
    <xf numFmtId="165" fontId="24" fillId="7" borderId="109" xfId="0" applyNumberFormat="1" applyFont="1" applyFill="1" applyBorder="1" applyAlignment="1">
      <alignment horizontal="center" vertical="top"/>
    </xf>
    <xf numFmtId="165" fontId="24" fillId="7" borderId="110" xfId="0" applyNumberFormat="1" applyFont="1" applyFill="1" applyBorder="1" applyAlignment="1">
      <alignment horizontal="center" vertical="top"/>
    </xf>
    <xf numFmtId="0" fontId="24" fillId="7" borderId="110" xfId="0" applyFont="1" applyFill="1" applyBorder="1" applyAlignment="1">
      <alignment horizontal="center" vertical="top"/>
    </xf>
    <xf numFmtId="165" fontId="24" fillId="7" borderId="110" xfId="0" applyNumberFormat="1" applyFont="1" applyFill="1" applyBorder="1" applyAlignment="1">
      <alignment horizontal="center" vertical="top" wrapText="1"/>
    </xf>
    <xf numFmtId="0" fontId="24" fillId="0" borderId="110" xfId="0" applyFont="1" applyBorder="1" applyAlignment="1">
      <alignment horizontal="center" vertical="top"/>
    </xf>
    <xf numFmtId="165" fontId="24" fillId="7" borderId="111" xfId="0" applyNumberFormat="1" applyFont="1" applyFill="1" applyBorder="1" applyAlignment="1">
      <alignment horizontal="center" vertical="top"/>
    </xf>
    <xf numFmtId="0" fontId="24" fillId="0" borderId="6" xfId="0" applyFont="1" applyBorder="1" applyAlignment="1">
      <alignment horizontal="center" vertical="top"/>
    </xf>
    <xf numFmtId="0" fontId="24" fillId="0" borderId="85" xfId="0" applyFont="1" applyBorder="1" applyAlignment="1">
      <alignment vertical="top"/>
    </xf>
    <xf numFmtId="0" fontId="24" fillId="7" borderId="0" xfId="0" applyFont="1" applyFill="1" applyAlignment="1">
      <alignment horizontal="center" vertical="top"/>
    </xf>
    <xf numFmtId="0" fontId="24" fillId="7" borderId="4" xfId="0" applyFont="1" applyFill="1" applyBorder="1" applyAlignment="1">
      <alignment vertical="top"/>
    </xf>
    <xf numFmtId="0" fontId="24" fillId="7" borderId="17" xfId="0" applyFont="1" applyFill="1" applyBorder="1" applyAlignment="1">
      <alignment vertical="top"/>
    </xf>
    <xf numFmtId="165" fontId="1" fillId="7" borderId="6" xfId="0" applyNumberFormat="1" applyFont="1" applyFill="1" applyBorder="1" applyAlignment="1">
      <alignment horizontal="left" vertical="top" wrapText="1"/>
    </xf>
    <xf numFmtId="165" fontId="1" fillId="7" borderId="68" xfId="0" applyNumberFormat="1" applyFont="1" applyFill="1" applyBorder="1" applyAlignment="1">
      <alignment horizontal="left" vertical="top" wrapText="1"/>
    </xf>
    <xf numFmtId="165" fontId="20" fillId="7" borderId="0" xfId="0" applyNumberFormat="1" applyFont="1" applyFill="1" applyAlignment="1">
      <alignment horizontal="center" vertical="top"/>
    </xf>
    <xf numFmtId="165" fontId="20" fillId="7" borderId="4" xfId="0" applyNumberFormat="1" applyFont="1" applyFill="1" applyBorder="1" applyAlignment="1">
      <alignment horizontal="center" vertical="top"/>
    </xf>
    <xf numFmtId="165" fontId="20" fillId="7" borderId="35" xfId="0" applyNumberFormat="1" applyFont="1" applyFill="1" applyBorder="1" applyAlignment="1">
      <alignment horizontal="center" vertical="top"/>
    </xf>
    <xf numFmtId="165" fontId="20" fillId="7" borderId="8" xfId="0" applyNumberFormat="1" applyFont="1" applyFill="1" applyBorder="1" applyAlignment="1">
      <alignment horizontal="center" vertical="top"/>
    </xf>
    <xf numFmtId="165" fontId="20" fillId="7" borderId="5" xfId="0" applyNumberFormat="1" applyFont="1" applyFill="1" applyBorder="1" applyAlignment="1">
      <alignment horizontal="center" vertical="top"/>
    </xf>
    <xf numFmtId="165" fontId="20" fillId="7" borderId="36" xfId="0" applyNumberFormat="1" applyFont="1" applyFill="1" applyBorder="1" applyAlignment="1">
      <alignment horizontal="center" vertical="top"/>
    </xf>
    <xf numFmtId="165" fontId="20" fillId="7" borderId="0" xfId="0" applyNumberFormat="1" applyFont="1" applyFill="1" applyBorder="1" applyAlignment="1">
      <alignment horizontal="center" vertical="top"/>
    </xf>
    <xf numFmtId="0" fontId="1" fillId="0" borderId="59" xfId="0" applyFont="1" applyBorder="1" applyAlignment="1">
      <alignment vertical="top"/>
    </xf>
    <xf numFmtId="0" fontId="1" fillId="7" borderId="78" xfId="0" applyFont="1" applyFill="1" applyBorder="1" applyAlignment="1">
      <alignment vertical="top"/>
    </xf>
    <xf numFmtId="165" fontId="2" fillId="9" borderId="25" xfId="0" applyNumberFormat="1" applyFont="1" applyFill="1" applyBorder="1" applyAlignment="1">
      <alignment horizontal="center" vertical="top"/>
    </xf>
    <xf numFmtId="165" fontId="2" fillId="2" borderId="8" xfId="0" applyNumberFormat="1" applyFont="1" applyFill="1" applyBorder="1" applyAlignment="1">
      <alignment horizontal="center" vertical="top"/>
    </xf>
    <xf numFmtId="165" fontId="2" fillId="7" borderId="8" xfId="0" applyNumberFormat="1" applyFont="1" applyFill="1" applyBorder="1" applyAlignment="1">
      <alignment horizontal="center" vertical="top" wrapText="1"/>
    </xf>
    <xf numFmtId="165" fontId="2" fillId="9" borderId="25" xfId="0" applyNumberFormat="1" applyFont="1" applyFill="1" applyBorder="1" applyAlignment="1">
      <alignment horizontal="center" vertical="top"/>
    </xf>
    <xf numFmtId="165" fontId="2" fillId="2" borderId="36" xfId="0" applyNumberFormat="1" applyFont="1" applyFill="1" applyBorder="1" applyAlignment="1">
      <alignment horizontal="center" vertical="top"/>
    </xf>
    <xf numFmtId="165" fontId="1" fillId="7" borderId="68" xfId="0" applyNumberFormat="1" applyFont="1" applyFill="1" applyBorder="1" applyAlignment="1">
      <alignment horizontal="center" vertical="top"/>
    </xf>
    <xf numFmtId="167" fontId="24" fillId="7" borderId="37" xfId="0" applyNumberFormat="1" applyFont="1" applyFill="1" applyBorder="1" applyAlignment="1">
      <alignment horizontal="center" vertical="top"/>
    </xf>
    <xf numFmtId="0" fontId="26" fillId="0" borderId="0" xfId="0" applyFont="1" applyAlignment="1">
      <alignment vertical="top" wrapText="1"/>
    </xf>
    <xf numFmtId="3" fontId="24" fillId="0" borderId="0" xfId="0" applyNumberFormat="1" applyFont="1" applyBorder="1" applyAlignment="1">
      <alignment vertical="top"/>
    </xf>
    <xf numFmtId="0" fontId="27" fillId="0" borderId="0" xfId="0" applyFont="1"/>
    <xf numFmtId="164" fontId="24" fillId="0" borderId="0" xfId="1" applyFont="1" applyBorder="1" applyAlignment="1">
      <alignment vertical="top"/>
    </xf>
    <xf numFmtId="0" fontId="24" fillId="0" borderId="0" xfId="0" applyFont="1" applyFill="1" applyBorder="1" applyAlignment="1">
      <alignment vertical="top"/>
    </xf>
    <xf numFmtId="165" fontId="1" fillId="7" borderId="77" xfId="0" applyNumberFormat="1" applyFont="1" applyFill="1" applyBorder="1" applyAlignment="1">
      <alignment vertical="top" wrapText="1"/>
    </xf>
    <xf numFmtId="165" fontId="1" fillId="7" borderId="8" xfId="0" applyNumberFormat="1" applyFont="1" applyFill="1" applyBorder="1" applyAlignment="1">
      <alignment horizontal="left" vertical="top" wrapText="1"/>
    </xf>
    <xf numFmtId="165" fontId="1" fillId="7" borderId="16" xfId="0" applyNumberFormat="1" applyFont="1" applyFill="1" applyBorder="1" applyAlignment="1">
      <alignment horizontal="center" vertical="top" wrapText="1"/>
    </xf>
    <xf numFmtId="3" fontId="24" fillId="7" borderId="12" xfId="0" applyNumberFormat="1" applyFont="1" applyFill="1" applyBorder="1" applyAlignment="1">
      <alignment horizontal="center" vertical="top"/>
    </xf>
    <xf numFmtId="3" fontId="24" fillId="7" borderId="20" xfId="0" applyNumberFormat="1" applyFont="1" applyFill="1" applyBorder="1" applyAlignment="1">
      <alignment horizontal="center" vertical="top"/>
    </xf>
    <xf numFmtId="165" fontId="2" fillId="9" borderId="5" xfId="0" applyNumberFormat="1" applyFont="1" applyFill="1" applyBorder="1" applyAlignment="1">
      <alignment horizontal="center" vertical="top"/>
    </xf>
    <xf numFmtId="165" fontId="2" fillId="2" borderId="36" xfId="0" applyNumberFormat="1" applyFont="1" applyFill="1" applyBorder="1" applyAlignment="1">
      <alignment horizontal="center" vertical="top"/>
    </xf>
    <xf numFmtId="165" fontId="20" fillId="7" borderId="62" xfId="0" applyNumberFormat="1" applyFont="1" applyFill="1" applyBorder="1" applyAlignment="1">
      <alignment vertical="top" wrapText="1"/>
    </xf>
    <xf numFmtId="165" fontId="1" fillId="7" borderId="8" xfId="0" applyNumberFormat="1" applyFont="1" applyFill="1" applyBorder="1" applyAlignment="1">
      <alignment vertical="top" wrapText="1"/>
    </xf>
    <xf numFmtId="165" fontId="2" fillId="2" borderId="8" xfId="0" applyNumberFormat="1" applyFont="1" applyFill="1" applyBorder="1" applyAlignment="1">
      <alignment horizontal="center" vertical="top"/>
    </xf>
    <xf numFmtId="165" fontId="2" fillId="9" borderId="5" xfId="0" applyNumberFormat="1" applyFont="1" applyFill="1" applyBorder="1" applyAlignment="1">
      <alignment horizontal="center" vertical="top"/>
    </xf>
    <xf numFmtId="165" fontId="2" fillId="8" borderId="8" xfId="0" applyNumberFormat="1" applyFont="1" applyFill="1" applyBorder="1" applyAlignment="1">
      <alignment horizontal="center" vertical="top"/>
    </xf>
    <xf numFmtId="165" fontId="2" fillId="7" borderId="8" xfId="0" applyNumberFormat="1" applyFont="1" applyFill="1" applyBorder="1" applyAlignment="1">
      <alignment horizontal="center" vertical="top" wrapText="1"/>
    </xf>
    <xf numFmtId="49" fontId="2" fillId="8" borderId="8" xfId="0" applyNumberFormat="1" applyFont="1" applyFill="1" applyBorder="1" applyAlignment="1">
      <alignment horizontal="center" vertical="top"/>
    </xf>
    <xf numFmtId="165" fontId="1" fillId="7" borderId="68" xfId="0" applyNumberFormat="1" applyFont="1" applyFill="1" applyBorder="1" applyAlignment="1">
      <alignment horizontal="center" vertical="top"/>
    </xf>
    <xf numFmtId="49" fontId="2" fillId="9" borderId="5" xfId="0" applyNumberFormat="1" applyFont="1" applyFill="1" applyBorder="1" applyAlignment="1">
      <alignment horizontal="center" vertical="top"/>
    </xf>
    <xf numFmtId="0" fontId="1" fillId="7" borderId="4" xfId="0" applyFont="1" applyFill="1" applyBorder="1" applyAlignment="1">
      <alignment horizontal="left" vertical="top" wrapText="1"/>
    </xf>
    <xf numFmtId="165" fontId="2" fillId="2" borderId="36" xfId="0" applyNumberFormat="1" applyFont="1" applyFill="1" applyBorder="1" applyAlignment="1">
      <alignment horizontal="center" vertical="top"/>
    </xf>
    <xf numFmtId="0" fontId="1" fillId="0" borderId="8" xfId="0" applyNumberFormat="1" applyFont="1" applyFill="1" applyBorder="1" applyAlignment="1">
      <alignment horizontal="left" vertical="top" wrapText="1"/>
    </xf>
    <xf numFmtId="165" fontId="2" fillId="8" borderId="48" xfId="0" applyNumberFormat="1" applyFont="1" applyFill="1" applyBorder="1" applyAlignment="1">
      <alignment horizontal="center" vertical="top" wrapText="1"/>
    </xf>
    <xf numFmtId="165" fontId="2" fillId="8" borderId="1" xfId="0" applyNumberFormat="1" applyFont="1" applyFill="1" applyBorder="1" applyAlignment="1">
      <alignment horizontal="center" vertical="top" wrapText="1"/>
    </xf>
    <xf numFmtId="165" fontId="2" fillId="8" borderId="45" xfId="0" applyNumberFormat="1" applyFont="1" applyFill="1" applyBorder="1" applyAlignment="1">
      <alignment horizontal="center" vertical="top" wrapText="1"/>
    </xf>
    <xf numFmtId="165" fontId="1" fillId="0" borderId="25" xfId="0" applyNumberFormat="1" applyFont="1" applyBorder="1" applyAlignment="1">
      <alignment vertical="top"/>
    </xf>
    <xf numFmtId="165" fontId="2" fillId="5" borderId="54" xfId="0" applyNumberFormat="1" applyFont="1" applyFill="1" applyBorder="1" applyAlignment="1">
      <alignment horizontal="center" vertical="top" wrapText="1"/>
    </xf>
    <xf numFmtId="165" fontId="2" fillId="9" borderId="25" xfId="0" applyNumberFormat="1" applyFont="1" applyFill="1" applyBorder="1" applyAlignment="1">
      <alignment horizontal="center" vertical="top"/>
    </xf>
    <xf numFmtId="165" fontId="2" fillId="2" borderId="36" xfId="0" applyNumberFormat="1" applyFont="1" applyFill="1" applyBorder="1" applyAlignment="1">
      <alignment horizontal="center" vertical="top"/>
    </xf>
    <xf numFmtId="0" fontId="1" fillId="7" borderId="10" xfId="0" applyFont="1" applyFill="1" applyBorder="1" applyAlignment="1">
      <alignment horizontal="center" vertical="top"/>
    </xf>
    <xf numFmtId="0" fontId="1" fillId="7" borderId="11" xfId="0" applyFont="1" applyFill="1" applyBorder="1" applyAlignment="1">
      <alignment vertical="top"/>
    </xf>
    <xf numFmtId="165" fontId="2" fillId="7" borderId="11" xfId="0" applyNumberFormat="1" applyFont="1" applyFill="1" applyBorder="1" applyAlignment="1">
      <alignment horizontal="center" vertical="top" wrapText="1"/>
    </xf>
    <xf numFmtId="165" fontId="24" fillId="7" borderId="6" xfId="0" applyNumberFormat="1" applyFont="1" applyFill="1" applyBorder="1" applyAlignment="1">
      <alignment horizontal="center" vertical="top" wrapText="1"/>
    </xf>
    <xf numFmtId="167" fontId="24" fillId="0" borderId="5" xfId="0" applyNumberFormat="1" applyFont="1" applyBorder="1" applyAlignment="1">
      <alignment horizontal="center" vertical="top"/>
    </xf>
    <xf numFmtId="167" fontId="24" fillId="0" borderId="8" xfId="0" applyNumberFormat="1" applyFont="1" applyBorder="1" applyAlignment="1">
      <alignment horizontal="center" vertical="top"/>
    </xf>
    <xf numFmtId="165" fontId="24" fillId="7" borderId="46" xfId="0" applyNumberFormat="1" applyFont="1" applyFill="1" applyBorder="1" applyAlignment="1">
      <alignment horizontal="center" vertical="top"/>
    </xf>
    <xf numFmtId="167" fontId="24" fillId="7" borderId="5" xfId="0" applyNumberFormat="1" applyFont="1" applyFill="1" applyBorder="1" applyAlignment="1">
      <alignment horizontal="center" vertical="top"/>
    </xf>
    <xf numFmtId="0" fontId="24" fillId="7" borderId="5" xfId="0" applyFont="1" applyFill="1" applyBorder="1" applyAlignment="1">
      <alignment vertical="top"/>
    </xf>
    <xf numFmtId="3" fontId="24" fillId="7" borderId="8" xfId="0" applyNumberFormat="1" applyFont="1" applyFill="1" applyBorder="1" applyAlignment="1">
      <alignment horizontal="center" vertical="top" wrapText="1"/>
    </xf>
    <xf numFmtId="165" fontId="24" fillId="7" borderId="8" xfId="0" applyNumberFormat="1" applyFont="1" applyFill="1" applyBorder="1" applyAlignment="1">
      <alignment horizontal="center" vertical="center"/>
    </xf>
    <xf numFmtId="165" fontId="24" fillId="7" borderId="12" xfId="0" applyNumberFormat="1" applyFont="1" applyFill="1" applyBorder="1" applyAlignment="1">
      <alignment horizontal="center" vertical="center"/>
    </xf>
    <xf numFmtId="3" fontId="24" fillId="7" borderId="12" xfId="0" applyNumberFormat="1" applyFont="1" applyFill="1" applyBorder="1" applyAlignment="1">
      <alignment horizontal="center" vertical="top" wrapText="1"/>
    </xf>
    <xf numFmtId="0" fontId="24" fillId="7" borderId="20" xfId="0" applyFont="1" applyFill="1" applyBorder="1" applyAlignment="1">
      <alignment horizontal="center" vertical="top"/>
    </xf>
    <xf numFmtId="165" fontId="24" fillId="0" borderId="8" xfId="0" applyNumberFormat="1" applyFont="1" applyFill="1" applyBorder="1" applyAlignment="1">
      <alignment horizontal="center" vertical="top"/>
    </xf>
    <xf numFmtId="165" fontId="24" fillId="0" borderId="12" xfId="0" applyNumberFormat="1" applyFont="1" applyFill="1" applyBorder="1" applyAlignment="1">
      <alignment horizontal="center" vertical="top"/>
    </xf>
    <xf numFmtId="165" fontId="24" fillId="7" borderId="5" xfId="0" applyNumberFormat="1" applyFont="1" applyFill="1" applyBorder="1" applyAlignment="1">
      <alignment horizontal="center" vertical="center"/>
    </xf>
    <xf numFmtId="165" fontId="24" fillId="7" borderId="85" xfId="0" applyNumberFormat="1" applyFont="1" applyFill="1" applyBorder="1" applyAlignment="1">
      <alignment horizontal="center" vertical="center"/>
    </xf>
    <xf numFmtId="165" fontId="24" fillId="7" borderId="15" xfId="0" applyNumberFormat="1" applyFont="1" applyFill="1" applyBorder="1" applyAlignment="1">
      <alignment horizontal="center" vertical="center"/>
    </xf>
    <xf numFmtId="165" fontId="24" fillId="0" borderId="86" xfId="0" applyNumberFormat="1" applyFont="1" applyBorder="1" applyAlignment="1">
      <alignment horizontal="center" vertical="top"/>
    </xf>
    <xf numFmtId="165" fontId="24" fillId="0" borderId="14" xfId="0" applyNumberFormat="1" applyFont="1" applyBorder="1" applyAlignment="1">
      <alignment horizontal="center" vertical="top"/>
    </xf>
    <xf numFmtId="0" fontId="24" fillId="7" borderId="85" xfId="0" applyFont="1" applyFill="1" applyBorder="1" applyAlignment="1">
      <alignment horizontal="center" vertical="top"/>
    </xf>
    <xf numFmtId="0" fontId="24" fillId="7" borderId="8" xfId="0" applyFont="1" applyFill="1" applyBorder="1" applyAlignment="1">
      <alignment horizontal="center" vertical="top"/>
    </xf>
    <xf numFmtId="165" fontId="2" fillId="9" borderId="25" xfId="0" applyNumberFormat="1" applyFont="1" applyFill="1" applyBorder="1" applyAlignment="1">
      <alignment horizontal="center" vertical="top"/>
    </xf>
    <xf numFmtId="165" fontId="2" fillId="2" borderId="8" xfId="0" applyNumberFormat="1" applyFont="1" applyFill="1" applyBorder="1" applyAlignment="1">
      <alignment horizontal="center" vertical="top"/>
    </xf>
    <xf numFmtId="0" fontId="1" fillId="7" borderId="12" xfId="0" applyFont="1" applyFill="1" applyBorder="1" applyAlignment="1">
      <alignment horizontal="center" vertical="center"/>
    </xf>
    <xf numFmtId="165" fontId="1" fillId="7" borderId="8" xfId="0" applyNumberFormat="1" applyFont="1" applyFill="1" applyBorder="1" applyAlignment="1">
      <alignment vertical="top" wrapText="1"/>
    </xf>
    <xf numFmtId="165" fontId="1" fillId="7" borderId="8" xfId="0" applyNumberFormat="1" applyFont="1" applyFill="1" applyBorder="1" applyAlignment="1">
      <alignment horizontal="left" vertical="top" wrapText="1"/>
    </xf>
    <xf numFmtId="165" fontId="1" fillId="7" borderId="14" xfId="0" applyNumberFormat="1" applyFont="1" applyFill="1" applyBorder="1" applyAlignment="1">
      <alignment horizontal="left" vertical="top" wrapText="1"/>
    </xf>
    <xf numFmtId="165" fontId="1" fillId="7" borderId="25" xfId="0" applyNumberFormat="1" applyFont="1" applyFill="1" applyBorder="1" applyAlignment="1">
      <alignment horizontal="left" vertical="top" wrapText="1"/>
    </xf>
    <xf numFmtId="165" fontId="2" fillId="9" borderId="5" xfId="0" applyNumberFormat="1" applyFont="1" applyFill="1" applyBorder="1" applyAlignment="1">
      <alignment horizontal="center" vertical="top"/>
    </xf>
    <xf numFmtId="165" fontId="2" fillId="8" borderId="8" xfId="0" applyNumberFormat="1" applyFont="1" applyFill="1" applyBorder="1" applyAlignment="1">
      <alignment horizontal="center" vertical="top"/>
    </xf>
    <xf numFmtId="165" fontId="2" fillId="7" borderId="14" xfId="0" applyNumberFormat="1" applyFont="1" applyFill="1" applyBorder="1" applyAlignment="1">
      <alignment horizontal="center" vertical="top" wrapText="1"/>
    </xf>
    <xf numFmtId="165" fontId="2" fillId="7" borderId="8" xfId="0" applyNumberFormat="1" applyFont="1" applyFill="1" applyBorder="1" applyAlignment="1">
      <alignment horizontal="center" vertical="top" wrapText="1"/>
    </xf>
    <xf numFmtId="49" fontId="2" fillId="8" borderId="8" xfId="0" applyNumberFormat="1" applyFont="1" applyFill="1" applyBorder="1" applyAlignment="1">
      <alignment horizontal="center" vertical="top"/>
    </xf>
    <xf numFmtId="165" fontId="2" fillId="7" borderId="21" xfId="0" applyNumberFormat="1" applyFont="1" applyFill="1" applyBorder="1" applyAlignment="1">
      <alignment horizontal="center" vertical="top" wrapText="1"/>
    </xf>
    <xf numFmtId="165" fontId="1" fillId="7" borderId="68" xfId="0" applyNumberFormat="1" applyFont="1" applyFill="1" applyBorder="1" applyAlignment="1">
      <alignment horizontal="center" vertical="top"/>
    </xf>
    <xf numFmtId="49" fontId="2" fillId="9" borderId="5" xfId="0" applyNumberFormat="1" applyFont="1" applyFill="1" applyBorder="1" applyAlignment="1">
      <alignment horizontal="center" vertical="top"/>
    </xf>
    <xf numFmtId="165" fontId="1" fillId="7" borderId="8" xfId="0" applyNumberFormat="1" applyFont="1" applyFill="1" applyBorder="1" applyAlignment="1">
      <alignment horizontal="center" vertical="top"/>
    </xf>
    <xf numFmtId="165" fontId="2" fillId="2" borderId="36" xfId="0" applyNumberFormat="1" applyFont="1" applyFill="1" applyBorder="1" applyAlignment="1">
      <alignment horizontal="center" vertical="top"/>
    </xf>
    <xf numFmtId="165" fontId="2" fillId="5" borderId="9" xfId="0" applyNumberFormat="1" applyFont="1" applyFill="1" applyBorder="1" applyAlignment="1">
      <alignment horizontal="center" vertical="top" wrapText="1"/>
    </xf>
    <xf numFmtId="165" fontId="2" fillId="9" borderId="5" xfId="0" applyNumberFormat="1" applyFont="1" applyFill="1" applyBorder="1" applyAlignment="1">
      <alignment horizontal="center" vertical="top"/>
    </xf>
    <xf numFmtId="165" fontId="2" fillId="2" borderId="36" xfId="0" applyNumberFormat="1" applyFont="1" applyFill="1" applyBorder="1" applyAlignment="1">
      <alignment horizontal="center" vertical="top"/>
    </xf>
    <xf numFmtId="165" fontId="2" fillId="8" borderId="8" xfId="0" applyNumberFormat="1" applyFont="1" applyFill="1" applyBorder="1" applyAlignment="1">
      <alignment horizontal="center" vertical="top"/>
    </xf>
    <xf numFmtId="165" fontId="1" fillId="7" borderId="85" xfId="0" applyNumberFormat="1" applyFont="1" applyFill="1" applyBorder="1" applyAlignment="1">
      <alignment horizontal="center" vertical="top"/>
    </xf>
    <xf numFmtId="165" fontId="1" fillId="7" borderId="14" xfId="0" applyNumberFormat="1" applyFont="1" applyFill="1" applyBorder="1" applyAlignment="1">
      <alignment horizontal="center" vertical="top"/>
    </xf>
    <xf numFmtId="165" fontId="1" fillId="7" borderId="8" xfId="0" applyNumberFormat="1" applyFont="1" applyFill="1" applyBorder="1" applyAlignment="1">
      <alignment horizontal="center" vertical="top"/>
    </xf>
    <xf numFmtId="165" fontId="1" fillId="7" borderId="15" xfId="0" applyNumberFormat="1" applyFont="1" applyFill="1" applyBorder="1" applyAlignment="1">
      <alignment horizontal="center" vertical="top"/>
    </xf>
    <xf numFmtId="165" fontId="1" fillId="7" borderId="12" xfId="0" applyNumberFormat="1" applyFont="1" applyFill="1" applyBorder="1" applyAlignment="1">
      <alignment horizontal="center" vertical="top"/>
    </xf>
    <xf numFmtId="165" fontId="2" fillId="9" borderId="25" xfId="0" applyNumberFormat="1" applyFont="1" applyFill="1" applyBorder="1" applyAlignment="1">
      <alignment horizontal="center" vertical="top"/>
    </xf>
    <xf numFmtId="165" fontId="2" fillId="2" borderId="8" xfId="0" applyNumberFormat="1" applyFont="1" applyFill="1" applyBorder="1" applyAlignment="1">
      <alignment horizontal="center" vertical="top"/>
    </xf>
    <xf numFmtId="165" fontId="1" fillId="7" borderId="34" xfId="0" applyNumberFormat="1" applyFont="1" applyFill="1" applyBorder="1" applyAlignment="1">
      <alignment horizontal="left" vertical="top" wrapText="1"/>
    </xf>
    <xf numFmtId="165" fontId="1" fillId="7" borderId="36" xfId="0" applyNumberFormat="1" applyFont="1" applyFill="1" applyBorder="1" applyAlignment="1">
      <alignment horizontal="left" vertical="top" wrapText="1"/>
    </xf>
    <xf numFmtId="165" fontId="1" fillId="7" borderId="6" xfId="0" applyNumberFormat="1" applyFont="1" applyFill="1" applyBorder="1" applyAlignment="1">
      <alignment horizontal="left" vertical="top" wrapText="1"/>
    </xf>
    <xf numFmtId="165" fontId="1" fillId="7" borderId="4" xfId="0" applyNumberFormat="1" applyFont="1" applyFill="1" applyBorder="1" applyAlignment="1">
      <alignment horizontal="left" vertical="top" wrapText="1"/>
    </xf>
    <xf numFmtId="165" fontId="1" fillId="7" borderId="17" xfId="0" applyNumberFormat="1" applyFont="1" applyFill="1" applyBorder="1" applyAlignment="1">
      <alignment horizontal="left" vertical="top" wrapText="1"/>
    </xf>
    <xf numFmtId="165" fontId="2" fillId="9" borderId="5" xfId="0" applyNumberFormat="1" applyFont="1" applyFill="1" applyBorder="1" applyAlignment="1">
      <alignment horizontal="center" vertical="top"/>
    </xf>
    <xf numFmtId="165" fontId="2" fillId="2" borderId="36" xfId="0" applyNumberFormat="1" applyFont="1" applyFill="1" applyBorder="1" applyAlignment="1">
      <alignment horizontal="center" vertical="top"/>
    </xf>
    <xf numFmtId="165" fontId="2" fillId="8" borderId="8" xfId="0" applyNumberFormat="1" applyFont="1" applyFill="1" applyBorder="1" applyAlignment="1">
      <alignment horizontal="center" vertical="top"/>
    </xf>
    <xf numFmtId="165" fontId="1" fillId="7" borderId="46" xfId="0" applyNumberFormat="1" applyFont="1" applyFill="1" applyBorder="1" applyAlignment="1">
      <alignment horizontal="left" vertical="top" wrapText="1"/>
    </xf>
    <xf numFmtId="0" fontId="1" fillId="0" borderId="67" xfId="0" applyNumberFormat="1" applyFont="1" applyFill="1" applyBorder="1" applyAlignment="1">
      <alignment horizontal="left" vertical="top" wrapText="1"/>
    </xf>
    <xf numFmtId="165" fontId="1" fillId="7" borderId="14" xfId="0" applyNumberFormat="1" applyFont="1" applyFill="1" applyBorder="1" applyAlignment="1">
      <alignment horizontal="left" vertical="top" wrapText="1"/>
    </xf>
    <xf numFmtId="165" fontId="1" fillId="7" borderId="21" xfId="0" applyNumberFormat="1" applyFont="1" applyFill="1" applyBorder="1" applyAlignment="1">
      <alignment horizontal="left" vertical="top" wrapText="1"/>
    </xf>
    <xf numFmtId="165" fontId="1" fillId="7" borderId="34" xfId="0" applyNumberFormat="1" applyFont="1" applyFill="1" applyBorder="1" applyAlignment="1">
      <alignment vertical="top" wrapText="1"/>
    </xf>
    <xf numFmtId="165" fontId="1" fillId="7" borderId="36" xfId="0" applyNumberFormat="1" applyFont="1" applyFill="1" applyBorder="1" applyAlignment="1">
      <alignment vertical="top" wrapText="1"/>
    </xf>
    <xf numFmtId="0" fontId="1" fillId="7" borderId="67" xfId="0" applyFont="1" applyFill="1" applyBorder="1" applyAlignment="1">
      <alignment horizontal="left" vertical="top" wrapText="1"/>
    </xf>
    <xf numFmtId="0" fontId="1" fillId="7" borderId="21" xfId="0" applyFont="1" applyFill="1" applyBorder="1" applyAlignment="1">
      <alignment horizontal="left" vertical="top" wrapText="1"/>
    </xf>
    <xf numFmtId="49" fontId="2" fillId="8" borderId="8" xfId="0" applyNumberFormat="1" applyFont="1" applyFill="1" applyBorder="1" applyAlignment="1">
      <alignment horizontal="center" vertical="top"/>
    </xf>
    <xf numFmtId="165" fontId="1" fillId="7" borderId="14" xfId="0" applyNumberFormat="1" applyFont="1" applyFill="1" applyBorder="1" applyAlignment="1">
      <alignment vertical="top" wrapText="1"/>
    </xf>
    <xf numFmtId="165" fontId="1" fillId="7" borderId="8" xfId="0" applyNumberFormat="1" applyFont="1" applyFill="1" applyBorder="1" applyAlignment="1">
      <alignment vertical="top" wrapText="1"/>
    </xf>
    <xf numFmtId="165" fontId="1" fillId="7" borderId="21" xfId="0" applyNumberFormat="1" applyFont="1" applyFill="1" applyBorder="1" applyAlignment="1">
      <alignment vertical="top" wrapText="1"/>
    </xf>
    <xf numFmtId="0" fontId="1" fillId="0" borderId="67" xfId="0" applyFont="1" applyBorder="1" applyAlignment="1">
      <alignment horizontal="left" vertical="top" wrapText="1"/>
    </xf>
    <xf numFmtId="0" fontId="1" fillId="0" borderId="57" xfId="0" applyFont="1" applyBorder="1" applyAlignment="1">
      <alignment horizontal="left" vertical="top" wrapText="1"/>
    </xf>
    <xf numFmtId="167" fontId="1" fillId="7" borderId="88" xfId="0" applyNumberFormat="1" applyFont="1" applyFill="1" applyBorder="1" applyAlignment="1">
      <alignment horizontal="center" vertical="top"/>
    </xf>
    <xf numFmtId="167" fontId="1" fillId="7" borderId="89" xfId="0" applyNumberFormat="1" applyFont="1" applyFill="1" applyBorder="1" applyAlignment="1">
      <alignment horizontal="center" vertical="top"/>
    </xf>
    <xf numFmtId="167" fontId="1" fillId="7" borderId="67" xfId="0" applyNumberFormat="1" applyFont="1" applyFill="1" applyBorder="1" applyAlignment="1">
      <alignment horizontal="center" vertical="top"/>
    </xf>
    <xf numFmtId="167" fontId="1" fillId="7" borderId="57" xfId="0" applyNumberFormat="1" applyFont="1" applyFill="1" applyBorder="1" applyAlignment="1">
      <alignment horizontal="center" vertical="top"/>
    </xf>
    <xf numFmtId="165" fontId="1" fillId="7" borderId="67" xfId="0" applyNumberFormat="1" applyFont="1" applyFill="1" applyBorder="1" applyAlignment="1">
      <alignment vertical="top" wrapText="1"/>
    </xf>
    <xf numFmtId="165" fontId="2" fillId="2" borderId="55" xfId="0" applyNumberFormat="1" applyFont="1" applyFill="1" applyBorder="1" applyAlignment="1">
      <alignment horizontal="right" vertical="top"/>
    </xf>
    <xf numFmtId="165" fontId="2" fillId="2" borderId="51" xfId="0" applyNumberFormat="1" applyFont="1" applyFill="1" applyBorder="1" applyAlignment="1">
      <alignment horizontal="right" vertical="top"/>
    </xf>
    <xf numFmtId="165" fontId="2" fillId="2" borderId="52" xfId="0" applyNumberFormat="1" applyFont="1" applyFill="1" applyBorder="1" applyAlignment="1">
      <alignment horizontal="right" vertical="top"/>
    </xf>
    <xf numFmtId="165" fontId="1" fillId="7" borderId="64" xfId="0" applyNumberFormat="1" applyFont="1" applyFill="1" applyBorder="1" applyAlignment="1">
      <alignment horizontal="left" vertical="top" wrapText="1"/>
    </xf>
    <xf numFmtId="0" fontId="1" fillId="7" borderId="6" xfId="0" applyFont="1" applyFill="1" applyBorder="1" applyAlignment="1">
      <alignment horizontal="left" vertical="top" wrapText="1"/>
    </xf>
    <xf numFmtId="0" fontId="1" fillId="0" borderId="68" xfId="0" applyFont="1" applyBorder="1" applyAlignment="1">
      <alignment horizontal="left" vertical="top" wrapText="1"/>
    </xf>
    <xf numFmtId="0" fontId="1" fillId="0" borderId="4" xfId="0" applyFont="1" applyBorder="1" applyAlignment="1">
      <alignment horizontal="left" vertical="top" wrapText="1"/>
    </xf>
    <xf numFmtId="165" fontId="1" fillId="7" borderId="26" xfId="0" applyNumberFormat="1" applyFont="1" applyFill="1" applyBorder="1" applyAlignment="1">
      <alignment vertical="top" wrapText="1"/>
    </xf>
    <xf numFmtId="165" fontId="1" fillId="7" borderId="8" xfId="0" applyNumberFormat="1" applyFont="1" applyFill="1" applyBorder="1" applyAlignment="1">
      <alignment horizontal="left" vertical="top" wrapText="1"/>
    </xf>
    <xf numFmtId="165" fontId="1" fillId="2" borderId="51" xfId="0" applyNumberFormat="1" applyFont="1" applyFill="1" applyBorder="1" applyAlignment="1">
      <alignment horizontal="center" vertical="top" wrapText="1"/>
    </xf>
    <xf numFmtId="165" fontId="1" fillId="2" borderId="52" xfId="0" applyNumberFormat="1" applyFont="1" applyFill="1" applyBorder="1" applyAlignment="1">
      <alignment horizontal="center" vertical="top" wrapText="1"/>
    </xf>
    <xf numFmtId="165" fontId="1" fillId="7" borderId="67" xfId="0" applyNumberFormat="1" applyFont="1" applyFill="1" applyBorder="1" applyAlignment="1">
      <alignment horizontal="left" vertical="top" wrapText="1"/>
    </xf>
    <xf numFmtId="165" fontId="1" fillId="12" borderId="41" xfId="0" applyNumberFormat="1" applyFont="1" applyFill="1" applyBorder="1" applyAlignment="1">
      <alignment horizontal="center" vertical="top" wrapText="1"/>
    </xf>
    <xf numFmtId="165" fontId="1" fillId="12" borderId="51" xfId="0" applyNumberFormat="1" applyFont="1" applyFill="1" applyBorder="1" applyAlignment="1">
      <alignment horizontal="center" vertical="top" wrapText="1"/>
    </xf>
    <xf numFmtId="165" fontId="1" fillId="12" borderId="52" xfId="0" applyNumberFormat="1" applyFont="1" applyFill="1" applyBorder="1" applyAlignment="1">
      <alignment horizontal="center" vertical="top" wrapText="1"/>
    </xf>
    <xf numFmtId="165" fontId="1" fillId="7" borderId="37" xfId="0" applyNumberFormat="1" applyFont="1" applyFill="1" applyBorder="1" applyAlignment="1">
      <alignment horizontal="left" vertical="top" wrapText="1"/>
    </xf>
    <xf numFmtId="0" fontId="5" fillId="7" borderId="21" xfId="0" applyFont="1" applyFill="1" applyBorder="1" applyAlignment="1">
      <alignment vertical="top" wrapText="1"/>
    </xf>
    <xf numFmtId="165" fontId="1" fillId="0" borderId="48" xfId="0" applyNumberFormat="1" applyFont="1" applyBorder="1" applyAlignment="1">
      <alignment horizontal="left" vertical="top" wrapText="1"/>
    </xf>
    <xf numFmtId="165" fontId="1" fillId="0" borderId="45" xfId="0" applyNumberFormat="1" applyFont="1" applyBorder="1" applyAlignment="1">
      <alignment horizontal="left" vertical="top" wrapText="1"/>
    </xf>
    <xf numFmtId="165" fontId="1" fillId="0" borderId="31" xfId="0" applyNumberFormat="1" applyFont="1" applyBorder="1" applyAlignment="1">
      <alignment horizontal="left" vertical="top" wrapText="1"/>
    </xf>
    <xf numFmtId="0" fontId="1" fillId="3" borderId="46" xfId="0" applyFont="1" applyFill="1" applyBorder="1" applyAlignment="1">
      <alignment horizontal="left" vertical="top" wrapText="1"/>
    </xf>
    <xf numFmtId="0" fontId="1" fillId="3" borderId="56" xfId="0" applyFont="1" applyFill="1" applyBorder="1" applyAlignment="1">
      <alignment horizontal="left" vertical="top" wrapText="1"/>
    </xf>
    <xf numFmtId="0" fontId="1" fillId="3" borderId="39" xfId="0" applyFont="1" applyFill="1" applyBorder="1" applyAlignment="1">
      <alignment horizontal="left" vertical="top" wrapText="1"/>
    </xf>
    <xf numFmtId="165" fontId="2" fillId="4" borderId="53" xfId="0" applyNumberFormat="1" applyFont="1" applyFill="1" applyBorder="1" applyAlignment="1">
      <alignment horizontal="right" vertical="top" wrapText="1"/>
    </xf>
    <xf numFmtId="165" fontId="2" fillId="4" borderId="23" xfId="0" applyNumberFormat="1" applyFont="1" applyFill="1" applyBorder="1" applyAlignment="1">
      <alignment horizontal="right" vertical="top" wrapText="1"/>
    </xf>
    <xf numFmtId="165" fontId="2" fillId="4" borderId="24" xfId="0" applyNumberFormat="1" applyFont="1" applyFill="1" applyBorder="1" applyAlignment="1">
      <alignment horizontal="right" vertical="top" wrapText="1"/>
    </xf>
    <xf numFmtId="165" fontId="2" fillId="8" borderId="48" xfId="0" applyNumberFormat="1" applyFont="1" applyFill="1" applyBorder="1" applyAlignment="1">
      <alignment horizontal="right" vertical="top" wrapText="1"/>
    </xf>
    <xf numFmtId="165" fontId="5" fillId="8" borderId="45" xfId="0" applyNumberFormat="1" applyFont="1" applyFill="1" applyBorder="1" applyAlignment="1">
      <alignment horizontal="right" vertical="top" wrapText="1"/>
    </xf>
    <xf numFmtId="165" fontId="5" fillId="8" borderId="31" xfId="0" applyNumberFormat="1" applyFont="1" applyFill="1" applyBorder="1" applyAlignment="1">
      <alignment horizontal="right" vertical="top" wrapText="1"/>
    </xf>
    <xf numFmtId="165" fontId="2" fillId="9" borderId="55" xfId="0" applyNumberFormat="1" applyFont="1" applyFill="1" applyBorder="1" applyAlignment="1">
      <alignment horizontal="right" vertical="top"/>
    </xf>
    <xf numFmtId="165" fontId="2" fillId="9" borderId="51" xfId="0" applyNumberFormat="1" applyFont="1" applyFill="1" applyBorder="1" applyAlignment="1">
      <alignment horizontal="right" vertical="top"/>
    </xf>
    <xf numFmtId="165" fontId="2" fillId="9" borderId="52" xfId="0" applyNumberFormat="1" applyFont="1" applyFill="1" applyBorder="1" applyAlignment="1">
      <alignment horizontal="right" vertical="top"/>
    </xf>
    <xf numFmtId="165" fontId="2" fillId="5" borderId="55" xfId="0" applyNumberFormat="1" applyFont="1" applyFill="1" applyBorder="1" applyAlignment="1">
      <alignment horizontal="right" vertical="top"/>
    </xf>
    <xf numFmtId="165" fontId="2" fillId="5" borderId="51" xfId="0" applyNumberFormat="1" applyFont="1" applyFill="1" applyBorder="1" applyAlignment="1">
      <alignment horizontal="right" vertical="top"/>
    </xf>
    <xf numFmtId="165" fontId="2" fillId="5" borderId="52" xfId="0" applyNumberFormat="1" applyFont="1" applyFill="1" applyBorder="1" applyAlignment="1">
      <alignment horizontal="right" vertical="top"/>
    </xf>
    <xf numFmtId="165" fontId="2" fillId="5" borderId="48" xfId="0" applyNumberFormat="1" applyFont="1" applyFill="1" applyBorder="1" applyAlignment="1">
      <alignment horizontal="right" vertical="top" wrapText="1"/>
    </xf>
    <xf numFmtId="165" fontId="2" fillId="5" borderId="45" xfId="0" applyNumberFormat="1" applyFont="1" applyFill="1" applyBorder="1" applyAlignment="1">
      <alignment horizontal="right" vertical="top" wrapText="1"/>
    </xf>
    <xf numFmtId="165" fontId="2" fillId="5" borderId="31" xfId="0" applyNumberFormat="1" applyFont="1" applyFill="1" applyBorder="1" applyAlignment="1">
      <alignment horizontal="right" vertical="top" wrapText="1"/>
    </xf>
    <xf numFmtId="165" fontId="1" fillId="3" borderId="46" xfId="0" applyNumberFormat="1" applyFont="1" applyFill="1" applyBorder="1" applyAlignment="1">
      <alignment horizontal="left" vertical="top" wrapText="1"/>
    </xf>
    <xf numFmtId="165" fontId="1" fillId="3" borderId="56" xfId="0" applyNumberFormat="1" applyFont="1" applyFill="1" applyBorder="1" applyAlignment="1">
      <alignment horizontal="left" vertical="top" wrapText="1"/>
    </xf>
    <xf numFmtId="165" fontId="1" fillId="3" borderId="39" xfId="0" applyNumberFormat="1" applyFont="1" applyFill="1" applyBorder="1" applyAlignment="1">
      <alignment horizontal="left" vertical="top" wrapText="1"/>
    </xf>
    <xf numFmtId="165" fontId="1" fillId="3" borderId="48" xfId="0" applyNumberFormat="1" applyFont="1" applyFill="1" applyBorder="1" applyAlignment="1">
      <alignment horizontal="left" vertical="top" wrapText="1"/>
    </xf>
    <xf numFmtId="165" fontId="1" fillId="3" borderId="45" xfId="0" applyNumberFormat="1" applyFont="1" applyFill="1" applyBorder="1" applyAlignment="1">
      <alignment horizontal="left" vertical="top" wrapText="1"/>
    </xf>
    <xf numFmtId="165" fontId="1" fillId="3" borderId="31" xfId="0" applyNumberFormat="1" applyFont="1" applyFill="1" applyBorder="1" applyAlignment="1">
      <alignment horizontal="left" vertical="top" wrapText="1"/>
    </xf>
    <xf numFmtId="3" fontId="2" fillId="0" borderId="41" xfId="0" applyNumberFormat="1" applyFont="1" applyBorder="1" applyAlignment="1">
      <alignment horizontal="center" vertical="center" wrapText="1"/>
    </xf>
    <xf numFmtId="3" fontId="2" fillId="0" borderId="51" xfId="0" applyNumberFormat="1" applyFont="1" applyBorder="1" applyAlignment="1">
      <alignment horizontal="center" vertical="center" wrapText="1"/>
    </xf>
    <xf numFmtId="3" fontId="2" fillId="0" borderId="52" xfId="0" applyNumberFormat="1" applyFont="1" applyBorder="1" applyAlignment="1">
      <alignment horizontal="center" vertical="center" wrapText="1"/>
    </xf>
    <xf numFmtId="165" fontId="2" fillId="5" borderId="49" xfId="0" applyNumberFormat="1" applyFont="1" applyFill="1" applyBorder="1" applyAlignment="1">
      <alignment horizontal="right" vertical="top" wrapText="1"/>
    </xf>
    <xf numFmtId="165" fontId="2" fillId="5" borderId="54" xfId="0" applyNumberFormat="1" applyFont="1" applyFill="1" applyBorder="1" applyAlignment="1">
      <alignment horizontal="right" vertical="top" wrapText="1"/>
    </xf>
    <xf numFmtId="165" fontId="2" fillId="5" borderId="50" xfId="0" applyNumberFormat="1" applyFont="1" applyFill="1" applyBorder="1" applyAlignment="1">
      <alignment horizontal="right" vertical="top" wrapText="1"/>
    </xf>
    <xf numFmtId="165" fontId="2" fillId="0" borderId="0" xfId="0" applyNumberFormat="1" applyFont="1" applyFill="1" applyBorder="1" applyAlignment="1">
      <alignment horizontal="center" vertical="top" wrapText="1"/>
    </xf>
    <xf numFmtId="165" fontId="1" fillId="11" borderId="41" xfId="0" applyNumberFormat="1" applyFont="1" applyFill="1" applyBorder="1" applyAlignment="1">
      <alignment horizontal="center" vertical="top"/>
    </xf>
    <xf numFmtId="165" fontId="1" fillId="11" borderId="51" xfId="0" applyNumberFormat="1" applyFont="1" applyFill="1" applyBorder="1" applyAlignment="1">
      <alignment horizontal="center" vertical="top"/>
    </xf>
    <xf numFmtId="165" fontId="1" fillId="11" borderId="52" xfId="0" applyNumberFormat="1" applyFont="1" applyFill="1" applyBorder="1" applyAlignment="1">
      <alignment horizontal="center" vertical="top"/>
    </xf>
    <xf numFmtId="165" fontId="1" fillId="9" borderId="41" xfId="0" applyNumberFormat="1" applyFont="1" applyFill="1" applyBorder="1" applyAlignment="1">
      <alignment horizontal="center" vertical="top"/>
    </xf>
    <xf numFmtId="165" fontId="1" fillId="9" borderId="51" xfId="0" applyNumberFormat="1" applyFont="1" applyFill="1" applyBorder="1" applyAlignment="1">
      <alignment horizontal="center" vertical="top"/>
    </xf>
    <xf numFmtId="165" fontId="1" fillId="9" borderId="52" xfId="0" applyNumberFormat="1" applyFont="1" applyFill="1" applyBorder="1" applyAlignment="1">
      <alignment horizontal="center" vertical="top"/>
    </xf>
    <xf numFmtId="165" fontId="1" fillId="2" borderId="41" xfId="0" applyNumberFormat="1" applyFont="1" applyFill="1" applyBorder="1" applyAlignment="1">
      <alignment horizontal="center" vertical="top" wrapText="1"/>
    </xf>
    <xf numFmtId="165" fontId="2" fillId="2" borderId="55" xfId="0" applyNumberFormat="1" applyFont="1" applyFill="1" applyBorder="1" applyAlignment="1">
      <alignment horizontal="left" vertical="top"/>
    </xf>
    <xf numFmtId="165" fontId="2" fillId="2" borderId="51" xfId="0" applyNumberFormat="1" applyFont="1" applyFill="1" applyBorder="1" applyAlignment="1">
      <alignment horizontal="left" vertical="top"/>
    </xf>
    <xf numFmtId="165" fontId="2" fillId="2" borderId="52" xfId="0" applyNumberFormat="1" applyFont="1" applyFill="1" applyBorder="1" applyAlignment="1">
      <alignment horizontal="left" vertical="top"/>
    </xf>
    <xf numFmtId="165" fontId="1" fillId="7" borderId="68" xfId="0" applyNumberFormat="1" applyFont="1" applyFill="1" applyBorder="1" applyAlignment="1">
      <alignment horizontal="left" vertical="top" wrapText="1"/>
    </xf>
    <xf numFmtId="0" fontId="1" fillId="7" borderId="28" xfId="0" applyNumberFormat="1" applyFont="1" applyFill="1" applyBorder="1" applyAlignment="1">
      <alignment horizontal="center" vertical="top"/>
    </xf>
    <xf numFmtId="49" fontId="1" fillId="7" borderId="39" xfId="0" applyNumberFormat="1" applyFont="1" applyFill="1" applyBorder="1" applyAlignment="1">
      <alignment horizontal="center" vertical="top"/>
    </xf>
    <xf numFmtId="0" fontId="1" fillId="7" borderId="14" xfId="0" applyFont="1" applyFill="1" applyBorder="1" applyAlignment="1">
      <alignment horizontal="center" vertical="top"/>
    </xf>
    <xf numFmtId="49" fontId="1" fillId="7" borderId="21" xfId="0" applyNumberFormat="1" applyFont="1" applyFill="1" applyBorder="1" applyAlignment="1">
      <alignment horizontal="center" vertical="top"/>
    </xf>
    <xf numFmtId="0" fontId="1" fillId="12" borderId="51" xfId="0" applyFont="1" applyFill="1" applyBorder="1" applyAlignment="1">
      <alignment vertical="top"/>
    </xf>
    <xf numFmtId="0" fontId="1" fillId="12" borderId="52" xfId="0" applyFont="1" applyFill="1" applyBorder="1" applyAlignment="1">
      <alignment vertical="top"/>
    </xf>
    <xf numFmtId="0" fontId="1" fillId="7" borderId="33" xfId="0" applyFont="1" applyFill="1" applyBorder="1" applyAlignment="1">
      <alignment horizontal="center" vertical="top"/>
    </xf>
    <xf numFmtId="49" fontId="1" fillId="7" borderId="13" xfId="0" applyNumberFormat="1" applyFont="1" applyFill="1" applyBorder="1" applyAlignment="1">
      <alignment horizontal="center" vertical="top"/>
    </xf>
    <xf numFmtId="165" fontId="2" fillId="7" borderId="14" xfId="0" applyNumberFormat="1" applyFont="1" applyFill="1" applyBorder="1" applyAlignment="1">
      <alignment horizontal="center" vertical="top" wrapText="1"/>
    </xf>
    <xf numFmtId="165" fontId="2" fillId="7" borderId="8" xfId="0" applyNumberFormat="1" applyFont="1" applyFill="1" applyBorder="1" applyAlignment="1">
      <alignment horizontal="center" vertical="top" wrapText="1"/>
    </xf>
    <xf numFmtId="165" fontId="2" fillId="7" borderId="21" xfId="0" applyNumberFormat="1" applyFont="1" applyFill="1" applyBorder="1" applyAlignment="1">
      <alignment horizontal="center" vertical="top" wrapText="1"/>
    </xf>
    <xf numFmtId="165" fontId="1" fillId="7" borderId="25" xfId="0" applyNumberFormat="1" applyFont="1" applyFill="1" applyBorder="1" applyAlignment="1">
      <alignment horizontal="left" vertical="top" wrapText="1"/>
    </xf>
    <xf numFmtId="165" fontId="1" fillId="7" borderId="33" xfId="0" applyNumberFormat="1" applyFont="1" applyFill="1" applyBorder="1" applyAlignment="1">
      <alignment horizontal="left" vertical="top" wrapText="1"/>
    </xf>
    <xf numFmtId="165" fontId="1" fillId="7" borderId="35" xfId="0" applyNumberFormat="1" applyFont="1" applyFill="1" applyBorder="1" applyAlignment="1">
      <alignment horizontal="left" vertical="top" wrapText="1"/>
    </xf>
    <xf numFmtId="165" fontId="2" fillId="8" borderId="45" xfId="0" applyNumberFormat="1" applyFont="1" applyFill="1" applyBorder="1" applyAlignment="1">
      <alignment horizontal="left" vertical="top" wrapText="1"/>
    </xf>
    <xf numFmtId="165" fontId="2" fillId="8" borderId="31" xfId="0" applyNumberFormat="1" applyFont="1" applyFill="1" applyBorder="1" applyAlignment="1">
      <alignment horizontal="left" vertical="top" wrapText="1"/>
    </xf>
    <xf numFmtId="165" fontId="1" fillId="8" borderId="48" xfId="0" applyNumberFormat="1" applyFont="1" applyFill="1" applyBorder="1" applyAlignment="1">
      <alignment vertical="top" wrapText="1"/>
    </xf>
    <xf numFmtId="165" fontId="5" fillId="8" borderId="45" xfId="0" applyNumberFormat="1" applyFont="1" applyFill="1" applyBorder="1" applyAlignment="1">
      <alignment vertical="top" wrapText="1"/>
    </xf>
    <xf numFmtId="165" fontId="5" fillId="8" borderId="31" xfId="0" applyNumberFormat="1" applyFont="1" applyFill="1" applyBorder="1" applyAlignment="1">
      <alignment vertical="top" wrapText="1"/>
    </xf>
    <xf numFmtId="165" fontId="1" fillId="7" borderId="48" xfId="0" applyNumberFormat="1" applyFont="1" applyFill="1" applyBorder="1" applyAlignment="1">
      <alignment horizontal="left" vertical="top" wrapText="1"/>
    </xf>
    <xf numFmtId="165" fontId="1" fillId="7" borderId="45" xfId="0" applyNumberFormat="1" applyFont="1" applyFill="1" applyBorder="1" applyAlignment="1">
      <alignment horizontal="left" vertical="top" wrapText="1"/>
    </xf>
    <xf numFmtId="165" fontId="1" fillId="7" borderId="31" xfId="0" applyNumberFormat="1" applyFont="1" applyFill="1" applyBorder="1" applyAlignment="1">
      <alignment horizontal="left" vertical="top" wrapText="1"/>
    </xf>
    <xf numFmtId="165" fontId="1" fillId="7" borderId="56" xfId="0" applyNumberFormat="1" applyFont="1" applyFill="1" applyBorder="1" applyAlignment="1">
      <alignment horizontal="left" vertical="top" wrapText="1"/>
    </xf>
    <xf numFmtId="165" fontId="1" fillId="7" borderId="39" xfId="0" applyNumberFormat="1" applyFont="1" applyFill="1" applyBorder="1" applyAlignment="1">
      <alignment horizontal="left" vertical="top" wrapText="1"/>
    </xf>
    <xf numFmtId="165" fontId="2" fillId="8" borderId="48" xfId="0" applyNumberFormat="1" applyFont="1" applyFill="1" applyBorder="1" applyAlignment="1">
      <alignment horizontal="left" vertical="top" wrapText="1"/>
    </xf>
    <xf numFmtId="3" fontId="1" fillId="0" borderId="38" xfId="0" applyNumberFormat="1" applyFont="1" applyFill="1" applyBorder="1" applyAlignment="1">
      <alignment horizontal="left" vertical="top" wrapText="1"/>
    </xf>
    <xf numFmtId="0" fontId="15" fillId="7" borderId="67" xfId="0" applyFont="1" applyFill="1" applyBorder="1" applyAlignment="1">
      <alignment horizontal="left" vertical="top" wrapText="1"/>
    </xf>
    <xf numFmtId="0" fontId="15" fillId="7" borderId="8" xfId="0" applyFont="1" applyFill="1" applyBorder="1" applyAlignment="1">
      <alignment horizontal="left" vertical="top" wrapText="1"/>
    </xf>
    <xf numFmtId="0" fontId="1" fillId="7" borderId="14" xfId="0" applyFont="1" applyFill="1" applyBorder="1" applyAlignment="1">
      <alignment horizontal="left" vertical="top" wrapText="1"/>
    </xf>
    <xf numFmtId="0" fontId="5" fillId="7" borderId="8" xfId="0" applyFont="1" applyFill="1" applyBorder="1" applyAlignment="1">
      <alignment vertical="top" wrapText="1"/>
    </xf>
    <xf numFmtId="165" fontId="1" fillId="8" borderId="8" xfId="0" applyNumberFormat="1" applyFont="1" applyFill="1" applyBorder="1" applyAlignment="1">
      <alignment horizontal="center" vertical="center" textRotation="90" wrapText="1"/>
    </xf>
    <xf numFmtId="0" fontId="1" fillId="7" borderId="14" xfId="0" applyFont="1" applyFill="1" applyBorder="1" applyAlignment="1">
      <alignment vertical="top" wrapText="1"/>
    </xf>
    <xf numFmtId="165" fontId="5" fillId="7" borderId="21" xfId="0" applyNumberFormat="1" applyFont="1" applyFill="1" applyBorder="1" applyAlignment="1">
      <alignment horizontal="left" vertical="top" wrapText="1"/>
    </xf>
    <xf numFmtId="0" fontId="11" fillId="0" borderId="0" xfId="0" applyFont="1" applyAlignment="1">
      <alignment horizontal="center" vertical="top"/>
    </xf>
    <xf numFmtId="0" fontId="1" fillId="0" borderId="3" xfId="0" applyFont="1" applyBorder="1" applyAlignment="1">
      <alignment horizontal="center" vertical="center" textRotation="90" wrapText="1"/>
    </xf>
    <xf numFmtId="0" fontId="1" fillId="0" borderId="5" xfId="0" applyFont="1" applyBorder="1" applyAlignment="1">
      <alignment horizontal="center" vertical="center" textRotation="90" wrapText="1"/>
    </xf>
    <xf numFmtId="0" fontId="1" fillId="0" borderId="7" xfId="0" applyFont="1" applyBorder="1" applyAlignment="1">
      <alignment horizontal="center" vertical="center" textRotation="90" wrapText="1"/>
    </xf>
    <xf numFmtId="0" fontId="1" fillId="0" borderId="18"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22" xfId="0" applyFont="1" applyBorder="1" applyAlignment="1">
      <alignment horizontal="center" vertical="center" textRotation="90" wrapText="1"/>
    </xf>
    <xf numFmtId="0" fontId="1" fillId="0" borderId="19" xfId="0" applyFont="1" applyBorder="1" applyAlignment="1">
      <alignment horizontal="center" vertical="center" textRotation="90" wrapText="1"/>
    </xf>
    <xf numFmtId="0" fontId="1" fillId="0" borderId="12" xfId="0" applyFont="1" applyBorder="1" applyAlignment="1">
      <alignment horizontal="center" vertical="center" textRotation="90" wrapText="1"/>
    </xf>
    <xf numFmtId="0" fontId="1" fillId="0" borderId="96" xfId="0" applyFont="1" applyBorder="1" applyAlignment="1">
      <alignment horizontal="center" vertical="center" textRotation="90" wrapText="1"/>
    </xf>
    <xf numFmtId="0" fontId="1" fillId="0" borderId="29"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23" xfId="0" applyFont="1" applyBorder="1" applyAlignment="1">
      <alignment horizontal="right" vertical="top"/>
    </xf>
    <xf numFmtId="49" fontId="1" fillId="8" borderId="8" xfId="0" applyNumberFormat="1" applyFont="1" applyFill="1" applyBorder="1" applyAlignment="1">
      <alignment horizontal="center" vertical="center" textRotation="90" wrapText="1"/>
    </xf>
    <xf numFmtId="0" fontId="3" fillId="5" borderId="48" xfId="0" applyFont="1" applyFill="1" applyBorder="1" applyAlignment="1">
      <alignment horizontal="left" vertical="top" wrapText="1"/>
    </xf>
    <xf numFmtId="0" fontId="3" fillId="5" borderId="45" xfId="0" applyFont="1" applyFill="1" applyBorder="1" applyAlignment="1">
      <alignment horizontal="left" vertical="top" wrapText="1"/>
    </xf>
    <xf numFmtId="0" fontId="2" fillId="9" borderId="34" xfId="0" applyFont="1" applyFill="1" applyBorder="1" applyAlignment="1">
      <alignment horizontal="left" vertical="top" wrapText="1"/>
    </xf>
    <xf numFmtId="0" fontId="2" fillId="9" borderId="43"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45" xfId="0" applyFont="1" applyFill="1" applyBorder="1" applyAlignment="1">
      <alignment horizontal="left" vertical="top" wrapText="1"/>
    </xf>
    <xf numFmtId="0" fontId="1" fillId="7" borderId="34" xfId="0" applyFont="1" applyFill="1" applyBorder="1" applyAlignment="1">
      <alignment horizontal="left" vertical="top" wrapText="1"/>
    </xf>
    <xf numFmtId="0" fontId="1" fillId="7" borderId="36" xfId="0" applyFont="1" applyFill="1" applyBorder="1" applyAlignment="1">
      <alignment horizontal="left" vertical="top" wrapText="1"/>
    </xf>
    <xf numFmtId="0" fontId="1" fillId="7" borderId="26" xfId="0" applyFont="1" applyFill="1" applyBorder="1" applyAlignment="1">
      <alignment horizontal="left" vertical="top" wrapText="1"/>
    </xf>
    <xf numFmtId="49" fontId="3" fillId="6" borderId="49" xfId="0" applyNumberFormat="1" applyFont="1" applyFill="1" applyBorder="1" applyAlignment="1">
      <alignment horizontal="left" vertical="top" wrapText="1"/>
    </xf>
    <xf numFmtId="49" fontId="3" fillId="6" borderId="54" xfId="0" applyNumberFormat="1" applyFont="1" applyFill="1" applyBorder="1" applyAlignment="1">
      <alignment horizontal="left" vertical="top" wrapText="1"/>
    </xf>
    <xf numFmtId="3" fontId="1" fillId="0" borderId="18" xfId="0" applyNumberFormat="1" applyFont="1" applyBorder="1" applyAlignment="1">
      <alignment horizontal="center" vertical="center" textRotation="90" shrinkToFit="1"/>
    </xf>
    <xf numFmtId="3" fontId="1" fillId="0" borderId="8" xfId="0" applyNumberFormat="1" applyFont="1" applyBorder="1" applyAlignment="1">
      <alignment horizontal="center" vertical="center" textRotation="90" shrinkToFit="1"/>
    </xf>
    <xf numFmtId="3" fontId="1" fillId="0" borderId="22" xfId="0" applyNumberFormat="1" applyFont="1" applyBorder="1" applyAlignment="1">
      <alignment horizontal="center" vertical="center" textRotation="90" shrinkToFit="1"/>
    </xf>
    <xf numFmtId="3" fontId="1" fillId="0" borderId="29" xfId="0" applyNumberFormat="1" applyFont="1" applyBorder="1" applyAlignment="1">
      <alignment horizontal="center" vertical="center" textRotation="90" wrapText="1" shrinkToFit="1"/>
    </xf>
    <xf numFmtId="3" fontId="1" fillId="0" borderId="4" xfId="0" applyNumberFormat="1" applyFont="1" applyBorder="1" applyAlignment="1">
      <alignment horizontal="center" vertical="center" textRotation="90" wrapText="1" shrinkToFit="1"/>
    </xf>
    <xf numFmtId="3" fontId="1" fillId="0" borderId="47" xfId="0" applyNumberFormat="1" applyFont="1" applyBorder="1" applyAlignment="1">
      <alignment horizontal="center" vertical="center" textRotation="90" wrapText="1" shrinkToFit="1"/>
    </xf>
    <xf numFmtId="3" fontId="1" fillId="0" borderId="3" xfId="0" applyNumberFormat="1" applyFont="1" applyBorder="1" applyAlignment="1">
      <alignment horizontal="center" vertical="center" textRotation="90" shrinkToFit="1"/>
    </xf>
    <xf numFmtId="3" fontId="1" fillId="0" borderId="5" xfId="0" applyNumberFormat="1" applyFont="1" applyBorder="1" applyAlignment="1">
      <alignment horizontal="center" vertical="center" textRotation="90" shrinkToFit="1"/>
    </xf>
    <xf numFmtId="3" fontId="1" fillId="0" borderId="7" xfId="0" applyNumberFormat="1" applyFont="1" applyBorder="1" applyAlignment="1">
      <alignment horizontal="center" vertical="center" textRotation="90" shrinkToFit="1"/>
    </xf>
    <xf numFmtId="3" fontId="1" fillId="0" borderId="30" xfId="0" applyNumberFormat="1" applyFont="1" applyBorder="1" applyAlignment="1">
      <alignment horizontal="center" vertical="center" shrinkToFit="1"/>
    </xf>
    <xf numFmtId="3" fontId="1" fillId="0" borderId="36" xfId="0" applyNumberFormat="1" applyFont="1" applyBorder="1" applyAlignment="1">
      <alignment horizontal="center" vertical="center" shrinkToFit="1"/>
    </xf>
    <xf numFmtId="3" fontId="1" fillId="0" borderId="42" xfId="0" applyNumberFormat="1" applyFont="1" applyBorder="1" applyAlignment="1">
      <alignment horizontal="center" vertical="center" shrinkToFit="1"/>
    </xf>
    <xf numFmtId="0" fontId="2" fillId="0" borderId="41"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3" fontId="1" fillId="0" borderId="49" xfId="0" applyNumberFormat="1" applyFont="1" applyBorder="1" applyAlignment="1">
      <alignment horizontal="center" vertical="center"/>
    </xf>
    <xf numFmtId="3" fontId="1" fillId="0" borderId="54" xfId="0" applyNumberFormat="1" applyFont="1" applyBorder="1" applyAlignment="1">
      <alignment horizontal="center" vertical="center"/>
    </xf>
    <xf numFmtId="3" fontId="1" fillId="0" borderId="50" xfId="0" applyNumberFormat="1" applyFont="1" applyBorder="1" applyAlignment="1">
      <alignment horizontal="center" vertical="center"/>
    </xf>
    <xf numFmtId="3" fontId="16" fillId="0" borderId="0" xfId="0" applyNumberFormat="1" applyFont="1" applyAlignment="1">
      <alignment horizontal="center" vertical="top"/>
    </xf>
    <xf numFmtId="0" fontId="12" fillId="0" borderId="0" xfId="0" applyFont="1" applyAlignment="1">
      <alignment horizontal="center" vertical="top" wrapText="1"/>
    </xf>
    <xf numFmtId="0" fontId="1" fillId="7" borderId="57" xfId="0" applyFont="1" applyFill="1" applyBorder="1" applyAlignment="1">
      <alignment horizontal="left" vertical="top" wrapText="1"/>
    </xf>
    <xf numFmtId="0" fontId="18" fillId="0" borderId="0" xfId="0" applyFont="1" applyFill="1" applyAlignment="1">
      <alignment horizontal="left" vertical="top" wrapText="1"/>
    </xf>
    <xf numFmtId="165" fontId="1" fillId="7" borderId="6" xfId="3" applyNumberFormat="1" applyFont="1" applyFill="1" applyBorder="1" applyAlignment="1">
      <alignment horizontal="left" vertical="top" wrapText="1"/>
    </xf>
    <xf numFmtId="165" fontId="1" fillId="7" borderId="4" xfId="3" applyNumberFormat="1" applyFont="1" applyFill="1" applyBorder="1" applyAlignment="1">
      <alignment horizontal="left" vertical="top" wrapText="1"/>
    </xf>
    <xf numFmtId="165" fontId="1" fillId="7" borderId="17" xfId="3" applyNumberFormat="1" applyFont="1" applyFill="1" applyBorder="1" applyAlignment="1">
      <alignment horizontal="left" vertical="top" wrapText="1"/>
    </xf>
    <xf numFmtId="165" fontId="1" fillId="0" borderId="6" xfId="0" applyNumberFormat="1" applyFont="1" applyFill="1" applyBorder="1" applyAlignment="1">
      <alignment horizontal="left" vertical="top" wrapText="1"/>
    </xf>
    <xf numFmtId="165" fontId="1" fillId="0" borderId="17" xfId="0" applyNumberFormat="1" applyFont="1" applyFill="1" applyBorder="1" applyAlignment="1">
      <alignment horizontal="left" vertical="top" wrapText="1"/>
    </xf>
    <xf numFmtId="165" fontId="2" fillId="7" borderId="18" xfId="0" applyNumberFormat="1" applyFont="1" applyFill="1" applyBorder="1" applyAlignment="1">
      <alignment horizontal="left" vertical="top" wrapText="1"/>
    </xf>
    <xf numFmtId="165" fontId="2" fillId="7" borderId="8" xfId="0" applyNumberFormat="1" applyFont="1" applyFill="1" applyBorder="1" applyAlignment="1">
      <alignment horizontal="left" vertical="top" wrapText="1"/>
    </xf>
    <xf numFmtId="3" fontId="1" fillId="7" borderId="85" xfId="0" applyNumberFormat="1" applyFont="1" applyFill="1" applyBorder="1" applyAlignment="1">
      <alignment horizontal="center" vertical="top" wrapText="1"/>
    </xf>
    <xf numFmtId="0" fontId="0" fillId="0" borderId="5" xfId="0" applyBorder="1" applyAlignment="1">
      <alignment horizontal="center" vertical="top" wrapText="1"/>
    </xf>
    <xf numFmtId="0" fontId="1" fillId="7" borderId="14" xfId="0" applyFont="1" applyFill="1" applyBorder="1" applyAlignment="1">
      <alignment horizontal="center" vertical="top" wrapText="1"/>
    </xf>
    <xf numFmtId="0" fontId="0" fillId="0" borderId="8" xfId="0" applyBorder="1" applyAlignment="1">
      <alignment horizontal="center" vertical="top" wrapText="1"/>
    </xf>
    <xf numFmtId="3" fontId="1" fillId="7" borderId="12" xfId="0" applyNumberFormat="1" applyFont="1" applyFill="1" applyBorder="1" applyAlignment="1">
      <alignment horizontal="center" vertical="top" wrapText="1"/>
    </xf>
    <xf numFmtId="0" fontId="1" fillId="7" borderId="17" xfId="0" applyFont="1" applyFill="1" applyBorder="1" applyAlignment="1">
      <alignment horizontal="left" vertical="top" wrapText="1"/>
    </xf>
    <xf numFmtId="165" fontId="24" fillId="0" borderId="4" xfId="0" applyNumberFormat="1" applyFont="1" applyFill="1" applyBorder="1" applyAlignment="1">
      <alignment horizontal="center" vertical="top"/>
    </xf>
    <xf numFmtId="165" fontId="24" fillId="0" borderId="17" xfId="0" applyNumberFormat="1" applyFont="1" applyFill="1" applyBorder="1" applyAlignment="1">
      <alignment horizontal="center" vertical="top"/>
    </xf>
    <xf numFmtId="0" fontId="1" fillId="0" borderId="57" xfId="0" applyNumberFormat="1" applyFont="1" applyFill="1" applyBorder="1" applyAlignment="1">
      <alignment horizontal="left" vertical="top" wrapText="1"/>
    </xf>
  </cellXfs>
  <cellStyles count="4">
    <cellStyle name="Excel Built-in Normal" xfId="3" xr:uid="{00000000-0005-0000-0000-000000000000}"/>
    <cellStyle name="Įprastas" xfId="0" builtinId="0"/>
    <cellStyle name="Įprastas 2" xfId="2" xr:uid="{00000000-0005-0000-0000-000002000000}"/>
    <cellStyle name="Kablelis" xfId="1" builtinId="3"/>
  </cellStyles>
  <dxfs count="0"/>
  <tableStyles count="0" defaultTableStyle="TableStyleMedium2" defaultPivotStyle="PivotStyleLight16"/>
  <colors>
    <mruColors>
      <color rgb="FFFFD5FF"/>
      <color rgb="FFCCFFCC"/>
      <color rgb="FF99FF99"/>
      <color rgb="FFFFCCFF"/>
      <color rgb="FFE9C9C7"/>
      <color rgb="FFFFDD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20"/>
  <sheetViews>
    <sheetView tabSelected="1" zoomScaleNormal="100" zoomScaleSheetLayoutView="100" workbookViewId="0">
      <selection activeCell="D36" sqref="D36:D38"/>
    </sheetView>
  </sheetViews>
  <sheetFormatPr defaultColWidth="9.109375" defaultRowHeight="13.2" x14ac:dyDescent="0.25"/>
  <cols>
    <col min="1" max="3" width="2.88671875" style="2" customWidth="1"/>
    <col min="4" max="4" width="39.5546875" style="2" customWidth="1"/>
    <col min="5" max="5" width="4.44140625" style="50" customWidth="1"/>
    <col min="6" max="6" width="8.88671875" style="3" customWidth="1"/>
    <col min="7" max="9" width="9.109375" style="2" customWidth="1"/>
    <col min="10" max="10" width="38.33203125" style="2" customWidth="1"/>
    <col min="11" max="13" width="8.44140625" style="2" customWidth="1"/>
    <col min="14" max="14" width="9.109375" style="1"/>
    <col min="15" max="18" width="9.109375" style="484" hidden="1" customWidth="1"/>
    <col min="19" max="16384" width="9.109375" style="1"/>
  </cols>
  <sheetData>
    <row r="1" spans="1:18" ht="32.4" customHeight="1" x14ac:dyDescent="0.25">
      <c r="E1" s="48"/>
      <c r="G1" s="3"/>
      <c r="H1" s="3"/>
      <c r="I1" s="3"/>
      <c r="J1" s="922" t="s">
        <v>206</v>
      </c>
      <c r="K1" s="922"/>
      <c r="L1" s="922"/>
      <c r="M1" s="922"/>
    </row>
    <row r="2" spans="1:18" ht="15.75" customHeight="1" x14ac:dyDescent="0.25">
      <c r="E2" s="48"/>
      <c r="G2" s="3"/>
      <c r="H2" s="3"/>
      <c r="I2" s="3"/>
      <c r="J2" s="922" t="s">
        <v>207</v>
      </c>
      <c r="K2" s="922"/>
      <c r="L2" s="922"/>
      <c r="M2" s="922"/>
    </row>
    <row r="3" spans="1:18" s="2" customFormat="1" ht="11.1" customHeight="1" x14ac:dyDescent="0.25">
      <c r="E3" s="48"/>
      <c r="F3" s="3"/>
      <c r="G3" s="3"/>
      <c r="H3" s="3"/>
      <c r="I3" s="3"/>
      <c r="J3" s="3"/>
      <c r="K3" s="3"/>
      <c r="L3" s="3"/>
      <c r="M3" s="3"/>
      <c r="N3" s="237"/>
      <c r="O3" s="672"/>
      <c r="P3" s="672"/>
      <c r="Q3" s="598"/>
      <c r="R3" s="598"/>
    </row>
    <row r="4" spans="1:18" s="2" customFormat="1" ht="15" customHeight="1" x14ac:dyDescent="0.25">
      <c r="A4" s="919" t="s">
        <v>205</v>
      </c>
      <c r="B4" s="919"/>
      <c r="C4" s="919"/>
      <c r="D4" s="919"/>
      <c r="E4" s="919"/>
      <c r="F4" s="919"/>
      <c r="G4" s="919"/>
      <c r="H4" s="919"/>
      <c r="I4" s="919"/>
      <c r="J4" s="919"/>
      <c r="K4" s="919"/>
      <c r="L4" s="919"/>
      <c r="M4" s="919"/>
      <c r="N4" s="919"/>
      <c r="O4" s="919"/>
      <c r="P4" s="919"/>
      <c r="Q4" s="598"/>
      <c r="R4" s="598"/>
    </row>
    <row r="5" spans="1:18" s="2" customFormat="1" ht="15" customHeight="1" x14ac:dyDescent="0.25">
      <c r="A5" s="920" t="s">
        <v>24</v>
      </c>
      <c r="B5" s="920"/>
      <c r="C5" s="920"/>
      <c r="D5" s="920"/>
      <c r="E5" s="920"/>
      <c r="F5" s="920"/>
      <c r="G5" s="920"/>
      <c r="H5" s="920"/>
      <c r="I5" s="920"/>
      <c r="J5" s="920"/>
      <c r="K5" s="920"/>
      <c r="L5" s="920"/>
      <c r="M5" s="920"/>
      <c r="N5" s="920"/>
      <c r="O5" s="920"/>
      <c r="P5" s="920"/>
      <c r="Q5" s="598"/>
      <c r="R5" s="598"/>
    </row>
    <row r="6" spans="1:18" s="2" customFormat="1" ht="15" customHeight="1" x14ac:dyDescent="0.25">
      <c r="A6" s="876" t="s">
        <v>14</v>
      </c>
      <c r="B6" s="876"/>
      <c r="C6" s="876"/>
      <c r="D6" s="876"/>
      <c r="E6" s="876"/>
      <c r="F6" s="876"/>
      <c r="G6" s="876"/>
      <c r="H6" s="876"/>
      <c r="I6" s="876"/>
      <c r="J6" s="876"/>
      <c r="K6" s="876"/>
      <c r="L6" s="876"/>
      <c r="M6" s="876"/>
      <c r="N6" s="876"/>
      <c r="O6" s="876"/>
      <c r="P6" s="876"/>
      <c r="Q6" s="598"/>
      <c r="R6" s="598"/>
    </row>
    <row r="7" spans="1:18" ht="15" customHeight="1" x14ac:dyDescent="0.25">
      <c r="A7" s="1"/>
      <c r="B7" s="1"/>
      <c r="C7" s="1"/>
      <c r="D7" s="1"/>
      <c r="E7" s="106"/>
      <c r="F7" s="105"/>
      <c r="G7" s="239"/>
      <c r="H7" s="239"/>
      <c r="I7" s="239"/>
      <c r="J7" s="1"/>
      <c r="K7" s="1"/>
      <c r="L7" s="1"/>
      <c r="M7" s="1"/>
    </row>
    <row r="8" spans="1:18" ht="15" customHeight="1" thickBot="1" x14ac:dyDescent="0.3">
      <c r="A8" s="1"/>
      <c r="B8" s="1"/>
      <c r="C8" s="1"/>
      <c r="D8" s="1"/>
      <c r="E8" s="106"/>
      <c r="F8" s="105"/>
      <c r="H8" s="107"/>
      <c r="I8" s="107"/>
      <c r="J8" s="888" t="s">
        <v>53</v>
      </c>
      <c r="K8" s="888"/>
      <c r="L8" s="888"/>
      <c r="M8" s="888"/>
    </row>
    <row r="9" spans="1:18" s="10" customFormat="1" ht="21" customHeight="1" thickBot="1" x14ac:dyDescent="0.3">
      <c r="A9" s="907" t="s">
        <v>15</v>
      </c>
      <c r="B9" s="901" t="s">
        <v>0</v>
      </c>
      <c r="C9" s="901" t="s">
        <v>1</v>
      </c>
      <c r="D9" s="910" t="s">
        <v>9</v>
      </c>
      <c r="E9" s="901" t="s">
        <v>112</v>
      </c>
      <c r="F9" s="904" t="s">
        <v>2</v>
      </c>
      <c r="G9" s="877" t="s">
        <v>158</v>
      </c>
      <c r="H9" s="880" t="s">
        <v>113</v>
      </c>
      <c r="I9" s="883" t="s">
        <v>159</v>
      </c>
      <c r="J9" s="913" t="s">
        <v>103</v>
      </c>
      <c r="K9" s="914"/>
      <c r="L9" s="914"/>
      <c r="M9" s="915"/>
      <c r="O9" s="673"/>
      <c r="P9" s="673"/>
      <c r="Q9" s="673"/>
      <c r="R9" s="673"/>
    </row>
    <row r="10" spans="1:18" s="10" customFormat="1" ht="21" customHeight="1" x14ac:dyDescent="0.25">
      <c r="A10" s="908"/>
      <c r="B10" s="902"/>
      <c r="C10" s="902"/>
      <c r="D10" s="911"/>
      <c r="E10" s="902"/>
      <c r="F10" s="905"/>
      <c r="G10" s="878"/>
      <c r="H10" s="881"/>
      <c r="I10" s="884"/>
      <c r="J10" s="886" t="s">
        <v>9</v>
      </c>
      <c r="K10" s="916" t="s">
        <v>156</v>
      </c>
      <c r="L10" s="917"/>
      <c r="M10" s="918"/>
      <c r="O10" s="673"/>
      <c r="P10" s="673"/>
      <c r="Q10" s="673"/>
      <c r="R10" s="673"/>
    </row>
    <row r="11" spans="1:18" s="10" customFormat="1" ht="88.5" customHeight="1" thickBot="1" x14ac:dyDescent="0.3">
      <c r="A11" s="909"/>
      <c r="B11" s="903"/>
      <c r="C11" s="903"/>
      <c r="D11" s="912"/>
      <c r="E11" s="903"/>
      <c r="F11" s="906"/>
      <c r="G11" s="879"/>
      <c r="H11" s="882"/>
      <c r="I11" s="885"/>
      <c r="J11" s="887"/>
      <c r="K11" s="286" t="s">
        <v>110</v>
      </c>
      <c r="L11" s="108" t="s">
        <v>111</v>
      </c>
      <c r="M11" s="241" t="s">
        <v>157</v>
      </c>
      <c r="O11" s="673"/>
      <c r="P11" s="673"/>
      <c r="Q11" s="673"/>
      <c r="R11" s="673"/>
    </row>
    <row r="12" spans="1:18" s="7" customFormat="1" ht="15" customHeight="1" x14ac:dyDescent="0.25">
      <c r="A12" s="899" t="s">
        <v>40</v>
      </c>
      <c r="B12" s="900"/>
      <c r="C12" s="900"/>
      <c r="D12" s="900"/>
      <c r="E12" s="900"/>
      <c r="F12" s="900"/>
      <c r="G12" s="900"/>
      <c r="H12" s="900"/>
      <c r="I12" s="900"/>
      <c r="J12" s="900"/>
      <c r="K12" s="243"/>
      <c r="L12" s="243"/>
      <c r="M12" s="405"/>
      <c r="N12" s="230"/>
      <c r="O12" s="674"/>
      <c r="P12" s="674"/>
      <c r="Q12" s="674"/>
      <c r="R12" s="674"/>
    </row>
    <row r="13" spans="1:18" s="7" customFormat="1" ht="15" customHeight="1" x14ac:dyDescent="0.25">
      <c r="A13" s="890" t="s">
        <v>22</v>
      </c>
      <c r="B13" s="891"/>
      <c r="C13" s="891"/>
      <c r="D13" s="891"/>
      <c r="E13" s="891"/>
      <c r="F13" s="891"/>
      <c r="G13" s="891"/>
      <c r="H13" s="891"/>
      <c r="I13" s="891"/>
      <c r="J13" s="891"/>
      <c r="K13" s="242"/>
      <c r="L13" s="284"/>
      <c r="M13" s="406"/>
      <c r="N13" s="230"/>
      <c r="O13" s="674"/>
      <c r="P13" s="674"/>
      <c r="Q13" s="674"/>
      <c r="R13" s="674"/>
    </row>
    <row r="14" spans="1:18" ht="15" customHeight="1" x14ac:dyDescent="0.25">
      <c r="A14" s="9" t="s">
        <v>3</v>
      </c>
      <c r="B14" s="892" t="s">
        <v>25</v>
      </c>
      <c r="C14" s="893"/>
      <c r="D14" s="893"/>
      <c r="E14" s="893"/>
      <c r="F14" s="893"/>
      <c r="G14" s="893"/>
      <c r="H14" s="893"/>
      <c r="I14" s="893"/>
      <c r="J14" s="893"/>
      <c r="K14" s="244"/>
      <c r="L14" s="285"/>
      <c r="M14" s="408"/>
      <c r="N14" s="216"/>
    </row>
    <row r="15" spans="1:18" ht="15" customHeight="1" x14ac:dyDescent="0.25">
      <c r="A15" s="23" t="s">
        <v>3</v>
      </c>
      <c r="B15" s="424" t="s">
        <v>3</v>
      </c>
      <c r="C15" s="894" t="s">
        <v>85</v>
      </c>
      <c r="D15" s="895"/>
      <c r="E15" s="895"/>
      <c r="F15" s="895"/>
      <c r="G15" s="895"/>
      <c r="H15" s="895"/>
      <c r="I15" s="895"/>
      <c r="J15" s="895"/>
      <c r="K15" s="245"/>
      <c r="L15" s="245"/>
      <c r="M15" s="407"/>
      <c r="N15" s="216"/>
    </row>
    <row r="16" spans="1:18" ht="15" customHeight="1" x14ac:dyDescent="0.25">
      <c r="A16" s="454" t="s">
        <v>3</v>
      </c>
      <c r="B16" s="445" t="s">
        <v>3</v>
      </c>
      <c r="C16" s="444" t="s">
        <v>3</v>
      </c>
      <c r="D16" s="418" t="s">
        <v>82</v>
      </c>
      <c r="E16" s="57"/>
      <c r="F16" s="158" t="s">
        <v>21</v>
      </c>
      <c r="G16" s="461">
        <f>5626.8-20-556.2</f>
        <v>5050.6000000000004</v>
      </c>
      <c r="H16" s="463">
        <f>6971.8-888.6+874.7</f>
        <v>6957.9</v>
      </c>
      <c r="I16" s="182">
        <f>5356.7-180+1332.6</f>
        <v>6509.3</v>
      </c>
      <c r="J16" s="314"/>
      <c r="K16" s="403"/>
      <c r="L16" s="512"/>
      <c r="M16" s="404"/>
      <c r="O16" s="643" t="s">
        <v>21</v>
      </c>
      <c r="P16" s="581" t="e">
        <f>+G50+G56+G61+G65+G69+G75+G79+G85+G89+G98+G101+G103+G106+G107+G108+G109+G110+G112+G115+G116+G119+G122+G130+G133+G135+G137+G139+G142+G154+#REF!+G160+G166+G169</f>
        <v>#REF!</v>
      </c>
      <c r="Q16" s="581" t="e">
        <f>+H50+H56+H61+H65+H69+H75+H79+H85+H89+H98+H101+H103+H106+H107+H108+H109+H110+H112+H115+H116+H119+H122+H130+H133+H135+H137+H139+H142+H154+#REF!+H160+H166+H169</f>
        <v>#REF!</v>
      </c>
      <c r="R16" s="581" t="e">
        <f>+I50+I56+I61+I65+I69+I75+I79+I85+I89+I98+I101+I103+I106+I107+I108+I109+I110+I112+I115+I116+I119+I122+I130+I133+I135+I137+I139+I142+I154+#REF!+I160+I166+I169</f>
        <v>#REF!</v>
      </c>
    </row>
    <row r="17" spans="1:18" ht="15" customHeight="1" x14ac:dyDescent="0.25">
      <c r="A17" s="454"/>
      <c r="B17" s="42"/>
      <c r="C17" s="444"/>
      <c r="D17" s="199"/>
      <c r="E17" s="475"/>
      <c r="F17" s="73" t="s">
        <v>141</v>
      </c>
      <c r="G17" s="139">
        <v>769.1</v>
      </c>
      <c r="H17" s="109">
        <v>277</v>
      </c>
      <c r="I17" s="465"/>
      <c r="J17" s="160"/>
      <c r="K17" s="511"/>
      <c r="L17" s="256"/>
      <c r="M17" s="247"/>
      <c r="O17" s="644" t="s">
        <v>141</v>
      </c>
      <c r="P17" s="581">
        <f>+G33+G45+G71</f>
        <v>769.1</v>
      </c>
      <c r="Q17" s="581">
        <f t="shared" ref="Q17:R17" si="0">+H33+H45+H71</f>
        <v>277</v>
      </c>
      <c r="R17" s="581">
        <f t="shared" si="0"/>
        <v>0</v>
      </c>
    </row>
    <row r="18" spans="1:18" ht="15" customHeight="1" x14ac:dyDescent="0.25">
      <c r="A18" s="454"/>
      <c r="B18" s="42"/>
      <c r="C18" s="444"/>
      <c r="D18" s="199"/>
      <c r="E18" s="475"/>
      <c r="F18" s="73" t="s">
        <v>70</v>
      </c>
      <c r="G18" s="139">
        <f>552.5+39.6+136</f>
        <v>728.1</v>
      </c>
      <c r="H18" s="71"/>
      <c r="I18" s="186"/>
      <c r="J18" s="160"/>
      <c r="K18" s="511"/>
      <c r="L18" s="256"/>
      <c r="M18" s="247"/>
      <c r="O18" s="644" t="s">
        <v>70</v>
      </c>
      <c r="P18" s="581">
        <f>+G46+G51+G80+G83</f>
        <v>552.5</v>
      </c>
      <c r="Q18" s="581">
        <f t="shared" ref="Q18:R18" si="1">+H46+H51+H80+H83</f>
        <v>0</v>
      </c>
      <c r="R18" s="581">
        <f t="shared" si="1"/>
        <v>0</v>
      </c>
    </row>
    <row r="19" spans="1:18" ht="15" customHeight="1" x14ac:dyDescent="0.25">
      <c r="A19" s="454"/>
      <c r="B19" s="42"/>
      <c r="C19" s="444"/>
      <c r="D19" s="199"/>
      <c r="E19" s="475"/>
      <c r="F19" s="200" t="s">
        <v>42</v>
      </c>
      <c r="G19" s="420">
        <f>1250.2-87.3</f>
        <v>1162.9000000000001</v>
      </c>
      <c r="H19" s="71">
        <v>661</v>
      </c>
      <c r="I19" s="186">
        <v>80.7</v>
      </c>
      <c r="J19" s="160"/>
      <c r="K19" s="511"/>
      <c r="L19" s="256"/>
      <c r="M19" s="247"/>
      <c r="O19" s="645" t="s">
        <v>42</v>
      </c>
      <c r="P19" s="581">
        <f>+G32+G132+G136+G141+G155</f>
        <v>1250.2</v>
      </c>
      <c r="Q19" s="581">
        <f>+H32+H132+H136+H141+H155</f>
        <v>661</v>
      </c>
      <c r="R19" s="581">
        <f>+I32+I132+I136+I141+I155</f>
        <v>80.7</v>
      </c>
    </row>
    <row r="20" spans="1:18" ht="15" customHeight="1" x14ac:dyDescent="0.25">
      <c r="A20" s="454"/>
      <c r="B20" s="42"/>
      <c r="C20" s="444"/>
      <c r="D20" s="199"/>
      <c r="E20" s="475"/>
      <c r="F20" s="453" t="s">
        <v>49</v>
      </c>
      <c r="G20" s="139">
        <f>5001.8-120.7+599.8</f>
        <v>5480.9</v>
      </c>
      <c r="H20" s="71">
        <f>5588.6-583.8</f>
        <v>5004.8</v>
      </c>
      <c r="I20" s="186">
        <v>6049.9</v>
      </c>
      <c r="J20" s="160"/>
      <c r="K20" s="511"/>
      <c r="L20" s="256"/>
      <c r="M20" s="247"/>
      <c r="O20" s="644" t="s">
        <v>49</v>
      </c>
      <c r="P20" s="581">
        <f>+G47+G62+G66+G76+G90+G96+G102+G105+G114+G117+G120+G123+G126+G127+G129+G131+G140+G143+G163</f>
        <v>5001.8</v>
      </c>
      <c r="Q20" s="581">
        <f>+H47+H62+H66+H76+H90+H96+H102+H105+H114+H117+H120+H123+H126+H127+H129+H131+H140+H143+H163</f>
        <v>5588.6</v>
      </c>
      <c r="R20" s="581">
        <f>+I47+I62+I66+I76+I90+I96+I102+I105+I114+I117+I120+I123+I126+I127+I129+I131+I140+I143+I163</f>
        <v>6049.9</v>
      </c>
    </row>
    <row r="21" spans="1:18" ht="15" customHeight="1" x14ac:dyDescent="0.25">
      <c r="A21" s="454"/>
      <c r="B21" s="42"/>
      <c r="C21" s="444"/>
      <c r="D21" s="199"/>
      <c r="E21" s="475"/>
      <c r="F21" s="73" t="s">
        <v>39</v>
      </c>
      <c r="G21" s="420">
        <f>521.9+1562.4-115.6</f>
        <v>1968.7</v>
      </c>
      <c r="H21" s="71"/>
      <c r="I21" s="186"/>
      <c r="J21" s="160"/>
      <c r="K21" s="511"/>
      <c r="L21" s="256"/>
      <c r="M21" s="247"/>
      <c r="O21" s="644" t="s">
        <v>39</v>
      </c>
      <c r="P21" s="581">
        <f>+G44+G173</f>
        <v>521.9</v>
      </c>
      <c r="Q21" s="581">
        <f>+H44+H173</f>
        <v>0</v>
      </c>
      <c r="R21" s="581">
        <f>+I44+I173</f>
        <v>0</v>
      </c>
    </row>
    <row r="22" spans="1:18" ht="15" customHeight="1" x14ac:dyDescent="0.25">
      <c r="A22" s="454"/>
      <c r="B22" s="42"/>
      <c r="C22" s="444"/>
      <c r="D22" s="199"/>
      <c r="E22" s="475"/>
      <c r="F22" s="212" t="s">
        <v>35</v>
      </c>
      <c r="G22" s="298">
        <v>1800</v>
      </c>
      <c r="H22" s="71"/>
      <c r="I22" s="18">
        <v>1500</v>
      </c>
      <c r="J22" s="160"/>
      <c r="K22" s="233"/>
      <c r="L22" s="256"/>
      <c r="M22" s="247"/>
      <c r="O22" s="646" t="s">
        <v>35</v>
      </c>
      <c r="P22" s="581">
        <f>+G30</f>
        <v>1800</v>
      </c>
      <c r="Q22" s="581">
        <f t="shared" ref="Q22:R22" si="2">+H30</f>
        <v>0</v>
      </c>
      <c r="R22" s="581">
        <f t="shared" si="2"/>
        <v>0</v>
      </c>
    </row>
    <row r="23" spans="1:18" ht="15" customHeight="1" x14ac:dyDescent="0.25">
      <c r="A23" s="454"/>
      <c r="B23" s="42"/>
      <c r="C23" s="444"/>
      <c r="D23" s="199"/>
      <c r="E23" s="475"/>
      <c r="F23" s="73" t="s">
        <v>74</v>
      </c>
      <c r="G23" s="298">
        <f>8183.4-6000+40.8-1679.5-144.7-400</f>
        <v>0</v>
      </c>
      <c r="H23" s="71">
        <f>1450+2321.8+750</f>
        <v>4521.8</v>
      </c>
      <c r="I23" s="185">
        <f>4125+12000</f>
        <v>16125</v>
      </c>
      <c r="J23" s="160"/>
      <c r="K23" s="511"/>
      <c r="L23" s="256"/>
      <c r="M23" s="247"/>
      <c r="O23" s="644" t="s">
        <v>74</v>
      </c>
      <c r="P23" s="581">
        <f>+G31+G39+G146+G149</f>
        <v>8183.4</v>
      </c>
      <c r="Q23" s="581">
        <f>+H31+H39+H146+H149</f>
        <v>1450</v>
      </c>
      <c r="R23" s="581">
        <f>+I31+I39+I146+I149</f>
        <v>4125</v>
      </c>
    </row>
    <row r="24" spans="1:18" ht="15" customHeight="1" x14ac:dyDescent="0.25">
      <c r="A24" s="692"/>
      <c r="B24" s="42"/>
      <c r="C24" s="690"/>
      <c r="D24" s="199"/>
      <c r="E24" s="475"/>
      <c r="F24" s="691" t="s">
        <v>104</v>
      </c>
      <c r="G24" s="298">
        <f>4042.5+39.6+1474.7+145.5</f>
        <v>5702.3</v>
      </c>
      <c r="H24" s="71"/>
      <c r="I24" s="185"/>
      <c r="J24" s="160"/>
      <c r="K24" s="233"/>
      <c r="L24" s="256"/>
      <c r="M24" s="247"/>
      <c r="O24" s="644"/>
      <c r="P24" s="581"/>
      <c r="Q24" s="581"/>
      <c r="R24" s="581"/>
    </row>
    <row r="25" spans="1:18" ht="15" customHeight="1" x14ac:dyDescent="0.25">
      <c r="A25" s="692"/>
      <c r="B25" s="42"/>
      <c r="C25" s="690"/>
      <c r="D25" s="199"/>
      <c r="E25" s="475"/>
      <c r="F25" s="198" t="s">
        <v>44</v>
      </c>
      <c r="G25" s="298">
        <v>100</v>
      </c>
      <c r="H25" s="71"/>
      <c r="I25" s="185"/>
      <c r="J25" s="160"/>
      <c r="K25" s="233"/>
      <c r="L25" s="256"/>
      <c r="M25" s="247"/>
      <c r="O25" s="644"/>
      <c r="P25" s="581"/>
      <c r="Q25" s="581"/>
      <c r="R25" s="581"/>
    </row>
    <row r="26" spans="1:18" ht="15" customHeight="1" x14ac:dyDescent="0.25">
      <c r="A26" s="692"/>
      <c r="B26" s="42"/>
      <c r="C26" s="690"/>
      <c r="D26" s="199"/>
      <c r="E26" s="475"/>
      <c r="F26" s="198" t="s">
        <v>100</v>
      </c>
      <c r="G26" s="298">
        <f>28.7+29.3</f>
        <v>58</v>
      </c>
      <c r="H26" s="71"/>
      <c r="I26" s="185"/>
      <c r="J26" s="160"/>
      <c r="K26" s="233"/>
      <c r="L26" s="256"/>
      <c r="M26" s="247"/>
      <c r="O26" s="644"/>
      <c r="P26" s="581"/>
      <c r="Q26" s="581"/>
      <c r="R26" s="581"/>
    </row>
    <row r="27" spans="1:18" ht="15" customHeight="1" x14ac:dyDescent="0.25">
      <c r="A27" s="740"/>
      <c r="B27" s="42"/>
      <c r="C27" s="737"/>
      <c r="D27" s="199"/>
      <c r="E27" s="475"/>
      <c r="F27" s="73" t="s">
        <v>107</v>
      </c>
      <c r="G27" s="298">
        <v>47.1</v>
      </c>
      <c r="H27" s="71"/>
      <c r="I27" s="185"/>
      <c r="J27" s="160"/>
      <c r="K27" s="233"/>
      <c r="L27" s="256"/>
      <c r="M27" s="247"/>
      <c r="O27" s="644"/>
      <c r="P27" s="581"/>
      <c r="Q27" s="581"/>
      <c r="R27" s="581"/>
    </row>
    <row r="28" spans="1:18" ht="15" customHeight="1" x14ac:dyDescent="0.25">
      <c r="A28" s="454"/>
      <c r="B28" s="42"/>
      <c r="C28" s="444"/>
      <c r="D28" s="199"/>
      <c r="E28" s="475"/>
      <c r="F28" s="105" t="s">
        <v>31</v>
      </c>
      <c r="G28" s="298">
        <f>1100+239.3</f>
        <v>1339.3</v>
      </c>
      <c r="H28" s="71"/>
      <c r="I28" s="186"/>
      <c r="J28" s="160"/>
      <c r="K28" s="233"/>
      <c r="L28" s="256"/>
      <c r="M28" s="247"/>
      <c r="O28" s="647" t="s">
        <v>31</v>
      </c>
      <c r="P28" s="581">
        <f>+G152</f>
        <v>1100</v>
      </c>
      <c r="Q28" s="581">
        <f t="shared" ref="Q28:R28" si="3">+H152</f>
        <v>0</v>
      </c>
      <c r="R28" s="581">
        <f t="shared" si="3"/>
        <v>0</v>
      </c>
    </row>
    <row r="29" spans="1:18" ht="15" customHeight="1" x14ac:dyDescent="0.25">
      <c r="A29" s="454"/>
      <c r="B29" s="42"/>
      <c r="C29" s="444"/>
      <c r="D29" s="199"/>
      <c r="E29" s="205"/>
      <c r="F29" s="453" t="s">
        <v>32</v>
      </c>
      <c r="G29" s="192">
        <f>103.1+22.7</f>
        <v>125.8</v>
      </c>
      <c r="H29" s="464">
        <f>49.4+34</f>
        <v>83.4</v>
      </c>
      <c r="I29" s="97"/>
      <c r="J29" s="160"/>
      <c r="K29" s="511"/>
      <c r="L29" s="256"/>
      <c r="M29" s="247"/>
      <c r="O29" s="648" t="s">
        <v>32</v>
      </c>
      <c r="P29" s="581">
        <f>+G70+G128</f>
        <v>103.1</v>
      </c>
      <c r="Q29" s="581">
        <f>+H70+H128</f>
        <v>49.4</v>
      </c>
      <c r="R29" s="581">
        <f>+I70+I128</f>
        <v>0</v>
      </c>
    </row>
    <row r="30" spans="1:18" ht="15.75" customHeight="1" x14ac:dyDescent="0.25">
      <c r="A30" s="439"/>
      <c r="B30" s="466"/>
      <c r="C30" s="441"/>
      <c r="D30" s="764" t="s">
        <v>58</v>
      </c>
      <c r="E30" s="218" t="s">
        <v>83</v>
      </c>
      <c r="F30" s="706" t="s">
        <v>209</v>
      </c>
      <c r="G30" s="577">
        <v>1800</v>
      </c>
      <c r="H30" s="578"/>
      <c r="I30" s="583"/>
      <c r="J30" s="337" t="s">
        <v>132</v>
      </c>
      <c r="K30" s="133">
        <v>95</v>
      </c>
      <c r="L30" s="269">
        <v>100</v>
      </c>
      <c r="M30" s="93"/>
      <c r="P30" s="581" t="e">
        <f>SUM(P16:P29)</f>
        <v>#REF!</v>
      </c>
      <c r="Q30" s="581" t="e">
        <f>SUM(Q16:Q29)</f>
        <v>#REF!</v>
      </c>
      <c r="R30" s="581" t="e">
        <f>SUM(R16:R29)</f>
        <v>#REF!</v>
      </c>
    </row>
    <row r="31" spans="1:18" ht="15.75" customHeight="1" x14ac:dyDescent="0.25">
      <c r="A31" s="439"/>
      <c r="B31" s="466"/>
      <c r="C31" s="441"/>
      <c r="D31" s="789"/>
      <c r="E31" s="443" t="s">
        <v>154</v>
      </c>
      <c r="F31" s="576" t="s">
        <v>210</v>
      </c>
      <c r="G31" s="541">
        <v>6000</v>
      </c>
      <c r="H31" s="544">
        <v>1000</v>
      </c>
      <c r="I31" s="542">
        <v>4125</v>
      </c>
      <c r="J31" s="842" t="s">
        <v>220</v>
      </c>
      <c r="K31" s="127"/>
      <c r="L31" s="129"/>
      <c r="M31" s="45">
        <v>100</v>
      </c>
      <c r="P31" s="581" t="e">
        <f>+P30-G178</f>
        <v>#REF!</v>
      </c>
      <c r="Q31" s="581" t="e">
        <f>+Q30-H178</f>
        <v>#REF!</v>
      </c>
      <c r="R31" s="581" t="e">
        <f>+R30-I178</f>
        <v>#REF!</v>
      </c>
    </row>
    <row r="32" spans="1:18" ht="15.75" customHeight="1" x14ac:dyDescent="0.25">
      <c r="A32" s="439"/>
      <c r="B32" s="466"/>
      <c r="C32" s="441"/>
      <c r="D32" s="789"/>
      <c r="E32" s="219" t="s">
        <v>124</v>
      </c>
      <c r="F32" s="576" t="s">
        <v>211</v>
      </c>
      <c r="G32" s="707">
        <v>500</v>
      </c>
      <c r="H32" s="708">
        <v>473</v>
      </c>
      <c r="I32" s="609"/>
      <c r="J32" s="757"/>
      <c r="K32" s="204"/>
      <c r="L32" s="116"/>
      <c r="M32" s="196"/>
    </row>
    <row r="33" spans="1:13" ht="15.75" customHeight="1" x14ac:dyDescent="0.25">
      <c r="A33" s="439"/>
      <c r="B33" s="466"/>
      <c r="C33" s="441"/>
      <c r="D33" s="789"/>
      <c r="E33" s="205" t="s">
        <v>34</v>
      </c>
      <c r="F33" s="576" t="s">
        <v>212</v>
      </c>
      <c r="G33" s="541"/>
      <c r="H33" s="544">
        <v>277</v>
      </c>
      <c r="I33" s="640"/>
      <c r="J33" s="757"/>
      <c r="K33" s="204"/>
      <c r="L33" s="116"/>
      <c r="M33" s="45"/>
    </row>
    <row r="34" spans="1:13" ht="15.75" customHeight="1" x14ac:dyDescent="0.25">
      <c r="A34" s="439"/>
      <c r="B34" s="466"/>
      <c r="C34" s="441"/>
      <c r="D34" s="789"/>
      <c r="E34" s="474" t="s">
        <v>102</v>
      </c>
      <c r="F34" s="558"/>
      <c r="G34" s="564"/>
      <c r="H34" s="639"/>
      <c r="I34" s="640"/>
      <c r="J34" s="757"/>
      <c r="K34" s="204"/>
      <c r="L34" s="116"/>
      <c r="M34" s="45"/>
    </row>
    <row r="35" spans="1:13" ht="15.75" customHeight="1" x14ac:dyDescent="0.25">
      <c r="A35" s="439"/>
      <c r="B35" s="466"/>
      <c r="C35" s="441"/>
      <c r="D35" s="789"/>
      <c r="E35" s="476" t="s">
        <v>86</v>
      </c>
      <c r="F35" s="576"/>
      <c r="G35" s="641"/>
      <c r="H35" s="642"/>
      <c r="I35" s="575"/>
      <c r="J35" s="758"/>
      <c r="K35" s="114"/>
      <c r="L35" s="120"/>
      <c r="M35" s="98"/>
    </row>
    <row r="36" spans="1:13" ht="15.75" customHeight="1" x14ac:dyDescent="0.25">
      <c r="A36" s="744"/>
      <c r="B36" s="745"/>
      <c r="C36" s="746"/>
      <c r="D36" s="764" t="s">
        <v>247</v>
      </c>
      <c r="E36" s="517" t="s">
        <v>123</v>
      </c>
      <c r="F36" s="221"/>
      <c r="G36" s="747"/>
      <c r="H36" s="748"/>
      <c r="I36" s="750"/>
      <c r="J36" s="314" t="s">
        <v>132</v>
      </c>
      <c r="K36" s="273"/>
      <c r="L36" s="294">
        <v>5</v>
      </c>
      <c r="M36" s="292">
        <v>45</v>
      </c>
    </row>
    <row r="37" spans="1:13" ht="15.75" customHeight="1" x14ac:dyDescent="0.25">
      <c r="A37" s="744"/>
      <c r="B37" s="745"/>
      <c r="C37" s="746"/>
      <c r="D37" s="789"/>
      <c r="E37" s="474" t="s">
        <v>34</v>
      </c>
      <c r="F37" s="202"/>
      <c r="G37" s="420"/>
      <c r="H37" s="749"/>
      <c r="I37" s="751"/>
      <c r="J37" s="160"/>
      <c r="K37" s="273"/>
      <c r="L37" s="256"/>
      <c r="M37" s="247"/>
    </row>
    <row r="38" spans="1:13" ht="15.75" customHeight="1" x14ac:dyDescent="0.25">
      <c r="A38" s="744"/>
      <c r="B38" s="745"/>
      <c r="C38" s="746"/>
      <c r="D38" s="789"/>
      <c r="E38" s="219" t="s">
        <v>86</v>
      </c>
      <c r="F38" s="217"/>
      <c r="G38" s="420"/>
      <c r="H38" s="110"/>
      <c r="I38" s="751"/>
      <c r="J38" s="161"/>
      <c r="K38" s="291"/>
      <c r="L38" s="256"/>
      <c r="M38" s="247"/>
    </row>
    <row r="39" spans="1:13" ht="15" customHeight="1" x14ac:dyDescent="0.25">
      <c r="A39" s="439"/>
      <c r="B39" s="466"/>
      <c r="C39" s="441"/>
      <c r="D39" s="896" t="s">
        <v>197</v>
      </c>
      <c r="E39" s="442" t="s">
        <v>86</v>
      </c>
      <c r="F39" s="553" t="s">
        <v>210</v>
      </c>
      <c r="G39" s="577">
        <v>400</v>
      </c>
      <c r="H39" s="544">
        <v>450</v>
      </c>
      <c r="I39" s="579"/>
      <c r="J39" s="457" t="s">
        <v>33</v>
      </c>
      <c r="K39" s="204"/>
      <c r="L39" s="119"/>
      <c r="M39" s="92"/>
    </row>
    <row r="40" spans="1:13" ht="15" customHeight="1" x14ac:dyDescent="0.25">
      <c r="A40" s="439"/>
      <c r="B40" s="466"/>
      <c r="C40" s="441"/>
      <c r="D40" s="897"/>
      <c r="E40" s="205" t="s">
        <v>34</v>
      </c>
      <c r="F40" s="576"/>
      <c r="G40" s="541"/>
      <c r="H40" s="544"/>
      <c r="I40" s="542"/>
      <c r="J40" s="458"/>
      <c r="K40" s="204"/>
      <c r="L40" s="116"/>
      <c r="M40" s="45"/>
    </row>
    <row r="41" spans="1:13" ht="15" customHeight="1" x14ac:dyDescent="0.25">
      <c r="A41" s="439"/>
      <c r="B41" s="466"/>
      <c r="C41" s="441"/>
      <c r="D41" s="897"/>
      <c r="E41" s="219" t="s">
        <v>123</v>
      </c>
      <c r="F41" s="576"/>
      <c r="G41" s="541"/>
      <c r="H41" s="544"/>
      <c r="I41" s="542"/>
      <c r="J41" s="458"/>
      <c r="K41" s="204"/>
      <c r="L41" s="116"/>
      <c r="M41" s="45"/>
    </row>
    <row r="42" spans="1:13" ht="15" customHeight="1" x14ac:dyDescent="0.25">
      <c r="A42" s="439"/>
      <c r="B42" s="466"/>
      <c r="C42" s="441"/>
      <c r="D42" s="897"/>
      <c r="E42" s="443" t="s">
        <v>102</v>
      </c>
      <c r="F42" s="576"/>
      <c r="G42" s="541"/>
      <c r="H42" s="544"/>
      <c r="I42" s="542"/>
      <c r="J42" s="458"/>
      <c r="K42" s="204"/>
      <c r="L42" s="116"/>
      <c r="M42" s="45"/>
    </row>
    <row r="43" spans="1:13" ht="15" customHeight="1" x14ac:dyDescent="0.25">
      <c r="A43" s="439"/>
      <c r="B43" s="466"/>
      <c r="C43" s="441"/>
      <c r="D43" s="898"/>
      <c r="E43" s="219" t="s">
        <v>154</v>
      </c>
      <c r="F43" s="572"/>
      <c r="G43" s="573"/>
      <c r="H43" s="544"/>
      <c r="I43" s="542"/>
      <c r="J43" s="467"/>
      <c r="K43" s="204"/>
      <c r="L43" s="116"/>
      <c r="M43" s="45"/>
    </row>
    <row r="44" spans="1:13" ht="15" customHeight="1" x14ac:dyDescent="0.25">
      <c r="A44" s="454"/>
      <c r="B44" s="445"/>
      <c r="C44" s="889"/>
      <c r="D44" s="771" t="s">
        <v>129</v>
      </c>
      <c r="E44" s="218" t="s">
        <v>83</v>
      </c>
      <c r="F44" s="553" t="s">
        <v>213</v>
      </c>
      <c r="G44" s="634">
        <v>321.89999999999998</v>
      </c>
      <c r="H44" s="578"/>
      <c r="I44" s="579"/>
      <c r="J44" s="157" t="s">
        <v>132</v>
      </c>
      <c r="K44" s="448">
        <v>100</v>
      </c>
      <c r="L44" s="140"/>
      <c r="M44" s="446"/>
    </row>
    <row r="45" spans="1:13" ht="15" customHeight="1" x14ac:dyDescent="0.25">
      <c r="A45" s="454"/>
      <c r="B45" s="445"/>
      <c r="C45" s="889"/>
      <c r="D45" s="772"/>
      <c r="E45" s="205" t="s">
        <v>34</v>
      </c>
      <c r="F45" s="576" t="s">
        <v>212</v>
      </c>
      <c r="G45" s="634">
        <v>241.7</v>
      </c>
      <c r="H45" s="544"/>
      <c r="I45" s="580"/>
      <c r="J45" s="160"/>
      <c r="K45" s="487"/>
      <c r="L45" s="294"/>
      <c r="M45" s="412"/>
    </row>
    <row r="46" spans="1:13" ht="15" customHeight="1" x14ac:dyDescent="0.25">
      <c r="A46" s="454"/>
      <c r="B46" s="445"/>
      <c r="C46" s="889"/>
      <c r="D46" s="772"/>
      <c r="E46" s="443" t="s">
        <v>102</v>
      </c>
      <c r="F46" s="576" t="s">
        <v>214</v>
      </c>
      <c r="G46" s="541">
        <v>241.5</v>
      </c>
      <c r="H46" s="544"/>
      <c r="I46" s="542"/>
      <c r="J46" s="160"/>
      <c r="K46" s="273"/>
      <c r="L46" s="294"/>
      <c r="M46" s="292"/>
    </row>
    <row r="47" spans="1:13" ht="15" customHeight="1" x14ac:dyDescent="0.25">
      <c r="A47" s="454"/>
      <c r="B47" s="445"/>
      <c r="C47" s="889"/>
      <c r="D47" s="772"/>
      <c r="E47" s="205" t="s">
        <v>124</v>
      </c>
      <c r="F47" s="576" t="s">
        <v>215</v>
      </c>
      <c r="G47" s="541">
        <v>350</v>
      </c>
      <c r="H47" s="544"/>
      <c r="I47" s="542"/>
      <c r="J47" s="160"/>
      <c r="K47" s="273"/>
      <c r="L47" s="294"/>
      <c r="M47" s="292"/>
    </row>
    <row r="48" spans="1:13" ht="15" customHeight="1" x14ac:dyDescent="0.25">
      <c r="A48" s="454"/>
      <c r="B48" s="445"/>
      <c r="C48" s="889"/>
      <c r="D48" s="772"/>
      <c r="E48" s="219" t="s">
        <v>72</v>
      </c>
      <c r="F48" s="632"/>
      <c r="G48" s="598"/>
      <c r="H48" s="544"/>
      <c r="I48" s="542"/>
      <c r="J48" s="331"/>
      <c r="K48" s="123"/>
      <c r="L48" s="51"/>
      <c r="M48" s="52"/>
    </row>
    <row r="49" spans="1:13" ht="15" customHeight="1" x14ac:dyDescent="0.25">
      <c r="A49" s="454"/>
      <c r="B49" s="42"/>
      <c r="C49" s="889"/>
      <c r="D49" s="772"/>
      <c r="E49" s="219" t="s">
        <v>86</v>
      </c>
      <c r="F49" s="576"/>
      <c r="G49" s="573"/>
      <c r="H49" s="574"/>
      <c r="I49" s="623"/>
      <c r="J49" s="297"/>
      <c r="K49" s="273"/>
      <c r="L49" s="294"/>
      <c r="M49" s="292"/>
    </row>
    <row r="50" spans="1:13" ht="14.85" customHeight="1" x14ac:dyDescent="0.25">
      <c r="A50" s="27"/>
      <c r="B50" s="42"/>
      <c r="C50" s="889"/>
      <c r="D50" s="764" t="s">
        <v>90</v>
      </c>
      <c r="E50" s="442" t="s">
        <v>83</v>
      </c>
      <c r="F50" s="553" t="s">
        <v>216</v>
      </c>
      <c r="G50" s="571">
        <v>397.1</v>
      </c>
      <c r="H50" s="544"/>
      <c r="I50" s="583"/>
      <c r="J50" s="923" t="s">
        <v>132</v>
      </c>
      <c r="K50" s="180">
        <v>100</v>
      </c>
      <c r="L50" s="140"/>
      <c r="M50" s="446"/>
    </row>
    <row r="51" spans="1:13" ht="14.85" customHeight="1" x14ac:dyDescent="0.25">
      <c r="A51" s="27"/>
      <c r="B51" s="42"/>
      <c r="C51" s="889"/>
      <c r="D51" s="789"/>
      <c r="E51" s="58" t="s">
        <v>34</v>
      </c>
      <c r="F51" s="576" t="s">
        <v>214</v>
      </c>
      <c r="G51" s="541">
        <v>117.1</v>
      </c>
      <c r="H51" s="544"/>
      <c r="I51" s="542"/>
      <c r="J51" s="924"/>
      <c r="K51" s="274"/>
      <c r="L51" s="255"/>
      <c r="M51" s="246"/>
    </row>
    <row r="52" spans="1:13" ht="14.85" customHeight="1" x14ac:dyDescent="0.25">
      <c r="A52" s="27"/>
      <c r="B52" s="42"/>
      <c r="C52" s="889"/>
      <c r="D52" s="789"/>
      <c r="E52" s="443" t="s">
        <v>102</v>
      </c>
      <c r="F52" s="576"/>
      <c r="G52" s="541"/>
      <c r="H52" s="544"/>
      <c r="I52" s="542"/>
      <c r="J52" s="924"/>
      <c r="K52" s="123"/>
      <c r="L52" s="51"/>
      <c r="M52" s="52"/>
    </row>
    <row r="53" spans="1:13" ht="14.85" customHeight="1" x14ac:dyDescent="0.25">
      <c r="A53" s="27"/>
      <c r="B53" s="42"/>
      <c r="C53" s="889"/>
      <c r="D53" s="789"/>
      <c r="E53" s="219" t="s">
        <v>124</v>
      </c>
      <c r="F53" s="632"/>
      <c r="G53" s="541"/>
      <c r="H53" s="544"/>
      <c r="I53" s="580"/>
      <c r="J53" s="924"/>
      <c r="K53" s="123"/>
      <c r="L53" s="51"/>
      <c r="M53" s="52"/>
    </row>
    <row r="54" spans="1:13" ht="14.85" customHeight="1" x14ac:dyDescent="0.25">
      <c r="A54" s="27"/>
      <c r="B54" s="42"/>
      <c r="C54" s="889"/>
      <c r="D54" s="789"/>
      <c r="E54" s="219" t="s">
        <v>86</v>
      </c>
      <c r="F54" s="576"/>
      <c r="G54" s="541"/>
      <c r="H54" s="544"/>
      <c r="I54" s="542"/>
      <c r="J54" s="924"/>
      <c r="K54" s="123"/>
      <c r="L54" s="51"/>
      <c r="M54" s="52"/>
    </row>
    <row r="55" spans="1:13" ht="14.85" customHeight="1" x14ac:dyDescent="0.25">
      <c r="A55" s="27"/>
      <c r="B55" s="42"/>
      <c r="C55" s="889"/>
      <c r="D55" s="789"/>
      <c r="E55" s="219"/>
      <c r="F55" s="572"/>
      <c r="G55" s="573"/>
      <c r="H55" s="544"/>
      <c r="I55" s="623"/>
      <c r="J55" s="925"/>
      <c r="K55" s="123"/>
      <c r="L55" s="51"/>
      <c r="M55" s="52"/>
    </row>
    <row r="56" spans="1:13" ht="15" customHeight="1" x14ac:dyDescent="0.25">
      <c r="A56" s="752"/>
      <c r="B56" s="753"/>
      <c r="C56" s="873"/>
      <c r="D56" s="771" t="s">
        <v>68</v>
      </c>
      <c r="E56" s="35" t="s">
        <v>83</v>
      </c>
      <c r="F56" s="553" t="s">
        <v>216</v>
      </c>
      <c r="G56" s="577">
        <v>56.9</v>
      </c>
      <c r="H56" s="578"/>
      <c r="I56" s="608"/>
      <c r="J56" s="229" t="s">
        <v>132</v>
      </c>
      <c r="K56" s="345">
        <v>100</v>
      </c>
      <c r="L56" s="346"/>
      <c r="M56" s="347"/>
    </row>
    <row r="57" spans="1:13" ht="15" customHeight="1" x14ac:dyDescent="0.25">
      <c r="A57" s="752"/>
      <c r="B57" s="753"/>
      <c r="C57" s="873"/>
      <c r="D57" s="772"/>
      <c r="E57" s="205" t="s">
        <v>34</v>
      </c>
      <c r="F57" s="576"/>
      <c r="G57" s="541"/>
      <c r="H57" s="544"/>
      <c r="I57" s="542"/>
      <c r="J57" s="468"/>
      <c r="K57" s="124"/>
      <c r="L57" s="197"/>
      <c r="M57" s="89"/>
    </row>
    <row r="58" spans="1:13" ht="15" customHeight="1" x14ac:dyDescent="0.25">
      <c r="A58" s="752"/>
      <c r="B58" s="753"/>
      <c r="C58" s="873"/>
      <c r="D58" s="772"/>
      <c r="E58" s="219" t="s">
        <v>102</v>
      </c>
      <c r="F58" s="576"/>
      <c r="G58" s="541"/>
      <c r="H58" s="544"/>
      <c r="I58" s="542"/>
      <c r="J58" s="468"/>
      <c r="K58" s="124"/>
      <c r="L58" s="197"/>
      <c r="M58" s="89"/>
    </row>
    <row r="59" spans="1:13" ht="15" customHeight="1" x14ac:dyDescent="0.25">
      <c r="A59" s="752"/>
      <c r="B59" s="753"/>
      <c r="C59" s="873"/>
      <c r="D59" s="425"/>
      <c r="E59" s="206" t="s">
        <v>86</v>
      </c>
      <c r="F59" s="576"/>
      <c r="G59" s="541"/>
      <c r="H59" s="544"/>
      <c r="I59" s="609"/>
      <c r="J59" s="72"/>
      <c r="K59" s="138"/>
      <c r="L59" s="118"/>
      <c r="M59" s="85"/>
    </row>
    <row r="60" spans="1:13" ht="15" customHeight="1" x14ac:dyDescent="0.25">
      <c r="A60" s="752"/>
      <c r="B60" s="753"/>
      <c r="C60" s="873"/>
      <c r="D60" s="425"/>
      <c r="E60" s="206" t="s">
        <v>124</v>
      </c>
      <c r="F60" s="626"/>
      <c r="G60" s="635"/>
      <c r="H60" s="636"/>
      <c r="I60" s="637"/>
      <c r="J60" s="468"/>
      <c r="K60" s="296"/>
      <c r="L60" s="223"/>
      <c r="M60" s="293"/>
    </row>
    <row r="61" spans="1:13" ht="27.6" customHeight="1" x14ac:dyDescent="0.25">
      <c r="A61" s="439"/>
      <c r="B61" s="466"/>
      <c r="C61" s="33"/>
      <c r="D61" s="764" t="s">
        <v>91</v>
      </c>
      <c r="E61" s="442" t="s">
        <v>34</v>
      </c>
      <c r="F61" s="610" t="s">
        <v>216</v>
      </c>
      <c r="G61" s="546">
        <v>91.8</v>
      </c>
      <c r="H61" s="578">
        <v>100</v>
      </c>
      <c r="I61" s="609">
        <v>150</v>
      </c>
      <c r="J61" s="337" t="s">
        <v>237</v>
      </c>
      <c r="K61" s="126">
        <v>1</v>
      </c>
      <c r="L61" s="119"/>
      <c r="M61" s="44"/>
    </row>
    <row r="62" spans="1:13" ht="14.4" customHeight="1" x14ac:dyDescent="0.25">
      <c r="A62" s="439"/>
      <c r="B62" s="466"/>
      <c r="C62" s="33"/>
      <c r="D62" s="789"/>
      <c r="E62" s="443" t="s">
        <v>124</v>
      </c>
      <c r="F62" s="576" t="s">
        <v>215</v>
      </c>
      <c r="G62" s="541"/>
      <c r="H62" s="544"/>
      <c r="I62" s="542">
        <v>500</v>
      </c>
      <c r="J62" s="170" t="s">
        <v>33</v>
      </c>
      <c r="K62" s="339">
        <v>1</v>
      </c>
      <c r="L62" s="117"/>
      <c r="M62" s="94"/>
    </row>
    <row r="63" spans="1:13" ht="26.4" customHeight="1" x14ac:dyDescent="0.25">
      <c r="A63" s="682"/>
      <c r="B63" s="683"/>
      <c r="C63" s="33"/>
      <c r="D63" s="789"/>
      <c r="E63" s="219"/>
      <c r="F63" s="576"/>
      <c r="G63" s="580"/>
      <c r="H63" s="609"/>
      <c r="I63" s="542"/>
      <c r="J63" s="684" t="s">
        <v>238</v>
      </c>
      <c r="K63" s="112"/>
      <c r="L63" s="116"/>
      <c r="M63" s="94"/>
    </row>
    <row r="64" spans="1:13" ht="27" customHeight="1" x14ac:dyDescent="0.25">
      <c r="A64" s="439"/>
      <c r="B64" s="466"/>
      <c r="C64" s="33"/>
      <c r="D64" s="765"/>
      <c r="E64" s="214" t="s">
        <v>86</v>
      </c>
      <c r="F64" s="626"/>
      <c r="G64" s="598"/>
      <c r="H64" s="638"/>
      <c r="I64" s="603"/>
      <c r="J64" s="154" t="s">
        <v>234</v>
      </c>
      <c r="K64" s="134"/>
      <c r="L64" s="130"/>
      <c r="M64" s="46">
        <v>20</v>
      </c>
    </row>
    <row r="65" spans="1:13" ht="15" customHeight="1" x14ac:dyDescent="0.25">
      <c r="A65" s="439"/>
      <c r="B65" s="466"/>
      <c r="C65" s="441"/>
      <c r="D65" s="789" t="s">
        <v>239</v>
      </c>
      <c r="E65" s="57" t="s">
        <v>83</v>
      </c>
      <c r="F65" s="706" t="s">
        <v>216</v>
      </c>
      <c r="G65" s="577">
        <v>177.4</v>
      </c>
      <c r="H65" s="578">
        <v>455.2</v>
      </c>
      <c r="I65" s="608">
        <v>625.4</v>
      </c>
      <c r="J65" s="756" t="s">
        <v>139</v>
      </c>
      <c r="K65" s="316">
        <v>15</v>
      </c>
      <c r="L65" s="187">
        <v>60</v>
      </c>
      <c r="M65" s="188">
        <v>100</v>
      </c>
    </row>
    <row r="66" spans="1:13" ht="15" customHeight="1" x14ac:dyDescent="0.25">
      <c r="A66" s="439"/>
      <c r="B66" s="466"/>
      <c r="C66" s="441"/>
      <c r="D66" s="789"/>
      <c r="E66" s="205" t="s">
        <v>124</v>
      </c>
      <c r="F66" s="631" t="s">
        <v>215</v>
      </c>
      <c r="G66" s="541">
        <v>200</v>
      </c>
      <c r="H66" s="544">
        <v>200</v>
      </c>
      <c r="I66" s="542">
        <v>200</v>
      </c>
      <c r="J66" s="757"/>
      <c r="K66" s="204"/>
      <c r="L66" s="116"/>
      <c r="M66" s="196"/>
    </row>
    <row r="67" spans="1:13" ht="15" customHeight="1" x14ac:dyDescent="0.25">
      <c r="A67" s="439"/>
      <c r="B67" s="466"/>
      <c r="C67" s="441"/>
      <c r="D67" s="789"/>
      <c r="E67" s="443" t="s">
        <v>86</v>
      </c>
      <c r="F67" s="576"/>
      <c r="G67" s="541"/>
      <c r="H67" s="544"/>
      <c r="I67" s="542"/>
      <c r="J67" s="757"/>
      <c r="K67" s="204"/>
      <c r="L67" s="116"/>
      <c r="M67" s="45"/>
    </row>
    <row r="68" spans="1:13" ht="15" customHeight="1" x14ac:dyDescent="0.25">
      <c r="A68" s="439"/>
      <c r="B68" s="466"/>
      <c r="C68" s="441"/>
      <c r="D68" s="789"/>
      <c r="E68" s="205" t="s">
        <v>34</v>
      </c>
      <c r="F68" s="576"/>
      <c r="G68" s="573"/>
      <c r="H68" s="544"/>
      <c r="I68" s="575"/>
      <c r="J68" s="74"/>
      <c r="K68" s="201"/>
      <c r="L68" s="63"/>
      <c r="M68" s="84"/>
    </row>
    <row r="69" spans="1:13" ht="27" customHeight="1" x14ac:dyDescent="0.25">
      <c r="A69" s="439"/>
      <c r="B69" s="438"/>
      <c r="C69" s="30"/>
      <c r="D69" s="874" t="s">
        <v>87</v>
      </c>
      <c r="E69" s="442" t="s">
        <v>86</v>
      </c>
      <c r="F69" s="553" t="s">
        <v>216</v>
      </c>
      <c r="G69" s="583">
        <v>204.1</v>
      </c>
      <c r="H69" s="578">
        <v>765.9</v>
      </c>
      <c r="I69" s="608">
        <v>257.8</v>
      </c>
      <c r="J69" s="331" t="s">
        <v>174</v>
      </c>
      <c r="K69" s="172">
        <v>100</v>
      </c>
      <c r="L69" s="129"/>
      <c r="M69" s="53"/>
    </row>
    <row r="70" spans="1:13" ht="28.5" customHeight="1" x14ac:dyDescent="0.25">
      <c r="A70" s="434"/>
      <c r="B70" s="438"/>
      <c r="C70" s="31"/>
      <c r="D70" s="872"/>
      <c r="E70" s="205" t="s">
        <v>83</v>
      </c>
      <c r="F70" s="576" t="s">
        <v>217</v>
      </c>
      <c r="G70" s="541">
        <v>103.1</v>
      </c>
      <c r="H70" s="544"/>
      <c r="I70" s="542"/>
      <c r="J70" s="162" t="s">
        <v>175</v>
      </c>
      <c r="K70" s="172">
        <v>100</v>
      </c>
      <c r="L70" s="177"/>
      <c r="M70" s="94"/>
    </row>
    <row r="71" spans="1:13" ht="27" customHeight="1" x14ac:dyDescent="0.25">
      <c r="A71" s="434"/>
      <c r="B71" s="466"/>
      <c r="C71" s="31"/>
      <c r="D71" s="437"/>
      <c r="E71" s="205" t="s">
        <v>124</v>
      </c>
      <c r="F71" s="576" t="s">
        <v>212</v>
      </c>
      <c r="G71" s="541">
        <v>527.4</v>
      </c>
      <c r="H71" s="544"/>
      <c r="I71" s="542"/>
      <c r="J71" s="162" t="s">
        <v>176</v>
      </c>
      <c r="K71" s="172">
        <v>100</v>
      </c>
      <c r="L71" s="129"/>
      <c r="M71" s="53"/>
    </row>
    <row r="72" spans="1:13" ht="28.5" customHeight="1" x14ac:dyDescent="0.25">
      <c r="A72" s="434"/>
      <c r="B72" s="466"/>
      <c r="C72" s="31"/>
      <c r="D72" s="437"/>
      <c r="E72" s="208" t="s">
        <v>34</v>
      </c>
      <c r="F72" s="576"/>
      <c r="G72" s="541"/>
      <c r="H72" s="544"/>
      <c r="I72" s="609"/>
      <c r="J72" s="162" t="s">
        <v>226</v>
      </c>
      <c r="K72" s="172">
        <v>85</v>
      </c>
      <c r="L72" s="117">
        <v>100</v>
      </c>
      <c r="M72" s="53"/>
    </row>
    <row r="73" spans="1:13" ht="29.25" customHeight="1" x14ac:dyDescent="0.25">
      <c r="A73" s="434"/>
      <c r="B73" s="466"/>
      <c r="C73" s="31"/>
      <c r="D73" s="437"/>
      <c r="E73" s="66"/>
      <c r="F73" s="576"/>
      <c r="G73" s="580"/>
      <c r="H73" s="544"/>
      <c r="I73" s="609"/>
      <c r="J73" s="162" t="s">
        <v>177</v>
      </c>
      <c r="K73" s="172">
        <v>80</v>
      </c>
      <c r="L73" s="129">
        <v>100</v>
      </c>
      <c r="M73" s="53"/>
    </row>
    <row r="74" spans="1:13" ht="27.75" customHeight="1" x14ac:dyDescent="0.25">
      <c r="A74" s="434"/>
      <c r="B74" s="466"/>
      <c r="C74" s="31"/>
      <c r="D74" s="437"/>
      <c r="E74" s="66"/>
      <c r="F74" s="576"/>
      <c r="G74" s="580"/>
      <c r="H74" s="544"/>
      <c r="I74" s="609"/>
      <c r="J74" s="156" t="s">
        <v>178</v>
      </c>
      <c r="K74" s="171"/>
      <c r="L74" s="130">
        <v>85</v>
      </c>
      <c r="M74" s="96">
        <v>100</v>
      </c>
    </row>
    <row r="75" spans="1:13" ht="15" customHeight="1" x14ac:dyDescent="0.25">
      <c r="A75" s="434"/>
      <c r="B75" s="466"/>
      <c r="C75" s="31"/>
      <c r="D75" s="764" t="s">
        <v>114</v>
      </c>
      <c r="E75" s="57" t="s">
        <v>34</v>
      </c>
      <c r="F75" s="610" t="s">
        <v>216</v>
      </c>
      <c r="G75" s="577">
        <v>594.20000000000005</v>
      </c>
      <c r="H75" s="578">
        <v>741.6</v>
      </c>
      <c r="I75" s="608"/>
      <c r="J75" s="457" t="s">
        <v>132</v>
      </c>
      <c r="K75" s="324">
        <v>100</v>
      </c>
      <c r="L75" s="269"/>
      <c r="M75" s="396"/>
    </row>
    <row r="76" spans="1:13" ht="15" customHeight="1" x14ac:dyDescent="0.25">
      <c r="A76" s="434"/>
      <c r="B76" s="466"/>
      <c r="C76" s="31"/>
      <c r="D76" s="789"/>
      <c r="E76" s="205" t="s">
        <v>83</v>
      </c>
      <c r="F76" s="631" t="s">
        <v>215</v>
      </c>
      <c r="G76" s="541">
        <v>1200</v>
      </c>
      <c r="H76" s="544">
        <v>600</v>
      </c>
      <c r="I76" s="542"/>
      <c r="J76" s="458"/>
      <c r="K76" s="124"/>
      <c r="L76" s="197"/>
      <c r="M76" s="89"/>
    </row>
    <row r="77" spans="1:13" ht="15" customHeight="1" x14ac:dyDescent="0.25">
      <c r="A77" s="434"/>
      <c r="B77" s="466"/>
      <c r="C77" s="31"/>
      <c r="D77" s="789"/>
      <c r="E77" s="58" t="s">
        <v>124</v>
      </c>
      <c r="F77" s="632"/>
      <c r="G77" s="583"/>
      <c r="H77" s="544"/>
      <c r="I77" s="609"/>
      <c r="J77" s="331"/>
      <c r="K77" s="124"/>
      <c r="L77" s="197"/>
      <c r="M77" s="89"/>
    </row>
    <row r="78" spans="1:13" ht="15" customHeight="1" x14ac:dyDescent="0.25">
      <c r="A78" s="434"/>
      <c r="B78" s="466"/>
      <c r="C78" s="31"/>
      <c r="D78" s="875"/>
      <c r="E78" s="449" t="s">
        <v>86</v>
      </c>
      <c r="F78" s="633"/>
      <c r="G78" s="586"/>
      <c r="H78" s="574"/>
      <c r="I78" s="623"/>
      <c r="J78" s="74"/>
      <c r="K78" s="201"/>
      <c r="L78" s="63"/>
      <c r="M78" s="84"/>
    </row>
    <row r="79" spans="1:13" ht="14.25" customHeight="1" x14ac:dyDescent="0.25">
      <c r="A79" s="434"/>
      <c r="B79" s="466"/>
      <c r="C79" s="33"/>
      <c r="D79" s="764" t="s">
        <v>73</v>
      </c>
      <c r="E79" s="57" t="s">
        <v>34</v>
      </c>
      <c r="F79" s="610" t="s">
        <v>216</v>
      </c>
      <c r="G79" s="577">
        <v>169.6</v>
      </c>
      <c r="H79" s="578"/>
      <c r="I79" s="579"/>
      <c r="J79" s="162" t="s">
        <v>132</v>
      </c>
      <c r="K79" s="204">
        <v>100</v>
      </c>
      <c r="L79" s="116"/>
      <c r="M79" s="45"/>
    </row>
    <row r="80" spans="1:13" ht="14.25" customHeight="1" x14ac:dyDescent="0.25">
      <c r="A80" s="434"/>
      <c r="B80" s="466"/>
      <c r="C80" s="33"/>
      <c r="D80" s="789"/>
      <c r="E80" s="443" t="s">
        <v>86</v>
      </c>
      <c r="F80" s="558" t="s">
        <v>214</v>
      </c>
      <c r="G80" s="583">
        <v>79.2</v>
      </c>
      <c r="H80" s="544"/>
      <c r="I80" s="542"/>
      <c r="J80" s="72"/>
      <c r="K80" s="138"/>
      <c r="L80" s="118"/>
      <c r="M80" s="85"/>
    </row>
    <row r="81" spans="1:18" ht="14.25" customHeight="1" x14ac:dyDescent="0.25">
      <c r="A81" s="434"/>
      <c r="B81" s="466"/>
      <c r="C81" s="33"/>
      <c r="D81" s="765"/>
      <c r="E81" s="214" t="s">
        <v>124</v>
      </c>
      <c r="F81" s="626"/>
      <c r="G81" s="601"/>
      <c r="H81" s="574"/>
      <c r="I81" s="609"/>
      <c r="J81" s="154"/>
      <c r="K81" s="204"/>
      <c r="L81" s="116"/>
      <c r="M81" s="45"/>
    </row>
    <row r="82" spans="1:18" ht="15.6" customHeight="1" x14ac:dyDescent="0.25">
      <c r="A82" s="434"/>
      <c r="B82" s="466"/>
      <c r="C82" s="33"/>
      <c r="D82" s="764" t="s">
        <v>122</v>
      </c>
      <c r="E82" s="361" t="s">
        <v>34</v>
      </c>
      <c r="F82" s="649"/>
      <c r="G82" s="650"/>
      <c r="H82" s="578"/>
      <c r="I82" s="579"/>
      <c r="J82" s="756" t="s">
        <v>132</v>
      </c>
      <c r="K82" s="113">
        <v>100</v>
      </c>
      <c r="L82" s="119"/>
      <c r="M82" s="92"/>
    </row>
    <row r="83" spans="1:18" ht="15" customHeight="1" x14ac:dyDescent="0.25">
      <c r="A83" s="434"/>
      <c r="B83" s="466"/>
      <c r="C83" s="33"/>
      <c r="D83" s="789"/>
      <c r="E83" s="475" t="s">
        <v>124</v>
      </c>
      <c r="F83" s="558" t="s">
        <v>214</v>
      </c>
      <c r="G83" s="541">
        <f>86+28.7</f>
        <v>114.7</v>
      </c>
      <c r="H83" s="544"/>
      <c r="I83" s="542"/>
      <c r="J83" s="757"/>
      <c r="K83" s="111"/>
      <c r="L83" s="116"/>
      <c r="M83" s="45"/>
    </row>
    <row r="84" spans="1:18" ht="15" customHeight="1" x14ac:dyDescent="0.25">
      <c r="A84" s="434"/>
      <c r="B84" s="466"/>
      <c r="C84" s="33"/>
      <c r="D84" s="765"/>
      <c r="E84" s="476" t="s">
        <v>86</v>
      </c>
      <c r="F84" s="651"/>
      <c r="G84" s="563"/>
      <c r="H84" s="574"/>
      <c r="I84" s="575"/>
      <c r="J84" s="758"/>
      <c r="K84" s="134"/>
      <c r="L84" s="120"/>
      <c r="M84" s="46"/>
    </row>
    <row r="85" spans="1:18" ht="18" customHeight="1" x14ac:dyDescent="0.25">
      <c r="A85" s="439"/>
      <c r="B85" s="466"/>
      <c r="C85" s="30"/>
      <c r="D85" s="771" t="s">
        <v>145</v>
      </c>
      <c r="E85" s="68" t="s">
        <v>124</v>
      </c>
      <c r="F85" s="553" t="s">
        <v>216</v>
      </c>
      <c r="G85" s="627">
        <v>30</v>
      </c>
      <c r="H85" s="628">
        <v>30</v>
      </c>
      <c r="I85" s="629">
        <v>30</v>
      </c>
      <c r="J85" s="756" t="s">
        <v>59</v>
      </c>
      <c r="K85" s="133">
        <v>100</v>
      </c>
      <c r="L85" s="119">
        <v>100</v>
      </c>
      <c r="M85" s="44">
        <v>100</v>
      </c>
    </row>
    <row r="86" spans="1:18" ht="18" customHeight="1" x14ac:dyDescent="0.25">
      <c r="A86" s="439"/>
      <c r="B86" s="466"/>
      <c r="C86" s="30"/>
      <c r="D86" s="872"/>
      <c r="E86" s="69"/>
      <c r="F86" s="558"/>
      <c r="G86" s="541"/>
      <c r="H86" s="544"/>
      <c r="I86" s="542"/>
      <c r="J86" s="757"/>
      <c r="K86" s="204"/>
      <c r="L86" s="116"/>
      <c r="M86" s="45"/>
    </row>
    <row r="87" spans="1:18" s="6" customFormat="1" ht="18" customHeight="1" x14ac:dyDescent="0.25">
      <c r="A87" s="439"/>
      <c r="B87" s="466"/>
      <c r="C87" s="441"/>
      <c r="D87" s="797"/>
      <c r="E87" s="70"/>
      <c r="F87" s="572"/>
      <c r="G87" s="573"/>
      <c r="H87" s="574"/>
      <c r="I87" s="575"/>
      <c r="J87" s="758"/>
      <c r="K87" s="277"/>
      <c r="L87" s="131"/>
      <c r="M87" s="95"/>
      <c r="O87" s="675"/>
      <c r="P87" s="675"/>
      <c r="Q87" s="675"/>
      <c r="R87" s="675"/>
    </row>
    <row r="88" spans="1:18" ht="15.75" customHeight="1" x14ac:dyDescent="0.25">
      <c r="A88" s="439"/>
      <c r="B88" s="438"/>
      <c r="C88" s="31"/>
      <c r="D88" s="60" t="s">
        <v>208</v>
      </c>
      <c r="E88" s="443" t="s">
        <v>102</v>
      </c>
      <c r="F88" s="587"/>
      <c r="G88" s="630"/>
      <c r="H88" s="574"/>
      <c r="I88" s="586"/>
      <c r="J88" s="469"/>
      <c r="K88" s="387"/>
      <c r="L88" s="143"/>
      <c r="M88" s="388"/>
    </row>
    <row r="89" spans="1:18" ht="15" customHeight="1" x14ac:dyDescent="0.25">
      <c r="A89" s="439"/>
      <c r="B89" s="438"/>
      <c r="C89" s="31"/>
      <c r="D89" s="356" t="s">
        <v>125</v>
      </c>
      <c r="E89" s="68" t="s">
        <v>124</v>
      </c>
      <c r="F89" s="553" t="s">
        <v>216</v>
      </c>
      <c r="G89" s="577">
        <v>20</v>
      </c>
      <c r="H89" s="578">
        <v>20</v>
      </c>
      <c r="I89" s="579">
        <v>20</v>
      </c>
      <c r="J89" s="331" t="s">
        <v>161</v>
      </c>
      <c r="K89" s="298">
        <v>13.6</v>
      </c>
      <c r="L89" s="464">
        <v>9</v>
      </c>
      <c r="M89" s="465">
        <v>8.6</v>
      </c>
    </row>
    <row r="90" spans="1:18" ht="15" customHeight="1" x14ac:dyDescent="0.25">
      <c r="A90" s="439"/>
      <c r="B90" s="438"/>
      <c r="C90" s="33"/>
      <c r="D90" s="425" t="s">
        <v>162</v>
      </c>
      <c r="E90" s="208" t="s">
        <v>86</v>
      </c>
      <c r="F90" s="576" t="s">
        <v>215</v>
      </c>
      <c r="G90" s="541">
        <v>525</v>
      </c>
      <c r="H90" s="544">
        <v>540</v>
      </c>
      <c r="I90" s="609">
        <v>602</v>
      </c>
      <c r="J90" s="216"/>
      <c r="K90" s="216"/>
      <c r="L90" s="488"/>
      <c r="M90" s="485"/>
    </row>
    <row r="91" spans="1:18" ht="15" customHeight="1" x14ac:dyDescent="0.25">
      <c r="A91" s="439"/>
      <c r="B91" s="438"/>
      <c r="C91" s="33"/>
      <c r="D91" s="357" t="s">
        <v>115</v>
      </c>
      <c r="E91" s="66"/>
      <c r="F91" s="657"/>
      <c r="G91" s="660"/>
      <c r="H91" s="659"/>
      <c r="I91" s="656"/>
      <c r="J91" s="331"/>
      <c r="K91" s="56"/>
      <c r="L91" s="464"/>
      <c r="M91" s="12"/>
    </row>
    <row r="92" spans="1:18" ht="15" customHeight="1" x14ac:dyDescent="0.25">
      <c r="A92" s="439"/>
      <c r="B92" s="438"/>
      <c r="C92" s="31"/>
      <c r="D92" s="357" t="s">
        <v>126</v>
      </c>
      <c r="E92" s="208"/>
      <c r="F92" s="657"/>
      <c r="G92" s="658"/>
      <c r="H92" s="659"/>
      <c r="I92" s="661"/>
      <c r="J92" s="432"/>
      <c r="K92" s="56"/>
      <c r="L92" s="464"/>
      <c r="M92" s="12"/>
    </row>
    <row r="93" spans="1:18" ht="15" customHeight="1" x14ac:dyDescent="0.25">
      <c r="A93" s="439"/>
      <c r="B93" s="438"/>
      <c r="C93" s="31"/>
      <c r="D93" s="357" t="s">
        <v>167</v>
      </c>
      <c r="F93" s="657"/>
      <c r="G93" s="660"/>
      <c r="H93" s="659"/>
      <c r="I93" s="661"/>
      <c r="J93" s="432"/>
      <c r="K93" s="56"/>
      <c r="L93" s="464"/>
      <c r="M93" s="12"/>
    </row>
    <row r="94" spans="1:18" ht="15.75" customHeight="1" x14ac:dyDescent="0.25">
      <c r="A94" s="439"/>
      <c r="B94" s="438"/>
      <c r="C94" s="31"/>
      <c r="D94" s="357" t="s">
        <v>143</v>
      </c>
      <c r="E94" s="208"/>
      <c r="F94" s="657"/>
      <c r="G94" s="658"/>
      <c r="H94" s="659"/>
      <c r="I94" s="662"/>
      <c r="J94" s="432"/>
      <c r="K94" s="56"/>
      <c r="L94" s="464"/>
      <c r="M94" s="12"/>
    </row>
    <row r="95" spans="1:18" ht="15" customHeight="1" x14ac:dyDescent="0.25">
      <c r="A95" s="439"/>
      <c r="B95" s="438"/>
      <c r="C95" s="31"/>
      <c r="D95" s="357" t="s">
        <v>127</v>
      </c>
      <c r="E95" s="208"/>
      <c r="F95" s="657"/>
      <c r="G95" s="658"/>
      <c r="H95" s="659"/>
      <c r="I95" s="656"/>
      <c r="J95" s="432"/>
      <c r="K95" s="56"/>
      <c r="L95" s="464"/>
      <c r="M95" s="12"/>
    </row>
    <row r="96" spans="1:18" ht="15.75" customHeight="1" x14ac:dyDescent="0.25">
      <c r="A96" s="439"/>
      <c r="B96" s="438"/>
      <c r="C96" s="31"/>
      <c r="D96" s="754" t="s">
        <v>194</v>
      </c>
      <c r="E96" s="442" t="s">
        <v>102</v>
      </c>
      <c r="F96" s="553" t="s">
        <v>215</v>
      </c>
      <c r="G96" s="624">
        <f>500</f>
        <v>500</v>
      </c>
      <c r="H96" s="578">
        <f>500</f>
        <v>500</v>
      </c>
      <c r="I96" s="579">
        <f>500</f>
        <v>500</v>
      </c>
      <c r="J96" s="756" t="s">
        <v>163</v>
      </c>
      <c r="K96" s="380">
        <v>0.5</v>
      </c>
      <c r="L96" s="447">
        <v>0.5</v>
      </c>
      <c r="M96" s="381">
        <v>0.5</v>
      </c>
    </row>
    <row r="97" spans="1:14" ht="15.75" customHeight="1" x14ac:dyDescent="0.25">
      <c r="A97" s="439"/>
      <c r="B97" s="438"/>
      <c r="C97" s="31"/>
      <c r="D97" s="755"/>
      <c r="E97" s="443" t="s">
        <v>124</v>
      </c>
      <c r="F97" s="576"/>
      <c r="G97" s="541"/>
      <c r="H97" s="544"/>
      <c r="I97" s="583"/>
      <c r="J97" s="784"/>
      <c r="K97" s="264"/>
      <c r="L97" s="393"/>
      <c r="M97" s="489"/>
    </row>
    <row r="98" spans="1:14" ht="15.75" customHeight="1" x14ac:dyDescent="0.25">
      <c r="A98" s="439"/>
      <c r="B98" s="438"/>
      <c r="C98" s="31"/>
      <c r="D98" s="755"/>
      <c r="E98" s="208" t="s">
        <v>86</v>
      </c>
      <c r="F98" s="576" t="s">
        <v>216</v>
      </c>
      <c r="G98" s="541">
        <v>549.79999999999995</v>
      </c>
      <c r="H98" s="571">
        <v>550</v>
      </c>
      <c r="I98" s="542">
        <v>550</v>
      </c>
      <c r="J98" s="842" t="s">
        <v>164</v>
      </c>
      <c r="K98" s="455">
        <v>40</v>
      </c>
      <c r="L98" s="456">
        <v>39</v>
      </c>
      <c r="M98" s="491">
        <v>39</v>
      </c>
    </row>
    <row r="99" spans="1:14" ht="15.75" customHeight="1" x14ac:dyDescent="0.25">
      <c r="A99" s="439"/>
      <c r="B99" s="438"/>
      <c r="C99" s="31"/>
      <c r="D99" s="755"/>
      <c r="E99" s="443"/>
      <c r="F99" s="576"/>
      <c r="G99" s="571"/>
      <c r="H99" s="571"/>
      <c r="I99" s="609"/>
      <c r="J99" s="784"/>
      <c r="K99" s="486"/>
      <c r="L99" s="492"/>
      <c r="M99" s="493"/>
      <c r="N99" s="216"/>
    </row>
    <row r="100" spans="1:14" ht="15.75" customHeight="1" x14ac:dyDescent="0.25">
      <c r="A100" s="439"/>
      <c r="B100" s="438"/>
      <c r="C100" s="31"/>
      <c r="D100" s="755"/>
      <c r="E100" s="358"/>
      <c r="F100" s="576"/>
      <c r="G100" s="541"/>
      <c r="H100" s="544"/>
      <c r="I100" s="542"/>
      <c r="J100" s="451" t="s">
        <v>165</v>
      </c>
      <c r="K100" s="490">
        <v>13</v>
      </c>
      <c r="L100" s="195">
        <v>13</v>
      </c>
      <c r="M100" s="383">
        <v>13</v>
      </c>
    </row>
    <row r="101" spans="1:14" ht="31.5" customHeight="1" x14ac:dyDescent="0.25">
      <c r="A101" s="439"/>
      <c r="B101" s="438"/>
      <c r="C101" s="31"/>
      <c r="D101" s="431"/>
      <c r="E101" s="208"/>
      <c r="F101" s="572" t="s">
        <v>216</v>
      </c>
      <c r="G101" s="541">
        <f>500-100</f>
        <v>400</v>
      </c>
      <c r="H101" s="574">
        <f>500-100</f>
        <v>400</v>
      </c>
      <c r="I101" s="575">
        <f>500-100</f>
        <v>400</v>
      </c>
      <c r="J101" s="382" t="s">
        <v>166</v>
      </c>
      <c r="K101" s="419">
        <v>17.600000000000001</v>
      </c>
      <c r="L101" s="175">
        <v>17.600000000000001</v>
      </c>
      <c r="M101" s="494">
        <v>17.600000000000001</v>
      </c>
    </row>
    <row r="102" spans="1:14" ht="15" customHeight="1" x14ac:dyDescent="0.25">
      <c r="A102" s="759"/>
      <c r="B102" s="753"/>
      <c r="C102" s="761"/>
      <c r="D102" s="771" t="s">
        <v>77</v>
      </c>
      <c r="E102" s="442" t="s">
        <v>102</v>
      </c>
      <c r="F102" s="553" t="s">
        <v>215</v>
      </c>
      <c r="G102" s="577">
        <v>205</v>
      </c>
      <c r="H102" s="578"/>
      <c r="I102" s="579"/>
      <c r="J102" s="756" t="s">
        <v>198</v>
      </c>
      <c r="K102" s="380">
        <v>9.1</v>
      </c>
      <c r="L102" s="447">
        <v>15.5</v>
      </c>
      <c r="M102" s="381">
        <v>15.5</v>
      </c>
    </row>
    <row r="103" spans="1:14" ht="15" customHeight="1" x14ac:dyDescent="0.25">
      <c r="A103" s="759"/>
      <c r="B103" s="753"/>
      <c r="C103" s="761"/>
      <c r="D103" s="772"/>
      <c r="E103" s="443" t="s">
        <v>124</v>
      </c>
      <c r="F103" s="576" t="s">
        <v>216</v>
      </c>
      <c r="G103" s="541">
        <v>381.1</v>
      </c>
      <c r="H103" s="544">
        <v>586.1</v>
      </c>
      <c r="I103" s="609">
        <f>+H103</f>
        <v>586.1</v>
      </c>
      <c r="J103" s="757"/>
      <c r="K103" s="100"/>
      <c r="L103" s="138"/>
      <c r="M103" s="485"/>
      <c r="N103" s="216"/>
    </row>
    <row r="104" spans="1:14" ht="15" customHeight="1" x14ac:dyDescent="0.25">
      <c r="A104" s="759"/>
      <c r="B104" s="753"/>
      <c r="C104" s="761"/>
      <c r="D104" s="772"/>
      <c r="E104" s="443" t="s">
        <v>86</v>
      </c>
      <c r="F104" s="632"/>
      <c r="G104" s="541"/>
      <c r="H104" s="544"/>
      <c r="I104" s="542"/>
      <c r="J104" s="451"/>
      <c r="K104" s="203"/>
      <c r="L104" s="203"/>
      <c r="M104" s="181"/>
    </row>
    <row r="105" spans="1:14" ht="20.25" customHeight="1" x14ac:dyDescent="0.25">
      <c r="A105" s="759"/>
      <c r="B105" s="753"/>
      <c r="C105" s="761"/>
      <c r="D105" s="772"/>
      <c r="E105" s="443"/>
      <c r="F105" s="558" t="s">
        <v>215</v>
      </c>
      <c r="G105" s="541">
        <v>590</v>
      </c>
      <c r="H105" s="544">
        <v>500</v>
      </c>
      <c r="I105" s="542">
        <v>500</v>
      </c>
      <c r="J105" s="842" t="s">
        <v>199</v>
      </c>
      <c r="K105" s="776">
        <v>9</v>
      </c>
      <c r="L105" s="778">
        <v>8</v>
      </c>
      <c r="M105" s="342">
        <v>8</v>
      </c>
    </row>
    <row r="106" spans="1:14" ht="18.75" customHeight="1" x14ac:dyDescent="0.25">
      <c r="A106" s="759"/>
      <c r="B106" s="753"/>
      <c r="C106" s="761"/>
      <c r="D106" s="772"/>
      <c r="E106" s="443"/>
      <c r="F106" s="632" t="s">
        <v>216</v>
      </c>
      <c r="G106" s="541">
        <v>205</v>
      </c>
      <c r="H106" s="544"/>
      <c r="I106" s="542"/>
      <c r="J106" s="757"/>
      <c r="K106" s="777"/>
      <c r="L106" s="779"/>
      <c r="M106" s="384"/>
    </row>
    <row r="107" spans="1:14" ht="15" customHeight="1" x14ac:dyDescent="0.25">
      <c r="A107" s="439"/>
      <c r="B107" s="438"/>
      <c r="C107" s="441"/>
      <c r="D107" s="425"/>
      <c r="E107" s="443"/>
      <c r="F107" s="576" t="s">
        <v>216</v>
      </c>
      <c r="G107" s="541">
        <v>40</v>
      </c>
      <c r="H107" s="544"/>
      <c r="I107" s="542"/>
      <c r="J107" s="155" t="s">
        <v>33</v>
      </c>
      <c r="K107" s="272">
        <v>1</v>
      </c>
      <c r="L107" s="136"/>
      <c r="M107" s="94"/>
    </row>
    <row r="108" spans="1:14" ht="15" customHeight="1" x14ac:dyDescent="0.25">
      <c r="A108" s="439"/>
      <c r="B108" s="438"/>
      <c r="C108" s="441"/>
      <c r="D108" s="425"/>
      <c r="E108" s="443"/>
      <c r="F108" s="576" t="s">
        <v>216</v>
      </c>
      <c r="G108" s="541"/>
      <c r="H108" s="544">
        <v>300</v>
      </c>
      <c r="I108" s="542">
        <v>300</v>
      </c>
      <c r="J108" s="155" t="s">
        <v>132</v>
      </c>
      <c r="K108" s="204"/>
      <c r="L108" s="116">
        <v>50</v>
      </c>
      <c r="M108" s="196">
        <v>100</v>
      </c>
    </row>
    <row r="109" spans="1:14" ht="15" customHeight="1" x14ac:dyDescent="0.25">
      <c r="A109" s="439"/>
      <c r="B109" s="438"/>
      <c r="C109" s="441"/>
      <c r="D109" s="425"/>
      <c r="E109" s="443"/>
      <c r="F109" s="576" t="s">
        <v>216</v>
      </c>
      <c r="G109" s="541">
        <v>22</v>
      </c>
      <c r="H109" s="544"/>
      <c r="I109" s="542"/>
      <c r="J109" s="170" t="s">
        <v>33</v>
      </c>
      <c r="K109" s="112">
        <v>1</v>
      </c>
      <c r="L109" s="117"/>
      <c r="M109" s="94"/>
    </row>
    <row r="110" spans="1:14" ht="15" customHeight="1" x14ac:dyDescent="0.25">
      <c r="A110" s="439"/>
      <c r="B110" s="438"/>
      <c r="C110" s="441"/>
      <c r="D110" s="425"/>
      <c r="E110" s="443"/>
      <c r="F110" s="576" t="s">
        <v>216</v>
      </c>
      <c r="G110" s="541"/>
      <c r="H110" s="544">
        <v>502.4</v>
      </c>
      <c r="I110" s="542"/>
      <c r="J110" s="331" t="s">
        <v>132</v>
      </c>
      <c r="K110" s="204"/>
      <c r="L110" s="116">
        <v>100</v>
      </c>
      <c r="M110" s="196"/>
    </row>
    <row r="111" spans="1:14" ht="27.9" customHeight="1" x14ac:dyDescent="0.25">
      <c r="A111" s="687"/>
      <c r="B111" s="686"/>
      <c r="C111" s="688"/>
      <c r="D111" s="685"/>
      <c r="E111" s="689"/>
      <c r="F111" s="576"/>
      <c r="G111" s="571"/>
      <c r="H111" s="544"/>
      <c r="I111" s="542"/>
      <c r="J111" s="156" t="s">
        <v>33</v>
      </c>
      <c r="K111" s="398">
        <v>1</v>
      </c>
      <c r="L111" s="130"/>
      <c r="M111" s="397"/>
    </row>
    <row r="112" spans="1:14" ht="15.75" customHeight="1" x14ac:dyDescent="0.25">
      <c r="A112" s="439"/>
      <c r="B112" s="438"/>
      <c r="C112" s="441"/>
      <c r="D112" s="771" t="s">
        <v>153</v>
      </c>
      <c r="E112" s="68" t="s">
        <v>124</v>
      </c>
      <c r="F112" s="553" t="s">
        <v>216</v>
      </c>
      <c r="G112" s="577">
        <v>307.5</v>
      </c>
      <c r="H112" s="578">
        <v>307.5</v>
      </c>
      <c r="I112" s="579">
        <v>307.5</v>
      </c>
      <c r="J112" s="756" t="s">
        <v>61</v>
      </c>
      <c r="K112" s="133">
        <v>2</v>
      </c>
      <c r="L112" s="119">
        <v>2</v>
      </c>
      <c r="M112" s="44">
        <v>2</v>
      </c>
    </row>
    <row r="113" spans="1:18" ht="16.5" customHeight="1" x14ac:dyDescent="0.25">
      <c r="A113" s="439"/>
      <c r="B113" s="438"/>
      <c r="C113" s="441"/>
      <c r="D113" s="773"/>
      <c r="E113" s="208" t="s">
        <v>86</v>
      </c>
      <c r="F113" s="572"/>
      <c r="G113" s="573"/>
      <c r="H113" s="574"/>
      <c r="I113" s="623"/>
      <c r="J113" s="758"/>
      <c r="K113" s="134"/>
      <c r="L113" s="120"/>
      <c r="M113" s="46"/>
    </row>
    <row r="114" spans="1:18" ht="15" customHeight="1" x14ac:dyDescent="0.25">
      <c r="A114" s="434"/>
      <c r="B114" s="438"/>
      <c r="C114" s="33"/>
      <c r="D114" s="764" t="s">
        <v>29</v>
      </c>
      <c r="E114" s="68" t="s">
        <v>124</v>
      </c>
      <c r="F114" s="622" t="s">
        <v>215</v>
      </c>
      <c r="G114" s="571">
        <v>160.80000000000001</v>
      </c>
      <c r="H114" s="578">
        <v>170</v>
      </c>
      <c r="I114" s="583">
        <v>170</v>
      </c>
      <c r="J114" s="224" t="s">
        <v>76</v>
      </c>
      <c r="K114" s="113">
        <v>16</v>
      </c>
      <c r="L114" s="133">
        <v>16</v>
      </c>
      <c r="M114" s="92">
        <v>16</v>
      </c>
    </row>
    <row r="115" spans="1:18" ht="15" customHeight="1" x14ac:dyDescent="0.25">
      <c r="A115" s="434"/>
      <c r="B115" s="438"/>
      <c r="C115" s="33"/>
      <c r="D115" s="789"/>
      <c r="E115" s="208"/>
      <c r="F115" s="576" t="s">
        <v>216</v>
      </c>
      <c r="G115" s="541">
        <v>111.6</v>
      </c>
      <c r="H115" s="544">
        <v>100</v>
      </c>
      <c r="I115" s="542">
        <v>100</v>
      </c>
      <c r="J115" s="170"/>
      <c r="K115" s="339"/>
      <c r="L115" s="340"/>
      <c r="M115" s="341"/>
    </row>
    <row r="116" spans="1:18" ht="16.5" customHeight="1" x14ac:dyDescent="0.25">
      <c r="A116" s="434"/>
      <c r="B116" s="438"/>
      <c r="C116" s="33"/>
      <c r="D116" s="789"/>
      <c r="E116" s="66"/>
      <c r="F116" s="572" t="s">
        <v>216</v>
      </c>
      <c r="G116" s="641">
        <v>492.9</v>
      </c>
      <c r="H116" s="642">
        <v>234.1</v>
      </c>
      <c r="I116" s="575"/>
      <c r="J116" s="156" t="s">
        <v>132</v>
      </c>
      <c r="K116" s="134"/>
      <c r="L116" s="120">
        <v>100</v>
      </c>
      <c r="M116" s="46"/>
    </row>
    <row r="117" spans="1:18" ht="14.25" customHeight="1" x14ac:dyDescent="0.25">
      <c r="A117" s="434"/>
      <c r="B117" s="466"/>
      <c r="C117" s="30"/>
      <c r="D117" s="764" t="s">
        <v>240</v>
      </c>
      <c r="E117" s="35" t="s">
        <v>124</v>
      </c>
      <c r="F117" s="610" t="s">
        <v>215</v>
      </c>
      <c r="G117" s="577">
        <v>8</v>
      </c>
      <c r="H117" s="578">
        <v>8</v>
      </c>
      <c r="I117" s="608">
        <v>8</v>
      </c>
      <c r="J117" s="470" t="s">
        <v>168</v>
      </c>
      <c r="K117" s="353">
        <v>10</v>
      </c>
      <c r="L117" s="354">
        <v>10</v>
      </c>
      <c r="M117" s="355">
        <v>10</v>
      </c>
    </row>
    <row r="118" spans="1:18" ht="27" customHeight="1" x14ac:dyDescent="0.25">
      <c r="A118" s="434"/>
      <c r="B118" s="466"/>
      <c r="C118" s="30"/>
      <c r="D118" s="765"/>
      <c r="E118" s="47"/>
      <c r="F118" s="562"/>
      <c r="G118" s="573"/>
      <c r="H118" s="574"/>
      <c r="I118" s="623"/>
      <c r="J118" s="153"/>
      <c r="K118" s="134"/>
      <c r="L118" s="120"/>
      <c r="M118" s="46"/>
    </row>
    <row r="119" spans="1:18" ht="15" customHeight="1" x14ac:dyDescent="0.25">
      <c r="A119" s="434"/>
      <c r="B119" s="466"/>
      <c r="C119" s="30"/>
      <c r="D119" s="764" t="s">
        <v>196</v>
      </c>
      <c r="E119" s="35" t="s">
        <v>34</v>
      </c>
      <c r="F119" s="610" t="s">
        <v>216</v>
      </c>
      <c r="G119" s="577">
        <v>14</v>
      </c>
      <c r="H119" s="578">
        <v>100</v>
      </c>
      <c r="I119" s="608">
        <v>167.1</v>
      </c>
      <c r="J119" s="471" t="s">
        <v>47</v>
      </c>
      <c r="K119" s="204">
        <v>1</v>
      </c>
      <c r="L119" s="128"/>
      <c r="M119" s="93"/>
    </row>
    <row r="120" spans="1:18" ht="15" customHeight="1" x14ac:dyDescent="0.25">
      <c r="A120" s="434"/>
      <c r="B120" s="466"/>
      <c r="C120" s="30"/>
      <c r="D120" s="789"/>
      <c r="E120" s="219" t="s">
        <v>86</v>
      </c>
      <c r="F120" s="558" t="s">
        <v>215</v>
      </c>
      <c r="G120" s="541"/>
      <c r="H120" s="544">
        <v>500</v>
      </c>
      <c r="I120" s="542">
        <v>400</v>
      </c>
      <c r="J120" s="363" t="s">
        <v>132</v>
      </c>
      <c r="K120" s="172"/>
      <c r="L120" s="116">
        <v>60</v>
      </c>
      <c r="M120" s="45">
        <v>100</v>
      </c>
    </row>
    <row r="121" spans="1:18" ht="15.75" customHeight="1" x14ac:dyDescent="0.25">
      <c r="A121" s="434"/>
      <c r="B121" s="466"/>
      <c r="C121" s="30"/>
      <c r="D121" s="789"/>
      <c r="E121" s="483" t="s">
        <v>124</v>
      </c>
      <c r="F121" s="562"/>
      <c r="G121" s="601"/>
      <c r="H121" s="602"/>
      <c r="I121" s="598"/>
      <c r="J121" s="74"/>
      <c r="K121" s="201"/>
      <c r="L121" s="63"/>
      <c r="M121" s="84"/>
    </row>
    <row r="122" spans="1:18" ht="18" customHeight="1" x14ac:dyDescent="0.25">
      <c r="A122" s="434"/>
      <c r="B122" s="466"/>
      <c r="C122" s="30"/>
      <c r="D122" s="764" t="s">
        <v>189</v>
      </c>
      <c r="E122" s="35" t="s">
        <v>124</v>
      </c>
      <c r="F122" s="610" t="s">
        <v>216</v>
      </c>
      <c r="G122" s="624">
        <v>722.6</v>
      </c>
      <c r="H122" s="578">
        <v>550</v>
      </c>
      <c r="I122" s="625">
        <v>663.5</v>
      </c>
      <c r="J122" s="363" t="s">
        <v>132</v>
      </c>
      <c r="K122" s="496">
        <v>40</v>
      </c>
      <c r="L122" s="280">
        <v>70</v>
      </c>
      <c r="M122" s="497">
        <v>100</v>
      </c>
    </row>
    <row r="123" spans="1:18" ht="18" customHeight="1" x14ac:dyDescent="0.25">
      <c r="A123" s="434"/>
      <c r="B123" s="466"/>
      <c r="C123" s="30"/>
      <c r="D123" s="789"/>
      <c r="E123" s="64" t="s">
        <v>34</v>
      </c>
      <c r="F123" s="558" t="s">
        <v>215</v>
      </c>
      <c r="G123" s="541">
        <v>400</v>
      </c>
      <c r="H123" s="544">
        <v>800</v>
      </c>
      <c r="I123" s="542">
        <v>800</v>
      </c>
      <c r="J123" s="362"/>
      <c r="K123" s="111"/>
      <c r="L123" s="116"/>
      <c r="M123" s="196"/>
    </row>
    <row r="124" spans="1:18" ht="18" customHeight="1" x14ac:dyDescent="0.25">
      <c r="A124" s="434"/>
      <c r="B124" s="466"/>
      <c r="C124" s="30"/>
      <c r="D124" s="789"/>
      <c r="E124" s="495" t="s">
        <v>86</v>
      </c>
      <c r="F124" s="543"/>
      <c r="G124" s="573"/>
      <c r="H124" s="574"/>
      <c r="I124" s="575"/>
      <c r="K124" s="87"/>
      <c r="L124" s="191"/>
      <c r="M124" s="364"/>
      <c r="N124" s="216"/>
    </row>
    <row r="125" spans="1:18" ht="15" customHeight="1" x14ac:dyDescent="0.25">
      <c r="A125" s="434"/>
      <c r="B125" s="438"/>
      <c r="C125" s="82"/>
      <c r="D125" s="428" t="s">
        <v>105</v>
      </c>
      <c r="E125" s="443" t="s">
        <v>86</v>
      </c>
      <c r="F125" s="610"/>
      <c r="G125" s="577"/>
      <c r="H125" s="578"/>
      <c r="I125" s="625"/>
      <c r="J125" s="338"/>
      <c r="K125" s="133"/>
      <c r="L125" s="119"/>
      <c r="M125" s="44"/>
    </row>
    <row r="126" spans="1:18" ht="15" customHeight="1" x14ac:dyDescent="0.25">
      <c r="A126" s="434"/>
      <c r="B126" s="438"/>
      <c r="C126" s="82"/>
      <c r="D126" s="426" t="s">
        <v>200</v>
      </c>
      <c r="E126" s="315" t="s">
        <v>124</v>
      </c>
      <c r="F126" s="558" t="s">
        <v>215</v>
      </c>
      <c r="G126" s="541">
        <v>103</v>
      </c>
      <c r="H126" s="713"/>
      <c r="I126" s="714"/>
      <c r="J126" s="265" t="s">
        <v>132</v>
      </c>
      <c r="K126" s="281">
        <v>100</v>
      </c>
      <c r="L126" s="282"/>
      <c r="M126" s="283"/>
    </row>
    <row r="127" spans="1:18" s="2" customFormat="1" ht="15" customHeight="1" x14ac:dyDescent="0.25">
      <c r="A127" s="434"/>
      <c r="B127" s="438"/>
      <c r="C127" s="266"/>
      <c r="D127" s="426" t="s">
        <v>116</v>
      </c>
      <c r="E127" s="315" t="s">
        <v>123</v>
      </c>
      <c r="F127" s="558" t="s">
        <v>215</v>
      </c>
      <c r="G127" s="710">
        <v>260</v>
      </c>
      <c r="H127" s="712"/>
      <c r="I127" s="715"/>
      <c r="J127" s="363" t="s">
        <v>132</v>
      </c>
      <c r="K127" s="490">
        <v>100</v>
      </c>
      <c r="L127" s="663"/>
      <c r="M127" s="389"/>
      <c r="N127" s="216"/>
      <c r="O127" s="598"/>
      <c r="P127" s="598"/>
      <c r="Q127" s="598"/>
      <c r="R127" s="598"/>
    </row>
    <row r="128" spans="1:18" s="2" customFormat="1" ht="15" customHeight="1" x14ac:dyDescent="0.25">
      <c r="A128" s="434"/>
      <c r="B128" s="438"/>
      <c r="C128" s="266"/>
      <c r="D128" s="768" t="s">
        <v>106</v>
      </c>
      <c r="E128" s="315" t="s">
        <v>123</v>
      </c>
      <c r="F128" s="576" t="s">
        <v>217</v>
      </c>
      <c r="G128" s="711"/>
      <c r="H128" s="544">
        <v>49.4</v>
      </c>
      <c r="I128" s="680"/>
      <c r="J128" s="363" t="s">
        <v>132</v>
      </c>
      <c r="K128" s="232"/>
      <c r="L128" s="294">
        <v>100</v>
      </c>
      <c r="M128" s="664"/>
      <c r="N128" s="1"/>
      <c r="O128" s="484"/>
      <c r="P128" s="598"/>
      <c r="Q128" s="598"/>
      <c r="R128" s="598"/>
    </row>
    <row r="129" spans="1:18" s="2" customFormat="1" ht="15" customHeight="1" x14ac:dyDescent="0.25">
      <c r="A129" s="434"/>
      <c r="B129" s="438"/>
      <c r="C129" s="266"/>
      <c r="D129" s="921"/>
      <c r="E129" s="267"/>
      <c r="F129" s="709" t="s">
        <v>215</v>
      </c>
      <c r="G129" s="563"/>
      <c r="H129" s="574">
        <f>820-H128</f>
        <v>770.6</v>
      </c>
      <c r="I129" s="681"/>
      <c r="J129" s="153"/>
      <c r="K129" s="88"/>
      <c r="L129" s="295"/>
      <c r="M129" s="402"/>
      <c r="N129" s="1"/>
      <c r="O129" s="484"/>
      <c r="P129" s="598"/>
      <c r="Q129" s="598"/>
      <c r="R129" s="598"/>
    </row>
    <row r="130" spans="1:18" ht="15" customHeight="1" x14ac:dyDescent="0.25">
      <c r="A130" s="434"/>
      <c r="B130" s="438"/>
      <c r="C130" s="82"/>
      <c r="D130" s="764" t="s">
        <v>117</v>
      </c>
      <c r="E130" s="35" t="s">
        <v>34</v>
      </c>
      <c r="F130" s="610" t="s">
        <v>216</v>
      </c>
      <c r="G130" s="577">
        <f>154.3-100</f>
        <v>54.3</v>
      </c>
      <c r="H130" s="544">
        <v>100</v>
      </c>
      <c r="I130" s="609"/>
      <c r="J130" s="470" t="s">
        <v>132</v>
      </c>
      <c r="K130" s="204">
        <v>75</v>
      </c>
      <c r="L130" s="116">
        <v>100</v>
      </c>
      <c r="M130" s="45"/>
    </row>
    <row r="131" spans="1:18" ht="15" customHeight="1" x14ac:dyDescent="0.25">
      <c r="A131" s="434"/>
      <c r="B131" s="438"/>
      <c r="C131" s="82"/>
      <c r="D131" s="789"/>
      <c r="E131" s="64" t="s">
        <v>124</v>
      </c>
      <c r="F131" s="558" t="s">
        <v>215</v>
      </c>
      <c r="G131" s="541">
        <v>500</v>
      </c>
      <c r="H131" s="544"/>
      <c r="I131" s="542"/>
      <c r="J131" s="468"/>
      <c r="K131" s="204"/>
      <c r="L131" s="116"/>
      <c r="M131" s="45"/>
    </row>
    <row r="132" spans="1:18" ht="15" customHeight="1" x14ac:dyDescent="0.25">
      <c r="A132" s="434"/>
      <c r="B132" s="438"/>
      <c r="C132" s="82"/>
      <c r="D132" s="789"/>
      <c r="E132" s="214" t="s">
        <v>86</v>
      </c>
      <c r="F132" s="562" t="s">
        <v>211</v>
      </c>
      <c r="G132" s="573">
        <v>584</v>
      </c>
      <c r="H132" s="574"/>
      <c r="I132" s="575"/>
      <c r="J132" s="153"/>
      <c r="K132" s="204"/>
      <c r="L132" s="116"/>
      <c r="M132" s="45"/>
    </row>
    <row r="133" spans="1:18" ht="15" customHeight="1" x14ac:dyDescent="0.25">
      <c r="A133" s="434"/>
      <c r="B133" s="438"/>
      <c r="C133" s="82"/>
      <c r="D133" s="764" t="s">
        <v>118</v>
      </c>
      <c r="E133" s="35" t="s">
        <v>124</v>
      </c>
      <c r="F133" s="610" t="s">
        <v>216</v>
      </c>
      <c r="G133" s="571">
        <v>302.10000000000002</v>
      </c>
      <c r="H133" s="544">
        <v>100</v>
      </c>
      <c r="I133" s="583"/>
      <c r="J133" s="785" t="s">
        <v>132</v>
      </c>
      <c r="K133" s="113">
        <v>75</v>
      </c>
      <c r="L133" s="119">
        <v>100</v>
      </c>
      <c r="M133" s="44"/>
    </row>
    <row r="134" spans="1:18" ht="15" customHeight="1" x14ac:dyDescent="0.25">
      <c r="A134" s="434"/>
      <c r="B134" s="438"/>
      <c r="C134" s="82"/>
      <c r="D134" s="765"/>
      <c r="E134" s="64"/>
      <c r="F134" s="562"/>
      <c r="G134" s="573"/>
      <c r="H134" s="544"/>
      <c r="I134" s="583"/>
      <c r="J134" s="935"/>
      <c r="K134" s="134"/>
      <c r="L134" s="120"/>
      <c r="M134" s="98"/>
    </row>
    <row r="135" spans="1:18" ht="15.6" customHeight="1" x14ac:dyDescent="0.25">
      <c r="A135" s="434"/>
      <c r="B135" s="438"/>
      <c r="C135" s="82"/>
      <c r="D135" s="764" t="s">
        <v>140</v>
      </c>
      <c r="E135" s="35" t="s">
        <v>124</v>
      </c>
      <c r="F135" s="545" t="s">
        <v>216</v>
      </c>
      <c r="G135" s="571">
        <v>232.8</v>
      </c>
      <c r="H135" s="578">
        <v>100</v>
      </c>
      <c r="I135" s="579"/>
      <c r="J135" s="470" t="s">
        <v>132</v>
      </c>
      <c r="K135" s="113">
        <v>100</v>
      </c>
      <c r="L135" s="119"/>
      <c r="M135" s="44"/>
    </row>
    <row r="136" spans="1:18" ht="15.6" customHeight="1" x14ac:dyDescent="0.25">
      <c r="A136" s="434"/>
      <c r="B136" s="438"/>
      <c r="C136" s="82"/>
      <c r="D136" s="789"/>
      <c r="E136" s="64" t="s">
        <v>34</v>
      </c>
      <c r="F136" s="562" t="s">
        <v>211</v>
      </c>
      <c r="G136" s="641">
        <v>166.2</v>
      </c>
      <c r="H136" s="642"/>
      <c r="I136" s="716"/>
      <c r="J136" s="472"/>
      <c r="K136" s="204"/>
      <c r="L136" s="116"/>
      <c r="M136" s="45"/>
    </row>
    <row r="137" spans="1:18" s="2" customFormat="1" ht="16.5" customHeight="1" x14ac:dyDescent="0.25">
      <c r="A137" s="439"/>
      <c r="B137" s="438"/>
      <c r="C137" s="31"/>
      <c r="D137" s="430" t="s">
        <v>130</v>
      </c>
      <c r="E137" s="218" t="s">
        <v>34</v>
      </c>
      <c r="F137" s="553" t="s">
        <v>216</v>
      </c>
      <c r="G137" s="611"/>
      <c r="H137" s="612">
        <v>359</v>
      </c>
      <c r="I137" s="613"/>
      <c r="J137" s="470" t="s">
        <v>132</v>
      </c>
      <c r="K137" s="380"/>
      <c r="L137" s="447">
        <v>100</v>
      </c>
      <c r="M137" s="404"/>
      <c r="O137" s="598"/>
      <c r="P137" s="598"/>
      <c r="Q137" s="598"/>
      <c r="R137" s="598"/>
    </row>
    <row r="138" spans="1:18" s="2" customFormat="1" ht="16.5" customHeight="1" x14ac:dyDescent="0.25">
      <c r="A138" s="439"/>
      <c r="B138" s="438"/>
      <c r="C138" s="30"/>
      <c r="D138" s="214"/>
      <c r="E138" s="214" t="s">
        <v>124</v>
      </c>
      <c r="F138" s="614"/>
      <c r="G138" s="615"/>
      <c r="H138" s="616"/>
      <c r="I138" s="617"/>
      <c r="J138" s="400"/>
      <c r="K138" s="88"/>
      <c r="L138" s="115"/>
      <c r="M138" s="399"/>
      <c r="O138" s="598"/>
      <c r="P138" s="598"/>
      <c r="Q138" s="598"/>
      <c r="R138" s="598"/>
    </row>
    <row r="139" spans="1:18" ht="15" customHeight="1" x14ac:dyDescent="0.25">
      <c r="A139" s="439"/>
      <c r="B139" s="438"/>
      <c r="C139" s="31"/>
      <c r="D139" s="771" t="s">
        <v>201</v>
      </c>
      <c r="E139" s="218" t="s">
        <v>34</v>
      </c>
      <c r="F139" s="649" t="s">
        <v>216</v>
      </c>
      <c r="G139" s="577">
        <v>25</v>
      </c>
      <c r="H139" s="569">
        <v>200</v>
      </c>
      <c r="I139" s="579">
        <v>319.3</v>
      </c>
      <c r="J139" s="435" t="s">
        <v>33</v>
      </c>
      <c r="K139" s="126">
        <v>1</v>
      </c>
      <c r="L139" s="116"/>
      <c r="M139" s="92"/>
    </row>
    <row r="140" spans="1:18" ht="15" customHeight="1" x14ac:dyDescent="0.25">
      <c r="A140" s="439"/>
      <c r="B140" s="438"/>
      <c r="C140" s="31"/>
      <c r="D140" s="772"/>
      <c r="E140" s="219" t="s">
        <v>124</v>
      </c>
      <c r="F140" s="576" t="s">
        <v>215</v>
      </c>
      <c r="G140" s="541"/>
      <c r="H140" s="544">
        <v>600</v>
      </c>
      <c r="I140" s="542">
        <v>1000</v>
      </c>
      <c r="J140" s="363" t="s">
        <v>132</v>
      </c>
      <c r="K140" s="127"/>
      <c r="L140" s="129">
        <v>25</v>
      </c>
      <c r="M140" s="99">
        <v>75</v>
      </c>
    </row>
    <row r="141" spans="1:18" ht="15" customHeight="1" x14ac:dyDescent="0.25">
      <c r="A141" s="439"/>
      <c r="B141" s="438"/>
      <c r="C141" s="30"/>
      <c r="D141" s="772"/>
      <c r="E141" s="443" t="s">
        <v>86</v>
      </c>
      <c r="F141" s="562" t="s">
        <v>211</v>
      </c>
      <c r="G141" s="573"/>
      <c r="H141" s="574"/>
      <c r="I141" s="575">
        <v>80.7</v>
      </c>
      <c r="J141" s="232"/>
      <c r="K141" s="111"/>
      <c r="L141" s="116"/>
      <c r="M141" s="45"/>
    </row>
    <row r="142" spans="1:18" ht="15" customHeight="1" x14ac:dyDescent="0.25">
      <c r="A142" s="439"/>
      <c r="B142" s="438"/>
      <c r="C142" s="31"/>
      <c r="D142" s="771" t="s">
        <v>244</v>
      </c>
      <c r="E142" s="218" t="s">
        <v>34</v>
      </c>
      <c r="F142" s="619" t="s">
        <v>216</v>
      </c>
      <c r="G142" s="577"/>
      <c r="H142" s="544">
        <f>200+50</f>
        <v>250</v>
      </c>
      <c r="I142" s="570"/>
      <c r="J142" s="435" t="s">
        <v>33</v>
      </c>
      <c r="K142" s="473"/>
      <c r="L142" s="128">
        <v>1</v>
      </c>
      <c r="M142" s="93"/>
    </row>
    <row r="143" spans="1:18" ht="15" customHeight="1" x14ac:dyDescent="0.25">
      <c r="A143" s="439"/>
      <c r="B143" s="438"/>
      <c r="C143" s="31"/>
      <c r="D143" s="772"/>
      <c r="E143" s="219" t="s">
        <v>124</v>
      </c>
      <c r="F143" s="576" t="s">
        <v>215</v>
      </c>
      <c r="G143" s="541"/>
      <c r="H143" s="544">
        <v>400</v>
      </c>
      <c r="I143" s="542">
        <v>800</v>
      </c>
      <c r="J143" s="363" t="s">
        <v>132</v>
      </c>
      <c r="K143" s="401"/>
      <c r="L143" s="116">
        <v>15</v>
      </c>
      <c r="M143" s="45">
        <v>25</v>
      </c>
    </row>
    <row r="144" spans="1:18" ht="15" customHeight="1" x14ac:dyDescent="0.25">
      <c r="A144" s="439"/>
      <c r="B144" s="438"/>
      <c r="C144" s="30"/>
      <c r="D144" s="773"/>
      <c r="E144" s="214" t="s">
        <v>86</v>
      </c>
      <c r="F144" s="605"/>
      <c r="G144" s="601"/>
      <c r="H144" s="602"/>
      <c r="I144" s="603"/>
      <c r="J144" s="216"/>
      <c r="K144" s="114"/>
      <c r="L144" s="120"/>
      <c r="M144" s="46"/>
    </row>
    <row r="145" spans="1:18" s="6" customFormat="1" ht="13.5" customHeight="1" x14ac:dyDescent="0.25">
      <c r="A145" s="439"/>
      <c r="B145" s="466"/>
      <c r="C145" s="33"/>
      <c r="D145" s="199" t="s">
        <v>131</v>
      </c>
      <c r="E145" s="442"/>
      <c r="F145" s="618"/>
      <c r="G145" s="566"/>
      <c r="H145" s="567"/>
      <c r="I145" s="568"/>
      <c r="J145" s="435"/>
      <c r="K145" s="373"/>
      <c r="L145" s="374"/>
      <c r="M145" s="375"/>
      <c r="O145" s="675"/>
      <c r="P145" s="675"/>
      <c r="Q145" s="675"/>
      <c r="R145" s="675"/>
    </row>
    <row r="146" spans="1:18" ht="15.75" customHeight="1" x14ac:dyDescent="0.25">
      <c r="A146" s="439"/>
      <c r="B146" s="438"/>
      <c r="C146" s="31"/>
      <c r="D146" s="792" t="s">
        <v>227</v>
      </c>
      <c r="E146" s="372" t="s">
        <v>124</v>
      </c>
      <c r="F146" s="619" t="s">
        <v>210</v>
      </c>
      <c r="G146" s="546">
        <v>103.9</v>
      </c>
      <c r="H146" s="569"/>
      <c r="I146" s="542"/>
      <c r="J146" s="363" t="s">
        <v>132</v>
      </c>
      <c r="K146" s="172">
        <v>100</v>
      </c>
      <c r="L146" s="129"/>
      <c r="M146" s="99"/>
    </row>
    <row r="147" spans="1:18" ht="15.75" customHeight="1" x14ac:dyDescent="0.25">
      <c r="A147" s="439"/>
      <c r="B147" s="438"/>
      <c r="C147" s="30"/>
      <c r="D147" s="789"/>
      <c r="E147" s="498" t="s">
        <v>34</v>
      </c>
      <c r="F147" s="620"/>
      <c r="G147" s="621"/>
      <c r="H147" s="544"/>
      <c r="I147" s="542"/>
      <c r="J147" s="216"/>
      <c r="K147" s="100"/>
      <c r="L147" s="116"/>
      <c r="M147" s="196"/>
    </row>
    <row r="148" spans="1:18" ht="15.75" customHeight="1" x14ac:dyDescent="0.25">
      <c r="A148" s="439"/>
      <c r="B148" s="438"/>
      <c r="C148" s="31"/>
      <c r="D148" s="789"/>
      <c r="E148" s="443" t="s">
        <v>86</v>
      </c>
      <c r="F148" s="549"/>
      <c r="G148" s="588"/>
      <c r="H148" s="557"/>
      <c r="I148" s="584"/>
      <c r="J148" s="225"/>
      <c r="K148" s="339"/>
      <c r="L148" s="116"/>
      <c r="M148" s="45"/>
    </row>
    <row r="149" spans="1:18" ht="15.75" customHeight="1" x14ac:dyDescent="0.25">
      <c r="A149" s="439"/>
      <c r="B149" s="438"/>
      <c r="C149" s="31"/>
      <c r="D149" s="780" t="s">
        <v>228</v>
      </c>
      <c r="E149" s="499" t="s">
        <v>124</v>
      </c>
      <c r="F149" s="558" t="s">
        <v>210</v>
      </c>
      <c r="G149" s="546">
        <v>1679.5</v>
      </c>
      <c r="H149" s="569"/>
      <c r="I149" s="570"/>
      <c r="J149" s="363" t="s">
        <v>132</v>
      </c>
      <c r="K149" s="177"/>
      <c r="L149" s="129">
        <v>100</v>
      </c>
      <c r="M149" s="99"/>
    </row>
    <row r="150" spans="1:18" ht="15.75" customHeight="1" x14ac:dyDescent="0.25">
      <c r="A150" s="439"/>
      <c r="B150" s="438"/>
      <c r="C150" s="31"/>
      <c r="D150" s="772"/>
      <c r="E150" s="474" t="s">
        <v>86</v>
      </c>
      <c r="F150" s="558"/>
      <c r="G150" s="621"/>
      <c r="H150" s="544"/>
      <c r="I150" s="542"/>
      <c r="K150" s="100"/>
      <c r="L150" s="116"/>
      <c r="M150" s="196"/>
    </row>
    <row r="151" spans="1:18" ht="15.75" customHeight="1" x14ac:dyDescent="0.25">
      <c r="A151" s="439"/>
      <c r="B151" s="438"/>
      <c r="C151" s="30"/>
      <c r="D151" s="772"/>
      <c r="E151" s="422" t="s">
        <v>34</v>
      </c>
      <c r="F151" s="576"/>
      <c r="G151" s="588"/>
      <c r="H151" s="557"/>
      <c r="I151" s="584"/>
      <c r="J151" s="225"/>
      <c r="K151" s="339"/>
      <c r="L151" s="136"/>
      <c r="M151" s="341"/>
    </row>
    <row r="152" spans="1:18" ht="39" customHeight="1" x14ac:dyDescent="0.25">
      <c r="A152" s="434"/>
      <c r="B152" s="438"/>
      <c r="C152" s="82"/>
      <c r="D152" s="792" t="s">
        <v>203</v>
      </c>
      <c r="E152" s="443" t="s">
        <v>123</v>
      </c>
      <c r="F152" s="545" t="s">
        <v>218</v>
      </c>
      <c r="G152" s="541">
        <v>1100</v>
      </c>
      <c r="H152" s="544"/>
      <c r="I152" s="570"/>
      <c r="J152" s="363" t="s">
        <v>132</v>
      </c>
      <c r="K152" s="127">
        <v>100</v>
      </c>
      <c r="L152" s="116"/>
      <c r="M152" s="45"/>
    </row>
    <row r="153" spans="1:18" ht="43.5" customHeight="1" x14ac:dyDescent="0.25">
      <c r="A153" s="434"/>
      <c r="B153" s="438"/>
      <c r="C153" s="82"/>
      <c r="D153" s="765"/>
      <c r="E153" s="443" t="s">
        <v>86</v>
      </c>
      <c r="F153" s="576"/>
      <c r="G153" s="571"/>
      <c r="H153" s="544"/>
      <c r="I153" s="575"/>
      <c r="J153" s="154"/>
      <c r="K153" s="204"/>
      <c r="L153" s="116"/>
      <c r="M153" s="45"/>
    </row>
    <row r="154" spans="1:18" s="336" customFormat="1" ht="17.25" customHeight="1" x14ac:dyDescent="0.25">
      <c r="A154" s="434"/>
      <c r="B154" s="438"/>
      <c r="C154" s="266"/>
      <c r="D154" s="764" t="s">
        <v>193</v>
      </c>
      <c r="E154" s="442" t="s">
        <v>123</v>
      </c>
      <c r="F154" s="553" t="s">
        <v>216</v>
      </c>
      <c r="G154" s="577">
        <v>5</v>
      </c>
      <c r="H154" s="578"/>
      <c r="I154" s="580"/>
      <c r="J154" s="423" t="s">
        <v>180</v>
      </c>
      <c r="K154" s="318">
        <v>1</v>
      </c>
      <c r="L154" s="128"/>
      <c r="M154" s="93"/>
      <c r="O154" s="676"/>
      <c r="P154" s="676"/>
      <c r="Q154" s="676"/>
      <c r="R154" s="676"/>
    </row>
    <row r="155" spans="1:18" s="336" customFormat="1" ht="17.25" customHeight="1" x14ac:dyDescent="0.25">
      <c r="A155" s="434"/>
      <c r="B155" s="438"/>
      <c r="C155" s="266"/>
      <c r="D155" s="789"/>
      <c r="E155" s="443" t="s">
        <v>34</v>
      </c>
      <c r="F155" s="576" t="s">
        <v>211</v>
      </c>
      <c r="G155" s="541"/>
      <c r="H155" s="544">
        <v>188</v>
      </c>
      <c r="I155" s="542"/>
      <c r="J155" s="414" t="s">
        <v>179</v>
      </c>
      <c r="K155" s="410"/>
      <c r="L155" s="413">
        <v>1</v>
      </c>
      <c r="M155" s="196"/>
      <c r="O155" s="676"/>
      <c r="P155" s="676"/>
      <c r="Q155" s="676"/>
      <c r="R155" s="676"/>
    </row>
    <row r="156" spans="1:18" s="336" customFormat="1" ht="17.25" customHeight="1" x14ac:dyDescent="0.25">
      <c r="A156" s="434"/>
      <c r="B156" s="438"/>
      <c r="C156" s="266"/>
      <c r="D156" s="789"/>
      <c r="E156" s="476" t="s">
        <v>86</v>
      </c>
      <c r="F156" s="572"/>
      <c r="G156" s="573"/>
      <c r="H156" s="574"/>
      <c r="I156" s="575"/>
      <c r="J156" s="154"/>
      <c r="K156" s="415"/>
      <c r="L156" s="416"/>
      <c r="M156" s="417"/>
      <c r="O156" s="676"/>
      <c r="P156" s="676"/>
      <c r="Q156" s="676"/>
      <c r="R156" s="676"/>
    </row>
    <row r="157" spans="1:18" s="336" customFormat="1" ht="17.25" customHeight="1" x14ac:dyDescent="0.25">
      <c r="A157" s="726"/>
      <c r="B157" s="727"/>
      <c r="C157" s="266"/>
      <c r="D157" s="731" t="s">
        <v>184</v>
      </c>
      <c r="E157" s="735" t="s">
        <v>182</v>
      </c>
      <c r="F157" s="576"/>
      <c r="G157" s="541"/>
      <c r="H157" s="544"/>
      <c r="I157" s="542"/>
      <c r="J157" s="337" t="s">
        <v>33</v>
      </c>
      <c r="K157" s="349"/>
      <c r="L157" s="257"/>
      <c r="M157" s="258"/>
      <c r="O157" s="676"/>
      <c r="P157" s="676"/>
      <c r="Q157" s="676"/>
      <c r="R157" s="676"/>
    </row>
    <row r="158" spans="1:18" s="336" customFormat="1" ht="17.25" customHeight="1" x14ac:dyDescent="0.25">
      <c r="A158" s="726"/>
      <c r="B158" s="727"/>
      <c r="C158" s="266"/>
      <c r="D158" s="730"/>
      <c r="E158" s="736" t="s">
        <v>123</v>
      </c>
      <c r="F158" s="576"/>
      <c r="G158" s="541"/>
      <c r="H158" s="544"/>
      <c r="I158" s="542"/>
      <c r="J158" s="331" t="s">
        <v>132</v>
      </c>
      <c r="K158" s="319"/>
      <c r="L158" s="320"/>
      <c r="M158" s="728"/>
      <c r="O158" s="676"/>
      <c r="P158" s="676"/>
      <c r="Q158" s="676"/>
      <c r="R158" s="676"/>
    </row>
    <row r="159" spans="1:18" s="336" customFormat="1" ht="17.25" customHeight="1" x14ac:dyDescent="0.25">
      <c r="A159" s="726"/>
      <c r="B159" s="727"/>
      <c r="C159" s="266"/>
      <c r="D159" s="730"/>
      <c r="E159" s="738" t="s">
        <v>34</v>
      </c>
      <c r="F159" s="572"/>
      <c r="G159" s="541"/>
      <c r="H159" s="574"/>
      <c r="I159" s="542"/>
      <c r="J159" s="331"/>
      <c r="K159" s="319"/>
      <c r="L159" s="320"/>
      <c r="M159" s="728"/>
      <c r="O159" s="676"/>
      <c r="P159" s="676"/>
      <c r="Q159" s="676"/>
      <c r="R159" s="676"/>
    </row>
    <row r="160" spans="1:18" ht="15" customHeight="1" x14ac:dyDescent="0.25">
      <c r="A160" s="434"/>
      <c r="B160" s="438"/>
      <c r="C160" s="82"/>
      <c r="D160" s="764" t="s">
        <v>187</v>
      </c>
      <c r="E160" s="442" t="s">
        <v>185</v>
      </c>
      <c r="F160" s="576" t="s">
        <v>216</v>
      </c>
      <c r="G160" s="577"/>
      <c r="H160" s="544">
        <v>40</v>
      </c>
      <c r="I160" s="579">
        <v>200</v>
      </c>
      <c r="J160" s="337" t="s">
        <v>33</v>
      </c>
      <c r="K160" s="126"/>
      <c r="L160" s="128">
        <v>1</v>
      </c>
      <c r="M160" s="93"/>
    </row>
    <row r="161" spans="1:13" ht="15" customHeight="1" x14ac:dyDescent="0.25">
      <c r="A161" s="434"/>
      <c r="B161" s="438"/>
      <c r="C161" s="82"/>
      <c r="D161" s="789"/>
      <c r="E161" s="443" t="s">
        <v>123</v>
      </c>
      <c r="F161" s="576"/>
      <c r="G161" s="541"/>
      <c r="H161" s="544"/>
      <c r="I161" s="542"/>
      <c r="J161" s="162" t="s">
        <v>132</v>
      </c>
      <c r="K161" s="204"/>
      <c r="L161" s="116"/>
      <c r="M161" s="45">
        <v>100</v>
      </c>
    </row>
    <row r="162" spans="1:13" ht="15" customHeight="1" x14ac:dyDescent="0.25">
      <c r="A162" s="434"/>
      <c r="B162" s="438"/>
      <c r="C162" s="82"/>
      <c r="D162" s="765"/>
      <c r="E162" s="449" t="s">
        <v>34</v>
      </c>
      <c r="F162" s="576"/>
      <c r="G162" s="541"/>
      <c r="H162" s="544"/>
      <c r="I162" s="580"/>
      <c r="J162" s="74"/>
      <c r="K162" s="204"/>
      <c r="L162" s="120"/>
      <c r="M162" s="364"/>
    </row>
    <row r="163" spans="1:13" ht="18.75" customHeight="1" x14ac:dyDescent="0.25">
      <c r="A163" s="434"/>
      <c r="B163" s="438"/>
      <c r="C163" s="82"/>
      <c r="D163" s="764" t="s">
        <v>181</v>
      </c>
      <c r="E163" s="442" t="s">
        <v>182</v>
      </c>
      <c r="F163" s="553" t="s">
        <v>215</v>
      </c>
      <c r="G163" s="577"/>
      <c r="H163" s="578"/>
      <c r="I163" s="579">
        <v>569.9</v>
      </c>
      <c r="J163" s="157" t="s">
        <v>132</v>
      </c>
      <c r="K163" s="113"/>
      <c r="L163" s="119"/>
      <c r="M163" s="92">
        <v>50</v>
      </c>
    </row>
    <row r="164" spans="1:13" ht="18.75" customHeight="1" x14ac:dyDescent="0.25">
      <c r="A164" s="434"/>
      <c r="B164" s="438"/>
      <c r="C164" s="82"/>
      <c r="D164" s="789"/>
      <c r="E164" s="443" t="s">
        <v>34</v>
      </c>
      <c r="F164" s="576"/>
      <c r="G164" s="541"/>
      <c r="H164" s="544"/>
      <c r="I164" s="580"/>
      <c r="J164" s="331"/>
      <c r="K164" s="204"/>
      <c r="L164" s="116"/>
      <c r="M164" s="45"/>
    </row>
    <row r="165" spans="1:13" ht="31.5" customHeight="1" x14ac:dyDescent="0.25">
      <c r="A165" s="434"/>
      <c r="B165" s="438"/>
      <c r="C165" s="82"/>
      <c r="D165" s="765"/>
      <c r="E165" s="449" t="s">
        <v>123</v>
      </c>
      <c r="F165" s="600"/>
      <c r="G165" s="601"/>
      <c r="H165" s="602"/>
      <c r="I165" s="603"/>
      <c r="J165" s="154"/>
      <c r="K165" s="114"/>
      <c r="L165" s="120"/>
      <c r="M165" s="98"/>
    </row>
    <row r="166" spans="1:13" ht="15.75" customHeight="1" x14ac:dyDescent="0.25">
      <c r="A166" s="434"/>
      <c r="B166" s="438"/>
      <c r="C166" s="82"/>
      <c r="D166" s="764" t="s">
        <v>229</v>
      </c>
      <c r="E166" s="442" t="s">
        <v>183</v>
      </c>
      <c r="F166" s="553" t="s">
        <v>216</v>
      </c>
      <c r="G166" s="577"/>
      <c r="H166" s="578"/>
      <c r="I166" s="604">
        <v>500</v>
      </c>
      <c r="J166" s="157" t="s">
        <v>132</v>
      </c>
      <c r="K166" s="204"/>
      <c r="L166" s="116"/>
      <c r="M166" s="45">
        <v>10</v>
      </c>
    </row>
    <row r="167" spans="1:13" ht="15.75" customHeight="1" x14ac:dyDescent="0.25">
      <c r="A167" s="434"/>
      <c r="B167" s="438"/>
      <c r="C167" s="82"/>
      <c r="D167" s="789"/>
      <c r="E167" s="443" t="s">
        <v>123</v>
      </c>
      <c r="F167" s="576"/>
      <c r="G167" s="541"/>
      <c r="H167" s="544"/>
      <c r="I167" s="542"/>
      <c r="J167" s="331"/>
      <c r="K167" s="204"/>
      <c r="L167" s="116"/>
      <c r="M167" s="45"/>
    </row>
    <row r="168" spans="1:13" ht="15.75" customHeight="1" x14ac:dyDescent="0.25">
      <c r="A168" s="434"/>
      <c r="B168" s="438"/>
      <c r="C168" s="82"/>
      <c r="D168" s="765"/>
      <c r="E168" s="449" t="s">
        <v>34</v>
      </c>
      <c r="F168" s="605"/>
      <c r="G168" s="606"/>
      <c r="H168" s="607"/>
      <c r="I168" s="603"/>
      <c r="J168" s="154"/>
      <c r="K168" s="114"/>
      <c r="L168" s="120"/>
      <c r="M168" s="98"/>
    </row>
    <row r="169" spans="1:13" ht="16.5" customHeight="1" x14ac:dyDescent="0.25">
      <c r="A169" s="752"/>
      <c r="B169" s="753"/>
      <c r="C169" s="433"/>
      <c r="D169" s="754" t="s">
        <v>173</v>
      </c>
      <c r="E169" s="361" t="s">
        <v>83</v>
      </c>
      <c r="F169" s="553" t="s">
        <v>216</v>
      </c>
      <c r="G169" s="541"/>
      <c r="H169" s="578"/>
      <c r="I169" s="608"/>
      <c r="J169" s="756" t="s">
        <v>195</v>
      </c>
      <c r="K169" s="420"/>
      <c r="L169" s="122"/>
      <c r="M169" s="91"/>
    </row>
    <row r="170" spans="1:13" ht="16.5" customHeight="1" x14ac:dyDescent="0.25">
      <c r="A170" s="752"/>
      <c r="B170" s="753"/>
      <c r="C170" s="433"/>
      <c r="D170" s="755"/>
      <c r="E170" s="205" t="s">
        <v>34</v>
      </c>
      <c r="F170" s="576"/>
      <c r="G170" s="571"/>
      <c r="H170" s="544"/>
      <c r="I170" s="542"/>
      <c r="J170" s="757"/>
      <c r="K170" s="124"/>
      <c r="L170" s="197"/>
      <c r="M170" s="89"/>
    </row>
    <row r="171" spans="1:13" ht="16.5" customHeight="1" x14ac:dyDescent="0.25">
      <c r="A171" s="752"/>
      <c r="B171" s="753"/>
      <c r="C171" s="433"/>
      <c r="D171" s="755"/>
      <c r="E171" s="475" t="s">
        <v>124</v>
      </c>
      <c r="F171" s="580"/>
      <c r="G171" s="541"/>
      <c r="H171" s="544"/>
      <c r="I171" s="609"/>
      <c r="J171" s="757"/>
      <c r="K171" s="124"/>
      <c r="L171" s="197"/>
      <c r="M171" s="89"/>
    </row>
    <row r="172" spans="1:13" ht="16.5" customHeight="1" x14ac:dyDescent="0.25">
      <c r="A172" s="752"/>
      <c r="B172" s="753"/>
      <c r="C172" s="433"/>
      <c r="D172" s="755"/>
      <c r="E172" s="476" t="s">
        <v>102</v>
      </c>
      <c r="F172" s="484"/>
      <c r="G172" s="601"/>
      <c r="H172" s="544"/>
      <c r="I172" s="609"/>
      <c r="J172" s="758"/>
      <c r="K172" s="371"/>
      <c r="L172" s="252"/>
      <c r="M172" s="90"/>
    </row>
    <row r="173" spans="1:13" ht="15" customHeight="1" x14ac:dyDescent="0.25">
      <c r="A173" s="439"/>
      <c r="B173" s="466"/>
      <c r="C173" s="30"/>
      <c r="D173" s="764" t="s">
        <v>108</v>
      </c>
      <c r="E173" s="442" t="s">
        <v>86</v>
      </c>
      <c r="F173" s="553" t="s">
        <v>213</v>
      </c>
      <c r="G173" s="577">
        <v>200</v>
      </c>
      <c r="H173" s="578"/>
      <c r="I173" s="608"/>
      <c r="J173" s="225" t="s">
        <v>132</v>
      </c>
      <c r="K173" s="113">
        <v>100</v>
      </c>
      <c r="L173" s="116"/>
      <c r="M173" s="92"/>
    </row>
    <row r="174" spans="1:13" ht="15" customHeight="1" x14ac:dyDescent="0.25">
      <c r="A174" s="439"/>
      <c r="B174" s="466"/>
      <c r="C174" s="30"/>
      <c r="D174" s="789"/>
      <c r="E174" s="219" t="s">
        <v>34</v>
      </c>
      <c r="F174" s="576"/>
      <c r="G174" s="541"/>
      <c r="H174" s="544"/>
      <c r="I174" s="542"/>
      <c r="J174" s="160"/>
      <c r="K174" s="233"/>
      <c r="L174" s="256"/>
      <c r="M174" s="247"/>
    </row>
    <row r="175" spans="1:13" ht="15" customHeight="1" x14ac:dyDescent="0.25">
      <c r="A175" s="439"/>
      <c r="B175" s="466"/>
      <c r="C175" s="30"/>
      <c r="D175" s="765"/>
      <c r="E175" s="449" t="s">
        <v>124</v>
      </c>
      <c r="F175" s="572"/>
      <c r="G175" s="573"/>
      <c r="H175" s="574"/>
      <c r="I175" s="575"/>
      <c r="J175" s="161"/>
      <c r="K175" s="276"/>
      <c r="L175" s="115"/>
      <c r="M175" s="86"/>
    </row>
    <row r="176" spans="1:13" ht="26.25" customHeight="1" x14ac:dyDescent="0.25">
      <c r="A176" s="668"/>
      <c r="B176" s="669"/>
      <c r="C176" s="30"/>
      <c r="D176" s="678" t="s">
        <v>235</v>
      </c>
      <c r="E176" s="705" t="s">
        <v>123</v>
      </c>
      <c r="F176" s="679"/>
      <c r="G176" s="420"/>
      <c r="H176" s="143"/>
      <c r="I176" s="379"/>
      <c r="J176" s="279" t="s">
        <v>236</v>
      </c>
      <c r="K176" s="703">
        <v>1</v>
      </c>
      <c r="L176" s="254"/>
      <c r="M176" s="704"/>
    </row>
    <row r="177" spans="1:20" ht="29.25" customHeight="1" x14ac:dyDescent="0.25">
      <c r="A177" s="701"/>
      <c r="B177" s="702"/>
      <c r="C177" s="30"/>
      <c r="D177" s="236" t="s">
        <v>242</v>
      </c>
      <c r="E177" s="219" t="s">
        <v>123</v>
      </c>
      <c r="F177" s="221"/>
      <c r="G177" s="142"/>
      <c r="H177" s="143"/>
      <c r="I177" s="97"/>
      <c r="J177" s="314"/>
      <c r="K177" s="703"/>
      <c r="L177" s="254"/>
      <c r="M177" s="704"/>
    </row>
    <row r="178" spans="1:20" ht="15" customHeight="1" thickBot="1" x14ac:dyDescent="0.3">
      <c r="A178" s="14"/>
      <c r="B178" s="37"/>
      <c r="C178" s="22"/>
      <c r="D178" s="677"/>
      <c r="E178" s="173"/>
      <c r="F178" s="62" t="s">
        <v>4</v>
      </c>
      <c r="G178" s="165">
        <f>+G16+G17+G18+G19+G20+G21+G22+G23+G28+G29+G24+G25+G26+G27</f>
        <v>24332.799999999999</v>
      </c>
      <c r="H178" s="515">
        <f>+H16+H17+H18+H19+H20+H21+H22+H23+H28+H29+H24+H25+H26+H27</f>
        <v>17505.900000000001</v>
      </c>
      <c r="I178" s="514">
        <f>+I16+I17+I18+I19+I20+I21+I22+I23+I28+I29+I24+I25+I26+I27</f>
        <v>30264.9</v>
      </c>
      <c r="J178" s="477"/>
      <c r="K178" s="278"/>
      <c r="L178" s="137"/>
      <c r="M178" s="80"/>
    </row>
    <row r="179" spans="1:20" ht="15" customHeight="1" thickBot="1" x14ac:dyDescent="0.3">
      <c r="A179" s="15" t="s">
        <v>3</v>
      </c>
      <c r="B179" s="26" t="s">
        <v>3</v>
      </c>
      <c r="C179" s="781" t="s">
        <v>6</v>
      </c>
      <c r="D179" s="782"/>
      <c r="E179" s="782"/>
      <c r="F179" s="783"/>
      <c r="G179" s="164">
        <f t="shared" ref="G179:I179" si="4">G178</f>
        <v>24332.799999999999</v>
      </c>
      <c r="H179" s="16">
        <f t="shared" si="4"/>
        <v>17505.900000000001</v>
      </c>
      <c r="I179" s="290">
        <f t="shared" si="4"/>
        <v>30264.9</v>
      </c>
      <c r="J179" s="793"/>
      <c r="K179" s="794"/>
      <c r="L179" s="794"/>
      <c r="M179" s="795"/>
    </row>
    <row r="180" spans="1:20" ht="15" customHeight="1" thickBot="1" x14ac:dyDescent="0.3">
      <c r="A180" s="15" t="s">
        <v>3</v>
      </c>
      <c r="B180" s="26" t="s">
        <v>5</v>
      </c>
      <c r="C180" s="839" t="s">
        <v>26</v>
      </c>
      <c r="D180" s="840"/>
      <c r="E180" s="840"/>
      <c r="F180" s="840"/>
      <c r="G180" s="840"/>
      <c r="H180" s="840"/>
      <c r="I180" s="840"/>
      <c r="J180" s="840"/>
      <c r="K180" s="840"/>
      <c r="L180" s="840"/>
      <c r="M180" s="841"/>
    </row>
    <row r="181" spans="1:20" ht="15.6" customHeight="1" x14ac:dyDescent="0.25">
      <c r="A181" s="40" t="s">
        <v>3</v>
      </c>
      <c r="B181" s="25" t="s">
        <v>5</v>
      </c>
      <c r="C181" s="29" t="s">
        <v>3</v>
      </c>
      <c r="D181" s="75" t="s">
        <v>37</v>
      </c>
      <c r="E181" s="518"/>
      <c r="F181" s="41" t="s">
        <v>21</v>
      </c>
      <c r="G181" s="81">
        <f>1789.6-85</f>
        <v>1704.6</v>
      </c>
      <c r="H181" s="525">
        <f>10068.8+2100+260</f>
        <v>12428.8</v>
      </c>
      <c r="I181" s="526">
        <f>8535.3+2000</f>
        <v>10535.3</v>
      </c>
      <c r="J181" s="519"/>
      <c r="K181" s="520"/>
      <c r="L181" s="521"/>
      <c r="M181" s="522"/>
      <c r="O181" s="580" t="s">
        <v>21</v>
      </c>
      <c r="P181" s="581">
        <f>+G186+G192+G195+G197+G199+G203+G207+G209+G213</f>
        <v>1789.6</v>
      </c>
      <c r="Q181" s="581">
        <f t="shared" ref="Q181:R181" si="5">+H186+H192+H195+H197+H199+H203+H207+H209+H213</f>
        <v>10068.799999999999</v>
      </c>
      <c r="R181" s="581">
        <f t="shared" si="5"/>
        <v>8535.2999999999993</v>
      </c>
    </row>
    <row r="182" spans="1:20" ht="15.6" customHeight="1" x14ac:dyDescent="0.25">
      <c r="A182" s="439"/>
      <c r="B182" s="466"/>
      <c r="C182" s="441"/>
      <c r="D182" s="516"/>
      <c r="E182" s="219"/>
      <c r="F182" s="73" t="s">
        <v>42</v>
      </c>
      <c r="G182" s="139">
        <f>360-260</f>
        <v>100</v>
      </c>
      <c r="H182" s="71">
        <v>74.5</v>
      </c>
      <c r="I182" s="18">
        <v>44.5</v>
      </c>
      <c r="J182" s="220"/>
      <c r="K182" s="523"/>
      <c r="L182" s="500"/>
      <c r="M182" s="501"/>
      <c r="O182" s="580" t="s">
        <v>42</v>
      </c>
      <c r="P182" s="581">
        <f>+G204+G206+G208</f>
        <v>360</v>
      </c>
      <c r="Q182" s="581">
        <f t="shared" ref="Q182:R182" si="6">+H204+H206+H208</f>
        <v>74.5</v>
      </c>
      <c r="R182" s="581">
        <f t="shared" si="6"/>
        <v>44.5</v>
      </c>
    </row>
    <row r="183" spans="1:20" ht="15.6" customHeight="1" x14ac:dyDescent="0.25">
      <c r="A183" s="439"/>
      <c r="B183" s="466"/>
      <c r="C183" s="441"/>
      <c r="D183" s="516"/>
      <c r="E183" s="219"/>
      <c r="F183" s="453" t="s">
        <v>70</v>
      </c>
      <c r="G183" s="490">
        <v>7578.6</v>
      </c>
      <c r="H183" s="464"/>
      <c r="I183" s="186"/>
      <c r="J183" s="220"/>
      <c r="K183" s="523"/>
      <c r="L183" s="500"/>
      <c r="M183" s="524"/>
      <c r="O183" s="580" t="s">
        <v>70</v>
      </c>
      <c r="P183" s="581">
        <f>+G214</f>
        <v>7578.6</v>
      </c>
      <c r="Q183" s="581">
        <f t="shared" ref="Q183:R183" si="7">+H214</f>
        <v>0</v>
      </c>
      <c r="R183" s="581">
        <f t="shared" si="7"/>
        <v>0</v>
      </c>
    </row>
    <row r="184" spans="1:20" ht="15.6" customHeight="1" x14ac:dyDescent="0.25">
      <c r="A184" s="439"/>
      <c r="B184" s="466"/>
      <c r="C184" s="441"/>
      <c r="D184" s="516"/>
      <c r="E184" s="219"/>
      <c r="F184" s="453" t="s">
        <v>39</v>
      </c>
      <c r="G184" s="56">
        <f>10640+933.6</f>
        <v>11573.6</v>
      </c>
      <c r="H184" s="109"/>
      <c r="I184" s="18"/>
      <c r="J184" s="220"/>
      <c r="K184" s="523"/>
      <c r="L184" s="500"/>
      <c r="M184" s="524"/>
      <c r="O184" s="580" t="s">
        <v>39</v>
      </c>
      <c r="P184" s="581">
        <f>+G187+G193+G196+G198+G200+G210</f>
        <v>10640</v>
      </c>
      <c r="Q184" s="581">
        <f t="shared" ref="Q184:R184" si="8">+H187+H193+H196+H198+H200+H210</f>
        <v>0</v>
      </c>
      <c r="R184" s="581">
        <f t="shared" si="8"/>
        <v>0</v>
      </c>
    </row>
    <row r="185" spans="1:20" ht="15.6" customHeight="1" x14ac:dyDescent="0.25">
      <c r="A185" s="439"/>
      <c r="B185" s="466"/>
      <c r="C185" s="441"/>
      <c r="D185" s="516"/>
      <c r="E185" s="219"/>
      <c r="F185" s="83" t="s">
        <v>44</v>
      </c>
      <c r="G185" s="192">
        <f>70.1+65.4</f>
        <v>135.5</v>
      </c>
      <c r="H185" s="135"/>
      <c r="I185" s="194"/>
      <c r="J185" s="159"/>
      <c r="K185" s="523"/>
      <c r="L185" s="365"/>
      <c r="M185" s="366"/>
      <c r="O185" s="580" t="s">
        <v>44</v>
      </c>
      <c r="P185" s="581">
        <f>+G205+G218</f>
        <v>70.099999999999994</v>
      </c>
      <c r="Q185" s="581">
        <f t="shared" ref="Q185:R185" si="9">+H205+H218</f>
        <v>0</v>
      </c>
      <c r="R185" s="581">
        <f t="shared" si="9"/>
        <v>0</v>
      </c>
    </row>
    <row r="186" spans="1:20" ht="23.25" customHeight="1" x14ac:dyDescent="0.25">
      <c r="A186" s="439"/>
      <c r="B186" s="466"/>
      <c r="C186" s="441"/>
      <c r="D186" s="764" t="s">
        <v>169</v>
      </c>
      <c r="E186" s="517" t="s">
        <v>86</v>
      </c>
      <c r="F186" s="553" t="s">
        <v>216</v>
      </c>
      <c r="G186" s="577">
        <v>50</v>
      </c>
      <c r="H186" s="578">
        <v>6500</v>
      </c>
      <c r="I186" s="579">
        <v>6610</v>
      </c>
      <c r="J186" s="225" t="s">
        <v>171</v>
      </c>
      <c r="K186" s="163">
        <v>2.6</v>
      </c>
      <c r="L186" s="71">
        <v>2.2999999999999998</v>
      </c>
      <c r="M186" s="193">
        <v>2</v>
      </c>
      <c r="P186" s="581">
        <f>SUM(P181:P185)</f>
        <v>20438.3</v>
      </c>
      <c r="Q186" s="581">
        <f t="shared" ref="Q186:R186" si="10">SUM(Q181:Q185)</f>
        <v>10143.299999999999</v>
      </c>
      <c r="R186" s="581">
        <f t="shared" si="10"/>
        <v>8579.7999999999993</v>
      </c>
    </row>
    <row r="187" spans="1:20" ht="29.1" customHeight="1" x14ac:dyDescent="0.25">
      <c r="A187" s="439"/>
      <c r="B187" s="466"/>
      <c r="C187" s="441"/>
      <c r="D187" s="789"/>
      <c r="E187" s="443" t="s">
        <v>83</v>
      </c>
      <c r="F187" s="576" t="s">
        <v>213</v>
      </c>
      <c r="G187" s="541">
        <f>300+6060</f>
        <v>6360</v>
      </c>
      <c r="H187" s="544"/>
      <c r="I187" s="542"/>
      <c r="J187" s="270" t="s">
        <v>190</v>
      </c>
      <c r="K187" s="231">
        <v>6.9</v>
      </c>
      <c r="L187" s="268">
        <v>5.2</v>
      </c>
      <c r="M187" s="186">
        <v>4.2</v>
      </c>
      <c r="P187" s="581">
        <f>+P186-G222</f>
        <v>-654</v>
      </c>
      <c r="Q187" s="581">
        <f t="shared" ref="Q187:R187" si="11">+Q186-H222</f>
        <v>-2360</v>
      </c>
      <c r="R187" s="581">
        <f t="shared" si="11"/>
        <v>-2000</v>
      </c>
    </row>
    <row r="188" spans="1:20" ht="25.5" customHeight="1" x14ac:dyDescent="0.25">
      <c r="A188" s="439"/>
      <c r="B188" s="466"/>
      <c r="C188" s="441"/>
      <c r="D188" s="789"/>
      <c r="E188" s="443" t="s">
        <v>124</v>
      </c>
      <c r="F188" s="576"/>
      <c r="G188" s="541"/>
      <c r="H188" s="544"/>
      <c r="I188" s="542"/>
      <c r="J188" s="270" t="s">
        <v>191</v>
      </c>
      <c r="K188" s="231">
        <v>80</v>
      </c>
      <c r="L188" s="109">
        <v>86.6</v>
      </c>
      <c r="M188" s="186">
        <v>93.7</v>
      </c>
    </row>
    <row r="189" spans="1:20" ht="26.1" customHeight="1" x14ac:dyDescent="0.25">
      <c r="A189" s="439"/>
      <c r="B189" s="466"/>
      <c r="C189" s="441"/>
      <c r="D189" s="789"/>
      <c r="E189" s="443"/>
      <c r="F189" s="632"/>
      <c r="G189" s="541"/>
      <c r="H189" s="544"/>
      <c r="I189" s="542"/>
      <c r="J189" s="270" t="s">
        <v>192</v>
      </c>
      <c r="K189" s="390">
        <v>12.7</v>
      </c>
      <c r="L189" s="391">
        <v>14.2</v>
      </c>
      <c r="M189" s="392">
        <v>15.8</v>
      </c>
    </row>
    <row r="190" spans="1:20" ht="27.6" customHeight="1" x14ac:dyDescent="0.25">
      <c r="A190" s="439"/>
      <c r="B190" s="466"/>
      <c r="C190" s="441"/>
      <c r="D190" s="789"/>
      <c r="E190" s="443"/>
      <c r="F190" s="576"/>
      <c r="G190" s="580"/>
      <c r="H190" s="544"/>
      <c r="I190" s="542"/>
      <c r="J190" s="270" t="s">
        <v>172</v>
      </c>
      <c r="K190" s="192">
        <f>15+2</f>
        <v>17</v>
      </c>
      <c r="L190" s="325">
        <f t="shared" ref="L190:M190" si="12">15+2</f>
        <v>17</v>
      </c>
      <c r="M190" s="194">
        <f t="shared" si="12"/>
        <v>17</v>
      </c>
    </row>
    <row r="191" spans="1:20" ht="15.75" customHeight="1" x14ac:dyDescent="0.25">
      <c r="A191" s="439"/>
      <c r="B191" s="466"/>
      <c r="C191" s="441"/>
      <c r="D191" s="359" t="s">
        <v>64</v>
      </c>
      <c r="E191" s="442" t="s">
        <v>124</v>
      </c>
      <c r="F191" s="553"/>
      <c r="G191" s="577"/>
      <c r="H191" s="578"/>
      <c r="I191" s="579"/>
      <c r="J191" s="440"/>
      <c r="K191" s="326"/>
      <c r="L191" s="327"/>
      <c r="M191" s="328"/>
    </row>
    <row r="192" spans="1:20" ht="21" customHeight="1" x14ac:dyDescent="0.25">
      <c r="A192" s="439"/>
      <c r="B192" s="466"/>
      <c r="C192" s="441"/>
      <c r="D192" s="763" t="s">
        <v>88</v>
      </c>
      <c r="E192" s="219" t="s">
        <v>86</v>
      </c>
      <c r="F192" s="576" t="s">
        <v>216</v>
      </c>
      <c r="G192" s="541"/>
      <c r="H192" s="717">
        <v>1000</v>
      </c>
      <c r="I192" s="718">
        <v>1000</v>
      </c>
      <c r="J192" s="478" t="s">
        <v>63</v>
      </c>
      <c r="K192" s="172">
        <v>58</v>
      </c>
      <c r="L192" s="129">
        <v>58</v>
      </c>
      <c r="M192" s="53">
        <v>58</v>
      </c>
      <c r="N192" s="216"/>
      <c r="O192" s="598"/>
      <c r="P192" s="598"/>
      <c r="Q192" s="598"/>
      <c r="R192" s="598"/>
      <c r="S192" s="2"/>
      <c r="T192" s="343"/>
    </row>
    <row r="193" spans="1:20" ht="21" customHeight="1" x14ac:dyDescent="0.25">
      <c r="A193" s="439"/>
      <c r="B193" s="466"/>
      <c r="C193" s="441"/>
      <c r="D193" s="938"/>
      <c r="E193" s="219"/>
      <c r="F193" s="576" t="s">
        <v>213</v>
      </c>
      <c r="G193" s="588">
        <f>3700</f>
        <v>3700</v>
      </c>
      <c r="H193" s="557"/>
      <c r="I193" s="584"/>
      <c r="J193" s="348"/>
      <c r="K193" s="339"/>
      <c r="L193" s="136"/>
      <c r="M193" s="341"/>
      <c r="N193" s="216"/>
      <c r="O193" s="598"/>
      <c r="P193" s="598"/>
      <c r="Q193" s="598"/>
      <c r="R193" s="598"/>
      <c r="S193" s="2"/>
      <c r="T193" s="343"/>
    </row>
    <row r="194" spans="1:20" ht="42.9" customHeight="1" x14ac:dyDescent="0.25">
      <c r="A194" s="687"/>
      <c r="B194" s="694"/>
      <c r="C194" s="688"/>
      <c r="D194" s="695" t="s">
        <v>65</v>
      </c>
      <c r="E194" s="219"/>
      <c r="F194" s="545"/>
      <c r="G194" s="599"/>
      <c r="H194" s="569"/>
      <c r="I194" s="583"/>
      <c r="J194" s="693" t="s">
        <v>148</v>
      </c>
      <c r="K194" s="204">
        <v>18</v>
      </c>
      <c r="L194" s="329"/>
      <c r="M194" s="196"/>
      <c r="O194" s="598"/>
      <c r="P194" s="598"/>
      <c r="Q194" s="598"/>
      <c r="R194" s="598"/>
      <c r="S194" s="2"/>
      <c r="T194" s="343"/>
    </row>
    <row r="195" spans="1:20" ht="21" customHeight="1" x14ac:dyDescent="0.25">
      <c r="A195" s="439"/>
      <c r="B195" s="466"/>
      <c r="C195" s="441"/>
      <c r="D195" s="768" t="s">
        <v>89</v>
      </c>
      <c r="E195" s="219" t="s">
        <v>83</v>
      </c>
      <c r="F195" s="545" t="s">
        <v>216</v>
      </c>
      <c r="G195" s="546">
        <v>220</v>
      </c>
      <c r="H195" s="569">
        <v>564.70000000000005</v>
      </c>
      <c r="I195" s="570">
        <v>617.70000000000005</v>
      </c>
      <c r="J195" s="842" t="s">
        <v>149</v>
      </c>
      <c r="K195" s="127">
        <f>2+10+13</f>
        <v>25</v>
      </c>
      <c r="L195" s="129">
        <f>2+10+13+10</f>
        <v>35</v>
      </c>
      <c r="M195" s="99">
        <v>35</v>
      </c>
    </row>
    <row r="196" spans="1:20" ht="21" customHeight="1" x14ac:dyDescent="0.25">
      <c r="A196" s="439"/>
      <c r="B196" s="466"/>
      <c r="C196" s="441"/>
      <c r="D196" s="769"/>
      <c r="F196" s="572" t="s">
        <v>213</v>
      </c>
      <c r="G196" s="573">
        <v>5.5</v>
      </c>
      <c r="H196" s="574"/>
      <c r="I196" s="575"/>
      <c r="J196" s="758"/>
      <c r="K196" s="134"/>
      <c r="L196" s="120"/>
      <c r="M196" s="46"/>
    </row>
    <row r="197" spans="1:20" ht="16.350000000000001" customHeight="1" x14ac:dyDescent="0.25">
      <c r="A197" s="759"/>
      <c r="B197" s="753"/>
      <c r="C197" s="761"/>
      <c r="D197" s="771" t="s">
        <v>30</v>
      </c>
      <c r="E197" s="851" t="s">
        <v>124</v>
      </c>
      <c r="F197" s="576" t="s">
        <v>216</v>
      </c>
      <c r="G197" s="571">
        <f>60-5</f>
        <v>55</v>
      </c>
      <c r="H197" s="578">
        <f>62-H198</f>
        <v>62</v>
      </c>
      <c r="I197" s="579">
        <f>65-I198</f>
        <v>65</v>
      </c>
      <c r="J197" s="926" t="s">
        <v>36</v>
      </c>
      <c r="K197" s="849">
        <v>7</v>
      </c>
      <c r="L197" s="845">
        <v>7</v>
      </c>
      <c r="M197" s="843">
        <v>7</v>
      </c>
    </row>
    <row r="198" spans="1:20" ht="17.25" customHeight="1" x14ac:dyDescent="0.25">
      <c r="A198" s="759"/>
      <c r="B198" s="753"/>
      <c r="C198" s="761"/>
      <c r="D198" s="773"/>
      <c r="E198" s="852"/>
      <c r="F198" s="572" t="s">
        <v>213</v>
      </c>
      <c r="G198" s="573">
        <v>5</v>
      </c>
      <c r="H198" s="574"/>
      <c r="I198" s="575"/>
      <c r="J198" s="927"/>
      <c r="K198" s="850"/>
      <c r="L198" s="846"/>
      <c r="M198" s="844"/>
    </row>
    <row r="199" spans="1:20" ht="15.6" customHeight="1" x14ac:dyDescent="0.25">
      <c r="A199" s="759"/>
      <c r="B199" s="760"/>
      <c r="C199" s="761"/>
      <c r="D199" s="766" t="s">
        <v>79</v>
      </c>
      <c r="E199" s="851" t="s">
        <v>124</v>
      </c>
      <c r="F199" s="553" t="s">
        <v>216</v>
      </c>
      <c r="G199" s="554">
        <f>172-7</f>
        <v>165</v>
      </c>
      <c r="H199" s="612">
        <f>58+122</f>
        <v>180</v>
      </c>
      <c r="I199" s="589">
        <f>60+128</f>
        <v>188</v>
      </c>
      <c r="J199" s="654" t="s">
        <v>67</v>
      </c>
      <c r="K199" s="275"/>
      <c r="L199" s="187"/>
      <c r="M199" s="188"/>
    </row>
    <row r="200" spans="1:20" ht="16.5" customHeight="1" x14ac:dyDescent="0.25">
      <c r="A200" s="759"/>
      <c r="B200" s="760"/>
      <c r="C200" s="761"/>
      <c r="D200" s="767"/>
      <c r="E200" s="852"/>
      <c r="F200" s="576" t="s">
        <v>213</v>
      </c>
      <c r="G200" s="571">
        <v>7</v>
      </c>
      <c r="H200" s="571"/>
      <c r="I200" s="542"/>
      <c r="J200" s="344" t="s">
        <v>222</v>
      </c>
      <c r="K200" s="287">
        <v>1</v>
      </c>
      <c r="L200" s="189">
        <v>1</v>
      </c>
      <c r="M200" s="190">
        <v>1</v>
      </c>
    </row>
    <row r="201" spans="1:20" ht="17.25" customHeight="1" x14ac:dyDescent="0.25">
      <c r="A201" s="439"/>
      <c r="B201" s="466"/>
      <c r="C201" s="441"/>
      <c r="D201" s="459"/>
      <c r="E201" s="852"/>
      <c r="F201" s="576"/>
      <c r="G201" s="571"/>
      <c r="H201" s="571"/>
      <c r="I201" s="583"/>
      <c r="J201" s="655" t="s">
        <v>223</v>
      </c>
      <c r="K201" s="288">
        <v>1</v>
      </c>
      <c r="L201" s="183">
        <v>1</v>
      </c>
      <c r="M201" s="184">
        <v>1</v>
      </c>
    </row>
    <row r="202" spans="1:20" ht="15" customHeight="1" x14ac:dyDescent="0.25">
      <c r="A202" s="439"/>
      <c r="B202" s="466"/>
      <c r="C202" s="441"/>
      <c r="D202" s="459"/>
      <c r="E202" s="852"/>
      <c r="F202" s="576"/>
      <c r="G202" s="541"/>
      <c r="H202" s="544"/>
      <c r="I202" s="542"/>
      <c r="J202" s="655" t="s">
        <v>224</v>
      </c>
      <c r="K202" s="288">
        <v>1</v>
      </c>
      <c r="L202" s="183">
        <v>1</v>
      </c>
      <c r="M202" s="184">
        <v>1</v>
      </c>
    </row>
    <row r="203" spans="1:20" ht="15.6" customHeight="1" x14ac:dyDescent="0.25">
      <c r="A203" s="439"/>
      <c r="B203" s="466"/>
      <c r="C203" s="441"/>
      <c r="D203" s="459"/>
      <c r="E203" s="853"/>
      <c r="F203" s="572" t="s">
        <v>216</v>
      </c>
      <c r="G203" s="573">
        <v>54.6</v>
      </c>
      <c r="H203" s="574">
        <v>54.6</v>
      </c>
      <c r="I203" s="583">
        <v>54.6</v>
      </c>
      <c r="J203" s="382" t="s">
        <v>225</v>
      </c>
      <c r="K203" s="171">
        <v>1</v>
      </c>
      <c r="L203" s="130">
        <v>1</v>
      </c>
      <c r="M203" s="96">
        <v>1</v>
      </c>
    </row>
    <row r="204" spans="1:20" ht="15.75" customHeight="1" x14ac:dyDescent="0.25">
      <c r="A204" s="454"/>
      <c r="B204" s="42"/>
      <c r="C204" s="444"/>
      <c r="D204" s="771" t="s">
        <v>57</v>
      </c>
      <c r="E204" s="442" t="s">
        <v>72</v>
      </c>
      <c r="F204" s="553" t="s">
        <v>211</v>
      </c>
      <c r="G204" s="720"/>
      <c r="H204" s="713">
        <v>30</v>
      </c>
      <c r="I204" s="721"/>
      <c r="J204" s="440" t="s">
        <v>150</v>
      </c>
      <c r="K204" s="133">
        <v>1</v>
      </c>
      <c r="L204" s="119">
        <v>2</v>
      </c>
      <c r="M204" s="44"/>
    </row>
    <row r="205" spans="1:20" ht="15.75" customHeight="1" x14ac:dyDescent="0.25">
      <c r="A205" s="434"/>
      <c r="B205" s="466"/>
      <c r="C205" s="31"/>
      <c r="D205" s="772"/>
      <c r="E205" s="443" t="s">
        <v>124</v>
      </c>
      <c r="F205" s="576" t="s">
        <v>219</v>
      </c>
      <c r="G205" s="719">
        <v>12.4</v>
      </c>
      <c r="H205" s="713"/>
      <c r="I205" s="714"/>
      <c r="J205" s="331"/>
      <c r="K205" s="207"/>
      <c r="L205" s="175"/>
      <c r="M205" s="174"/>
    </row>
    <row r="206" spans="1:20" ht="28.35" customHeight="1" x14ac:dyDescent="0.25">
      <c r="A206" s="434"/>
      <c r="B206" s="466"/>
      <c r="C206" s="31"/>
      <c r="D206" s="427"/>
      <c r="E206" s="449"/>
      <c r="F206" s="572" t="s">
        <v>211</v>
      </c>
      <c r="G206" s="573"/>
      <c r="H206" s="571">
        <v>44.5</v>
      </c>
      <c r="I206" s="575">
        <v>44.5</v>
      </c>
      <c r="J206" s="156" t="s">
        <v>119</v>
      </c>
      <c r="K206" s="411">
        <v>7</v>
      </c>
      <c r="L206" s="394">
        <v>7</v>
      </c>
      <c r="M206" s="395">
        <v>7</v>
      </c>
    </row>
    <row r="207" spans="1:20" s="2" customFormat="1" ht="16.350000000000001" customHeight="1" x14ac:dyDescent="0.25">
      <c r="A207" s="454"/>
      <c r="B207" s="42"/>
      <c r="C207" s="59"/>
      <c r="D207" s="764" t="s">
        <v>78</v>
      </c>
      <c r="E207" s="218" t="s">
        <v>124</v>
      </c>
      <c r="F207" s="553" t="s">
        <v>216</v>
      </c>
      <c r="G207" s="590"/>
      <c r="H207" s="578">
        <v>20</v>
      </c>
      <c r="I207" s="579"/>
      <c r="J207" s="157" t="s">
        <v>133</v>
      </c>
      <c r="K207" s="448">
        <v>25</v>
      </c>
      <c r="L207" s="262">
        <v>100</v>
      </c>
      <c r="M207" s="367"/>
      <c r="N207" s="216"/>
      <c r="O207" s="598"/>
      <c r="P207" s="598"/>
      <c r="Q207" s="598"/>
      <c r="R207" s="598"/>
    </row>
    <row r="208" spans="1:20" s="2" customFormat="1" ht="27.75" customHeight="1" x14ac:dyDescent="0.25">
      <c r="A208" s="27"/>
      <c r="B208" s="42"/>
      <c r="C208" s="178"/>
      <c r="D208" s="789"/>
      <c r="E208" s="476" t="s">
        <v>204</v>
      </c>
      <c r="F208" s="626" t="s">
        <v>211</v>
      </c>
      <c r="G208" s="722">
        <v>360</v>
      </c>
      <c r="H208" s="591"/>
      <c r="I208" s="592"/>
      <c r="J208" s="368" t="s">
        <v>33</v>
      </c>
      <c r="K208" s="479"/>
      <c r="L208" s="295">
        <v>1</v>
      </c>
      <c r="M208" s="409"/>
      <c r="N208" s="216"/>
      <c r="O208" s="598"/>
      <c r="P208" s="598"/>
      <c r="Q208" s="598"/>
      <c r="R208" s="598"/>
    </row>
    <row r="209" spans="1:19" ht="15" customHeight="1" x14ac:dyDescent="0.25">
      <c r="A209" s="439"/>
      <c r="B209" s="466"/>
      <c r="C209" s="33"/>
      <c r="D209" s="855" t="s">
        <v>230</v>
      </c>
      <c r="E209" s="215" t="s">
        <v>101</v>
      </c>
      <c r="F209" s="553" t="s">
        <v>216</v>
      </c>
      <c r="G209" s="577"/>
      <c r="H209" s="723">
        <v>1687.5</v>
      </c>
      <c r="I209" s="579"/>
      <c r="J209" s="480" t="s">
        <v>221</v>
      </c>
      <c r="K209" s="448">
        <v>100</v>
      </c>
      <c r="L209" s="140">
        <v>100</v>
      </c>
      <c r="M209" s="446"/>
    </row>
    <row r="210" spans="1:19" ht="15" customHeight="1" x14ac:dyDescent="0.25">
      <c r="A210" s="439"/>
      <c r="B210" s="466"/>
      <c r="C210" s="33"/>
      <c r="D210" s="856"/>
      <c r="E210" s="443" t="s">
        <v>102</v>
      </c>
      <c r="F210" s="576" t="s">
        <v>213</v>
      </c>
      <c r="G210" s="541">
        <v>562.5</v>
      </c>
      <c r="H210" s="571"/>
      <c r="I210" s="542"/>
      <c r="J210" s="331"/>
      <c r="K210" s="207"/>
      <c r="L210" s="175"/>
      <c r="M210" s="174"/>
    </row>
    <row r="211" spans="1:19" ht="15" customHeight="1" x14ac:dyDescent="0.25">
      <c r="A211" s="439"/>
      <c r="B211" s="466"/>
      <c r="C211" s="33"/>
      <c r="D211" s="856"/>
      <c r="E211" s="443" t="s">
        <v>124</v>
      </c>
      <c r="F211" s="576"/>
      <c r="G211" s="571"/>
      <c r="H211" s="571"/>
      <c r="I211" s="580"/>
      <c r="J211" s="331"/>
      <c r="K211" s="207"/>
      <c r="L211" s="175"/>
      <c r="M211" s="174"/>
    </row>
    <row r="212" spans="1:19" ht="15" customHeight="1" x14ac:dyDescent="0.25">
      <c r="A212" s="439"/>
      <c r="B212" s="466"/>
      <c r="C212" s="33"/>
      <c r="D212" s="856"/>
      <c r="E212" s="443" t="s">
        <v>86</v>
      </c>
      <c r="F212" s="572"/>
      <c r="G212" s="541"/>
      <c r="H212" s="544"/>
      <c r="I212" s="575"/>
      <c r="J212" s="331"/>
      <c r="K212" s="207"/>
      <c r="L212" s="175"/>
      <c r="M212" s="174"/>
    </row>
    <row r="213" spans="1:19" ht="15" customHeight="1" x14ac:dyDescent="0.25">
      <c r="A213" s="439"/>
      <c r="B213" s="466"/>
      <c r="C213" s="33"/>
      <c r="D213" s="764" t="s">
        <v>155</v>
      </c>
      <c r="E213" s="215" t="s">
        <v>101</v>
      </c>
      <c r="F213" s="553" t="s">
        <v>216</v>
      </c>
      <c r="G213" s="577">
        <v>1245</v>
      </c>
      <c r="H213" s="578"/>
      <c r="I213" s="580"/>
      <c r="J213" s="157" t="s">
        <v>120</v>
      </c>
      <c r="K213" s="180">
        <v>13</v>
      </c>
      <c r="L213" s="140"/>
      <c r="M213" s="446"/>
    </row>
    <row r="214" spans="1:19" ht="14.1" customHeight="1" x14ac:dyDescent="0.25">
      <c r="A214" s="439"/>
      <c r="B214" s="466"/>
      <c r="C214" s="33"/>
      <c r="D214" s="789"/>
      <c r="E214" s="443" t="s">
        <v>86</v>
      </c>
      <c r="F214" s="576" t="s">
        <v>214</v>
      </c>
      <c r="G214" s="541">
        <v>7578.6</v>
      </c>
      <c r="H214" s="544"/>
      <c r="I214" s="542"/>
      <c r="J214" s="331"/>
      <c r="K214" s="207"/>
      <c r="L214" s="175"/>
      <c r="M214" s="174"/>
    </row>
    <row r="215" spans="1:19" ht="12.6" customHeight="1" x14ac:dyDescent="0.25">
      <c r="A215" s="439"/>
      <c r="B215" s="466"/>
      <c r="C215" s="33"/>
      <c r="D215" s="789"/>
      <c r="E215" s="443" t="s">
        <v>34</v>
      </c>
      <c r="F215" s="576"/>
      <c r="G215" s="571"/>
      <c r="H215" s="544"/>
      <c r="I215" s="583"/>
      <c r="J215" s="331"/>
      <c r="K215" s="207"/>
      <c r="L215" s="175"/>
      <c r="M215" s="174"/>
    </row>
    <row r="216" spans="1:19" ht="11.85" customHeight="1" x14ac:dyDescent="0.25">
      <c r="A216" s="439"/>
      <c r="B216" s="466"/>
      <c r="C216" s="33"/>
      <c r="D216" s="789"/>
      <c r="E216" s="443" t="s">
        <v>124</v>
      </c>
      <c r="F216" s="576"/>
      <c r="G216" s="571"/>
      <c r="H216" s="571"/>
      <c r="I216" s="583"/>
      <c r="J216" s="331"/>
      <c r="K216" s="207"/>
      <c r="L216" s="175"/>
      <c r="M216" s="174"/>
    </row>
    <row r="217" spans="1:19" ht="15" customHeight="1" x14ac:dyDescent="0.25">
      <c r="A217" s="439"/>
      <c r="B217" s="466"/>
      <c r="C217" s="33"/>
      <c r="D217" s="789"/>
      <c r="E217" s="449" t="s">
        <v>102</v>
      </c>
      <c r="F217" s="572"/>
      <c r="G217" s="585"/>
      <c r="H217" s="585"/>
      <c r="I217" s="586"/>
      <c r="J217" s="154"/>
      <c r="K217" s="289"/>
      <c r="L217" s="141"/>
      <c r="M217" s="248"/>
    </row>
    <row r="218" spans="1:19" ht="15" customHeight="1" x14ac:dyDescent="0.25">
      <c r="A218" s="439"/>
      <c r="B218" s="466"/>
      <c r="C218" s="33"/>
      <c r="D218" s="764" t="s">
        <v>94</v>
      </c>
      <c r="E218" s="210" t="s">
        <v>101</v>
      </c>
      <c r="F218" s="576" t="s">
        <v>219</v>
      </c>
      <c r="G218" s="571">
        <v>57.7</v>
      </c>
      <c r="H218" s="593"/>
      <c r="I218" s="594"/>
      <c r="J218" s="157" t="s">
        <v>33</v>
      </c>
      <c r="K218" s="180">
        <v>1</v>
      </c>
      <c r="L218" s="140"/>
      <c r="M218" s="381"/>
      <c r="N218" s="216"/>
      <c r="O218" s="598"/>
      <c r="P218" s="598"/>
      <c r="Q218" s="598"/>
      <c r="R218" s="598"/>
      <c r="S218" s="2"/>
    </row>
    <row r="219" spans="1:19" ht="15" customHeight="1" x14ac:dyDescent="0.25">
      <c r="A219" s="439"/>
      <c r="B219" s="466"/>
      <c r="C219" s="33"/>
      <c r="D219" s="789"/>
      <c r="E219" s="210" t="s">
        <v>124</v>
      </c>
      <c r="F219" s="652"/>
      <c r="G219" s="595"/>
      <c r="H219" s="596"/>
      <c r="I219" s="597"/>
      <c r="J219" s="331"/>
      <c r="K219" s="360"/>
      <c r="L219" s="175"/>
      <c r="M219" s="174"/>
      <c r="N219" s="216"/>
      <c r="O219" s="598"/>
      <c r="P219" s="598"/>
      <c r="Q219" s="598"/>
      <c r="R219" s="598"/>
      <c r="S219" s="2"/>
    </row>
    <row r="220" spans="1:19" ht="15" customHeight="1" x14ac:dyDescent="0.25">
      <c r="A220" s="439"/>
      <c r="B220" s="466"/>
      <c r="C220" s="33"/>
      <c r="D220" s="789"/>
      <c r="E220" s="210" t="s">
        <v>34</v>
      </c>
      <c r="F220" s="632"/>
      <c r="G220" s="598"/>
      <c r="H220" s="544"/>
      <c r="I220" s="542"/>
      <c r="J220" s="331"/>
      <c r="K220" s="207"/>
      <c r="L220" s="175"/>
      <c r="M220" s="174"/>
      <c r="N220" s="216"/>
      <c r="O220" s="598"/>
      <c r="P220" s="598"/>
      <c r="Q220" s="598"/>
      <c r="R220" s="598"/>
      <c r="S220" s="2"/>
    </row>
    <row r="221" spans="1:19" ht="15" customHeight="1" x14ac:dyDescent="0.25">
      <c r="A221" s="439"/>
      <c r="B221" s="466"/>
      <c r="C221" s="33"/>
      <c r="D221" s="765"/>
      <c r="E221" s="210" t="s">
        <v>86</v>
      </c>
      <c r="F221" s="653"/>
      <c r="G221" s="573"/>
      <c r="H221" s="574"/>
      <c r="I221" s="575"/>
      <c r="J221" s="213"/>
      <c r="K221" s="88"/>
      <c r="L221" s="115"/>
      <c r="M221" s="86"/>
      <c r="N221" s="216"/>
      <c r="O221" s="598"/>
      <c r="P221" s="598"/>
      <c r="Q221" s="598"/>
      <c r="R221" s="598"/>
      <c r="S221" s="2"/>
    </row>
    <row r="222" spans="1:19" ht="15" customHeight="1" thickBot="1" x14ac:dyDescent="0.3">
      <c r="A222" s="36"/>
      <c r="B222" s="24"/>
      <c r="C222" s="28"/>
      <c r="D222" s="235"/>
      <c r="E222" s="234"/>
      <c r="F222" s="62" t="s">
        <v>4</v>
      </c>
      <c r="G222" s="165">
        <f>+G181+G182+G183+G184+G185</f>
        <v>21092.3</v>
      </c>
      <c r="H222" s="515">
        <f t="shared" ref="H222:I222" si="13">+H181+H182+H183+H184+H185</f>
        <v>12503.3</v>
      </c>
      <c r="I222" s="514">
        <f t="shared" si="13"/>
        <v>10579.8</v>
      </c>
      <c r="J222" s="271"/>
      <c r="K222" s="510"/>
      <c r="L222" s="137"/>
      <c r="M222" s="80"/>
    </row>
    <row r="223" spans="1:19" ht="15" customHeight="1" thickBot="1" x14ac:dyDescent="0.3">
      <c r="A223" s="17" t="s">
        <v>3</v>
      </c>
      <c r="B223" s="26" t="s">
        <v>5</v>
      </c>
      <c r="C223" s="781" t="s">
        <v>6</v>
      </c>
      <c r="D223" s="782"/>
      <c r="E223" s="782"/>
      <c r="F223" s="783"/>
      <c r="G223" s="164">
        <f t="shared" ref="G223:I223" si="14">G222</f>
        <v>21092.3</v>
      </c>
      <c r="H223" s="16">
        <f t="shared" si="14"/>
        <v>12503.3</v>
      </c>
      <c r="I223" s="290">
        <f t="shared" si="14"/>
        <v>10579.8</v>
      </c>
      <c r="J223" s="790"/>
      <c r="K223" s="790"/>
      <c r="L223" s="790"/>
      <c r="M223" s="791"/>
    </row>
    <row r="224" spans="1:19" ht="15" customHeight="1" thickBot="1" x14ac:dyDescent="0.3">
      <c r="A224" s="15" t="s">
        <v>3</v>
      </c>
      <c r="B224" s="26" t="s">
        <v>23</v>
      </c>
      <c r="C224" s="839" t="s">
        <v>54</v>
      </c>
      <c r="D224" s="840"/>
      <c r="E224" s="840"/>
      <c r="F224" s="840"/>
      <c r="G224" s="840"/>
      <c r="H224" s="840"/>
      <c r="I224" s="840"/>
      <c r="J224" s="840"/>
      <c r="K224" s="847"/>
      <c r="L224" s="847"/>
      <c r="M224" s="848"/>
    </row>
    <row r="225" spans="1:21" ht="15.75" customHeight="1" x14ac:dyDescent="0.25">
      <c r="A225" s="40" t="s">
        <v>3</v>
      </c>
      <c r="B225" s="25" t="s">
        <v>23</v>
      </c>
      <c r="C225" s="29" t="s">
        <v>3</v>
      </c>
      <c r="D225" s="928" t="s">
        <v>52</v>
      </c>
      <c r="E225" s="528" t="s">
        <v>72</v>
      </c>
      <c r="F225" s="73" t="s">
        <v>21</v>
      </c>
      <c r="G225" s="56">
        <f>712.2+267.1</f>
        <v>979.3</v>
      </c>
      <c r="H225" s="253">
        <f>887.5+8.2</f>
        <v>895.7</v>
      </c>
      <c r="I225" s="526">
        <v>910.9</v>
      </c>
      <c r="J225" s="530"/>
      <c r="K225" s="251"/>
      <c r="L225" s="253"/>
      <c r="M225" s="102"/>
      <c r="O225" s="580" t="s">
        <v>21</v>
      </c>
      <c r="P225" s="581">
        <f>+G231+G233+G235+G242+G247+G251</f>
        <v>712.2</v>
      </c>
      <c r="Q225" s="581">
        <f>+H231+H233+H235+H242+H247+H251</f>
        <v>887.5</v>
      </c>
      <c r="R225" s="581">
        <f>+I231+I233+I235+I242+I247+I251</f>
        <v>910.9</v>
      </c>
    </row>
    <row r="226" spans="1:21" ht="15.75" customHeight="1" x14ac:dyDescent="0.25">
      <c r="A226" s="439"/>
      <c r="B226" s="466"/>
      <c r="C226" s="441"/>
      <c r="D226" s="929"/>
      <c r="E226" s="529"/>
      <c r="F226" s="73" t="s">
        <v>42</v>
      </c>
      <c r="G226" s="298">
        <f>1010.2+167.9</f>
        <v>1178.0999999999999</v>
      </c>
      <c r="H226" s="109">
        <v>1011</v>
      </c>
      <c r="I226" s="186">
        <v>1031</v>
      </c>
      <c r="J226" s="436"/>
      <c r="K226" s="420"/>
      <c r="L226" s="464"/>
      <c r="M226" s="465"/>
      <c r="O226" s="580" t="s">
        <v>42</v>
      </c>
      <c r="P226" s="581">
        <f>+G241+G245+G249+G255+G256</f>
        <v>1010.2</v>
      </c>
      <c r="Q226" s="581">
        <f t="shared" ref="Q226:R226" si="15">+H241+H245+H249+H255+H256</f>
        <v>1011</v>
      </c>
      <c r="R226" s="581">
        <f t="shared" si="15"/>
        <v>1031</v>
      </c>
    </row>
    <row r="227" spans="1:21" ht="15.75" customHeight="1" x14ac:dyDescent="0.25">
      <c r="A227" s="439"/>
      <c r="B227" s="466"/>
      <c r="C227" s="441"/>
      <c r="D227" s="516"/>
      <c r="E227" s="460"/>
      <c r="F227" s="13" t="s">
        <v>49</v>
      </c>
      <c r="G227" s="298">
        <f>584.8-266</f>
        <v>318.8</v>
      </c>
      <c r="H227" s="109">
        <v>400</v>
      </c>
      <c r="I227" s="465">
        <v>200</v>
      </c>
      <c r="J227" s="436"/>
      <c r="K227" s="420"/>
      <c r="L227" s="464"/>
      <c r="M227" s="12"/>
      <c r="O227" s="580" t="s">
        <v>49</v>
      </c>
      <c r="P227" s="581">
        <f>+G232+G237+G238+G239+G240</f>
        <v>584.79999999999995</v>
      </c>
      <c r="Q227" s="581">
        <f t="shared" ref="Q227:R227" si="16">+H232+H237+H238+H239+H240</f>
        <v>400</v>
      </c>
      <c r="R227" s="581">
        <f t="shared" si="16"/>
        <v>200</v>
      </c>
    </row>
    <row r="228" spans="1:21" ht="15.75" customHeight="1" x14ac:dyDescent="0.25">
      <c r="A228" s="439"/>
      <c r="B228" s="466"/>
      <c r="C228" s="441"/>
      <c r="D228" s="516"/>
      <c r="E228" s="460"/>
      <c r="F228" s="73" t="s">
        <v>39</v>
      </c>
      <c r="G228" s="298">
        <v>20.5</v>
      </c>
      <c r="H228" s="109"/>
      <c r="I228" s="185"/>
      <c r="J228" s="436"/>
      <c r="K228" s="420"/>
      <c r="L228" s="464"/>
      <c r="M228" s="12"/>
      <c r="O228" s="580" t="s">
        <v>39</v>
      </c>
      <c r="P228" s="581">
        <f>+G234</f>
        <v>20.5</v>
      </c>
      <c r="Q228" s="581">
        <f t="shared" ref="Q228:R228" si="17">+H234</f>
        <v>0</v>
      </c>
      <c r="R228" s="581">
        <f t="shared" si="17"/>
        <v>0</v>
      </c>
    </row>
    <row r="229" spans="1:21" ht="15.75" customHeight="1" x14ac:dyDescent="0.25">
      <c r="A229" s="439"/>
      <c r="B229" s="466"/>
      <c r="C229" s="441"/>
      <c r="D229" s="516"/>
      <c r="E229" s="529"/>
      <c r="F229" s="73" t="s">
        <v>44</v>
      </c>
      <c r="G229" s="298">
        <f>95.8+38.2</f>
        <v>134</v>
      </c>
      <c r="H229" s="109"/>
      <c r="I229" s="185"/>
      <c r="J229" s="436"/>
      <c r="K229" s="420"/>
      <c r="L229" s="464"/>
      <c r="M229" s="12"/>
      <c r="O229" s="580" t="s">
        <v>44</v>
      </c>
      <c r="P229" s="581">
        <f>+G236+G250</f>
        <v>95.8</v>
      </c>
      <c r="Q229" s="581">
        <f t="shared" ref="Q229:R229" si="18">+H236+H250</f>
        <v>0</v>
      </c>
      <c r="R229" s="581">
        <f t="shared" si="18"/>
        <v>0</v>
      </c>
    </row>
    <row r="230" spans="1:21" ht="15.75" customHeight="1" x14ac:dyDescent="0.25">
      <c r="A230" s="733"/>
      <c r="B230" s="742"/>
      <c r="C230" s="734"/>
      <c r="D230" s="516"/>
      <c r="E230" s="527"/>
      <c r="F230" s="739" t="s">
        <v>32</v>
      </c>
      <c r="G230" s="192">
        <v>0.8</v>
      </c>
      <c r="H230" s="741"/>
      <c r="I230" s="194"/>
      <c r="J230" s="732"/>
      <c r="K230" s="420"/>
      <c r="L230" s="741"/>
      <c r="M230" s="12"/>
      <c r="O230" s="580"/>
      <c r="P230" s="581"/>
      <c r="Q230" s="581"/>
      <c r="R230" s="581"/>
    </row>
    <row r="231" spans="1:21" ht="15" customHeight="1" x14ac:dyDescent="0.25">
      <c r="A231" s="439"/>
      <c r="B231" s="466"/>
      <c r="C231" s="441"/>
      <c r="D231" s="764" t="s">
        <v>50</v>
      </c>
      <c r="E231" s="443" t="s">
        <v>124</v>
      </c>
      <c r="F231" s="553" t="s">
        <v>216</v>
      </c>
      <c r="G231" s="577">
        <v>55.1</v>
      </c>
      <c r="H231" s="578">
        <v>60</v>
      </c>
      <c r="I231" s="579">
        <v>60</v>
      </c>
      <c r="J231" s="756" t="s">
        <v>55</v>
      </c>
      <c r="K231" s="461">
        <v>16.3</v>
      </c>
      <c r="L231" s="463">
        <v>16.5</v>
      </c>
      <c r="M231" s="121">
        <v>16.5</v>
      </c>
      <c r="P231" s="581">
        <f>SUM(P225:P229)</f>
        <v>2423.5</v>
      </c>
      <c r="Q231" s="581">
        <f t="shared" ref="Q231:R231" si="19">SUM(Q225:Q229)</f>
        <v>2298.5</v>
      </c>
      <c r="R231" s="581">
        <f t="shared" si="19"/>
        <v>2141.9</v>
      </c>
    </row>
    <row r="232" spans="1:21" ht="15" customHeight="1" x14ac:dyDescent="0.25">
      <c r="A232" s="439"/>
      <c r="B232" s="466"/>
      <c r="C232" s="441"/>
      <c r="D232" s="789"/>
      <c r="E232" s="474" t="s">
        <v>86</v>
      </c>
      <c r="F232" s="576" t="s">
        <v>215</v>
      </c>
      <c r="G232" s="541">
        <v>100</v>
      </c>
      <c r="H232" s="544">
        <v>100</v>
      </c>
      <c r="I232" s="542">
        <v>100</v>
      </c>
      <c r="J232" s="784"/>
      <c r="K232" s="420"/>
      <c r="L232" s="464"/>
      <c r="M232" s="193"/>
      <c r="P232" s="581">
        <f>+P231-G258</f>
        <v>-208</v>
      </c>
      <c r="Q232" s="581">
        <f t="shared" ref="Q232:R232" si="20">+Q231-H258</f>
        <v>-8.1999999999999993</v>
      </c>
      <c r="R232" s="581">
        <f t="shared" si="20"/>
        <v>0</v>
      </c>
      <c r="S232" s="11"/>
    </row>
    <row r="233" spans="1:21" ht="14.85" customHeight="1" x14ac:dyDescent="0.25">
      <c r="A233" s="439"/>
      <c r="B233" s="466"/>
      <c r="C233" s="441"/>
      <c r="D233" s="429"/>
      <c r="E233" s="67"/>
      <c r="F233" s="576" t="s">
        <v>216</v>
      </c>
      <c r="G233" s="541">
        <f>520.5-20.5-100</f>
        <v>400</v>
      </c>
      <c r="H233" s="544">
        <f>595-100</f>
        <v>495</v>
      </c>
      <c r="I233" s="542">
        <f>595-100</f>
        <v>495</v>
      </c>
      <c r="J233" s="842" t="s">
        <v>28</v>
      </c>
      <c r="K233" s="127">
        <v>95</v>
      </c>
      <c r="L233" s="129">
        <v>102</v>
      </c>
      <c r="M233" s="196">
        <v>102</v>
      </c>
      <c r="T233" s="343"/>
      <c r="U233" s="343"/>
    </row>
    <row r="234" spans="1:21" ht="14.85" customHeight="1" x14ac:dyDescent="0.25">
      <c r="A234" s="439"/>
      <c r="B234" s="466"/>
      <c r="C234" s="441"/>
      <c r="D234" s="429"/>
      <c r="E234" s="67"/>
      <c r="F234" s="576" t="s">
        <v>213</v>
      </c>
      <c r="G234" s="541">
        <v>20.5</v>
      </c>
      <c r="H234" s="544"/>
      <c r="I234" s="542"/>
      <c r="J234" s="757"/>
      <c r="K234" s="339"/>
      <c r="L234" s="179"/>
      <c r="M234" s="196"/>
      <c r="T234" s="343"/>
      <c r="U234" s="343"/>
    </row>
    <row r="235" spans="1:21" ht="27" customHeight="1" x14ac:dyDescent="0.25">
      <c r="A235" s="439"/>
      <c r="B235" s="466"/>
      <c r="C235" s="441"/>
      <c r="D235" s="425"/>
      <c r="E235" s="67"/>
      <c r="F235" s="576" t="s">
        <v>216</v>
      </c>
      <c r="G235" s="707">
        <v>48</v>
      </c>
      <c r="H235" s="544">
        <v>72</v>
      </c>
      <c r="I235" s="580">
        <v>96</v>
      </c>
      <c r="J235" s="344" t="s">
        <v>170</v>
      </c>
      <c r="K235" s="360">
        <v>20</v>
      </c>
      <c r="L235" s="502">
        <v>30</v>
      </c>
      <c r="M235" s="503">
        <v>40</v>
      </c>
      <c r="T235" s="343"/>
      <c r="U235" s="343"/>
    </row>
    <row r="236" spans="1:21" ht="27" customHeight="1" x14ac:dyDescent="0.25">
      <c r="A236" s="439"/>
      <c r="B236" s="466"/>
      <c r="C236" s="441"/>
      <c r="D236" s="425"/>
      <c r="E236" s="67"/>
      <c r="F236" s="576" t="s">
        <v>219</v>
      </c>
      <c r="G236" s="541">
        <v>30</v>
      </c>
      <c r="H236" s="544"/>
      <c r="I236" s="542"/>
      <c r="J236" s="155" t="s">
        <v>202</v>
      </c>
      <c r="K236" s="172">
        <v>100</v>
      </c>
      <c r="L236" s="129"/>
      <c r="M236" s="53"/>
    </row>
    <row r="237" spans="1:21" ht="30" customHeight="1" x14ac:dyDescent="0.25">
      <c r="A237" s="439"/>
      <c r="B237" s="466"/>
      <c r="C237" s="441"/>
      <c r="D237" s="425"/>
      <c r="E237" s="49"/>
      <c r="F237" s="576" t="s">
        <v>215</v>
      </c>
      <c r="G237" s="541">
        <v>15</v>
      </c>
      <c r="H237" s="544"/>
      <c r="I237" s="542"/>
      <c r="J237" s="227" t="s">
        <v>151</v>
      </c>
      <c r="K237" s="127">
        <v>1</v>
      </c>
      <c r="L237" s="129"/>
      <c r="M237" s="53"/>
    </row>
    <row r="238" spans="1:21" ht="29.25" customHeight="1" x14ac:dyDescent="0.25">
      <c r="A238" s="439"/>
      <c r="B238" s="466"/>
      <c r="C238" s="441"/>
      <c r="D238" s="425"/>
      <c r="E238" s="49"/>
      <c r="F238" s="576" t="s">
        <v>215</v>
      </c>
      <c r="G238" s="541"/>
      <c r="H238" s="544">
        <v>200</v>
      </c>
      <c r="I238" s="542"/>
      <c r="J238" s="155" t="s">
        <v>152</v>
      </c>
      <c r="K238" s="127"/>
      <c r="L238" s="129">
        <v>100</v>
      </c>
      <c r="M238" s="53"/>
    </row>
    <row r="239" spans="1:21" ht="15" customHeight="1" x14ac:dyDescent="0.25">
      <c r="A239" s="439"/>
      <c r="B239" s="466"/>
      <c r="C239" s="441"/>
      <c r="D239" s="425"/>
      <c r="E239" s="49"/>
      <c r="F239" s="576" t="s">
        <v>215</v>
      </c>
      <c r="G239" s="541">
        <v>369.8</v>
      </c>
      <c r="H239" s="544"/>
      <c r="I239" s="542"/>
      <c r="J239" s="155" t="s">
        <v>81</v>
      </c>
      <c r="K239" s="112">
        <v>7</v>
      </c>
      <c r="L239" s="263"/>
      <c r="M239" s="94"/>
    </row>
    <row r="240" spans="1:21" ht="15" customHeight="1" x14ac:dyDescent="0.25">
      <c r="A240" s="439"/>
      <c r="B240" s="466"/>
      <c r="C240" s="441"/>
      <c r="D240" s="425"/>
      <c r="E240" s="49"/>
      <c r="F240" s="576" t="s">
        <v>215</v>
      </c>
      <c r="G240" s="541">
        <v>100</v>
      </c>
      <c r="H240" s="544">
        <v>100</v>
      </c>
      <c r="I240" s="542">
        <v>100</v>
      </c>
      <c r="J240" s="757" t="s">
        <v>188</v>
      </c>
      <c r="K240" s="376">
        <v>13</v>
      </c>
      <c r="L240" s="377">
        <v>9</v>
      </c>
      <c r="M240" s="378">
        <v>9</v>
      </c>
    </row>
    <row r="241" spans="1:14" ht="15" customHeight="1" x14ac:dyDescent="0.25">
      <c r="A241" s="439"/>
      <c r="B241" s="466"/>
      <c r="C241" s="441"/>
      <c r="D241" s="425"/>
      <c r="E241" s="49"/>
      <c r="F241" s="576" t="s">
        <v>211</v>
      </c>
      <c r="G241" s="571">
        <v>18.5</v>
      </c>
      <c r="H241" s="544">
        <v>20</v>
      </c>
      <c r="I241" s="542">
        <v>20</v>
      </c>
      <c r="J241" s="757"/>
      <c r="K241" s="111"/>
      <c r="L241" s="136"/>
      <c r="M241" s="386"/>
    </row>
    <row r="242" spans="1:14" ht="15" customHeight="1" x14ac:dyDescent="0.25">
      <c r="A242" s="439"/>
      <c r="B242" s="466"/>
      <c r="C242" s="441"/>
      <c r="D242" s="425"/>
      <c r="E242" s="49"/>
      <c r="F242" s="576" t="s">
        <v>216</v>
      </c>
      <c r="G242" s="541">
        <f>4.1</f>
        <v>4.0999999999999996</v>
      </c>
      <c r="H242" s="544">
        <v>4.5</v>
      </c>
      <c r="I242" s="583">
        <v>5.5</v>
      </c>
      <c r="J242" s="842" t="s">
        <v>128</v>
      </c>
      <c r="K242" s="263">
        <v>12</v>
      </c>
      <c r="L242" s="263">
        <v>14</v>
      </c>
      <c r="M242" s="99">
        <v>15</v>
      </c>
      <c r="N242" s="216"/>
    </row>
    <row r="243" spans="1:14" ht="27.75" customHeight="1" x14ac:dyDescent="0.25">
      <c r="A243" s="439"/>
      <c r="B243" s="466"/>
      <c r="C243" s="441"/>
      <c r="D243" s="425"/>
      <c r="E243" s="49"/>
      <c r="F243" s="576"/>
      <c r="G243" s="541"/>
      <c r="H243" s="544"/>
      <c r="I243" s="542"/>
      <c r="J243" s="784"/>
      <c r="K243" s="111"/>
      <c r="L243" s="136"/>
      <c r="M243" s="45"/>
    </row>
    <row r="244" spans="1:14" ht="27.75" customHeight="1" x14ac:dyDescent="0.25">
      <c r="A244" s="733"/>
      <c r="B244" s="742"/>
      <c r="C244" s="734"/>
      <c r="D244" s="729"/>
      <c r="E244" s="49"/>
      <c r="F244" s="576"/>
      <c r="G244" s="571"/>
      <c r="H244" s="571"/>
      <c r="I244" s="580"/>
      <c r="J244" s="331" t="s">
        <v>245</v>
      </c>
      <c r="K244" s="398"/>
      <c r="L244" s="116">
        <v>2</v>
      </c>
      <c r="M244" s="397"/>
    </row>
    <row r="245" spans="1:14" ht="16.5" customHeight="1" x14ac:dyDescent="0.25">
      <c r="A245" s="439"/>
      <c r="B245" s="466"/>
      <c r="C245" s="441"/>
      <c r="D245" s="871" t="s">
        <v>56</v>
      </c>
      <c r="E245" s="442" t="s">
        <v>124</v>
      </c>
      <c r="F245" s="553" t="s">
        <v>211</v>
      </c>
      <c r="G245" s="577">
        <v>8</v>
      </c>
      <c r="H245" s="578">
        <v>8</v>
      </c>
      <c r="I245" s="579">
        <v>8</v>
      </c>
      <c r="J245" s="796" t="s">
        <v>92</v>
      </c>
      <c r="K245" s="113">
        <v>14</v>
      </c>
      <c r="L245" s="119">
        <v>14</v>
      </c>
      <c r="M245" s="44">
        <v>14</v>
      </c>
    </row>
    <row r="246" spans="1:14" ht="16.5" customHeight="1" x14ac:dyDescent="0.25">
      <c r="A246" s="434"/>
      <c r="B246" s="466"/>
      <c r="C246" s="33"/>
      <c r="D246" s="769"/>
      <c r="E246" s="449" t="s">
        <v>137</v>
      </c>
      <c r="F246" s="572"/>
      <c r="G246" s="573"/>
      <c r="H246" s="574"/>
      <c r="I246" s="575"/>
      <c r="J246" s="762"/>
      <c r="K246" s="111"/>
      <c r="L246" s="116"/>
      <c r="M246" s="45"/>
    </row>
    <row r="247" spans="1:14" ht="17.100000000000001" customHeight="1" x14ac:dyDescent="0.25">
      <c r="A247" s="434"/>
      <c r="B247" s="466"/>
      <c r="C247" s="31"/>
      <c r="D247" s="764" t="s">
        <v>62</v>
      </c>
      <c r="E247" s="443" t="s">
        <v>124</v>
      </c>
      <c r="F247" s="576" t="s">
        <v>216</v>
      </c>
      <c r="G247" s="571">
        <v>45.7</v>
      </c>
      <c r="H247" s="544">
        <v>50</v>
      </c>
      <c r="I247" s="583">
        <v>55</v>
      </c>
      <c r="J247" s="224" t="s">
        <v>93</v>
      </c>
      <c r="K247" s="481">
        <v>6</v>
      </c>
      <c r="L247" s="122">
        <v>6</v>
      </c>
      <c r="M247" s="91">
        <v>6</v>
      </c>
    </row>
    <row r="248" spans="1:14" ht="17.100000000000001" customHeight="1" x14ac:dyDescent="0.25">
      <c r="A248" s="434"/>
      <c r="B248" s="466"/>
      <c r="C248" s="31"/>
      <c r="D248" s="765"/>
      <c r="E248" s="449" t="s">
        <v>137</v>
      </c>
      <c r="F248" s="576"/>
      <c r="G248" s="571"/>
      <c r="H248" s="544"/>
      <c r="I248" s="583"/>
      <c r="J248" s="225"/>
      <c r="K248" s="125"/>
      <c r="L248" s="252"/>
      <c r="M248" s="90"/>
    </row>
    <row r="249" spans="1:14" ht="15" customHeight="1" x14ac:dyDescent="0.25">
      <c r="A249" s="439"/>
      <c r="B249" s="466"/>
      <c r="C249" s="441"/>
      <c r="D249" s="771" t="s">
        <v>51</v>
      </c>
      <c r="E249" s="442" t="s">
        <v>124</v>
      </c>
      <c r="F249" s="553" t="s">
        <v>211</v>
      </c>
      <c r="G249" s="724">
        <v>938.9</v>
      </c>
      <c r="H249" s="612">
        <v>960</v>
      </c>
      <c r="I249" s="589">
        <v>980</v>
      </c>
      <c r="J249" s="224" t="s">
        <v>60</v>
      </c>
      <c r="K249" s="481">
        <v>173</v>
      </c>
      <c r="L249" s="122">
        <v>173</v>
      </c>
      <c r="M249" s="91">
        <v>173</v>
      </c>
    </row>
    <row r="250" spans="1:14" ht="15" customHeight="1" x14ac:dyDescent="0.25">
      <c r="A250" s="434"/>
      <c r="B250" s="466"/>
      <c r="C250" s="33"/>
      <c r="D250" s="797"/>
      <c r="E250" s="449" t="s">
        <v>86</v>
      </c>
      <c r="F250" s="572" t="s">
        <v>219</v>
      </c>
      <c r="G250" s="573">
        <v>65.8</v>
      </c>
      <c r="H250" s="574"/>
      <c r="I250" s="575"/>
      <c r="J250" s="226"/>
      <c r="K250" s="250"/>
      <c r="L250" s="176"/>
      <c r="M250" s="249"/>
    </row>
    <row r="251" spans="1:14" ht="15.75" customHeight="1" x14ac:dyDescent="0.25">
      <c r="A251" s="759"/>
      <c r="B251" s="753"/>
      <c r="C251" s="770"/>
      <c r="D251" s="766" t="s">
        <v>144</v>
      </c>
      <c r="E251" s="211" t="s">
        <v>72</v>
      </c>
      <c r="F251" s="576" t="s">
        <v>216</v>
      </c>
      <c r="G251" s="577">
        <v>159.30000000000001</v>
      </c>
      <c r="H251" s="544">
        <v>206</v>
      </c>
      <c r="I251" s="579">
        <v>199.4</v>
      </c>
      <c r="J251" s="157" t="s">
        <v>41</v>
      </c>
      <c r="K251" s="421">
        <v>18</v>
      </c>
      <c r="L251" s="122">
        <v>18</v>
      </c>
      <c r="M251" s="91"/>
    </row>
    <row r="252" spans="1:14" ht="15.75" customHeight="1" x14ac:dyDescent="0.25">
      <c r="A252" s="759"/>
      <c r="B252" s="753"/>
      <c r="C252" s="770"/>
      <c r="D252" s="767"/>
      <c r="E252" s="443" t="s">
        <v>102</v>
      </c>
      <c r="F252" s="576"/>
      <c r="G252" s="541"/>
      <c r="H252" s="544"/>
      <c r="I252" s="542"/>
      <c r="J252" s="162" t="s">
        <v>45</v>
      </c>
      <c r="K252" s="172">
        <v>7</v>
      </c>
      <c r="L252" s="129">
        <v>7</v>
      </c>
      <c r="M252" s="99">
        <v>7</v>
      </c>
    </row>
    <row r="253" spans="1:14" ht="15.75" customHeight="1" x14ac:dyDescent="0.25">
      <c r="A253" s="759"/>
      <c r="B253" s="753"/>
      <c r="C253" s="770"/>
      <c r="D253" s="767"/>
      <c r="E253" s="58" t="s">
        <v>86</v>
      </c>
      <c r="F253" s="936"/>
      <c r="G253" s="541"/>
      <c r="H253" s="544"/>
      <c r="I253" s="542"/>
      <c r="J253" s="854"/>
      <c r="K253" s="111"/>
      <c r="L253" s="116"/>
      <c r="M253" s="45"/>
    </row>
    <row r="254" spans="1:14" ht="15.75" customHeight="1" x14ac:dyDescent="0.25">
      <c r="A254" s="759"/>
      <c r="B254" s="753"/>
      <c r="C254" s="770"/>
      <c r="D254" s="788"/>
      <c r="E254" s="443" t="s">
        <v>124</v>
      </c>
      <c r="F254" s="937"/>
      <c r="G254" s="573"/>
      <c r="H254" s="574"/>
      <c r="I254" s="575"/>
      <c r="J254" s="762"/>
      <c r="K254" s="87"/>
      <c r="L254" s="63"/>
      <c r="M254" s="84"/>
    </row>
    <row r="255" spans="1:14" ht="27.6" customHeight="1" x14ac:dyDescent="0.25">
      <c r="A255" s="434"/>
      <c r="B255" s="466"/>
      <c r="C255" s="30"/>
      <c r="D255" s="60" t="s">
        <v>95</v>
      </c>
      <c r="E255" s="209" t="s">
        <v>124</v>
      </c>
      <c r="F255" s="587" t="s">
        <v>211</v>
      </c>
      <c r="G255" s="571">
        <v>21.8</v>
      </c>
      <c r="H255" s="544"/>
      <c r="I255" s="583"/>
      <c r="J255" s="385" t="s">
        <v>96</v>
      </c>
      <c r="K255" s="482">
        <v>6</v>
      </c>
      <c r="L255" s="321"/>
      <c r="M255" s="322"/>
    </row>
    <row r="256" spans="1:14" x14ac:dyDescent="0.25">
      <c r="A256" s="434"/>
      <c r="B256" s="438"/>
      <c r="C256" s="82"/>
      <c r="D256" s="764" t="s">
        <v>121</v>
      </c>
      <c r="E256" s="442" t="s">
        <v>124</v>
      </c>
      <c r="F256" s="576" t="s">
        <v>211</v>
      </c>
      <c r="G256" s="577">
        <v>23</v>
      </c>
      <c r="H256" s="578">
        <v>23</v>
      </c>
      <c r="I256" s="579">
        <v>23</v>
      </c>
      <c r="J256" s="157" t="s">
        <v>160</v>
      </c>
      <c r="K256" s="323">
        <v>1</v>
      </c>
      <c r="L256" s="324">
        <v>1</v>
      </c>
      <c r="M256" s="505">
        <v>1</v>
      </c>
    </row>
    <row r="257" spans="1:21" ht="30" customHeight="1" x14ac:dyDescent="0.25">
      <c r="A257" s="434"/>
      <c r="B257" s="438"/>
      <c r="C257" s="82"/>
      <c r="D257" s="765"/>
      <c r="E257" s="449"/>
      <c r="F257" s="572"/>
      <c r="G257" s="571"/>
      <c r="H257" s="574"/>
      <c r="I257" s="575"/>
      <c r="J257" s="74"/>
      <c r="L257" s="191"/>
      <c r="M257" s="364"/>
      <c r="N257" s="216"/>
    </row>
    <row r="258" spans="1:21" ht="18" customHeight="1" thickBot="1" x14ac:dyDescent="0.3">
      <c r="A258" s="14"/>
      <c r="B258" s="37"/>
      <c r="C258" s="32"/>
      <c r="D258" s="77"/>
      <c r="E258" s="78"/>
      <c r="F258" s="21" t="s">
        <v>4</v>
      </c>
      <c r="G258" s="165">
        <f>+G225+G226+G227+G228+G229+G230</f>
        <v>2631.5</v>
      </c>
      <c r="H258" s="515">
        <f t="shared" ref="H258:I258" si="21">+H225+H226+H227+H228+H229+H230</f>
        <v>2306.6999999999998</v>
      </c>
      <c r="I258" s="514">
        <f t="shared" si="21"/>
        <v>2141.9</v>
      </c>
      <c r="J258" s="228"/>
      <c r="K258" s="144"/>
      <c r="L258" s="145"/>
      <c r="M258" s="101"/>
    </row>
    <row r="259" spans="1:21" ht="15.6" customHeight="1" x14ac:dyDescent="0.25">
      <c r="A259" s="43" t="s">
        <v>3</v>
      </c>
      <c r="B259" s="39" t="s">
        <v>23</v>
      </c>
      <c r="C259" s="34" t="s">
        <v>5</v>
      </c>
      <c r="D259" s="75" t="s">
        <v>84</v>
      </c>
      <c r="E259" s="76"/>
      <c r="F259" s="536" t="s">
        <v>21</v>
      </c>
      <c r="G259" s="537">
        <f>100.7+22</f>
        <v>122.7</v>
      </c>
      <c r="H259" s="525">
        <f>20+27.2</f>
        <v>47.2</v>
      </c>
      <c r="I259" s="526">
        <v>122</v>
      </c>
      <c r="J259" s="534"/>
      <c r="K259" s="251"/>
      <c r="L259" s="253"/>
      <c r="M259" s="102"/>
      <c r="O259" s="580" t="s">
        <v>21</v>
      </c>
      <c r="P259" s="581">
        <f>+G274+G278+G282</f>
        <v>100.7</v>
      </c>
      <c r="Q259" s="581">
        <f t="shared" ref="Q259" si="22">+H274+H278+H282</f>
        <v>20</v>
      </c>
      <c r="R259" s="581">
        <f>+I274+I278+I282</f>
        <v>122</v>
      </c>
    </row>
    <row r="260" spans="1:21" ht="15.6" customHeight="1" x14ac:dyDescent="0.25">
      <c r="A260" s="454"/>
      <c r="B260" s="445"/>
      <c r="C260" s="444"/>
      <c r="D260" s="531"/>
      <c r="E260" s="532"/>
      <c r="F260" s="450" t="s">
        <v>42</v>
      </c>
      <c r="G260" s="462">
        <f>744.6-162.5+179.4</f>
        <v>761.5</v>
      </c>
      <c r="H260" s="109">
        <f>1023.2-760</f>
        <v>263.2</v>
      </c>
      <c r="I260" s="240">
        <f>1276.1-1143</f>
        <v>133.1</v>
      </c>
      <c r="J260" s="535"/>
      <c r="K260" s="420"/>
      <c r="L260" s="464"/>
      <c r="M260" s="12"/>
      <c r="O260" s="560" t="s">
        <v>42</v>
      </c>
      <c r="P260" s="582">
        <f>+G266+G269+G272+G277</f>
        <v>744.6</v>
      </c>
      <c r="Q260" s="582">
        <f>+H266+H269+H272+H277</f>
        <v>1023.2</v>
      </c>
      <c r="R260" s="582">
        <f>+I266+I269+I272+I277</f>
        <v>1276.0999999999999</v>
      </c>
    </row>
    <row r="261" spans="1:21" ht="15.6" customHeight="1" x14ac:dyDescent="0.25">
      <c r="A261" s="454"/>
      <c r="B261" s="445"/>
      <c r="C261" s="444"/>
      <c r="D261" s="531"/>
      <c r="E261" s="532"/>
      <c r="F261" s="453" t="s">
        <v>39</v>
      </c>
      <c r="G261" s="56">
        <v>161.4</v>
      </c>
      <c r="H261" s="464"/>
      <c r="I261" s="186"/>
      <c r="J261" s="533"/>
      <c r="K261" s="420"/>
      <c r="L261" s="464"/>
      <c r="M261" s="12"/>
      <c r="O261" s="580" t="s">
        <v>39</v>
      </c>
      <c r="P261" s="581">
        <f>+G267+G275</f>
        <v>161.4</v>
      </c>
      <c r="Q261" s="581">
        <f>+H267+H275</f>
        <v>0</v>
      </c>
      <c r="R261" s="581">
        <f>+I267+I275</f>
        <v>0</v>
      </c>
    </row>
    <row r="262" spans="1:21" ht="15.6" customHeight="1" x14ac:dyDescent="0.25">
      <c r="A262" s="454"/>
      <c r="B262" s="445"/>
      <c r="C262" s="444"/>
      <c r="D262" s="531"/>
      <c r="E262" s="532"/>
      <c r="F262" s="670" t="s">
        <v>44</v>
      </c>
      <c r="G262" s="298">
        <v>99.3</v>
      </c>
      <c r="H262" s="55"/>
      <c r="I262" s="240"/>
      <c r="J262" s="533"/>
      <c r="K262" s="420"/>
      <c r="L262" s="464"/>
      <c r="M262" s="12"/>
      <c r="O262" s="580" t="s">
        <v>44</v>
      </c>
      <c r="P262" s="581">
        <f>+G265+G271+G276</f>
        <v>99.3</v>
      </c>
      <c r="Q262" s="581">
        <f>+H265+H271+H276</f>
        <v>0</v>
      </c>
      <c r="R262" s="581">
        <f>+I265+I271+I276</f>
        <v>0</v>
      </c>
    </row>
    <row r="263" spans="1:21" ht="15.6" customHeight="1" x14ac:dyDescent="0.25">
      <c r="A263" s="454"/>
      <c r="B263" s="445"/>
      <c r="C263" s="444"/>
      <c r="D263" s="531"/>
      <c r="E263" s="532"/>
      <c r="F263" s="13"/>
      <c r="G263" s="299"/>
      <c r="H263" s="110"/>
      <c r="I263" s="97"/>
      <c r="J263" s="533"/>
      <c r="K263" s="420"/>
      <c r="L263" s="464"/>
      <c r="M263" s="12"/>
      <c r="O263" s="580" t="s">
        <v>31</v>
      </c>
      <c r="P263" s="581">
        <f>+G279</f>
        <v>0</v>
      </c>
      <c r="Q263" s="581">
        <f t="shared" ref="Q263:R263" si="23">+H279</f>
        <v>0</v>
      </c>
      <c r="R263" s="581">
        <f t="shared" si="23"/>
        <v>0</v>
      </c>
    </row>
    <row r="264" spans="1:21" ht="15.6" customHeight="1" x14ac:dyDescent="0.25">
      <c r="A264" s="454"/>
      <c r="B264" s="445"/>
      <c r="C264" s="444"/>
      <c r="D264" s="65" t="s">
        <v>97</v>
      </c>
      <c r="E264" s="57" t="s">
        <v>83</v>
      </c>
      <c r="F264" s="38"/>
      <c r="G264" s="259"/>
      <c r="H264" s="260"/>
      <c r="I264" s="261"/>
      <c r="J264" s="504"/>
      <c r="K264" s="150"/>
      <c r="L264" s="151"/>
      <c r="M264" s="539"/>
      <c r="P264" s="581">
        <f>SUM(P259:P263)</f>
        <v>1106</v>
      </c>
      <c r="Q264" s="581">
        <f t="shared" ref="Q264:R264" si="24">SUM(Q259:Q263)</f>
        <v>1043.2</v>
      </c>
      <c r="R264" s="581">
        <f t="shared" si="24"/>
        <v>1398.1</v>
      </c>
    </row>
    <row r="265" spans="1:21" ht="15" customHeight="1" x14ac:dyDescent="0.25">
      <c r="A265" s="454"/>
      <c r="B265" s="445"/>
      <c r="C265" s="444"/>
      <c r="D265" s="774" t="s">
        <v>98</v>
      </c>
      <c r="E265" s="58" t="s">
        <v>34</v>
      </c>
      <c r="F265" s="619" t="s">
        <v>219</v>
      </c>
      <c r="G265" s="541">
        <v>11</v>
      </c>
      <c r="H265" s="578"/>
      <c r="I265" s="542"/>
      <c r="J265" s="470" t="s">
        <v>99</v>
      </c>
      <c r="K265" s="113">
        <v>12</v>
      </c>
      <c r="L265" s="119">
        <v>12</v>
      </c>
      <c r="M265" s="45">
        <v>12</v>
      </c>
      <c r="P265" s="581">
        <f>+P264-G285</f>
        <v>-38.9</v>
      </c>
      <c r="Q265" s="581">
        <f>+Q264-H285</f>
        <v>732.8</v>
      </c>
      <c r="R265" s="581">
        <f>+R264-I285</f>
        <v>1143</v>
      </c>
    </row>
    <row r="266" spans="1:21" ht="22.35" customHeight="1" x14ac:dyDescent="0.25">
      <c r="A266" s="454"/>
      <c r="B266" s="445"/>
      <c r="C266" s="444"/>
      <c r="D266" s="775"/>
      <c r="E266" s="443" t="s">
        <v>86</v>
      </c>
      <c r="F266" s="558" t="s">
        <v>211</v>
      </c>
      <c r="G266" s="588">
        <f>133.1+-G265</f>
        <v>122.1</v>
      </c>
      <c r="H266" s="544">
        <v>133.1</v>
      </c>
      <c r="I266" s="584">
        <v>133.1</v>
      </c>
      <c r="J266" s="538"/>
      <c r="K266" s="339"/>
      <c r="L266" s="136"/>
      <c r="M266" s="341"/>
    </row>
    <row r="267" spans="1:21" ht="14.25" customHeight="1" x14ac:dyDescent="0.25">
      <c r="A267" s="454"/>
      <c r="B267" s="445"/>
      <c r="C267" s="444"/>
      <c r="D267" s="869" t="s">
        <v>231</v>
      </c>
      <c r="E267" s="205" t="s">
        <v>124</v>
      </c>
      <c r="F267" s="545" t="s">
        <v>213</v>
      </c>
      <c r="G267" s="546">
        <v>150</v>
      </c>
      <c r="H267" s="547"/>
      <c r="I267" s="548"/>
      <c r="J267" s="786" t="s">
        <v>132</v>
      </c>
      <c r="K267" s="127">
        <v>100</v>
      </c>
      <c r="L267" s="129"/>
      <c r="M267" s="53"/>
    </row>
    <row r="268" spans="1:21" ht="14.25" customHeight="1" x14ac:dyDescent="0.25">
      <c r="A268" s="454"/>
      <c r="B268" s="445"/>
      <c r="C268" s="444"/>
      <c r="D268" s="870"/>
      <c r="E268" s="58"/>
      <c r="F268" s="549"/>
      <c r="G268" s="550"/>
      <c r="H268" s="551"/>
      <c r="I268" s="552"/>
      <c r="J268" s="787"/>
      <c r="K268" s="111"/>
      <c r="L268" s="116"/>
      <c r="M268" s="45"/>
    </row>
    <row r="269" spans="1:21" ht="15" customHeight="1" x14ac:dyDescent="0.25">
      <c r="A269" s="759"/>
      <c r="B269" s="753"/>
      <c r="C269" s="770"/>
      <c r="D269" s="771" t="s">
        <v>69</v>
      </c>
      <c r="E269" s="442" t="s">
        <v>86</v>
      </c>
      <c r="F269" s="553" t="s">
        <v>211</v>
      </c>
      <c r="G269" s="554">
        <v>350</v>
      </c>
      <c r="H269" s="555">
        <v>432.4</v>
      </c>
      <c r="I269" s="556">
        <v>852.1</v>
      </c>
      <c r="J269" s="756" t="s">
        <v>71</v>
      </c>
      <c r="K269" s="930">
        <v>21</v>
      </c>
      <c r="L269" s="932"/>
      <c r="M269" s="506"/>
      <c r="T269" s="343"/>
      <c r="U269" s="343"/>
    </row>
    <row r="270" spans="1:21" ht="13.5" hidden="1" customHeight="1" x14ac:dyDescent="0.25">
      <c r="A270" s="759"/>
      <c r="B270" s="753"/>
      <c r="C270" s="770"/>
      <c r="D270" s="772"/>
      <c r="E270" s="219"/>
      <c r="F270" s="576"/>
      <c r="G270" s="541"/>
      <c r="H270" s="725"/>
      <c r="I270" s="561"/>
      <c r="J270" s="757"/>
      <c r="K270" s="931"/>
      <c r="L270" s="933"/>
      <c r="M270" s="934"/>
      <c r="T270" s="343"/>
      <c r="U270" s="343"/>
    </row>
    <row r="271" spans="1:21" ht="14.1" customHeight="1" x14ac:dyDescent="0.25">
      <c r="A271" s="759"/>
      <c r="B271" s="753"/>
      <c r="C271" s="770"/>
      <c r="D271" s="772"/>
      <c r="E271" s="219" t="s">
        <v>80</v>
      </c>
      <c r="F271" s="576" t="s">
        <v>219</v>
      </c>
      <c r="G271" s="541">
        <v>13.3</v>
      </c>
      <c r="H271" s="544"/>
      <c r="I271" s="542"/>
      <c r="J271" s="757"/>
      <c r="K271" s="931"/>
      <c r="L271" s="933"/>
      <c r="M271" s="934"/>
      <c r="U271" s="317"/>
    </row>
    <row r="272" spans="1:21" ht="15" customHeight="1" x14ac:dyDescent="0.25">
      <c r="A272" s="759"/>
      <c r="B272" s="753"/>
      <c r="C272" s="770"/>
      <c r="D272" s="772"/>
      <c r="E272" s="219" t="s">
        <v>124</v>
      </c>
      <c r="F272" s="558" t="s">
        <v>211</v>
      </c>
      <c r="G272" s="559">
        <v>142.5</v>
      </c>
      <c r="H272" s="560">
        <v>327.60000000000002</v>
      </c>
      <c r="I272" s="561">
        <v>290.89999999999998</v>
      </c>
      <c r="J272" s="160"/>
      <c r="K272" s="319"/>
      <c r="L272" s="320"/>
      <c r="M272" s="103"/>
    </row>
    <row r="273" spans="1:13" ht="15" customHeight="1" x14ac:dyDescent="0.25">
      <c r="A273" s="759"/>
      <c r="B273" s="753"/>
      <c r="C273" s="770"/>
      <c r="D273" s="773"/>
      <c r="E273" s="476" t="s">
        <v>102</v>
      </c>
      <c r="F273" s="562"/>
      <c r="G273" s="563"/>
      <c r="H273" s="564"/>
      <c r="I273" s="565"/>
      <c r="J273" s="213"/>
      <c r="K273" s="88"/>
      <c r="L273" s="115"/>
      <c r="M273" s="86"/>
    </row>
    <row r="274" spans="1:13" ht="15.75" customHeight="1" x14ac:dyDescent="0.25">
      <c r="A274" s="434"/>
      <c r="B274" s="438"/>
      <c r="C274" s="104"/>
      <c r="D274" s="771" t="s">
        <v>109</v>
      </c>
      <c r="E274" s="35" t="s">
        <v>138</v>
      </c>
      <c r="F274" s="553" t="s">
        <v>216</v>
      </c>
      <c r="G274" s="577">
        <v>100.7</v>
      </c>
      <c r="H274" s="578"/>
      <c r="I274" s="579"/>
      <c r="J274" s="155" t="s">
        <v>134</v>
      </c>
      <c r="K274" s="112">
        <v>5</v>
      </c>
      <c r="L274" s="116"/>
      <c r="M274" s="45"/>
    </row>
    <row r="275" spans="1:13" ht="15.75" customHeight="1" x14ac:dyDescent="0.25">
      <c r="A275" s="434"/>
      <c r="B275" s="438"/>
      <c r="C275" s="104"/>
      <c r="D275" s="772"/>
      <c r="E275" s="64" t="s">
        <v>124</v>
      </c>
      <c r="F275" s="558" t="s">
        <v>213</v>
      </c>
      <c r="G275" s="541">
        <v>11.4</v>
      </c>
      <c r="H275" s="544"/>
      <c r="I275" s="542"/>
      <c r="J275" s="155" t="s">
        <v>135</v>
      </c>
      <c r="K275" s="112">
        <v>6</v>
      </c>
      <c r="L275" s="129"/>
      <c r="M275" s="53"/>
    </row>
    <row r="276" spans="1:13" ht="15.75" customHeight="1" x14ac:dyDescent="0.25">
      <c r="A276" s="434"/>
      <c r="B276" s="438"/>
      <c r="C276" s="104"/>
      <c r="D276" s="772"/>
      <c r="E276" s="64" t="s">
        <v>86</v>
      </c>
      <c r="F276" s="572" t="s">
        <v>219</v>
      </c>
      <c r="G276" s="573">
        <v>75</v>
      </c>
      <c r="H276" s="574"/>
      <c r="I276" s="575"/>
      <c r="J276" s="227" t="s">
        <v>136</v>
      </c>
      <c r="K276" s="112">
        <v>1</v>
      </c>
      <c r="L276" s="117"/>
      <c r="M276" s="79"/>
    </row>
    <row r="277" spans="1:13" ht="15" customHeight="1" x14ac:dyDescent="0.25">
      <c r="A277" s="434"/>
      <c r="B277" s="438"/>
      <c r="C277" s="104"/>
      <c r="D277" s="764" t="s">
        <v>243</v>
      </c>
      <c r="E277" s="442" t="s">
        <v>182</v>
      </c>
      <c r="F277" s="553" t="s">
        <v>211</v>
      </c>
      <c r="G277" s="671">
        <v>130</v>
      </c>
      <c r="H277" s="555">
        <v>130.1</v>
      </c>
      <c r="I277" s="579"/>
      <c r="J277" s="157" t="s">
        <v>33</v>
      </c>
      <c r="K277" s="481"/>
      <c r="L277" s="122">
        <v>1</v>
      </c>
      <c r="M277" s="396"/>
    </row>
    <row r="278" spans="1:13" ht="15" customHeight="1" x14ac:dyDescent="0.25">
      <c r="A278" s="434"/>
      <c r="B278" s="438"/>
      <c r="C278" s="82"/>
      <c r="D278" s="789"/>
      <c r="E278" s="210" t="s">
        <v>101</v>
      </c>
      <c r="F278" s="576"/>
      <c r="G278" s="541"/>
      <c r="H278" s="544"/>
      <c r="I278" s="542"/>
      <c r="J278" s="331"/>
      <c r="K278" s="111"/>
      <c r="L278" s="116"/>
      <c r="M278" s="196"/>
    </row>
    <row r="279" spans="1:13" ht="15" customHeight="1" x14ac:dyDescent="0.25">
      <c r="A279" s="434"/>
      <c r="B279" s="438"/>
      <c r="C279" s="82"/>
      <c r="D279" s="789"/>
      <c r="E279" s="443" t="s">
        <v>34</v>
      </c>
      <c r="F279" s="576"/>
      <c r="G279" s="541"/>
      <c r="H279" s="544"/>
      <c r="I279" s="542"/>
      <c r="J279" s="225"/>
      <c r="K279" s="111"/>
      <c r="L279" s="116"/>
      <c r="M279" s="196"/>
    </row>
    <row r="280" spans="1:13" ht="15" customHeight="1" x14ac:dyDescent="0.25">
      <c r="A280" s="665"/>
      <c r="B280" s="666"/>
      <c r="C280" s="82"/>
      <c r="D280" s="789"/>
      <c r="E280" s="667" t="s">
        <v>123</v>
      </c>
      <c r="F280" s="576"/>
      <c r="G280" s="541"/>
      <c r="H280" s="544"/>
      <c r="I280" s="542"/>
      <c r="J280" s="225"/>
      <c r="K280" s="111"/>
      <c r="L280" s="116"/>
      <c r="M280" s="196"/>
    </row>
    <row r="281" spans="1:13" ht="15" customHeight="1" x14ac:dyDescent="0.25">
      <c r="A281" s="434"/>
      <c r="B281" s="438"/>
      <c r="C281" s="82"/>
      <c r="D281" s="765"/>
      <c r="E281" s="443"/>
      <c r="F281" s="572"/>
      <c r="G281" s="573"/>
      <c r="H281" s="574"/>
      <c r="I281" s="575"/>
      <c r="J281" s="226"/>
      <c r="K281" s="114"/>
      <c r="L281" s="120"/>
      <c r="M281" s="98"/>
    </row>
    <row r="282" spans="1:13" ht="18.75" customHeight="1" x14ac:dyDescent="0.25">
      <c r="A282" s="434"/>
      <c r="B282" s="438"/>
      <c r="C282" s="82"/>
      <c r="D282" s="764" t="s">
        <v>186</v>
      </c>
      <c r="E282" s="442" t="s">
        <v>182</v>
      </c>
      <c r="F282" s="576" t="s">
        <v>216</v>
      </c>
      <c r="G282" s="577"/>
      <c r="H282" s="578">
        <v>20</v>
      </c>
      <c r="I282" s="579">
        <v>122</v>
      </c>
      <c r="J282" s="157" t="s">
        <v>33</v>
      </c>
      <c r="K282" s="113"/>
      <c r="L282" s="119"/>
      <c r="M282" s="92">
        <v>1</v>
      </c>
    </row>
    <row r="283" spans="1:13" ht="18.75" customHeight="1" x14ac:dyDescent="0.25">
      <c r="A283" s="434"/>
      <c r="B283" s="438"/>
      <c r="C283" s="82"/>
      <c r="D283" s="789"/>
      <c r="E283" s="443" t="s">
        <v>123</v>
      </c>
      <c r="F283" s="576"/>
      <c r="G283" s="541"/>
      <c r="H283" s="544"/>
      <c r="I283" s="580"/>
      <c r="J283" s="331"/>
      <c r="K283" s="111"/>
      <c r="L283" s="116"/>
      <c r="M283" s="196"/>
    </row>
    <row r="284" spans="1:13" ht="18.75" customHeight="1" x14ac:dyDescent="0.25">
      <c r="A284" s="434"/>
      <c r="B284" s="438"/>
      <c r="C284" s="82"/>
      <c r="D284" s="789"/>
      <c r="E284" s="449" t="s">
        <v>34</v>
      </c>
      <c r="F284" s="576"/>
      <c r="G284" s="573"/>
      <c r="H284" s="574"/>
      <c r="I284" s="575"/>
      <c r="J284" s="154"/>
      <c r="K284" s="204"/>
      <c r="L284" s="120"/>
      <c r="M284" s="45"/>
    </row>
    <row r="285" spans="1:13" ht="15" customHeight="1" thickBot="1" x14ac:dyDescent="0.3">
      <c r="A285" s="14"/>
      <c r="B285" s="37"/>
      <c r="C285" s="32"/>
      <c r="D285" s="222"/>
      <c r="E285" s="78"/>
      <c r="F285" s="62" t="s">
        <v>4</v>
      </c>
      <c r="G285" s="513">
        <f>+G259+G260+G261+G262+G263</f>
        <v>1144.9000000000001</v>
      </c>
      <c r="H285" s="540">
        <f>+H259+H260+H261+H262+H263</f>
        <v>310.39999999999998</v>
      </c>
      <c r="I285" s="514">
        <f>+I259+I260+I261+I262+I263</f>
        <v>255.1</v>
      </c>
      <c r="J285" s="228"/>
      <c r="K285" s="144"/>
      <c r="L285" s="152"/>
      <c r="M285" s="509"/>
    </row>
    <row r="286" spans="1:13" ht="15" customHeight="1" thickBot="1" x14ac:dyDescent="0.3">
      <c r="A286" s="17" t="s">
        <v>3</v>
      </c>
      <c r="B286" s="16" t="s">
        <v>23</v>
      </c>
      <c r="C286" s="782" t="s">
        <v>6</v>
      </c>
      <c r="D286" s="782"/>
      <c r="E286" s="782"/>
      <c r="F286" s="783"/>
      <c r="G286" s="167">
        <f>G285+G258</f>
        <v>3776.4</v>
      </c>
      <c r="H286" s="37">
        <f>H285+H258</f>
        <v>2617.1</v>
      </c>
      <c r="I286" s="166">
        <f>I285+I258</f>
        <v>2397</v>
      </c>
      <c r="J286" s="838"/>
      <c r="K286" s="790"/>
      <c r="L286" s="790"/>
      <c r="M286" s="791"/>
    </row>
    <row r="287" spans="1:13" ht="15" customHeight="1" thickBot="1" x14ac:dyDescent="0.3">
      <c r="A287" s="17" t="s">
        <v>3</v>
      </c>
      <c r="B287" s="810" t="s">
        <v>7</v>
      </c>
      <c r="C287" s="811"/>
      <c r="D287" s="811"/>
      <c r="E287" s="811"/>
      <c r="F287" s="812"/>
      <c r="G287" s="15">
        <f>G286+G223+G179</f>
        <v>49201.5</v>
      </c>
      <c r="H287" s="148">
        <f>H286+H223+H179</f>
        <v>32626.3</v>
      </c>
      <c r="I287" s="146">
        <f>I286+I223+I179</f>
        <v>43241.7</v>
      </c>
      <c r="J287" s="835"/>
      <c r="K287" s="836"/>
      <c r="L287" s="836"/>
      <c r="M287" s="837"/>
    </row>
    <row r="288" spans="1:13" ht="15" customHeight="1" thickBot="1" x14ac:dyDescent="0.3">
      <c r="A288" s="19" t="s">
        <v>27</v>
      </c>
      <c r="B288" s="813" t="s">
        <v>38</v>
      </c>
      <c r="C288" s="814"/>
      <c r="D288" s="814"/>
      <c r="E288" s="814"/>
      <c r="F288" s="815"/>
      <c r="G288" s="19">
        <f t="shared" ref="G288:I288" si="25">SUM(G287)</f>
        <v>49201.5</v>
      </c>
      <c r="H288" s="149">
        <f t="shared" si="25"/>
        <v>32626.3</v>
      </c>
      <c r="I288" s="147">
        <f t="shared" si="25"/>
        <v>43241.7</v>
      </c>
      <c r="J288" s="832"/>
      <c r="K288" s="833"/>
      <c r="L288" s="833"/>
      <c r="M288" s="834"/>
    </row>
    <row r="289" spans="1:37" s="5" customFormat="1" ht="17.25" customHeight="1" x14ac:dyDescent="0.25">
      <c r="A289" s="868" t="s">
        <v>233</v>
      </c>
      <c r="B289" s="868"/>
      <c r="C289" s="868"/>
      <c r="D289" s="868"/>
      <c r="E289" s="868"/>
      <c r="F289" s="868"/>
      <c r="G289" s="868"/>
      <c r="H289" s="868"/>
      <c r="I289" s="868"/>
      <c r="J289" s="868"/>
      <c r="K289" s="1"/>
      <c r="L289" s="1"/>
      <c r="M289" s="1"/>
      <c r="N289" s="1"/>
      <c r="O289" s="484"/>
      <c r="P289" s="484"/>
      <c r="Q289" s="484"/>
      <c r="R289" s="484"/>
      <c r="S289" s="1"/>
      <c r="T289" s="1"/>
      <c r="U289" s="1"/>
      <c r="V289" s="1"/>
      <c r="W289" s="1"/>
      <c r="X289" s="1"/>
      <c r="Y289" s="1"/>
      <c r="Z289" s="1"/>
      <c r="AA289" s="1"/>
      <c r="AB289" s="1"/>
      <c r="AC289" s="1"/>
      <c r="AD289" s="1"/>
      <c r="AE289" s="1"/>
      <c r="AF289" s="1"/>
      <c r="AG289" s="1"/>
      <c r="AH289" s="1"/>
      <c r="AI289" s="1"/>
      <c r="AJ289" s="1"/>
      <c r="AK289" s="1"/>
    </row>
    <row r="290" spans="1:37" ht="15" customHeight="1" x14ac:dyDescent="0.25">
      <c r="A290" s="61"/>
      <c r="B290" s="61"/>
      <c r="C290" s="61"/>
      <c r="D290" s="61"/>
      <c r="E290" s="61"/>
      <c r="F290" s="61"/>
      <c r="G290" s="452"/>
      <c r="H290" s="452"/>
      <c r="I290" s="452"/>
      <c r="J290" s="20"/>
      <c r="K290" s="20"/>
      <c r="L290" s="20"/>
      <c r="M290" s="20"/>
    </row>
    <row r="291" spans="1:37" s="5" customFormat="1" ht="15" customHeight="1" thickBot="1" x14ac:dyDescent="0.3">
      <c r="A291" s="831" t="s">
        <v>10</v>
      </c>
      <c r="B291" s="831"/>
      <c r="C291" s="831"/>
      <c r="D291" s="831"/>
      <c r="E291" s="831"/>
      <c r="F291" s="831"/>
      <c r="G291" s="238"/>
      <c r="H291" s="238"/>
      <c r="I291" s="238"/>
      <c r="J291" s="20"/>
      <c r="K291" s="20"/>
      <c r="L291" s="20"/>
      <c r="M291" s="20"/>
      <c r="N291" s="1"/>
      <c r="O291" s="484"/>
      <c r="P291" s="484"/>
      <c r="Q291" s="484"/>
      <c r="R291" s="484"/>
      <c r="S291" s="1"/>
      <c r="T291" s="1"/>
      <c r="U291" s="1"/>
      <c r="V291" s="1"/>
      <c r="W291" s="1"/>
      <c r="X291" s="1"/>
      <c r="Y291" s="1"/>
      <c r="Z291" s="1"/>
      <c r="AA291" s="1"/>
      <c r="AB291" s="1"/>
      <c r="AC291" s="1"/>
      <c r="AD291" s="1"/>
    </row>
    <row r="292" spans="1:37" ht="94.5" customHeight="1" thickBot="1" x14ac:dyDescent="0.3">
      <c r="A292" s="825" t="s">
        <v>8</v>
      </c>
      <c r="B292" s="826"/>
      <c r="C292" s="826"/>
      <c r="D292" s="826"/>
      <c r="E292" s="826"/>
      <c r="F292" s="827"/>
      <c r="G292" s="168" t="s">
        <v>232</v>
      </c>
      <c r="H292" s="300" t="s">
        <v>113</v>
      </c>
      <c r="I292" s="169" t="s">
        <v>159</v>
      </c>
      <c r="J292" s="8"/>
      <c r="K292" s="8"/>
      <c r="L292" s="8"/>
      <c r="M292" s="8"/>
    </row>
    <row r="293" spans="1:37" ht="14.25" customHeight="1" x14ac:dyDescent="0.25">
      <c r="A293" s="828" t="s">
        <v>11</v>
      </c>
      <c r="B293" s="829"/>
      <c r="C293" s="829"/>
      <c r="D293" s="829"/>
      <c r="E293" s="829"/>
      <c r="F293" s="830"/>
      <c r="G293" s="309">
        <f>G294+G301+G304+G302+G303</f>
        <v>45935.6</v>
      </c>
      <c r="H293" s="700">
        <f t="shared" ref="H293:I293" si="26">H294+H301+H304+H302+H303</f>
        <v>28021.1</v>
      </c>
      <c r="I293" s="743">
        <f t="shared" si="26"/>
        <v>25616.7</v>
      </c>
      <c r="J293" s="699"/>
      <c r="K293" s="8"/>
      <c r="L293" s="8"/>
      <c r="M293" s="8"/>
    </row>
    <row r="294" spans="1:37" ht="16.5" customHeight="1" x14ac:dyDescent="0.25">
      <c r="A294" s="807" t="s">
        <v>46</v>
      </c>
      <c r="B294" s="808"/>
      <c r="C294" s="808"/>
      <c r="D294" s="808"/>
      <c r="E294" s="808"/>
      <c r="F294" s="809"/>
      <c r="G294" s="696">
        <f>SUM(G295:G300)</f>
        <v>31637.5</v>
      </c>
      <c r="H294" s="697">
        <f t="shared" ref="H294:I294" si="27">SUM(H295:H300)</f>
        <v>28021.1</v>
      </c>
      <c r="I294" s="698">
        <f t="shared" si="27"/>
        <v>25616.7</v>
      </c>
      <c r="J294" s="699"/>
      <c r="K294" s="8"/>
      <c r="L294" s="8"/>
      <c r="M294" s="8"/>
    </row>
    <row r="295" spans="1:37" ht="14.25" customHeight="1" x14ac:dyDescent="0.25">
      <c r="A295" s="762" t="s">
        <v>16</v>
      </c>
      <c r="B295" s="865"/>
      <c r="C295" s="865"/>
      <c r="D295" s="865"/>
      <c r="E295" s="865"/>
      <c r="F295" s="866"/>
      <c r="G295" s="299">
        <f>SUMIF(F16:F288,"SB",G16:G288)</f>
        <v>7857.2</v>
      </c>
      <c r="H295" s="54">
        <f>SUMIF(F16:F288,"SB",H16:H288)</f>
        <v>20329.599999999999</v>
      </c>
      <c r="I295" s="132">
        <f>SUMIF(F16:F288,"SB",I16:I288)</f>
        <v>18077.5</v>
      </c>
      <c r="J295" s="11"/>
      <c r="K295" s="8"/>
      <c r="L295" s="8"/>
      <c r="M295" s="8"/>
    </row>
    <row r="296" spans="1:37" ht="14.25" customHeight="1" x14ac:dyDescent="0.25">
      <c r="A296" s="862" t="s">
        <v>142</v>
      </c>
      <c r="B296" s="863"/>
      <c r="C296" s="863"/>
      <c r="D296" s="863"/>
      <c r="E296" s="863"/>
      <c r="F296" s="864"/>
      <c r="G296" s="299">
        <f>SUMIF(F16:F288,"SB(ŽP)",G16:G288)</f>
        <v>769.1</v>
      </c>
      <c r="H296" s="54">
        <f>SUMIF(F16:F288,"SB(ŽP)",H16:H288)</f>
        <v>277</v>
      </c>
      <c r="I296" s="132">
        <f>SUMIF(F16:F288,"SB(ŽP)",I16:I288)</f>
        <v>0</v>
      </c>
      <c r="J296" s="332"/>
      <c r="K296" s="335"/>
      <c r="L296" s="335"/>
      <c r="M296" s="8"/>
    </row>
    <row r="297" spans="1:37" ht="14.25" customHeight="1" x14ac:dyDescent="0.25">
      <c r="A297" s="798" t="s">
        <v>43</v>
      </c>
      <c r="B297" s="799"/>
      <c r="C297" s="799"/>
      <c r="D297" s="799"/>
      <c r="E297" s="799"/>
      <c r="F297" s="800"/>
      <c r="G297" s="299">
        <f>SUMIF(F16:F288,"SB(VR)",G16:G288)</f>
        <v>3202.5</v>
      </c>
      <c r="H297" s="54">
        <f>SUMIF(F16:F288,"SB(VR)",H16:H288)</f>
        <v>2009.7</v>
      </c>
      <c r="I297" s="132">
        <f>SUMIF(F16:F288,"SB(VR)",I16:I288)</f>
        <v>1289.3</v>
      </c>
      <c r="J297" s="333"/>
      <c r="K297" s="8"/>
      <c r="L297" s="8"/>
      <c r="M297" s="8"/>
    </row>
    <row r="298" spans="1:37" ht="27.75" customHeight="1" x14ac:dyDescent="0.25">
      <c r="A298" s="819" t="s">
        <v>146</v>
      </c>
      <c r="B298" s="820"/>
      <c r="C298" s="820"/>
      <c r="D298" s="820"/>
      <c r="E298" s="820"/>
      <c r="F298" s="821"/>
      <c r="G298" s="310">
        <f>SUMIF(F16:F288,"SB(ES)",G16:G288)</f>
        <v>8306.7000000000007</v>
      </c>
      <c r="H298" s="305">
        <f>SUMIF(F16:F288,"SB(ES)",H16:H288)</f>
        <v>0</v>
      </c>
      <c r="I298" s="301">
        <f>SUMIF(F16:F288,"SB(ES)",I16:I288)</f>
        <v>0</v>
      </c>
      <c r="J298" s="334"/>
      <c r="K298" s="8"/>
      <c r="L298" s="8"/>
      <c r="M298" s="8"/>
    </row>
    <row r="299" spans="1:37" ht="26.25" customHeight="1" x14ac:dyDescent="0.25">
      <c r="A299" s="862" t="s">
        <v>147</v>
      </c>
      <c r="B299" s="863"/>
      <c r="C299" s="863"/>
      <c r="D299" s="863"/>
      <c r="E299" s="863"/>
      <c r="F299" s="864"/>
      <c r="G299" s="310">
        <f>SUMIF(F16:F288,"SB(KPP)",G16:G288)</f>
        <v>5799.7</v>
      </c>
      <c r="H299" s="305">
        <f>SUMIF(F16:F288,"SB(KPP)",H16:H288)</f>
        <v>5404.8</v>
      </c>
      <c r="I299" s="301">
        <f>SUMIF(F16:F288,"SB(KPP)",I16:I288)</f>
        <v>6249.9</v>
      </c>
      <c r="J299" s="8"/>
      <c r="K299" s="8"/>
      <c r="L299" s="8"/>
      <c r="M299" s="8"/>
    </row>
    <row r="300" spans="1:37" ht="15.9" customHeight="1" x14ac:dyDescent="0.25">
      <c r="A300" s="862" t="s">
        <v>75</v>
      </c>
      <c r="B300" s="863"/>
      <c r="C300" s="863"/>
      <c r="D300" s="863"/>
      <c r="E300" s="863"/>
      <c r="F300" s="864"/>
      <c r="G300" s="310">
        <f>SUMIF(F16:F288,"SB(VB)",G16:G288)</f>
        <v>5702.3</v>
      </c>
      <c r="H300" s="305">
        <f>SUMIF(F16:F288,"SB(VB)",H16:H288)</f>
        <v>0</v>
      </c>
      <c r="I300" s="301">
        <f>SUMIF(F16:F288,"SB(VB)",I16:I288)</f>
        <v>0</v>
      </c>
      <c r="J300" s="8"/>
      <c r="K300" s="8"/>
      <c r="L300" s="8"/>
      <c r="M300" s="8"/>
    </row>
    <row r="301" spans="1:37" ht="14.25" customHeight="1" x14ac:dyDescent="0.25">
      <c r="A301" s="867" t="s">
        <v>48</v>
      </c>
      <c r="B301" s="857"/>
      <c r="C301" s="857"/>
      <c r="D301" s="857"/>
      <c r="E301" s="857"/>
      <c r="F301" s="858"/>
      <c r="G301" s="311">
        <f>SUMIF(F16:F288,"SB(VRL)",G16:G288)</f>
        <v>468.8</v>
      </c>
      <c r="H301" s="306">
        <f>SUMIF(F16:F288,"SB(VRL)",H16:H288)</f>
        <v>0</v>
      </c>
      <c r="I301" s="302">
        <f>SUMIF(F16:F288,"SB(VRL)",I16:I288)</f>
        <v>0</v>
      </c>
      <c r="J301" s="8"/>
      <c r="K301" s="8"/>
      <c r="L301" s="8"/>
      <c r="M301" s="8"/>
    </row>
    <row r="302" spans="1:37" ht="14.25" customHeight="1" x14ac:dyDescent="0.25">
      <c r="A302" s="867" t="s">
        <v>241</v>
      </c>
      <c r="B302" s="857"/>
      <c r="C302" s="857"/>
      <c r="D302" s="857"/>
      <c r="E302" s="857"/>
      <c r="F302" s="858"/>
      <c r="G302" s="311">
        <f>SUMIF(F16:F288,"SB(ESL)",G16:G288)</f>
        <v>58</v>
      </c>
      <c r="H302" s="306">
        <f>SUMIF(F16:F288,"SB(ESL)",H16:H288)</f>
        <v>0</v>
      </c>
      <c r="I302" s="302">
        <f>SUMIF(F16:F288,"SB(ESL)",I16:I288)</f>
        <v>0</v>
      </c>
      <c r="J302" s="8"/>
      <c r="K302" s="8"/>
      <c r="L302" s="8"/>
      <c r="M302" s="8"/>
    </row>
    <row r="303" spans="1:37" ht="14.25" customHeight="1" x14ac:dyDescent="0.25">
      <c r="A303" s="867" t="s">
        <v>246</v>
      </c>
      <c r="B303" s="857"/>
      <c r="C303" s="857"/>
      <c r="D303" s="857"/>
      <c r="E303" s="857"/>
      <c r="F303" s="858"/>
      <c r="G303" s="311">
        <f>SUMIF(F16:F288,"SB(ŽPL)",G16:G288)</f>
        <v>47.1</v>
      </c>
      <c r="H303" s="306">
        <f>SUMIF(F16:F288,"SB(ŽPL)",H16:H288)</f>
        <v>0</v>
      </c>
      <c r="I303" s="302">
        <f>SUMIF(F16:F288,"SB(ŽPL)",I16:I288)</f>
        <v>0</v>
      </c>
      <c r="J303" s="8"/>
      <c r="K303" s="8"/>
      <c r="L303" s="8"/>
      <c r="M303" s="8"/>
    </row>
    <row r="304" spans="1:37" ht="14.25" customHeight="1" x14ac:dyDescent="0.25">
      <c r="A304" s="859" t="s">
        <v>66</v>
      </c>
      <c r="B304" s="860"/>
      <c r="C304" s="860"/>
      <c r="D304" s="860"/>
      <c r="E304" s="860"/>
      <c r="F304" s="861"/>
      <c r="G304" s="311">
        <f>SUMIF(F16:F288,"SB(L)",G16:G288)</f>
        <v>13724.2</v>
      </c>
      <c r="H304" s="306">
        <f>SUMIF(F16:F288,"SB(L)",H16:H288)</f>
        <v>0</v>
      </c>
      <c r="I304" s="302">
        <f>SUMIF(F16:F288,"SB(L)",I16:I288)</f>
        <v>0</v>
      </c>
      <c r="J304" s="8"/>
      <c r="K304" s="8"/>
      <c r="L304" s="8"/>
      <c r="M304" s="8"/>
    </row>
    <row r="305" spans="1:18" ht="14.25" customHeight="1" x14ac:dyDescent="0.25">
      <c r="A305" s="816" t="s">
        <v>12</v>
      </c>
      <c r="B305" s="817"/>
      <c r="C305" s="817"/>
      <c r="D305" s="817"/>
      <c r="E305" s="817"/>
      <c r="F305" s="818"/>
      <c r="G305" s="312">
        <f>G307+G308+G309+G306</f>
        <v>3265.9</v>
      </c>
      <c r="H305" s="307">
        <f t="shared" ref="H305:I305" si="28">H307+H308+H309+H306</f>
        <v>4605.2</v>
      </c>
      <c r="I305" s="303">
        <f t="shared" si="28"/>
        <v>17625</v>
      </c>
      <c r="J305" s="8"/>
      <c r="K305" s="8"/>
      <c r="L305" s="8"/>
      <c r="M305" s="8"/>
    </row>
    <row r="306" spans="1:18" ht="14.25" customHeight="1" x14ac:dyDescent="0.25">
      <c r="A306" s="819" t="s">
        <v>17</v>
      </c>
      <c r="B306" s="820"/>
      <c r="C306" s="820"/>
      <c r="D306" s="820"/>
      <c r="E306" s="820"/>
      <c r="F306" s="821"/>
      <c r="G306" s="310">
        <f>SUMIF(F16:F288,"ES",G16:G288)</f>
        <v>1339.3</v>
      </c>
      <c r="H306" s="305">
        <f>SUMIF(F16:F288,"ES",H16:H288)</f>
        <v>0</v>
      </c>
      <c r="I306" s="301">
        <f>SUMIF(F16:F288,"ES",I16:I288)</f>
        <v>0</v>
      </c>
      <c r="J306" s="8"/>
      <c r="K306" s="8"/>
      <c r="L306" s="8"/>
      <c r="M306" s="8"/>
    </row>
    <row r="307" spans="1:18" ht="14.25" customHeight="1" x14ac:dyDescent="0.25">
      <c r="A307" s="822" t="s">
        <v>18</v>
      </c>
      <c r="B307" s="823"/>
      <c r="C307" s="823"/>
      <c r="D307" s="823"/>
      <c r="E307" s="823"/>
      <c r="F307" s="824"/>
      <c r="G307" s="310">
        <f>SUMIF(F16:F288,"KVJUD",G16:G288)</f>
        <v>1800</v>
      </c>
      <c r="H307" s="305">
        <f>SUMIF(F16:F288,"KVJUD",H16:H288)</f>
        <v>0</v>
      </c>
      <c r="I307" s="301">
        <f>SUMIF(F16:F288,"KVJUD",I16:I288)</f>
        <v>1500</v>
      </c>
      <c r="J307" s="11"/>
      <c r="K307" s="11"/>
      <c r="L307" s="11"/>
      <c r="M307" s="11"/>
    </row>
    <row r="308" spans="1:18" ht="14.25" customHeight="1" x14ac:dyDescent="0.25">
      <c r="A308" s="798" t="s">
        <v>19</v>
      </c>
      <c r="B308" s="799"/>
      <c r="C308" s="799"/>
      <c r="D308" s="799"/>
      <c r="E308" s="799"/>
      <c r="F308" s="800"/>
      <c r="G308" s="310">
        <f>SUMIF(F16:F288,"LRVB",G16:G288)</f>
        <v>0</v>
      </c>
      <c r="H308" s="305">
        <f>SUMIF(F16:F288,"LRVB",H16:H288)</f>
        <v>4521.8</v>
      </c>
      <c r="I308" s="301">
        <f>SUMIF(F16:F288,"LRVB",I16:I288)</f>
        <v>16125</v>
      </c>
      <c r="J308" s="11"/>
      <c r="K308" s="11"/>
      <c r="L308" s="11"/>
      <c r="M308" s="11"/>
    </row>
    <row r="309" spans="1:18" ht="14.25" customHeight="1" x14ac:dyDescent="0.25">
      <c r="A309" s="801" t="s">
        <v>20</v>
      </c>
      <c r="B309" s="802"/>
      <c r="C309" s="802"/>
      <c r="D309" s="802"/>
      <c r="E309" s="802"/>
      <c r="F309" s="803"/>
      <c r="G309" s="310">
        <f>SUMIF(F16:F288,"Kt",G16:G288)</f>
        <v>126.6</v>
      </c>
      <c r="H309" s="305">
        <f>SUMIF(F16:F288,"Kt",H16:H288)</f>
        <v>83.4</v>
      </c>
      <c r="I309" s="301">
        <f>SUMIF(F16:F288,"Kt",I16:I288)</f>
        <v>0</v>
      </c>
      <c r="J309" s="11"/>
      <c r="K309" s="11"/>
      <c r="L309" s="11"/>
      <c r="M309" s="11"/>
    </row>
    <row r="310" spans="1:18" ht="14.25" customHeight="1" thickBot="1" x14ac:dyDescent="0.3">
      <c r="A310" s="804" t="s">
        <v>13</v>
      </c>
      <c r="B310" s="805"/>
      <c r="C310" s="805"/>
      <c r="D310" s="805"/>
      <c r="E310" s="805"/>
      <c r="F310" s="806"/>
      <c r="G310" s="313">
        <f>SUM(G293,G305)</f>
        <v>49201.5</v>
      </c>
      <c r="H310" s="308">
        <f>SUM(H293,H305)</f>
        <v>32626.3</v>
      </c>
      <c r="I310" s="304">
        <f>SUM(I293,I305)</f>
        <v>43241.7</v>
      </c>
      <c r="J310" s="11"/>
      <c r="K310" s="11"/>
      <c r="L310" s="11"/>
      <c r="M310" s="11"/>
    </row>
    <row r="311" spans="1:18" x14ac:dyDescent="0.25">
      <c r="F311" s="507"/>
      <c r="G311" s="508"/>
      <c r="H311" s="508"/>
      <c r="I311" s="508"/>
      <c r="J311" s="4"/>
      <c r="K311" s="8"/>
      <c r="L311" s="8"/>
      <c r="M311" s="8"/>
    </row>
    <row r="313" spans="1:18" x14ac:dyDescent="0.25">
      <c r="G313" s="8"/>
      <c r="H313" s="8"/>
      <c r="I313" s="8"/>
      <c r="J313" s="332"/>
      <c r="K313" s="352"/>
      <c r="L313" s="352"/>
      <c r="M313" s="352"/>
    </row>
    <row r="314" spans="1:18" s="2" customFormat="1" x14ac:dyDescent="0.25">
      <c r="E314" s="50"/>
      <c r="F314" s="3"/>
      <c r="G314" s="350"/>
      <c r="H314" s="350"/>
      <c r="I314" s="350"/>
      <c r="J314" s="369"/>
      <c r="O314" s="598"/>
      <c r="P314" s="598"/>
      <c r="Q314" s="598"/>
      <c r="R314" s="598"/>
    </row>
    <row r="315" spans="1:18" x14ac:dyDescent="0.25">
      <c r="A315" s="1"/>
      <c r="B315" s="1"/>
      <c r="C315" s="1"/>
      <c r="G315" s="351"/>
      <c r="H315" s="351"/>
      <c r="I315" s="351"/>
      <c r="J315" s="370"/>
      <c r="K315" s="330"/>
      <c r="L315" s="330"/>
      <c r="M315" s="330"/>
    </row>
    <row r="317" spans="1:18" s="2" customFormat="1" x14ac:dyDescent="0.25">
      <c r="E317" s="50"/>
      <c r="F317" s="3"/>
      <c r="J317" s="8"/>
      <c r="O317" s="598"/>
      <c r="P317" s="598"/>
      <c r="Q317" s="598"/>
      <c r="R317" s="598"/>
    </row>
    <row r="320" spans="1:18" s="2" customFormat="1" x14ac:dyDescent="0.25">
      <c r="E320" s="50"/>
      <c r="F320" s="3"/>
      <c r="J320" s="8"/>
      <c r="O320" s="598"/>
      <c r="P320" s="598"/>
      <c r="Q320" s="598"/>
      <c r="R320" s="598"/>
    </row>
  </sheetData>
  <mergeCells count="168">
    <mergeCell ref="A300:F300"/>
    <mergeCell ref="A302:F302"/>
    <mergeCell ref="A306:F306"/>
    <mergeCell ref="A307:F307"/>
    <mergeCell ref="A308:F308"/>
    <mergeCell ref="A309:F309"/>
    <mergeCell ref="A293:F293"/>
    <mergeCell ref="A294:F294"/>
    <mergeCell ref="A310:F310"/>
    <mergeCell ref="A301:F301"/>
    <mergeCell ref="A304:F304"/>
    <mergeCell ref="A305:F305"/>
    <mergeCell ref="A295:F295"/>
    <mergeCell ref="A296:F296"/>
    <mergeCell ref="A297:F297"/>
    <mergeCell ref="A298:F298"/>
    <mergeCell ref="A299:F299"/>
    <mergeCell ref="A303:F303"/>
    <mergeCell ref="J288:M288"/>
    <mergeCell ref="D282:D284"/>
    <mergeCell ref="D274:D276"/>
    <mergeCell ref="D277:D281"/>
    <mergeCell ref="A269:A273"/>
    <mergeCell ref="B269:B273"/>
    <mergeCell ref="C269:C273"/>
    <mergeCell ref="D269:D273"/>
    <mergeCell ref="C286:F286"/>
    <mergeCell ref="J286:M286"/>
    <mergeCell ref="B287:F287"/>
    <mergeCell ref="J287:M287"/>
    <mergeCell ref="B288:F288"/>
    <mergeCell ref="A251:A254"/>
    <mergeCell ref="B251:B254"/>
    <mergeCell ref="C251:C254"/>
    <mergeCell ref="D251:D254"/>
    <mergeCell ref="A289:J289"/>
    <mergeCell ref="J269:J271"/>
    <mergeCell ref="A291:F291"/>
    <mergeCell ref="A292:F292"/>
    <mergeCell ref="J133:J134"/>
    <mergeCell ref="D231:D232"/>
    <mergeCell ref="D265:D266"/>
    <mergeCell ref="D267:D268"/>
    <mergeCell ref="J267:J268"/>
    <mergeCell ref="F253:F254"/>
    <mergeCell ref="J253:J254"/>
    <mergeCell ref="D256:D257"/>
    <mergeCell ref="J240:J241"/>
    <mergeCell ref="J242:J243"/>
    <mergeCell ref="D245:D246"/>
    <mergeCell ref="J245:J246"/>
    <mergeCell ref="D247:D248"/>
    <mergeCell ref="C224:J224"/>
    <mergeCell ref="D192:D193"/>
    <mergeCell ref="D195:D196"/>
    <mergeCell ref="C223:F223"/>
    <mergeCell ref="J223:M223"/>
    <mergeCell ref="J231:J232"/>
    <mergeCell ref="D225:D226"/>
    <mergeCell ref="K269:K271"/>
    <mergeCell ref="L269:L271"/>
    <mergeCell ref="M270:M271"/>
    <mergeCell ref="D213:D217"/>
    <mergeCell ref="D218:D221"/>
    <mergeCell ref="K224:M224"/>
    <mergeCell ref="J233:J234"/>
    <mergeCell ref="D249:D250"/>
    <mergeCell ref="D204:D205"/>
    <mergeCell ref="D207:D208"/>
    <mergeCell ref="D209:D212"/>
    <mergeCell ref="A199:A200"/>
    <mergeCell ref="B199:B200"/>
    <mergeCell ref="C199:C200"/>
    <mergeCell ref="D199:D200"/>
    <mergeCell ref="E199:E203"/>
    <mergeCell ref="E197:E198"/>
    <mergeCell ref="J197:J198"/>
    <mergeCell ref="K197:K198"/>
    <mergeCell ref="L197:L198"/>
    <mergeCell ref="A197:A198"/>
    <mergeCell ref="B197:B198"/>
    <mergeCell ref="C197:C198"/>
    <mergeCell ref="D197:D198"/>
    <mergeCell ref="J169:J172"/>
    <mergeCell ref="D173:D175"/>
    <mergeCell ref="J195:J196"/>
    <mergeCell ref="C180:M180"/>
    <mergeCell ref="D186:D190"/>
    <mergeCell ref="M197:M198"/>
    <mergeCell ref="C179:F179"/>
    <mergeCell ref="J179:M179"/>
    <mergeCell ref="D166:D168"/>
    <mergeCell ref="A169:A172"/>
    <mergeCell ref="B169:B172"/>
    <mergeCell ref="D169:D172"/>
    <mergeCell ref="D160:D162"/>
    <mergeCell ref="D163:D165"/>
    <mergeCell ref="D146:D148"/>
    <mergeCell ref="D149:D151"/>
    <mergeCell ref="D152:D153"/>
    <mergeCell ref="D154:D156"/>
    <mergeCell ref="D135:D136"/>
    <mergeCell ref="D139:D141"/>
    <mergeCell ref="D142:D144"/>
    <mergeCell ref="D128:D129"/>
    <mergeCell ref="D130:D132"/>
    <mergeCell ref="D133:D134"/>
    <mergeCell ref="D117:D118"/>
    <mergeCell ref="D119:D121"/>
    <mergeCell ref="D122:D124"/>
    <mergeCell ref="J105:J106"/>
    <mergeCell ref="K105:K106"/>
    <mergeCell ref="L105:L106"/>
    <mergeCell ref="D112:D113"/>
    <mergeCell ref="J112:J113"/>
    <mergeCell ref="D114:D116"/>
    <mergeCell ref="A13:J13"/>
    <mergeCell ref="B14:J14"/>
    <mergeCell ref="C15:J15"/>
    <mergeCell ref="D30:D35"/>
    <mergeCell ref="D39:D43"/>
    <mergeCell ref="C44:C55"/>
    <mergeCell ref="D44:D49"/>
    <mergeCell ref="D50:D55"/>
    <mergeCell ref="J65:J67"/>
    <mergeCell ref="D36:D38"/>
    <mergeCell ref="A12:J12"/>
    <mergeCell ref="D96:D100"/>
    <mergeCell ref="A102:A106"/>
    <mergeCell ref="B102:B106"/>
    <mergeCell ref="C102:C106"/>
    <mergeCell ref="D102:D106"/>
    <mergeCell ref="J102:J103"/>
    <mergeCell ref="D85:D87"/>
    <mergeCell ref="J85:J87"/>
    <mergeCell ref="D69:D70"/>
    <mergeCell ref="D75:D78"/>
    <mergeCell ref="D79:D81"/>
    <mergeCell ref="D82:D84"/>
    <mergeCell ref="J82:J84"/>
    <mergeCell ref="J96:J97"/>
    <mergeCell ref="J98:J99"/>
    <mergeCell ref="J31:J35"/>
    <mergeCell ref="J50:J55"/>
    <mergeCell ref="A56:A60"/>
    <mergeCell ref="B56:B60"/>
    <mergeCell ref="C56:C60"/>
    <mergeCell ref="D56:D58"/>
    <mergeCell ref="D61:D64"/>
    <mergeCell ref="D65:D68"/>
    <mergeCell ref="J1:M1"/>
    <mergeCell ref="A4:P4"/>
    <mergeCell ref="A5:P5"/>
    <mergeCell ref="A6:P6"/>
    <mergeCell ref="J8:M8"/>
    <mergeCell ref="A9:A11"/>
    <mergeCell ref="B9:B11"/>
    <mergeCell ref="C9:C11"/>
    <mergeCell ref="D9:D11"/>
    <mergeCell ref="J2:M2"/>
    <mergeCell ref="I9:I11"/>
    <mergeCell ref="J9:M9"/>
    <mergeCell ref="J10:J11"/>
    <mergeCell ref="K10:M10"/>
    <mergeCell ref="E9:E11"/>
    <mergeCell ref="F9:F11"/>
    <mergeCell ref="G9:G11"/>
    <mergeCell ref="H9:H11"/>
  </mergeCells>
  <printOptions horizontalCentered="1"/>
  <pageMargins left="0.78740157480314965" right="0.39370078740157483" top="0.39370078740157483" bottom="0.39370078740157483" header="0" footer="0"/>
  <pageSetup paperSize="9" scale="60" fitToHeight="0" orientation="portrait" r:id="rId1"/>
  <headerFooter alignWithMargins="0"/>
  <rowBreaks count="4" manualBreakCount="4">
    <brk id="74" max="12" man="1"/>
    <brk id="144" max="12" man="1"/>
    <brk id="206" max="12" man="1"/>
    <brk id="276"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6 programa</vt:lpstr>
      <vt:lpstr>'6 programa'!Print_Area</vt:lpstr>
      <vt:lpstr>'6 programa'!Print_Titles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Inga Mikalauskienė</cp:lastModifiedBy>
  <cp:lastPrinted>2023-10-26T05:53:52Z</cp:lastPrinted>
  <dcterms:created xsi:type="dcterms:W3CDTF">2007-07-27T10:32:34Z</dcterms:created>
  <dcterms:modified xsi:type="dcterms:W3CDTF">2023-10-26T05:53:59Z</dcterms:modified>
</cp:coreProperties>
</file>