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3-2025 SVP keitimas\2023-2025 SVP keitimas (spalis)\Sprendimas\"/>
    </mc:Choice>
  </mc:AlternateContent>
  <xr:revisionPtr revIDLastSave="0" documentId="13_ncr:1_{B310D2A7-60D4-4E38-84EF-523D4D165443}" xr6:coauthVersionLast="47" xr6:coauthVersionMax="47" xr10:uidLastSave="{00000000-0000-0000-0000-000000000000}"/>
  <bookViews>
    <workbookView xWindow="28680" yWindow="-120" windowWidth="38640" windowHeight="21120" xr2:uid="{00000000-000D-0000-FFFF-FFFF00000000}"/>
  </bookViews>
  <sheets>
    <sheet name="7 programa " sheetId="26" r:id="rId1"/>
  </sheets>
  <definedNames>
    <definedName name="_xlnm.Print_Area" localSheetId="0">'7 programa '!$A$1:$M$271</definedName>
    <definedName name="_xlnm.Print_Titles" localSheetId="0">'7 programa '!$9:$11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0" i="26" l="1"/>
  <c r="G244" i="26"/>
  <c r="G186" i="26"/>
  <c r="H181" i="26"/>
  <c r="G181" i="26"/>
  <c r="I158" i="26"/>
  <c r="H158" i="26"/>
  <c r="G158" i="26"/>
  <c r="G178" i="26" s="1"/>
  <c r="H144" i="26"/>
  <c r="G144" i="26"/>
  <c r="G21" i="26" l="1"/>
  <c r="I16" i="26"/>
  <c r="H16" i="26"/>
  <c r="G16" i="26"/>
  <c r="I181" i="26" l="1"/>
  <c r="I222" i="26" s="1"/>
  <c r="H222" i="26"/>
  <c r="G182" i="26"/>
  <c r="G222" i="26" s="1"/>
  <c r="H227" i="26" l="1"/>
  <c r="H244" i="26" s="1"/>
  <c r="I264" i="26" l="1"/>
  <c r="H264" i="26"/>
  <c r="G264" i="26"/>
  <c r="I263" i="26"/>
  <c r="H263" i="26"/>
  <c r="I262" i="26"/>
  <c r="H262" i="26"/>
  <c r="G262" i="26"/>
  <c r="I261" i="26"/>
  <c r="H261" i="26"/>
  <c r="G261" i="26"/>
  <c r="I265" i="26"/>
  <c r="K152" i="26"/>
  <c r="H143" i="26"/>
  <c r="I143" i="26"/>
  <c r="G22" i="26"/>
  <c r="G263" i="26" l="1"/>
  <c r="G143" i="26"/>
  <c r="R158" i="26"/>
  <c r="G155" i="26" l="1"/>
  <c r="I268" i="26"/>
  <c r="I267" i="26"/>
  <c r="I260" i="26"/>
  <c r="I259" i="26"/>
  <c r="I258" i="26"/>
  <c r="I257" i="26"/>
  <c r="I256" i="26"/>
  <c r="I255" i="26"/>
  <c r="I253" i="26"/>
  <c r="H268" i="26"/>
  <c r="H267" i="26"/>
  <c r="H265" i="26"/>
  <c r="H260" i="26"/>
  <c r="H259" i="26"/>
  <c r="H258" i="26"/>
  <c r="H257" i="26"/>
  <c r="H256" i="26"/>
  <c r="H255" i="26"/>
  <c r="H254" i="26"/>
  <c r="G256" i="26"/>
  <c r="G268" i="26"/>
  <c r="G267" i="26"/>
  <c r="G265" i="26"/>
  <c r="G260" i="26"/>
  <c r="G259" i="26"/>
  <c r="G258" i="26"/>
  <c r="G257" i="26"/>
  <c r="G255" i="26"/>
  <c r="G254" i="26"/>
  <c r="I244" i="26"/>
  <c r="Q230" i="26"/>
  <c r="R230" i="26"/>
  <c r="Q228" i="26"/>
  <c r="R228" i="26"/>
  <c r="P228" i="26"/>
  <c r="Q227" i="26"/>
  <c r="R227" i="26"/>
  <c r="P227" i="26"/>
  <c r="Q190" i="26"/>
  <c r="R190" i="26"/>
  <c r="P190" i="26"/>
  <c r="Q186" i="26"/>
  <c r="R186" i="26"/>
  <c r="Q185" i="26"/>
  <c r="R185" i="26"/>
  <c r="P185" i="26"/>
  <c r="R184" i="26"/>
  <c r="Q184" i="26"/>
  <c r="P184" i="26"/>
  <c r="Q182" i="26"/>
  <c r="R182" i="26"/>
  <c r="P182" i="26"/>
  <c r="R181" i="26"/>
  <c r="H178" i="26"/>
  <c r="H179" i="26" s="1"/>
  <c r="I178" i="26"/>
  <c r="I179" i="26" s="1"/>
  <c r="G179" i="26"/>
  <c r="Q159" i="26"/>
  <c r="R159" i="26"/>
  <c r="R161" i="26" s="1"/>
  <c r="H155" i="26"/>
  <c r="H156" i="26" s="1"/>
  <c r="I155" i="26"/>
  <c r="I156" i="26" s="1"/>
  <c r="Q145" i="26"/>
  <c r="R145" i="26"/>
  <c r="P145" i="26"/>
  <c r="Q26" i="26"/>
  <c r="P26" i="26"/>
  <c r="Q21" i="26"/>
  <c r="R21" i="26"/>
  <c r="Q20" i="26"/>
  <c r="R20" i="26"/>
  <c r="P20" i="26"/>
  <c r="Q19" i="26"/>
  <c r="R19" i="26"/>
  <c r="P19" i="26"/>
  <c r="Q18" i="26"/>
  <c r="R18" i="26"/>
  <c r="P18" i="26"/>
  <c r="Q17" i="26"/>
  <c r="R17" i="26"/>
  <c r="P17" i="26"/>
  <c r="I254" i="26"/>
  <c r="G49" i="26"/>
  <c r="H77" i="26"/>
  <c r="H223" i="26"/>
  <c r="H253" i="26" s="1"/>
  <c r="L150" i="26"/>
  <c r="M150" i="26" s="1"/>
  <c r="H28" i="26"/>
  <c r="G223" i="26"/>
  <c r="G253" i="26" s="1"/>
  <c r="G216" i="26"/>
  <c r="G213" i="26"/>
  <c r="H194" i="26"/>
  <c r="Q181" i="26" s="1"/>
  <c r="G192" i="26"/>
  <c r="P186" i="26" s="1"/>
  <c r="I148" i="26"/>
  <c r="H148" i="26"/>
  <c r="G148" i="26"/>
  <c r="I146" i="26"/>
  <c r="H146" i="26"/>
  <c r="G146" i="26"/>
  <c r="G133" i="26"/>
  <c r="G131" i="26"/>
  <c r="I129" i="26"/>
  <c r="H129" i="26"/>
  <c r="G129" i="26"/>
  <c r="H110" i="26"/>
  <c r="G110" i="26"/>
  <c r="G77" i="26"/>
  <c r="I58" i="26"/>
  <c r="H58" i="26"/>
  <c r="G58" i="26"/>
  <c r="G27" i="26"/>
  <c r="I56" i="26"/>
  <c r="R26" i="26" s="1"/>
  <c r="I55" i="26"/>
  <c r="G232" i="26"/>
  <c r="P230" i="26" s="1"/>
  <c r="H86" i="26"/>
  <c r="G86" i="26"/>
  <c r="G164" i="26"/>
  <c r="G165" i="26"/>
  <c r="P159" i="26" s="1"/>
  <c r="H164" i="26"/>
  <c r="Q158" i="26" s="1"/>
  <c r="I114" i="26"/>
  <c r="H114" i="26"/>
  <c r="G114" i="26"/>
  <c r="G76" i="26"/>
  <c r="G64" i="26"/>
  <c r="I28" i="26"/>
  <c r="G105" i="26"/>
  <c r="H105" i="26" s="1"/>
  <c r="I105" i="26" s="1"/>
  <c r="I90" i="26"/>
  <c r="H90" i="26"/>
  <c r="G90" i="26"/>
  <c r="G98" i="26"/>
  <c r="I224" i="26"/>
  <c r="I225" i="26" s="1"/>
  <c r="G100" i="26"/>
  <c r="G156" i="26"/>
  <c r="I266" i="26" l="1"/>
  <c r="R191" i="26"/>
  <c r="R192" i="26" s="1"/>
  <c r="G266" i="26"/>
  <c r="P231" i="26"/>
  <c r="P232" i="26" s="1"/>
  <c r="Q144" i="26"/>
  <c r="Q146" i="26" s="1"/>
  <c r="Q147" i="26" s="1"/>
  <c r="P16" i="26"/>
  <c r="P144" i="26"/>
  <c r="P146" i="26" s="1"/>
  <c r="P147" i="26" s="1"/>
  <c r="H224" i="26"/>
  <c r="H225" i="26" s="1"/>
  <c r="H245" i="26" s="1"/>
  <c r="H246" i="26" s="1"/>
  <c r="R144" i="26"/>
  <c r="R146" i="26" s="1"/>
  <c r="R147" i="26" s="1"/>
  <c r="Q161" i="26"/>
  <c r="Q191" i="26"/>
  <c r="Q192" i="26" s="1"/>
  <c r="P181" i="26"/>
  <c r="P191" i="26" s="1"/>
  <c r="P192" i="26" s="1"/>
  <c r="H266" i="26"/>
  <c r="P158" i="26"/>
  <c r="P161" i="26" s="1"/>
  <c r="Q231" i="26"/>
  <c r="Q232" i="26" s="1"/>
  <c r="R231" i="26"/>
  <c r="R232" i="26" s="1"/>
  <c r="I245" i="26"/>
  <c r="I246" i="26" s="1"/>
  <c r="R16" i="26"/>
  <c r="R27" i="26" s="1"/>
  <c r="R28" i="26" s="1"/>
  <c r="Q16" i="26"/>
  <c r="Q27" i="26" s="1"/>
  <c r="Q28" i="26" s="1"/>
  <c r="P21" i="26"/>
  <c r="H252" i="26"/>
  <c r="G252" i="26"/>
  <c r="I252" i="26"/>
  <c r="G224" i="26"/>
  <c r="G225" i="26" s="1"/>
  <c r="G245" i="26" l="1"/>
  <c r="G246" i="26" s="1"/>
  <c r="P27" i="26"/>
  <c r="P28" i="26" s="1"/>
  <c r="G251" i="26"/>
  <c r="G269" i="26" s="1"/>
  <c r="I251" i="26"/>
  <c r="I269" i="26" s="1"/>
  <c r="H251" i="26"/>
  <c r="H269"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Rima Alisauskaite</author>
    <author>Inga Mikalauskienė</author>
    <author>Audra Cepiene</author>
    <author>Indrė Butenienė</author>
    <author>Saulina Paulauskiene</author>
    <author>Saulina Paulauskienė</author>
  </authors>
  <commentList>
    <comment ref="E27" authorId="0" shapeId="0" xr:uid="{00000000-0006-0000-0100-000001000000}">
      <text>
        <r>
          <rPr>
            <sz val="9"/>
            <color indexed="81"/>
            <rFont val="Tahoma"/>
            <family val="2"/>
            <charset val="186"/>
          </rPr>
          <t>P-3.1.1.4.</t>
        </r>
      </text>
    </comment>
    <comment ref="J27" authorId="1" shapeId="0" xr:uid="{00000000-0006-0000-0100-000002000000}">
      <text>
        <r>
          <rPr>
            <b/>
            <sz val="9"/>
            <color indexed="81"/>
            <rFont val="Tahoma"/>
            <family val="2"/>
            <charset val="186"/>
          </rPr>
          <t xml:space="preserve">I etapas. </t>
        </r>
        <r>
          <rPr>
            <sz val="9"/>
            <color indexed="81"/>
            <rFont val="Tahoma"/>
            <family val="2"/>
            <charset val="186"/>
          </rPr>
          <t xml:space="preserve">TP parengimo sutartis pasirašyta 2021-07-27. Paslaugos, įskaitant statybą leidžiančio dokumento gavimą, turi būti suteiktos per 12 mėn. Projektavmas vyksta pagal grafiką. Pritarta projektiniams pasiūlymams.
</t>
        </r>
      </text>
    </comment>
    <comment ref="E28" authorId="2" shapeId="0" xr:uid="{00000000-0006-0000-0100-00000300000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J29" authorId="1" shapeId="0" xr:uid="{00000000-0006-0000-0100-000004000000}">
      <text>
        <r>
          <rPr>
            <sz val="9"/>
            <color indexed="81"/>
            <rFont val="Tahoma"/>
            <family val="2"/>
            <charset val="186"/>
          </rPr>
          <t xml:space="preserve">II etapas
</t>
        </r>
      </text>
    </comment>
    <comment ref="E30" authorId="3" shapeId="0" xr:uid="{00000000-0006-0000-0100-000005000000}">
      <text>
        <r>
          <rPr>
            <sz val="9"/>
            <color indexed="81"/>
            <rFont val="Tahoma"/>
            <family val="2"/>
            <charset val="186"/>
          </rPr>
          <t>Klaipėdos miesto ekonominės plėtros strategija ir įgyvendinimo veiksmų planas iki 2030 metų (P6)</t>
        </r>
        <r>
          <rPr>
            <b/>
            <sz val="9"/>
            <color indexed="81"/>
            <rFont val="Tahoma"/>
            <family val="2"/>
            <charset val="186"/>
          </rPr>
          <t xml:space="preserve">
P6 3.1.13.</t>
        </r>
        <r>
          <rPr>
            <sz val="9"/>
            <color indexed="81"/>
            <rFont val="Tahoma"/>
            <family val="2"/>
            <charset val="186"/>
          </rPr>
          <t xml:space="preserve"> Vystyti viešųjų erdvių gerinimo programas ir lokalius urbanistinės struktūros atgaivinimo projektus  </t>
        </r>
      </text>
    </comment>
    <comment ref="E32" authorId="2" shapeId="0" xr:uid="{00000000-0006-0000-0100-000006000000}">
      <text>
        <r>
          <rPr>
            <sz val="9"/>
            <color indexed="81"/>
            <rFont val="Tahoma"/>
            <family val="2"/>
            <charset val="186"/>
          </rPr>
          <t xml:space="preserve">P-3.2.2.3.
</t>
        </r>
      </text>
    </comment>
    <comment ref="E33" authorId="2" shapeId="0" xr:uid="{00000000-0006-0000-0100-000007000000}">
      <text>
        <r>
          <rPr>
            <b/>
            <sz val="9"/>
            <color indexed="81"/>
            <rFont val="Tahoma"/>
            <family val="2"/>
            <charset val="186"/>
          </rPr>
          <t>P1,</t>
        </r>
        <r>
          <rPr>
            <sz val="9"/>
            <color indexed="81"/>
            <rFont val="Tahoma"/>
            <family val="2"/>
            <charset val="186"/>
          </rPr>
          <t xml:space="preserve"> </t>
        </r>
        <r>
          <rPr>
            <b/>
            <sz val="9"/>
            <color indexed="81"/>
            <rFont val="Tahoma"/>
            <family val="2"/>
            <charset val="186"/>
          </rPr>
          <t>4.1.5.</t>
        </r>
        <r>
          <rPr>
            <sz val="9"/>
            <color indexed="81"/>
            <rFont val="Tahoma"/>
            <family val="2"/>
            <charset val="186"/>
          </rPr>
          <t xml:space="preserve"> Sutvarkyta turgaus aikštė
</t>
        </r>
        <r>
          <rPr>
            <b/>
            <sz val="9"/>
            <color indexed="81"/>
            <rFont val="Tahoma"/>
            <family val="2"/>
            <charset val="186"/>
          </rPr>
          <t xml:space="preserve">
</t>
        </r>
      </text>
    </comment>
    <comment ref="E34" authorId="2" shapeId="0" xr:uid="{00000000-0006-0000-0100-000008000000}">
      <text>
        <r>
          <rPr>
            <b/>
            <sz val="9"/>
            <color indexed="81"/>
            <rFont val="Tahoma"/>
            <family val="2"/>
            <charset val="186"/>
          </rPr>
          <t>KEPS  3.1.11.</t>
        </r>
        <r>
          <rPr>
            <sz val="9"/>
            <color indexed="81"/>
            <rFont val="Tahoma"/>
            <family val="2"/>
            <charset val="186"/>
          </rPr>
          <t xml:space="preserve"> Išvystyti senąją turgavietę</t>
        </r>
      </text>
    </comment>
    <comment ref="E37" authorId="0" shapeId="0" xr:uid="{00000000-0006-0000-0100-000009000000}">
      <text>
        <r>
          <rPr>
            <sz val="9"/>
            <color indexed="81"/>
            <rFont val="Tahoma"/>
            <family val="2"/>
            <charset val="186"/>
          </rPr>
          <t>P-3.2.2.5.</t>
        </r>
      </text>
    </comment>
    <comment ref="E40" authorId="2" shapeId="0" xr:uid="{00000000-0006-0000-0100-00000A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E41" authorId="4" shapeId="0" xr:uid="{00000000-0006-0000-0100-00000B000000}">
      <text>
        <r>
          <rPr>
            <sz val="9"/>
            <color indexed="81"/>
            <rFont val="Tahoma"/>
            <family val="2"/>
            <charset val="186"/>
          </rPr>
          <t>P-3.2.2.; 3.2.2.5.</t>
        </r>
      </text>
    </comment>
    <comment ref="E43" authorId="2" shapeId="0" xr:uid="{00000000-0006-0000-0100-00000C00000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E45" authorId="2" shapeId="0" xr:uid="{00000000-0006-0000-0100-00000D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J45" authorId="1" shapeId="0" xr:uid="{00000000-0006-0000-0100-00000E000000}">
      <text>
        <r>
          <rPr>
            <sz val="9"/>
            <color indexed="81"/>
            <rFont val="Tahoma"/>
            <family val="2"/>
            <charset val="186"/>
          </rPr>
          <t xml:space="preserve">11 215 m²
I, II, IV etapai
</t>
        </r>
      </text>
    </comment>
    <comment ref="E46" authorId="4" shapeId="0" xr:uid="{00000000-0006-0000-0100-00000F000000}">
      <text>
        <r>
          <rPr>
            <sz val="9"/>
            <color indexed="81"/>
            <rFont val="Tahoma"/>
            <family val="2"/>
            <charset val="186"/>
          </rPr>
          <t>P-3.2.2.; 3.2.2.5.</t>
        </r>
      </text>
    </comment>
    <comment ref="J49" authorId="1" shapeId="0" xr:uid="{00000000-0006-0000-0100-000010000000}">
      <text>
        <r>
          <rPr>
            <sz val="9"/>
            <color indexed="81"/>
            <rFont val="Tahoma"/>
            <family val="2"/>
            <charset val="186"/>
          </rPr>
          <t xml:space="preserve">11 215 m²
I, II, IV etapai
</t>
        </r>
      </text>
    </comment>
    <comment ref="E50" authorId="4" shapeId="0" xr:uid="{00000000-0006-0000-0100-000011000000}">
      <text>
        <r>
          <rPr>
            <sz val="9"/>
            <color indexed="81"/>
            <rFont val="Tahoma"/>
            <family val="2"/>
            <charset val="186"/>
          </rPr>
          <t>P-3.2.2.; 3.2.2.5.</t>
        </r>
      </text>
    </comment>
    <comment ref="E52" authorId="2" shapeId="0" xr:uid="{00000000-0006-0000-0100-000012000000}">
      <text>
        <r>
          <rPr>
            <b/>
            <sz val="9"/>
            <color indexed="81"/>
            <rFont val="Tahoma"/>
            <family val="2"/>
            <charset val="186"/>
          </rPr>
          <t>2.4.1.1.</t>
        </r>
        <r>
          <rPr>
            <sz val="9"/>
            <color indexed="81"/>
            <rFont val="Tahoma"/>
            <family val="2"/>
            <charset val="186"/>
          </rPr>
          <t xml:space="preserve">
Centrinės miesto dalies zonose prie vandens (jūros, marių, Danės upės) teikti pirmenybę daugiafunkcės paskirties teritorijų vystymui</t>
        </r>
      </text>
    </comment>
    <comment ref="E53" authorId="1" shapeId="0" xr:uid="{00000000-0006-0000-0100-000013000000}">
      <text>
        <r>
          <rPr>
            <sz val="9"/>
            <color indexed="81"/>
            <rFont val="Tahoma"/>
            <family val="2"/>
            <charset val="186"/>
          </rPr>
          <t xml:space="preserve">P-3.2.1.2.
</t>
        </r>
      </text>
    </comment>
    <comment ref="J54" authorId="1" shapeId="0" xr:uid="{00000000-0006-0000-0100-000014000000}">
      <text>
        <r>
          <rPr>
            <sz val="9"/>
            <color indexed="81"/>
            <rFont val="Tahoma"/>
            <family val="2"/>
            <charset val="186"/>
          </rPr>
          <t xml:space="preserve">2024 m. - 2025 m. viešosios infrastruktūros TP rengimas
</t>
        </r>
      </text>
    </comment>
    <comment ref="E56" authorId="1" shapeId="0" xr:uid="{00000000-0006-0000-0100-000015000000}">
      <text>
        <r>
          <rPr>
            <sz val="9"/>
            <color indexed="81"/>
            <rFont val="Tahoma"/>
            <family val="2"/>
            <charset val="186"/>
          </rPr>
          <t xml:space="preserve">P-3.2.1.2.
</t>
        </r>
      </text>
    </comment>
    <comment ref="J62" authorId="1" shapeId="0" xr:uid="{00000000-0006-0000-0100-000016000000}">
      <text>
        <r>
          <rPr>
            <sz val="9"/>
            <color indexed="81"/>
            <rFont val="Tahoma"/>
            <family val="2"/>
            <charset val="186"/>
          </rPr>
          <t xml:space="preserve">Debreceno aikštės fontano rekonstrukcija </t>
        </r>
      </text>
    </comment>
    <comment ref="J63" authorId="1" shapeId="0" xr:uid="{00000000-0006-0000-0100-000017000000}">
      <text>
        <r>
          <rPr>
            <sz val="9"/>
            <color indexed="81"/>
            <rFont val="Tahoma"/>
            <family val="2"/>
            <charset val="186"/>
          </rPr>
          <t xml:space="preserve">Debreceno aikštės fontano rekonstrukcija </t>
        </r>
      </text>
    </comment>
    <comment ref="E73" authorId="4" shapeId="0" xr:uid="{00000000-0006-0000-0100-000018000000}">
      <text>
        <r>
          <rPr>
            <sz val="9"/>
            <color indexed="81"/>
            <rFont val="Tahoma"/>
            <family val="2"/>
            <charset val="186"/>
          </rPr>
          <t>P-2.4.3.5.</t>
        </r>
      </text>
    </comment>
    <comment ref="E77" authorId="3" shapeId="0" xr:uid="{00000000-0006-0000-0100-000019000000}">
      <text>
        <r>
          <rPr>
            <b/>
            <sz val="9"/>
            <color indexed="81"/>
            <rFont val="Tahoma"/>
            <family val="2"/>
            <charset val="186"/>
          </rPr>
          <t>KEPS2030  4.5.1.</t>
        </r>
        <r>
          <rPr>
            <sz val="9"/>
            <color indexed="81"/>
            <rFont val="Tahoma"/>
            <family val="2"/>
            <charset val="186"/>
          </rPr>
          <t xml:space="preserve"> Išvalyti Danės upę, pastatyti ir išplėtoti mažus uostelius.</t>
        </r>
      </text>
    </comment>
    <comment ref="E78" authorId="2" shapeId="0" xr:uid="{00000000-0006-0000-0100-00001A000000}">
      <text>
        <r>
          <rPr>
            <sz val="9"/>
            <color indexed="81"/>
            <rFont val="Tahoma"/>
            <family val="2"/>
            <charset val="186"/>
          </rPr>
          <t>P-1.2.3.1</t>
        </r>
      </text>
    </comment>
    <comment ref="E81" authorId="1" shapeId="0" xr:uid="{00000000-0006-0000-0100-00001B000000}">
      <text>
        <r>
          <rPr>
            <b/>
            <sz val="9"/>
            <color indexed="81"/>
            <rFont val="Tahoma"/>
            <family val="2"/>
            <charset val="186"/>
          </rPr>
          <t>P1, 3.2.1.</t>
        </r>
        <r>
          <rPr>
            <sz val="9"/>
            <color indexed="81"/>
            <rFont val="Tahoma"/>
            <family val="2"/>
            <charset val="186"/>
          </rPr>
          <t xml:space="preserve"> Patvirtinta dalyvaujamojo biudžeto koncepcija ir metodika
</t>
        </r>
      </text>
    </comment>
    <comment ref="E82" authorId="1" shapeId="0" xr:uid="{00000000-0006-0000-0100-00001C000000}">
      <text>
        <r>
          <rPr>
            <sz val="9"/>
            <color indexed="81"/>
            <rFont val="Tahoma"/>
            <family val="2"/>
            <charset val="186"/>
          </rPr>
          <t>P-2.6.4.3.</t>
        </r>
      </text>
    </comment>
    <comment ref="K82" authorId="1" shapeId="0" xr:uid="{00000000-0006-0000-0100-00001D000000}">
      <text>
        <r>
          <rPr>
            <sz val="9"/>
            <color indexed="81"/>
            <rFont val="Tahoma"/>
            <family val="2"/>
            <charset val="186"/>
          </rPr>
          <t xml:space="preserve">1. Baltų simbolių takas Tauralaukyje; 
2. Daugiafunkcė ekstremalaus bėgimo (OCR) treniruočių aikštelė Klaipėdoje;
3. Vaikų žaidimo aikštelės Simonaitytės g. ir Klaipėdos g.  
</t>
        </r>
      </text>
    </comment>
    <comment ref="L82" authorId="1" shapeId="0" xr:uid="{00000000-0006-0000-0100-00001E000000}">
      <text>
        <r>
          <rPr>
            <sz val="9"/>
            <color indexed="81"/>
            <rFont val="Tahoma"/>
            <family val="2"/>
            <charset val="186"/>
          </rPr>
          <t>Mitologinės ir poilsinės žaidimų erdvės "Baltų saulės parkas" pagal gyventojų iniciatyvą įrengimas Tauralaukyjė</t>
        </r>
      </text>
    </comment>
    <comment ref="K84" authorId="1" shapeId="0" xr:uid="{00000000-0006-0000-0100-00001F000000}">
      <text>
        <r>
          <rPr>
            <sz val="9"/>
            <color indexed="81"/>
            <rFont val="Tahoma"/>
            <family val="2"/>
            <charset val="186"/>
          </rPr>
          <t>Vieša laisvalaikio erdvė dideliems ir mažiems</t>
        </r>
        <r>
          <rPr>
            <b/>
            <sz val="9"/>
            <color indexed="81"/>
            <rFont val="Tahoma"/>
            <family val="2"/>
            <charset val="186"/>
          </rPr>
          <t xml:space="preserve"> Smeltės mikrorajone</t>
        </r>
        <r>
          <rPr>
            <sz val="9"/>
            <color indexed="81"/>
            <rFont val="Tahoma"/>
            <family val="2"/>
            <charset val="186"/>
          </rPr>
          <t xml:space="preserve">
</t>
        </r>
      </text>
    </comment>
    <comment ref="K85" authorId="1" shapeId="0" xr:uid="{00000000-0006-0000-0100-000020000000}">
      <text>
        <r>
          <rPr>
            <sz val="9"/>
            <color indexed="81"/>
            <rFont val="Tahoma"/>
            <family val="2"/>
            <charset val="186"/>
          </rPr>
          <t>Mitologinės ir poilsinės žaidimų erdvės "Baltų saulės parkas" Tauralaukyje</t>
        </r>
      </text>
    </comment>
    <comment ref="E87" authorId="4" shapeId="0" xr:uid="{00000000-0006-0000-0100-000021000000}">
      <text>
        <r>
          <rPr>
            <sz val="9"/>
            <color indexed="81"/>
            <rFont val="Tahoma"/>
            <family val="2"/>
            <charset val="186"/>
          </rPr>
          <t>P-3.2.2.5.</t>
        </r>
      </text>
    </comment>
    <comment ref="K87" authorId="4" shapeId="0" xr:uid="{00000000-0006-0000-0100-000022000000}">
      <text>
        <r>
          <rPr>
            <sz val="9"/>
            <color indexed="81"/>
            <rFont val="Tahoma"/>
            <family val="2"/>
            <charset val="186"/>
          </rPr>
          <t xml:space="preserve">Giruliuose </t>
        </r>
      </text>
    </comment>
    <comment ref="L87" authorId="4" shapeId="0" xr:uid="{00000000-0006-0000-0100-000023000000}">
      <text>
        <r>
          <rPr>
            <sz val="9"/>
            <color indexed="81"/>
            <rFont val="Tahoma"/>
            <family val="2"/>
            <charset val="186"/>
          </rPr>
          <t>Paupiuose</t>
        </r>
      </text>
    </comment>
    <comment ref="E88" authorId="4" shapeId="0" xr:uid="{00000000-0006-0000-0100-000024000000}">
      <text>
        <r>
          <rPr>
            <sz val="9"/>
            <color indexed="81"/>
            <rFont val="Tahoma"/>
            <family val="2"/>
            <charset val="186"/>
          </rPr>
          <t>P-1.2.1.5.</t>
        </r>
      </text>
    </comment>
    <comment ref="E90" authorId="4" shapeId="0" xr:uid="{00000000-0006-0000-0100-000025000000}">
      <text>
        <r>
          <rPr>
            <sz val="9"/>
            <color indexed="81"/>
            <rFont val="Tahoma"/>
            <family val="2"/>
            <charset val="186"/>
          </rPr>
          <t>P-1.2.1.5.</t>
        </r>
      </text>
    </comment>
    <comment ref="E91" authorId="3" shapeId="0" xr:uid="{00000000-0006-0000-0100-00002600000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K97" authorId="4" shapeId="0" xr:uid="{00000000-0006-0000-0100-000027000000}">
      <text>
        <r>
          <rPr>
            <sz val="9"/>
            <color indexed="81"/>
            <rFont val="Tahoma"/>
            <family val="2"/>
            <charset val="186"/>
          </rPr>
          <t xml:space="preserve">1. Persiregimo kabinos, 5 vnt., 7562,5 Eur, 
2. Saulės baterija mobiliai gelbėjimo stočiai, 1 vnt., 3396,65 Eur; 
3. Mediniai suolai, 20 vnt., 2299 Eur; 
4. Suolai paplūdimių prieigose, 18 vnt., 5760 Eur.
</t>
        </r>
      </text>
    </comment>
    <comment ref="L97" authorId="4" shapeId="0" xr:uid="{00000000-0006-0000-0100-000028000000}">
      <text>
        <r>
          <rPr>
            <sz val="9"/>
            <color indexed="81"/>
            <rFont val="Tahoma"/>
            <family val="2"/>
            <charset val="186"/>
          </rPr>
          <t>1. Persirengimo kabinos, 10 vnt., 15125 EUR;
 2. Saulės baterijos, 3 vnt., 10189,95 EUR;
 3. Suolai paplūdimių prieigose, 40 vnt., 12800EUR.</t>
        </r>
      </text>
    </comment>
    <comment ref="M97" authorId="4" shapeId="0" xr:uid="{00000000-0006-0000-0100-000029000000}">
      <text>
        <r>
          <rPr>
            <sz val="9"/>
            <color indexed="81"/>
            <rFont val="Tahoma"/>
            <family val="2"/>
            <charset val="186"/>
          </rPr>
          <t>1. Persirengimo kabinos, 10 vnt., 15125 EUR, 
2. Saulės baterijos, 4 vnt., 13586,60 EUR; 
3. Suolai paplūdimių prieigose, 40 vnt. 12800EUR; 
4. Mediniai suolai, 20 vnt., 2299 EUR.</t>
        </r>
      </text>
    </comment>
    <comment ref="K98" authorId="4" shapeId="0" xr:uid="{00000000-0006-0000-0100-00002A000000}">
      <text>
        <r>
          <rPr>
            <sz val="9"/>
            <color indexed="81"/>
            <rFont val="Tahoma"/>
            <family val="2"/>
            <charset val="186"/>
          </rPr>
          <t>1. Elektros įvedimas Smiltynės g. 15B, Klaipėda, 8959,32 Eur; 
2. I-osios Melnragės apžvalgos aikštelės remontas, 8950 Eur; 
3-8. Stebėjimo bokštelių apatinės dalies remontas, 6 vnt., 12414,6 Eur;
4. Garažų g. 6.</t>
        </r>
      </text>
    </comment>
    <comment ref="L98" authorId="4" shapeId="0" xr:uid="{00000000-0006-0000-0100-00002B000000}">
      <text>
        <r>
          <rPr>
            <sz val="9"/>
            <color indexed="81"/>
            <rFont val="Tahoma"/>
            <family val="2"/>
            <charset val="186"/>
          </rPr>
          <t>Administracinio pastato, Garažų g. 6, remontas</t>
        </r>
      </text>
    </comment>
    <comment ref="M98" authorId="4" shapeId="0" xr:uid="{00000000-0006-0000-0100-00002C000000}">
      <text>
        <r>
          <rPr>
            <sz val="9"/>
            <color indexed="81"/>
            <rFont val="Tahoma"/>
            <family val="2"/>
            <charset val="186"/>
          </rPr>
          <t>Smiltynės g. 15B, Klaipėda, 63000 EUR.</t>
        </r>
      </text>
    </comment>
    <comment ref="K100" authorId="4" shapeId="0" xr:uid="{00000000-0006-0000-0100-00002D000000}">
      <text>
        <r>
          <rPr>
            <sz val="9"/>
            <color indexed="81"/>
            <rFont val="Tahoma"/>
            <family val="2"/>
            <charset val="186"/>
          </rPr>
          <t>1. Keturrratis gelbėjimo darbams, 1 vnt., 15490 Eur.
2. Frontalinis krautuvas 1 vnt. 16940 Eur.</t>
        </r>
      </text>
    </comment>
    <comment ref="L100" authorId="4" shapeId="0" xr:uid="{00000000-0006-0000-0100-00002E000000}">
      <text>
        <r>
          <rPr>
            <sz val="9"/>
            <color indexed="81"/>
            <rFont val="Tahoma"/>
            <family val="2"/>
            <charset val="186"/>
          </rPr>
          <t>Vandens motociklas gelbėjimo darbams, 1 vnt., 17000 EUR.</t>
        </r>
      </text>
    </comment>
    <comment ref="M100" authorId="4" shapeId="0" xr:uid="{00000000-0006-0000-0100-00002F000000}">
      <text>
        <r>
          <rPr>
            <sz val="9"/>
            <color indexed="81"/>
            <rFont val="Tahoma"/>
            <family val="2"/>
            <charset val="186"/>
          </rPr>
          <t>Frontalinis krautuvas 15,7 tūkst. Eur</t>
        </r>
      </text>
    </comment>
    <comment ref="E101" authorId="2" shapeId="0" xr:uid="{00000000-0006-0000-0100-000030000000}">
      <text>
        <r>
          <rPr>
            <b/>
            <sz val="9"/>
            <color indexed="81"/>
            <rFont val="Tahoma"/>
            <family val="2"/>
            <charset val="186"/>
          </rPr>
          <t xml:space="preserve">P1, </t>
        </r>
        <r>
          <rPr>
            <sz val="9"/>
            <color indexed="81"/>
            <rFont val="Tahoma"/>
            <family val="2"/>
            <charset val="186"/>
          </rPr>
          <t>2.3. Municipalinio (vidaus vandenų) uosto atkūrimas Klaipėdoje</t>
        </r>
      </text>
    </comment>
    <comment ref="E102" authorId="3" shapeId="0" xr:uid="{00000000-0006-0000-0100-00003100000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E104" authorId="2" shapeId="0" xr:uid="{00000000-0006-0000-0100-000032000000}">
      <text>
        <r>
          <rPr>
            <sz val="9"/>
            <color indexed="81"/>
            <rFont val="Tahoma"/>
            <family val="2"/>
            <charset val="186"/>
          </rPr>
          <t>P-1.2.3.1</t>
        </r>
      </text>
    </comment>
    <comment ref="J105" authorId="2" shapeId="0" xr:uid="{00000000-0006-0000-0100-000033000000}">
      <text>
        <r>
          <rPr>
            <sz val="9"/>
            <color indexed="81"/>
            <rFont val="Tahoma"/>
            <family val="2"/>
            <charset val="186"/>
          </rPr>
          <t>Viešieji tualetai: Stovyklų g. 4 –21,79 m2; Kopų g. 1A (I Melnragė) – 87,25 m2;</t>
        </r>
      </text>
    </comment>
    <comment ref="E111" authorId="2" shapeId="0" xr:uid="{00000000-0006-0000-0100-000035000000}">
      <text>
        <r>
          <rPr>
            <sz val="9"/>
            <color indexed="81"/>
            <rFont val="Tahoma"/>
            <family val="2"/>
            <charset val="186"/>
          </rPr>
          <t xml:space="preserve">P-1.2.1.1., 1.2.1.2., 1.2.1.5.
</t>
        </r>
      </text>
    </comment>
    <comment ref="J122" authorId="1" shapeId="0" xr:uid="{00000000-0006-0000-0100-000037000000}">
      <text>
        <r>
          <rPr>
            <sz val="9"/>
            <color indexed="81"/>
            <rFont val="Tahoma"/>
            <family val="2"/>
            <charset val="186"/>
          </rPr>
          <t>2020 m. techninis projektas</t>
        </r>
        <r>
          <rPr>
            <sz val="9"/>
            <color indexed="81"/>
            <rFont val="Tahoma"/>
            <family val="2"/>
            <charset val="186"/>
          </rPr>
          <t xml:space="preserve">
</t>
        </r>
      </text>
    </comment>
    <comment ref="K123" authorId="5" shapeId="0" xr:uid="{E99305C3-449F-4204-825F-E40CF8F013B3}">
      <text>
        <r>
          <rPr>
            <sz val="9"/>
            <color indexed="81"/>
            <rFont val="Tahoma"/>
            <family val="2"/>
            <charset val="186"/>
          </rPr>
          <t>Smiltynės g. 30 ir 31</t>
        </r>
      </text>
    </comment>
    <comment ref="K125" authorId="4" shapeId="0" xr:uid="{00000000-0006-0000-0100-000038000000}">
      <text>
        <r>
          <rPr>
            <sz val="9"/>
            <color indexed="81"/>
            <rFont val="Tahoma"/>
            <family val="2"/>
            <charset val="186"/>
          </rPr>
          <t>Tualetas Danės krantinėje</t>
        </r>
      </text>
    </comment>
    <comment ref="K127" authorId="4" shapeId="0" xr:uid="{00000000-0006-0000-0100-000039000000}">
      <text>
        <r>
          <rPr>
            <sz val="9"/>
            <color indexed="81"/>
            <rFont val="Tahoma"/>
            <family val="2"/>
            <charset val="186"/>
          </rPr>
          <t>Smiltynės g. 14A gręžinio  ir vandentiekio bei elektros tinklų pravedimo tarp Smiltynės g. 14A ir Smiltynės g. 14B. projektavimas</t>
        </r>
      </text>
    </comment>
    <comment ref="L128" authorId="4" shapeId="0" xr:uid="{00000000-0006-0000-0100-00003A000000}">
      <text>
        <r>
          <rPr>
            <sz val="9"/>
            <color indexed="81"/>
            <rFont val="Tahoma"/>
            <family val="2"/>
            <charset val="186"/>
          </rPr>
          <t>Smiltynės g. 14A ir Smiltynės g. 14B</t>
        </r>
      </text>
    </comment>
    <comment ref="E138" authorId="0" shapeId="0" xr:uid="{00000000-0006-0000-0100-00003B000000}">
      <text>
        <r>
          <rPr>
            <sz val="9"/>
            <color indexed="81"/>
            <rFont val="Tahoma"/>
            <family val="2"/>
            <charset val="186"/>
          </rPr>
          <t>P-3.2.1.1.</t>
        </r>
      </text>
    </comment>
    <comment ref="K138" authorId="1" shapeId="0" xr:uid="{00000000-0006-0000-0100-00003C000000}">
      <text>
        <r>
          <rPr>
            <sz val="9"/>
            <color indexed="81"/>
            <rFont val="Tahoma"/>
            <family val="2"/>
            <charset val="186"/>
          </rPr>
          <t>Stringa techninės specifikacijos rengimas dviračių stovų įrengimo ir pastatymo bei kanalizacijos liukų dangčių pirkimui, nes nėra dviračių stovų ir liukų sprendinių.</t>
        </r>
        <r>
          <rPr>
            <sz val="9"/>
            <color indexed="81"/>
            <rFont val="Tahoma"/>
            <family val="2"/>
            <charset val="186"/>
          </rPr>
          <t xml:space="preserve">
</t>
        </r>
      </text>
    </comment>
    <comment ref="E140" authorId="2" shapeId="0" xr:uid="{00000000-0006-0000-0100-00003D00000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E141" authorId="2" shapeId="0" xr:uid="{00000000-0006-0000-0100-00003E000000}">
      <text>
        <r>
          <rPr>
            <b/>
            <sz val="9"/>
            <color indexed="81"/>
            <rFont val="Tahoma"/>
            <family val="2"/>
            <charset val="186"/>
          </rPr>
          <t>KEPS 2030 metų (P6)</t>
        </r>
        <r>
          <rPr>
            <sz val="9"/>
            <color indexed="81"/>
            <rFont val="Tahoma"/>
            <family val="2"/>
            <charset val="186"/>
          </rPr>
          <t xml:space="preserve">
P6 3.1.13. Vystyti viešųjų erdvių gerinimo programas ir lokalius urbanistinės struktūros atgaivinimo projektus  </t>
        </r>
      </text>
    </comment>
    <comment ref="E146" authorId="4" shapeId="0" xr:uid="{00000000-0006-0000-0100-00003F000000}">
      <text>
        <r>
          <rPr>
            <sz val="9"/>
            <color indexed="81"/>
            <rFont val="Tahoma"/>
            <family val="2"/>
            <charset val="186"/>
          </rPr>
          <t>P-3.3.2.4.</t>
        </r>
      </text>
    </comment>
    <comment ref="E148" authorId="4" shapeId="0" xr:uid="{00000000-0006-0000-0100-000040000000}">
      <text>
        <r>
          <rPr>
            <sz val="9"/>
            <color indexed="81"/>
            <rFont val="Tahoma"/>
            <family val="2"/>
            <charset val="186"/>
          </rPr>
          <t>P-3.3.2.4.</t>
        </r>
      </text>
    </comment>
    <comment ref="K152" authorId="4" shapeId="0" xr:uid="{00000000-0006-0000-0100-000041000000}">
      <text>
        <r>
          <rPr>
            <sz val="9"/>
            <color indexed="81"/>
            <rFont val="Tahoma"/>
            <family val="2"/>
            <charset val="186"/>
          </rPr>
          <t>1. Takai nuo I. Simonaitytės g. 6 iki 22 (550 m.)
2. Takas nuo Markučių g. 5 iki Vingio g. (220 m.)
3. Arimų g. (750 m.)
4. Takas nuo Paryžiaus Komunos g. 27 iki Šilutės pl. 2A (150 m.)
5. Takas nuo Baltijos per. 45 palei Baltijos gimnaziją (230 m.)
6. Takas nuo Simonaitytės kalno iki Aukuro gimnazijos (250 m.)
7. Laistų 1-oji,2-oji,3-oji g. (1200 m.)
8. Smilgų g. (150 m.)
9. Smilčių g. (250 m.)
Pridėta 9 projektų iš 2022 m., kurių nespėjo užbaigti</t>
        </r>
      </text>
    </comment>
    <comment ref="E153" authorId="4" shapeId="0" xr:uid="{00000000-0006-0000-0100-000042000000}">
      <text>
        <r>
          <rPr>
            <sz val="9"/>
            <color indexed="81"/>
            <rFont val="Tahoma"/>
            <family val="2"/>
            <charset val="186"/>
          </rPr>
          <t>P-3.3.2.4.</t>
        </r>
      </text>
    </comment>
    <comment ref="K153" authorId="4" shapeId="0" xr:uid="{00000000-0006-0000-0100-000043000000}">
      <text>
        <r>
          <rPr>
            <sz val="9"/>
            <color indexed="81"/>
            <rFont val="Tahoma"/>
            <family val="2"/>
            <charset val="186"/>
          </rPr>
          <t>1. Kadetų mokykla (Naikupės g. 25) (1646 m.)
2. Takas tarp Baltijos pr. 55 ir Baltijos pr. 63 (166 m.)
3. Vyturio g. nuo Laukininkų g. 11 iki Vyturio g. 23 (238 m.)
Pridėti 4 adresai iš 2022 m., kuriuose nespėjo įrengti apšvietimą.</t>
        </r>
      </text>
    </comment>
    <comment ref="L153" authorId="5" shapeId="0" xr:uid="{821EBE5F-2779-409B-9FFC-070C5288BA52}">
      <text>
        <r>
          <rPr>
            <sz val="9"/>
            <color indexed="81"/>
            <rFont val="Tahoma"/>
            <family val="2"/>
            <charset val="186"/>
          </rPr>
          <t>1. Nėgių g. (311 m)
2. Žiobrių g. (177 m)
3. Takai nuo I. Simonaitytės g. 6 iki 22 (550 m)
4. Takas nuo Simonaitytės kalno iki Aukuro gimnazijos (250 m)
5. Pravažiavimas nuo Dauknato g. 13A iki Pievų tako g. 8 (234 m)</t>
        </r>
      </text>
    </comment>
    <comment ref="M153" authorId="4" shapeId="0" xr:uid="{00000000-0006-0000-0100-000045000000}">
      <text>
        <r>
          <rPr>
            <sz val="9"/>
            <color indexed="81"/>
            <rFont val="Tahoma"/>
            <family val="2"/>
            <charset val="186"/>
          </rPr>
          <t xml:space="preserve">1. Takas nuo Markučių g. 5 iki Vingio g. (220 m.)
2. Arimų g.
3. Takas nuo Paryžiaus Komunos g. 27 iki Šilutės pl. 2A (150 m.)
4. Takas nuo Baltijos pr. 45 palei Baltijos gimnaziją (230 m.)
5. Laistų 1-oji, 2-oji, 3-oji g. (1200 m.)
</t>
        </r>
      </text>
    </comment>
    <comment ref="E154" authorId="4" shapeId="0" xr:uid="{00000000-0006-0000-0100-000046000000}">
      <text>
        <r>
          <rPr>
            <sz val="9"/>
            <color indexed="81"/>
            <rFont val="Tahoma"/>
            <family val="2"/>
            <charset val="186"/>
          </rPr>
          <t>P-3.3.2.4.</t>
        </r>
      </text>
    </comment>
    <comment ref="E164" authorId="4" shapeId="0" xr:uid="{00000000-0006-0000-0100-000047000000}">
      <text>
        <r>
          <rPr>
            <sz val="9"/>
            <color indexed="81"/>
            <rFont val="Tahoma"/>
            <family val="2"/>
            <charset val="186"/>
          </rPr>
          <t>P-3.2.2.6.</t>
        </r>
      </text>
    </comment>
    <comment ref="K174" authorId="1" shapeId="0" xr:uid="{00000000-0006-0000-0100-000048000000}">
      <text>
        <r>
          <rPr>
            <sz val="9"/>
            <color indexed="81"/>
            <rFont val="Tahoma"/>
            <family val="2"/>
            <charset val="186"/>
          </rPr>
          <t>Bus keičiami 2 vartai ir 3 varteliai</t>
        </r>
      </text>
    </comment>
    <comment ref="L174" authorId="1" shapeId="0" xr:uid="{00000000-0006-0000-0100-000049000000}">
      <text>
        <r>
          <rPr>
            <sz val="9"/>
            <color indexed="81"/>
            <rFont val="Tahoma"/>
            <family val="2"/>
            <charset val="186"/>
          </rPr>
          <t>Bus keičiami 2 vartai ir 3 varteliai</t>
        </r>
      </text>
    </comment>
    <comment ref="E175" authorId="4" shapeId="0" xr:uid="{00000000-0006-0000-0100-00004A000000}">
      <text>
        <r>
          <rPr>
            <sz val="9"/>
            <color indexed="81"/>
            <rFont val="Tahoma"/>
            <family val="2"/>
            <charset val="186"/>
          </rPr>
          <t>P-3.2.2.6.</t>
        </r>
      </text>
    </comment>
    <comment ref="E192" authorId="2" shapeId="0" xr:uid="{00000000-0006-0000-0100-00004B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E193" authorId="4" shapeId="0" xr:uid="{00000000-0006-0000-0100-00004C000000}">
      <text>
        <r>
          <rPr>
            <sz val="9"/>
            <color indexed="81"/>
            <rFont val="Tahoma"/>
            <family val="2"/>
            <charset val="186"/>
          </rPr>
          <t>P-3.2.2.1.; 3.3.2.4.</t>
        </r>
      </text>
    </comment>
    <comment ref="E207" authorId="4" shapeId="0" xr:uid="{00000000-0006-0000-0100-00004D000000}">
      <text>
        <r>
          <rPr>
            <sz val="9"/>
            <color indexed="81"/>
            <rFont val="Tahoma"/>
            <family val="2"/>
            <charset val="186"/>
          </rPr>
          <t>P-3.2.2.1.;</t>
        </r>
      </text>
    </comment>
    <comment ref="K207" authorId="4" shapeId="0" xr:uid="{00000000-0006-0000-0100-00004E000000}">
      <text>
        <r>
          <rPr>
            <sz val="9"/>
            <color indexed="81"/>
            <rFont val="Tahoma"/>
            <family val="2"/>
            <charset val="186"/>
          </rPr>
          <t>Naujakiemio g. 15</t>
        </r>
      </text>
    </comment>
    <comment ref="L208" authorId="4" shapeId="0" xr:uid="{00000000-0006-0000-0100-00004F000000}">
      <text>
        <r>
          <rPr>
            <sz val="9"/>
            <color indexed="81"/>
            <rFont val="Tahoma"/>
            <family val="2"/>
            <charset val="186"/>
          </rPr>
          <t>Naujakiemio g. 15</t>
        </r>
      </text>
    </comment>
    <comment ref="E209" authorId="2" shapeId="0" xr:uid="{00000000-0006-0000-0100-000050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J209" authorId="4" shapeId="0" xr:uid="{00000000-0006-0000-0100-000051000000}">
      <text>
        <r>
          <rPr>
            <sz val="9"/>
            <color indexed="81"/>
            <rFont val="Tahoma"/>
            <family val="2"/>
            <charset val="186"/>
          </rPr>
          <t>Naujiems šaukimams gyventojų prisidėjimui prie kiemų gerinimo</t>
        </r>
      </text>
    </comment>
    <comment ref="L209" authorId="4" shapeId="0" xr:uid="{00000000-0006-0000-0100-000052000000}">
      <text>
        <r>
          <rPr>
            <sz val="9"/>
            <color indexed="81"/>
            <rFont val="Tahoma"/>
            <family val="2"/>
            <charset val="186"/>
          </rPr>
          <t>Preliminariai 2024 bus parengtas 1 naujas projektas ir pradėta dalis darbų</t>
        </r>
      </text>
    </comment>
    <comment ref="E214" authorId="4" shapeId="0" xr:uid="{00000000-0006-0000-0100-000053000000}">
      <text>
        <r>
          <rPr>
            <sz val="9"/>
            <color indexed="81"/>
            <rFont val="Tahoma"/>
            <family val="2"/>
            <charset val="186"/>
          </rPr>
          <t>P-2.4.2.; 3.2.2.5.</t>
        </r>
      </text>
    </comment>
    <comment ref="J218" authorId="1" shapeId="0" xr:uid="{00000000-0006-0000-0100-000054000000}">
      <text>
        <r>
          <rPr>
            <sz val="9"/>
            <color indexed="81"/>
            <rFont val="Tahoma"/>
            <family val="2"/>
            <charset val="186"/>
          </rPr>
          <t>(146 000 m²)</t>
        </r>
        <r>
          <rPr>
            <sz val="9"/>
            <color indexed="81"/>
            <rFont val="Tahoma"/>
            <family val="2"/>
            <charset val="186"/>
          </rPr>
          <t xml:space="preserve">
</t>
        </r>
      </text>
    </comment>
    <comment ref="K218" authorId="1" shapeId="0" xr:uid="{00000000-0006-0000-0100-000055000000}">
      <text>
        <r>
          <rPr>
            <sz val="9"/>
            <color indexed="81"/>
            <rFont val="Tahoma"/>
            <family val="2"/>
            <charset val="186"/>
          </rPr>
          <t>Projekto galutinės paraiškos pateikimas atidėtas iki 2023-01-31. Derinamos tinkamų ir netinkamų finansuoti darbų apimtys, tikslinamas atliktų darbų apmokėjimas ES lėšomis, pasikeitus projekto intensyvumui bei dėl  ESO neatliktų darbų dalies buvo sustabdyti rangos darbai. Taip pat lieka neapmokėta (sulaikyta) rangos darbų dalis iki bus gautas statybos užbaigimo dokumentas.</t>
        </r>
      </text>
    </comment>
    <comment ref="E219" authorId="0" shapeId="0" xr:uid="{00000000-0006-0000-0100-000056000000}">
      <text>
        <r>
          <rPr>
            <sz val="9"/>
            <color indexed="81"/>
            <rFont val="Tahoma"/>
            <family val="2"/>
            <charset val="186"/>
          </rPr>
          <t>P-3.2.2.1.</t>
        </r>
      </text>
    </comment>
    <comment ref="E220" authorId="2" shapeId="0" xr:uid="{00000000-0006-0000-0100-000057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E223" authorId="4" shapeId="0" xr:uid="{00000000-0006-0000-0100-000058000000}">
      <text>
        <r>
          <rPr>
            <sz val="9"/>
            <color indexed="81"/>
            <rFont val="Tahoma"/>
            <family val="2"/>
            <charset val="186"/>
          </rPr>
          <t>P-2.4.3.5.</t>
        </r>
      </text>
    </comment>
    <comment ref="K223" authorId="4" shapeId="0" xr:uid="{00000000-0006-0000-0100-000059000000}">
      <text>
        <r>
          <rPr>
            <sz val="9"/>
            <color indexed="81"/>
            <rFont val="Tahoma"/>
            <family val="2"/>
            <charset val="186"/>
          </rPr>
          <t xml:space="preserve">01 Projekto „Saugus kaimynas – saugus aš“ įgyvendinimas kartu su Klaipėdos apskrities vyriausiuoju policijos komisariatu
02 Gaisrų prevencijos projekto „Gyvenkime saugiai“ įgyvendinimas kartu su Klaipėdos apskrities priešgaisrine gelbėjimo valdyba
03 Prevencinio projekto „Būk pilietiškas, būk saugus“ įgyvendinimas kartu su Klaipėdos apskrities vyriausiuoju policijos komisariatu 
04 Prevencinio projekto „Stebima Klaipėda saugesnė“ įgyvendinimas kartu su Klaipėdos apskrities vyriausiuoju policijos komisariatu 
05 Prevencinio projekto „Policijos rėmėjas – aktyvus pagalbininkas kuriant saugesnę Lietuvą!“ įgyvendinimas kartu su Klaipėdos apskrities vyriausiuoju policijos komisariatu 
06 Prevencinio projekto „Saugi kaiminystė – kelias į saugesnę visuomenę“ įgyvendinimas kartu su Klaipėdos apskrities vyriausiuoju policijos komisariatu 
07 Projekto „Vaikų saugumas – svarbiausia“ įgyvendinimas kartu su Klaipėdos apskrities vyriausiuoju policijos komisariatu
</t>
        </r>
      </text>
    </comment>
    <comment ref="L223" authorId="4" shapeId="0" xr:uid="{00000000-0006-0000-0100-00005A000000}">
      <text>
        <r>
          <rPr>
            <sz val="9"/>
            <color indexed="81"/>
            <rFont val="Tahoma"/>
            <family val="2"/>
            <charset val="186"/>
          </rPr>
          <t xml:space="preserve">1 Projekto „Saugus kaimynas – saugus aš“ įgyvendinimas kartu su Klaipėdos apskrities vyriausiuoju policijos komisariatu
2 Gaisrų prevencijos projekto „Gyvenkime saugiai“ įgyvendinimas kartu su Klaipėdos apskrities priešgaisrine gelbėjimo valdyba
3 Prevencinio projekto „Būk pilietiškas, būk saugus“ įgyvendinimas kartu su Klaipėdos apskrities vyriausiuoju policijos komisariatu 
4 Prevencinio projekto „Stebima Klaipėda saugesnė“ įgyvendinimas kartu su Klaipėdos apskrities vyriausiuoju policijos komisariatu 
5 Prevencinio projekto „Policijos rėmėjas – aktyvus pagalbininkas kuriant saugesnę Lietuvą!“ įgyvendinimas kartu su Klaipėdos apskrities vyriausiuoju policijos komisariatu 
6 Prevencinio projekto „Saugi kaimynystė – kelias į saugesnę visuomenę“ įgyvendinimas kartu su Klaipėdos apskrities vyriausiuoju policijos komisariatu 
7 Gaisrų prevencijos projekto „Virtuvės pavojai“ įgyvendinimas kartu su Klaipėdos apskrities priešgaisrine gelbėjimo valdyba
8 Gaisrų prevencijos projekto „Būk saugus mokiny“ įgyvendinimas kartu su Klaipėdos apskrities priešgaisrine gelbėjimo valdyba
9 Projekto „Saugus eismas - saugus tu“ įgyvendinimas kartu su Klaipėdos apskrities vyriausiuoju policijos komisariatu
</t>
        </r>
      </text>
    </comment>
    <comment ref="M223" authorId="4" shapeId="0" xr:uid="{00000000-0006-0000-0100-00005B000000}">
      <text>
        <r>
          <rPr>
            <sz val="9"/>
            <color indexed="81"/>
            <rFont val="Tahoma"/>
            <family val="2"/>
            <charset val="186"/>
          </rPr>
          <t xml:space="preserve">1 Gaisrų prevencijos projekto „Gyvenkime saugiai“ įgyvendinimas kartu su Klaipėdos apskrities priešgaisrine gelbėjimo valdyba
2 Prevencinio projekto „Stebima Klaipėda saugesnė“ įgyvendinimas kartu su Klaipėdos apskrities vyriausiuoju policijos komisariatu 
3 Prevencinio projekto „Policijos rėmėjas – aktyvus pagalbininkas kuriant saugesnę Lietuvą!“ įgyvendinimas kartu su Klaipėdos apskrities vyriausiuoju policijos komisariatu 
4  Projekto „Saugus eismas - saugus tu“ įgyvendinimas kartu su Klaipėdos apskrities vyriausiuoju policijos komisariatu
</t>
        </r>
      </text>
    </comment>
    <comment ref="K231" authorId="4" shapeId="0" xr:uid="{00000000-0006-0000-0100-00005C000000}">
      <text>
        <r>
          <rPr>
            <sz val="9"/>
            <color indexed="81"/>
            <rFont val="Tahoma"/>
            <family val="2"/>
            <charset val="186"/>
          </rPr>
          <t>1. PAVIRŠINIŲ NUOTEKŲ KOLEKTORIAUS ŠVYTURIOG. TĘSINYJE IR AB „KLAIPĖDOS JŪRŲKROVINIŲ KOMPANIJA“ TERITORIJOJE 576,0 tūkst. Eur.
2. Sprotininkų g. 19-19A, Švyturio g. 14-18 paviršinių nuotekų tinklų rekonstukcijos projektavimas 20,0 tūkst. Eur.</t>
        </r>
      </text>
    </comment>
    <comment ref="E232" authorId="1" shapeId="0" xr:uid="{00000000-0006-0000-0100-00005D000000}">
      <text>
        <r>
          <rPr>
            <sz val="9"/>
            <color indexed="81"/>
            <rFont val="Tahoma"/>
            <family val="2"/>
            <charset val="186"/>
          </rPr>
          <t>P-3.3.3.4.</t>
        </r>
      </text>
    </comment>
    <comment ref="E234" authorId="1" shapeId="0" xr:uid="{00000000-0006-0000-0100-00005E000000}">
      <text>
        <r>
          <rPr>
            <sz val="9"/>
            <color indexed="81"/>
            <rFont val="Tahoma"/>
            <family val="2"/>
            <charset val="186"/>
          </rPr>
          <t>P-3.2.2.7</t>
        </r>
      </text>
    </comment>
    <comment ref="E235" authorId="0" shapeId="0" xr:uid="{00000000-0006-0000-0100-00005F000000}">
      <text>
        <r>
          <rPr>
            <sz val="9"/>
            <color indexed="81"/>
            <rFont val="Tahoma"/>
            <family val="2"/>
            <charset val="186"/>
          </rPr>
          <t>P-3.2.1.4.</t>
        </r>
      </text>
    </comment>
  </commentList>
</comments>
</file>

<file path=xl/sharedStrings.xml><?xml version="1.0" encoding="utf-8"?>
<sst xmlns="http://schemas.openxmlformats.org/spreadsheetml/2006/main" count="546" uniqueCount="260">
  <si>
    <t>Uždavinio kodas</t>
  </si>
  <si>
    <t>Priemonės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</si>
  <si>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</si>
  <si>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</si>
  <si>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</si>
  <si>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</si>
  <si>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</si>
  <si>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</si>
  <si>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</si>
  <si>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</si>
  <si>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</si>
  <si>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</si>
  <si>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</si>
  <si>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</si>
  <si>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</si>
  <si>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</si>
  <si>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</si>
  <si>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</si>
  <si>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Kiti finansavimo šaltiniai </t>
    </r>
    <r>
      <rPr>
        <b/>
        <sz val="10"/>
        <rFont val="Times New Roman"/>
        <family val="1"/>
        <charset val="186"/>
      </rPr>
      <t>Kt</t>
    </r>
  </si>
  <si>
    <t>SB</t>
  </si>
  <si>
    <t>MIESTO INFRASTRUKTŪROS OBJEKTŲ PRIEŽIŪROS IR MODERNIZAVIMO PROGRAMOS (NR. 07)</t>
  </si>
  <si>
    <t>03</t>
  </si>
  <si>
    <t>Fontanų priežiūra, remontas ir atnaujinimas</t>
  </si>
  <si>
    <t>Prižiūrima fontanų, vnt.</t>
  </si>
  <si>
    <t>04</t>
  </si>
  <si>
    <t>07</t>
  </si>
  <si>
    <t>Miesto viešųjų tualetų remontas, priežiūra ir nuoma</t>
  </si>
  <si>
    <t>Nugriauta statinių,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</si>
  <si>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</si>
  <si>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</si>
  <si>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</si>
  <si>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</si>
  <si>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07 Miesto infrastruktūros objektų priežiūros ir modernizavimo programa</t>
  </si>
  <si>
    <t>I</t>
  </si>
  <si>
    <t>Mirusių (žuvusių) žmonių palaikų pervežimas iš įvykio vietų, neatpažintų, vienišų ir mirusių, kuriuos artimieji atsisako laidoti, žmonių palaikų laikinas laikymas (saugojimas), palaidojimas savivaldybės lėšomis</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</si>
  <si>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</si>
  <si>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</si>
  <si>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</si>
  <si>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</si>
  <si>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</si>
  <si>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</si>
  <si>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</si>
  <si>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</si>
  <si>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r>
      <t xml:space="preserve">Vietinių rinkliavų lėšos </t>
    </r>
    <r>
      <rPr>
        <b/>
        <sz val="10"/>
        <rFont val="Times New Roman"/>
        <family val="1"/>
        <charset val="186"/>
      </rPr>
      <t>SB(VR)</t>
    </r>
  </si>
  <si>
    <t>Savivaldybei priskirtų teritorijų sanitarinis valymas, parkų, skverų, žaliųjų plotų želdinimas ir aplinkotvarka</t>
  </si>
  <si>
    <t>Nuomojama kilnojamųjų tualetų švenčių metu, vnt.</t>
  </si>
  <si>
    <t>Eksploatuojama šviestuvų, tūkst. vnt.</t>
  </si>
  <si>
    <t>Laidojimo paslaugų teikimas ir kapinių priežiūros organizavimas:</t>
  </si>
  <si>
    <t xml:space="preserve">Palaidota mirusiųjų, skaičius </t>
  </si>
  <si>
    <t>BĮ „Klaipėdos paplūdimiai“ veiklos organizavimas</t>
  </si>
  <si>
    <t>SB(SPL)</t>
  </si>
  <si>
    <t xml:space="preserve">Savivaldybės biudžetas, iš jo: </t>
  </si>
  <si>
    <r>
      <t xml:space="preserve">Pajamų įmokų už patalpų nuomą likutis </t>
    </r>
    <r>
      <rPr>
        <b/>
        <sz val="10"/>
        <rFont val="Times New Roman"/>
        <family val="1"/>
        <charset val="186"/>
      </rPr>
      <t>SB(SPL)</t>
    </r>
  </si>
  <si>
    <r>
      <t xml:space="preserve">Valstybės biudžeto specialiosios tikslinės dotacijos lėšos </t>
    </r>
    <r>
      <rPr>
        <b/>
        <sz val="10"/>
        <rFont val="Times New Roman"/>
        <family val="1"/>
        <charset val="186"/>
      </rPr>
      <t>SB(VB)</t>
    </r>
  </si>
  <si>
    <t>Miesto aikščių, skverų ir kitų bendro naudojimo teritorijų atnaujinimas ir priežiūra:</t>
  </si>
  <si>
    <t>Parengtas techninis projektas, vnt.</t>
  </si>
  <si>
    <t>Gatvių ir viešųjų erdvių apšvietimo organizavimo funkcijos įgyvendinimas</t>
  </si>
  <si>
    <t>tūkst. Eur</t>
  </si>
  <si>
    <t xml:space="preserve">Prižiūrima kapinių  (įskaitant senąsias kapinaites), vnt. </t>
  </si>
  <si>
    <t xml:space="preserve"> TIKSLŲ, UŽDAVINIŲ, PRIEMONIŲ, PRIEMONIŲ IŠLAIDŲ IR PRODUKTO KRITERIJŲ DETALI SUVESTINĖ</t>
  </si>
  <si>
    <r>
      <t>Gėlynų atnaujinimas ir įrengimas</t>
    </r>
    <r>
      <rPr>
        <i/>
        <sz val="10"/>
        <rFont val="Times New Roman"/>
        <family val="1"/>
        <charset val="186"/>
      </rPr>
      <t xml:space="preserve"> </t>
    </r>
  </si>
  <si>
    <t>Mėlynosios vėliavos programos koordinavimo paslaugų įsigijimas</t>
  </si>
  <si>
    <t>Beglobių gyvūnų gerovės ir apsaugos priemonių įgyvendinimas (gyvūnų gaudymas, surinkimas, sterilizacija, karantinavimas, eutanazija ir kt.)</t>
  </si>
  <si>
    <t>Prižiūrima konteinerinių tualetų, vnt.</t>
  </si>
  <si>
    <t>Eksploatuojama kamerų, vnt.</t>
  </si>
  <si>
    <t xml:space="preserve">Išvežta mirusiųjų iš įvykio vietos,  skaičius </t>
  </si>
  <si>
    <t xml:space="preserve">47,4 ha Medelyno gyvenamojo rajono infrastruktūros išvystymas. I etapas
</t>
  </si>
  <si>
    <t>Užtikrinti švarą ir tvarką daugiabučių gyvenamųjų namų kvartaluose, skatinti gyventojus renovuoti, prižiūrėti ir saugoti savo turtą</t>
  </si>
  <si>
    <t>Prižiūrima stacionarių tualetų, vnt.</t>
  </si>
  <si>
    <t xml:space="preserve">Daugiabučių namų savininkų bendrijų (DNSB) pirmininkų mokymų organizavimas </t>
  </si>
  <si>
    <t xml:space="preserve">Paimta, sugauta gyvūnų, vnt. </t>
  </si>
  <si>
    <t>Atlikta beglobių kačių sterilizacijų, vnt.</t>
  </si>
  <si>
    <t>Organizuota mokymų, vnt.</t>
  </si>
  <si>
    <t xml:space="preserve">Atgimimo aikštės sutvarkymas, didinant patrauklumą investicijoms, skatinant lankytojų srautus </t>
  </si>
  <si>
    <t>Kompleksinis tikslinės teritorijos daugiabučių namų kiemų tvarkymas</t>
  </si>
  <si>
    <t>Sutvarkyta švietimo įstaigų želdinių, vnt.</t>
  </si>
  <si>
    <t>Viešųjų erdvių (šviesoforų, fontanų, tualetų ir kt.) apšvietimo tinklų ir įrangos eksploatacija</t>
  </si>
  <si>
    <r>
      <t xml:space="preserve">Kelių priežiūros ir plėtros programos lėšos </t>
    </r>
    <r>
      <rPr>
        <b/>
        <sz val="10"/>
        <rFont val="Times New Roman"/>
        <family val="1"/>
        <charset val="186"/>
      </rPr>
      <t>SB(KPP)</t>
    </r>
  </si>
  <si>
    <t xml:space="preserve">Eksploatuojama informacinė miesto sistema: </t>
  </si>
  <si>
    <t>Suteikta asistento paslauga neįgaliesiems, vnt.</t>
  </si>
  <si>
    <t xml:space="preserve">Danės upės krantinių rekonstrukcija ir prieigų (Danės skveras su fontanais) sutvarkymas  </t>
  </si>
  <si>
    <t>Rekonstruota, nutiesta lietaus nuotekų tinklų, m</t>
  </si>
  <si>
    <t>Klaipėdos miesto paviršinių nuotekų tinklų įrengimas, remontas ir rekonstrukcija</t>
  </si>
  <si>
    <t>Savivaldybei priskirtų valyti ir prižiūrėti teritorijų plotas, kv. km</t>
  </si>
  <si>
    <t>Tvarkoma gėlynų ploto, tūkst. m²</t>
  </si>
  <si>
    <t>Viešųjų tualetų paslaugų teikimas Melnragės paplūdimyje ir Klaipėdos poilsio parke</t>
  </si>
  <si>
    <t xml:space="preserve">Laivų nuleidimo prieplaukos ir saugojimo aikštelės sklype šalia Liepų g. tilto įrengimas </t>
  </si>
  <si>
    <t>Atlikta įrengimo darbų. Užbaigtumas, proc.</t>
  </si>
  <si>
    <t>Įrengta lietaus nuotekų sistema Joniškės kapinėse. Užbaigtumas, proc.</t>
  </si>
  <si>
    <t>Parengta techninių projektų, vnt.</t>
  </si>
  <si>
    <t>Apšvietimo projektavimas ir įrengimas</t>
  </si>
  <si>
    <t>Daugiabučių namų kiemų infrastruktūros gerinimo priemonių plano įgyvendinimas</t>
  </si>
  <si>
    <t>SB(VB)</t>
  </si>
  <si>
    <t>SB(ES)</t>
  </si>
  <si>
    <t>Šlaitų stabilizavimo darbų Šiaurės prospekte atlikimas</t>
  </si>
  <si>
    <t xml:space="preserve">Prižiūrima tūrinių ir kitų gėlinių, vnt. </t>
  </si>
  <si>
    <t>P6</t>
  </si>
  <si>
    <t>Automobilių stovėjimo aikštelių projektavimas, įrengimas ir atnaujinimas</t>
  </si>
  <si>
    <t>Įsigyta šviečiančių kalėdinių elementų apšvietimo atramoms, vnt.</t>
  </si>
  <si>
    <t>Pakabinta ir eksploatuojama papuošimo elementų, vnt.</t>
  </si>
  <si>
    <t>Pakabinta ir eksploatuojama šviesos elementų (LED girliandų) fasadams ir medžiams puošti, tūkst. m</t>
  </si>
  <si>
    <t>Retransliuojamo vaizdo stebėjimo kamerų viešosiose vietose eksploatacija</t>
  </si>
  <si>
    <t>Namų ūkių, kuriems skirtas dalinis finansavimas, skaičius</t>
  </si>
  <si>
    <t xml:space="preserve">Muzikinio teatro pastato Danės g. 19 aplinkos tvarkybos darbai už sklypo ribos </t>
  </si>
  <si>
    <t>P1</t>
  </si>
  <si>
    <t>Inžinerinio aprūpinimo sistemų tobulinimas:</t>
  </si>
  <si>
    <t xml:space="preserve">Daugiabučių gyvenamųjų namų kvartalų atnaujinimo ir priežiūros vykdymas: </t>
  </si>
  <si>
    <t>P</t>
  </si>
  <si>
    <t>Miesto kapinių priežiūra ir  infrastruktūros atnaujinimas</t>
  </si>
  <si>
    <t>Pasirašyta sutartis dėl dalyvavimo Mėlynosios vėliavos programoje pagrindiniame Smiltynės ir Antrosios Melnragės paplūdimiuose, vnt.</t>
  </si>
  <si>
    <t>SB(P)</t>
  </si>
  <si>
    <t xml:space="preserve">Atnaujintas konteinerinis tualetas Kruizinių laivų terminale, vnt. </t>
  </si>
  <si>
    <t>Duomenų saugyklos įsigijimas, vnt.</t>
  </si>
  <si>
    <t>Kt</t>
  </si>
  <si>
    <t>SB(VBL)</t>
  </si>
  <si>
    <t>SB(ESL)</t>
  </si>
  <si>
    <r>
      <t xml:space="preserve">Europos Sąjungos finansinės paramos lėšos, kurios įtrauktos į savivaldybės biudžetą </t>
    </r>
    <r>
      <rPr>
        <b/>
        <sz val="10"/>
        <rFont val="Times New Roman"/>
        <family val="1"/>
        <charset val="186"/>
      </rPr>
      <t>SB(ES)</t>
    </r>
  </si>
  <si>
    <t xml:space="preserve">Dalyvaujamojo biudžeto iniciatyvų įgyvendinimas </t>
  </si>
  <si>
    <t>SB(SPI)</t>
  </si>
  <si>
    <t>Kompensacijų mokėjimas infrastruktūros plėtros iniciatoriams už patirtas infrastruktūros plėtros sutartyje nustatytas savivaldybės infrastruktūros plėtros išlaidas</t>
  </si>
  <si>
    <t>Išmokėta kompensacijų pagal sudarytas infrastruktūros plėtros sutartis, proc.</t>
  </si>
  <si>
    <r>
      <t xml:space="preserve">Pajamų įmokų infrastruktūros plėtrai lėšos </t>
    </r>
    <r>
      <rPr>
        <b/>
        <sz val="10"/>
        <rFont val="Times New Roman"/>
        <family val="1"/>
        <charset val="186"/>
      </rPr>
      <t>SB(SPI)</t>
    </r>
  </si>
  <si>
    <t>P1       I</t>
  </si>
  <si>
    <t>Nuolatinių darbuotojų etatų skaičius</t>
  </si>
  <si>
    <t>Sezoninių darbuotojų etatų skaičius</t>
  </si>
  <si>
    <t>Vingio mikrorajono aikštės atnaujinimas</t>
  </si>
  <si>
    <t>Parengtas projektas, vnt.</t>
  </si>
  <si>
    <t>SB(VR)</t>
  </si>
  <si>
    <t>Priemonės požymis*</t>
  </si>
  <si>
    <t>2024-ųjų metų lėšų projektas</t>
  </si>
  <si>
    <t>2023-ieji metai</t>
  </si>
  <si>
    <t>2024-ieji metai</t>
  </si>
  <si>
    <t>Klaipėdos miesto Skulptūrų parko (senųjų miesto kapinių) sutvarkymas</t>
  </si>
  <si>
    <t>P1     I</t>
  </si>
  <si>
    <t>Naujų kapinių įrengimas</t>
  </si>
  <si>
    <t xml:space="preserve">Skvero ties prekybos centru „Maxima“  (Šilutės pl. 40A) ir pėsčiųjų ir dviračių tako nuo Šilutės pl. iki Taikos pr. atnaujinimas </t>
  </si>
  <si>
    <t>T</t>
  </si>
  <si>
    <t>Prižiūrima gertuvių, vnt.</t>
  </si>
  <si>
    <t>Atlikta vandens tyrimų, vnt.</t>
  </si>
  <si>
    <t>Atraminių apsauginių įėjimo į paplūdimį sienučių remontas</t>
  </si>
  <si>
    <t>N</t>
  </si>
  <si>
    <t>ES</t>
  </si>
  <si>
    <t>Parengtas techninis darbo projektas, vnt.</t>
  </si>
  <si>
    <t>Įgyvendinta iniciatyvų, vnt.</t>
  </si>
  <si>
    <t>Atlikta vandens maudyklų tyrimų, skaičius</t>
  </si>
  <si>
    <t>Įsigyta ir įrengta inventoriaus, vnt.</t>
  </si>
  <si>
    <t xml:space="preserve">Atlikta rangos darbų (požeminio garažo statyba). Užbaigtumas, proc.  </t>
  </si>
  <si>
    <t xml:space="preserve">Atlikta rangos darbų (aikštės sutvarkymas). Užbaigtumas, proc. </t>
  </si>
  <si>
    <t xml:space="preserve">Atlikta rangos darbų. Užbaigtumas, proc. </t>
  </si>
  <si>
    <t xml:space="preserve">Atlikta rangos darbų. Užbaigtumas, proc.  </t>
  </si>
  <si>
    <t>Atlikta rangos darbų. Užbaigtumas, proc.</t>
  </si>
  <si>
    <t>Atlikta rangos darbų. Užbaigtumas proc.</t>
  </si>
  <si>
    <t>Suvartota elektros energijos, tūkst. MWh</t>
  </si>
  <si>
    <t>Pašalinta netinkamų naudoti įrenginių, vnt.</t>
  </si>
  <si>
    <t>Atnaujinta (pagerinta) sporto aikštelių daugiabučių namų kiemuose ar viešosiose miesto erdvėse, vnt.</t>
  </si>
  <si>
    <t>Kompleksiškai sutvarkyta sporto ir laisvalaikio zonų seniūnaitijose, vnt.</t>
  </si>
  <si>
    <t xml:space="preserve">Parengtas projektas,vnt. </t>
  </si>
  <si>
    <t xml:space="preserve">P       </t>
  </si>
  <si>
    <t xml:space="preserve">AB „Klaipėdos energija“ teritorijos Danės g. 8, Klaipėdoje, konversija                                                </t>
  </si>
  <si>
    <t>SB(KPP)</t>
  </si>
  <si>
    <t>Eksploatuojama belaidžio (Wi-Fi) ryšio stotelių, įrengtų šalia kamerų, vnt.</t>
  </si>
  <si>
    <t xml:space="preserve">Labrenciškių g. ir Martyno Jankaus g. </t>
  </si>
  <si>
    <t xml:space="preserve">Dalinio finansavimo skyrimas namų ūkiams prisijungti prie centralizuotų geriamojo vandens tiekimo ir nuotekų tvarkymo infrastruktūros
</t>
  </si>
  <si>
    <t>Planas</t>
  </si>
  <si>
    <t xml:space="preserve">Įrengtas konteinerinis tualetas galinėje autobusų stotelėje Mogiliovo g., vnt. </t>
  </si>
  <si>
    <t>Tvarkoma miesto gatvių kietųjų dangų paviršinių nuotekų, ha</t>
  </si>
  <si>
    <t>Klaipėdos miesto gatvių kietųjų dangų paviršinių nuotekų priežiūra</t>
  </si>
  <si>
    <t>2025-ieji metai</t>
  </si>
  <si>
    <t>2025-ųjų metų lėšų projektas</t>
  </si>
  <si>
    <t>Įsigyta kamerų, vnt.</t>
  </si>
  <si>
    <t xml:space="preserve">Įsigyta šviečiančių tūrinių kalėdinių papuošimų apšvietimo atramoms, vnt. </t>
  </si>
  <si>
    <t>Smiltynės gelbėjimo stoties rekonstrukcija ir prieigų sutvarkymas</t>
  </si>
  <si>
    <t>Įrengtas viešasis tualetas Ąžuolyno giraitėje, vnt.</t>
  </si>
  <si>
    <t>Kompleksinis sporto ir laisvalaikio zonų sutvarkymas seniūnaitijose</t>
  </si>
  <si>
    <t>Parengtas techninis projektas, vnt</t>
  </si>
  <si>
    <t>Parengta kiemų apšvietimo projektų, vnt</t>
  </si>
  <si>
    <t>Parengta projektų, vnt.</t>
  </si>
  <si>
    <t>Daugiabučių namų kiemų infrastruktūros gerinimas su gyventojų daliniu prisidėjimu</t>
  </si>
  <si>
    <t>Viešų erdvių ir gatvių, kuriose įrengiamas apšvietimas, skaičius</t>
  </si>
  <si>
    <r>
      <t>Suremontuota betoninė sienutė Joniškės g., m</t>
    </r>
    <r>
      <rPr>
        <vertAlign val="superscript"/>
        <sz val="10"/>
        <rFont val="Times New Roman"/>
        <family val="1"/>
        <charset val="186"/>
      </rPr>
      <t>2</t>
    </r>
  </si>
  <si>
    <t>Įsigyta kalėdinių papuošimų:</t>
  </si>
  <si>
    <t>Įsigyta šviesos elementų medžiams puošti, tūkst. vnt.</t>
  </si>
  <si>
    <t xml:space="preserve">Įsigyta transporto priemonių ir technikos, vnt. </t>
  </si>
  <si>
    <t>Pastatų ir infrastruktūros statinių, kuriuose atliktas remontas, skaičius</t>
  </si>
  <si>
    <t>Automobilių nuvežimas ir saugojimas</t>
  </si>
  <si>
    <t>Nuvežta nenaudojamų automobilių, skaičius</t>
  </si>
  <si>
    <t>Viešųjų erdvių ir gatvių apšvietimo įrengimas</t>
  </si>
  <si>
    <t xml:space="preserve">Vaikų žaidimo aikštelių įrengimas, atnaujinimas ir priežiūra </t>
  </si>
  <si>
    <t xml:space="preserve">Atlikta rangos darbų (Girulių paplūdimys). Užbaigtumas, proc. </t>
  </si>
  <si>
    <t xml:space="preserve">Atlikta rangos darbų (Smiltynės paplūdimys).  Užbaigtumas, proc. </t>
  </si>
  <si>
    <r>
      <t>Suremontuota takų Joniškės ir Lėbartų kapinėse, tūkst. m</t>
    </r>
    <r>
      <rPr>
        <vertAlign val="superscript"/>
        <sz val="10"/>
        <rFont val="Times New Roman"/>
        <family val="1"/>
        <charset val="186"/>
      </rPr>
      <t>2</t>
    </r>
  </si>
  <si>
    <t xml:space="preserve">Atlikta rangos darbų (J. Janonio g. 26, 28, Malūnininkų g. 2, Švyturio g. 8, 10, Smilties Pylimo g. 3, Sportininkų g. 5, 9). Užbaigtumas, proc. </t>
  </si>
  <si>
    <t>Saugoma nenaudojamų automobilių, skaičius</t>
  </si>
  <si>
    <t>Nuvežta už KET pažeidimus ir saugoma automobilių, skaičius</t>
  </si>
  <si>
    <t>Pakeista Lėbartų kapinių vartų, vnt.</t>
  </si>
  <si>
    <t>Mirusiųjų palaikų laikinas laikymas (saugojimas), tūkst. val.</t>
  </si>
  <si>
    <t>Atlikta Joniškės kapinių tvoros sutvirtinimo darbų, m</t>
  </si>
  <si>
    <t xml:space="preserve">N     I </t>
  </si>
  <si>
    <r>
      <rPr>
        <sz val="10"/>
        <rFont val="Times New Roman"/>
        <family val="1"/>
        <charset val="186"/>
      </rPr>
      <t>Europos Sąjungos paramos lėšos</t>
    </r>
    <r>
      <rPr>
        <b/>
        <sz val="10"/>
        <rFont val="Times New Roman"/>
        <family val="1"/>
        <charset val="186"/>
      </rPr>
      <t xml:space="preserve"> ES</t>
    </r>
  </si>
  <si>
    <r>
      <t>Savivaldybės paskolų lėšos</t>
    </r>
    <r>
      <rPr>
        <b/>
        <sz val="10"/>
        <rFont val="Times New Roman"/>
        <family val="1"/>
        <charset val="186"/>
      </rPr>
      <t xml:space="preserve"> SB(P)</t>
    </r>
  </si>
  <si>
    <t>Įvykdytas architektūrinis konkursas, vnt.</t>
  </si>
  <si>
    <t>Įrengta apšvietimo infrastruktūros kiemuose, vnt.</t>
  </si>
  <si>
    <t>Įrengtas tualetas Danės krantinėje, vnt.</t>
  </si>
  <si>
    <t>Įrengta konteinerinių tualetų Klaipėdos miesto paplūdimiuose, vnt.</t>
  </si>
  <si>
    <t>Vykdoma projektų, vnt.</t>
  </si>
  <si>
    <t>Prižiūrėta bendro naudojimo atliekų surinkimo konteinerių aikštelių, vnt.</t>
  </si>
  <si>
    <t xml:space="preserve">Įsigytas žemės sklypas, vnt. </t>
  </si>
  <si>
    <t xml:space="preserve">P
T
</t>
  </si>
  <si>
    <r>
      <t>Įrengta betoninių trinkelių danga Lėbartų kapinėse, m</t>
    </r>
    <r>
      <rPr>
        <vertAlign val="superscript"/>
        <sz val="10"/>
        <rFont val="Times New Roman"/>
        <family val="1"/>
        <charset val="186"/>
      </rPr>
      <t>2</t>
    </r>
  </si>
  <si>
    <t>Pakeista gatvių  ir pastatų numerių pavadinimų lentelių, krypties nuorodų, stovų su tvirtinimu, vnt.</t>
  </si>
  <si>
    <t>Atlikta rangos darbų (Statybininkų pr. nuo 9 iki 27, Žardininkų g. nuo 2 iki 18). Užbaigtumas, proc.</t>
  </si>
  <si>
    <t>Atlikta rangos darbų (Kauno g. 29, 31, 33, 35, 39, 39A). Užbaigtumas, proc.</t>
  </si>
  <si>
    <t>Atlikta rangos darbų (Kauno g. 45, 47, Šilutės pl. 18, 20, 22, 24). Užbaigtumas, proc.</t>
  </si>
  <si>
    <t>Atlikta rangos darbų (Kauno g. 13, 15, 17, 19, 23, 23A, 25). Užbaigtumas, proc.</t>
  </si>
  <si>
    <t>Atlikta rangos darbų (Taikos pr. 59, Kauno g. 3, 7, 9). Užbaigtumas, proc.</t>
  </si>
  <si>
    <t xml:space="preserve">Turgaus aikštės su prieigomis sutvarkymas, pritaikant verslo, bendruomenės poreikiams </t>
  </si>
  <si>
    <t>P1
I</t>
  </si>
  <si>
    <t>N
I</t>
  </si>
  <si>
    <t xml:space="preserve">2023–2025 M. KLAIPĖDOS MIESTO SAVIVALDYBĖS  </t>
  </si>
  <si>
    <t>Saugios kaimynystės bendruomenėje projektų įgyvendinimas</t>
  </si>
  <si>
    <t xml:space="preserve">Klaipėdos miesto savivaldybės miesto infrastruktūros objektų priežiūros ir modernizavimo programos (Nr. 07) aprašymo </t>
  </si>
  <si>
    <t>priedas</t>
  </si>
  <si>
    <t>SBL</t>
  </si>
  <si>
    <t>SB(L)'</t>
  </si>
  <si>
    <t>SB'</t>
  </si>
  <si>
    <t>SB(VR)'</t>
  </si>
  <si>
    <t>SB(P)'</t>
  </si>
  <si>
    <t>ES'</t>
  </si>
  <si>
    <t>SB(VB)'</t>
  </si>
  <si>
    <t>SB(SP)'</t>
  </si>
  <si>
    <t>SB(KPP)'</t>
  </si>
  <si>
    <t>Kt'</t>
  </si>
  <si>
    <t>SB(ES)'</t>
  </si>
  <si>
    <t>SB(SPI)'</t>
  </si>
  <si>
    <t>Parengtas viešojo tualeto remonto Lėbartų kapinių administraciniame pastate projektas, vnt.</t>
  </si>
  <si>
    <t xml:space="preserve">Atlikta viešojo tualeto remonto Lėbartų kapinių administraciniame pastate rangos darbų. Užbaigtumas, proc.  </t>
  </si>
  <si>
    <t>Antrosios  Melnragės gelbėjimo stotyje esančios kavinės nuoma, vnt.</t>
  </si>
  <si>
    <t>Lėšų poreikis biudžetiniams           2023-iesiems metams</t>
  </si>
  <si>
    <t xml:space="preserve">Danės teritorijos prieigų sutvarkymas Šiauriniame rage </t>
  </si>
  <si>
    <t>Miesto viešųjų teritorijų inventoriaus priežiūra, įrengimas ir įsigijimas</t>
  </si>
  <si>
    <t>Eksploatuojama viešųjų erdvių daugiafunkcių belaidžio (wi-fi) ryšio stotelių, vnt.</t>
  </si>
  <si>
    <t>Įrengta apžvalgos aikštelė Neįgaliųjų paplūdimyje, vnt.</t>
  </si>
  <si>
    <t>Akmenos-Danės upės vidaus vandens kelio valdymas</t>
  </si>
  <si>
    <t>Prižiūrimos vaikų žaidimų aikštelės viešosiose erdvėse, vnt.</t>
  </si>
  <si>
    <t>Įrengta vaikų žaidimų aikštelių viešosiose erdvėse, vnt.</t>
  </si>
  <si>
    <t>* N – nauja priemonė, T – tęstinė priemonė, I – investicijų projektas.</t>
  </si>
  <si>
    <t>Prižiūrėta parkų, skverų, vnt.</t>
  </si>
  <si>
    <t>SB(VRL)</t>
  </si>
  <si>
    <r>
      <t xml:space="preserve">Valstybės biudžeto specialiosios tikslinės dotacijos likučių lėšos </t>
    </r>
    <r>
      <rPr>
        <b/>
        <sz val="10"/>
        <rFont val="Times New Roman"/>
        <family val="1"/>
        <charset val="186"/>
      </rPr>
      <t>SB(VBL)</t>
    </r>
  </si>
  <si>
    <r>
      <t xml:space="preserve">Europos Sąjungos paramos likučių lėšos </t>
    </r>
    <r>
      <rPr>
        <b/>
        <sz val="10"/>
        <rFont val="Times New Roman"/>
        <family val="1"/>
        <charset val="186"/>
      </rPr>
      <t>SB(ESL)</t>
    </r>
  </si>
  <si>
    <r>
      <t>Vietinių rinkliavų likučio lėšos</t>
    </r>
    <r>
      <rPr>
        <b/>
        <sz val="10"/>
        <rFont val="Times New Roman"/>
        <family val="1"/>
        <charset val="186"/>
      </rPr>
      <t xml:space="preserve"> SB(VRL)</t>
    </r>
  </si>
  <si>
    <t>Įsigyta inventoriaus, vnt.</t>
  </si>
  <si>
    <t>167</t>
  </si>
  <si>
    <t>100</t>
  </si>
  <si>
    <t>Atlikta rangos darbų (Kretingos g. 27–Liepojos g. 2). Užbaigtumas, proc.</t>
  </si>
  <si>
    <t>Atlikta rangos darbų (Vilhelmo Berbomo g. 2, Kretingos g. 11–21). Užbaigtumas, proc.</t>
  </si>
  <si>
    <t>Lietaus nuotekų tinklų įrengimas teritorijoje tarp Tilžės g. ir Vilniaus pl. (A1 magistralinio kelio)</t>
  </si>
  <si>
    <t>Prižiūrima automatinių, konteinerinių viešųjų tualetų, vnt.</t>
  </si>
  <si>
    <t>Vartotojų prijungimas prie centralizuotų nuotekų surinkimo tinklų Klaipėdos miesto aglomeracijoje</t>
  </si>
  <si>
    <t>Paklota buitinių nuotekų tinklų,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</si>
</sst>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General"/>
  </numFmts>
  <fonts count="31" x14ac:knownFonts="1">
    <font>
      <sz val="10"/>
      <name val="Arial"/>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sz val="9"/>
      <color indexed="81"/>
      <name val="Tahoma"/>
      <family val="2"/>
      <charset val="186"/>
    </font>
    <font>
      <b/>
      <sz val="10"/>
      <name val="Times New Roman"/>
      <family val="1"/>
      <charset val="204"/>
    </font>
    <font>
      <sz val="10"/>
      <name val="Times New Roman"/>
      <family val="1"/>
      <charset val="204"/>
    </font>
    <font>
      <b/>
      <sz val="10"/>
      <name val="Times New Roman"/>
      <family val="1"/>
    </font>
    <font>
      <b/>
      <sz val="9"/>
      <color indexed="81"/>
      <name val="Tahoma"/>
      <family val="2"/>
      <charset val="186"/>
    </font>
    <font>
      <i/>
      <sz val="10"/>
      <name val="Times New Roman"/>
      <family val="1"/>
      <charset val="186"/>
    </font>
    <font>
      <u/>
      <sz val="10"/>
      <name val="Times New Roman"/>
      <family val="1"/>
      <charset val="186"/>
    </font>
    <font>
      <sz val="10"/>
      <name val="Cambria"/>
      <family val="1"/>
      <charset val="186"/>
    </font>
    <font>
      <sz val="11"/>
      <color rgb="FF000000"/>
      <name val="Calibri"/>
      <family val="2"/>
      <charset val="186"/>
    </font>
    <font>
      <sz val="11"/>
      <name val="Times"/>
      <family val="1"/>
    </font>
    <font>
      <sz val="12"/>
      <name val="Times New Roman"/>
      <family val="1"/>
    </font>
    <font>
      <b/>
      <sz val="9"/>
      <name val="Times New Roman"/>
      <family val="1"/>
      <charset val="186"/>
    </font>
    <font>
      <sz val="10"/>
      <name val="Times"/>
      <family val="1"/>
    </font>
    <font>
      <sz val="10"/>
      <color rgb="FFFF0000"/>
      <name val="Times New Roman"/>
      <family val="1"/>
      <charset val="186"/>
    </font>
    <font>
      <sz val="10"/>
      <name val="Times New Roman"/>
      <family val="1"/>
    </font>
    <font>
      <sz val="11"/>
      <name val="Times New Roman"/>
      <family val="1"/>
      <charset val="186"/>
    </font>
    <font>
      <strike/>
      <sz val="10"/>
      <name val="Times New Roman"/>
      <family val="1"/>
      <charset val="186"/>
    </font>
    <font>
      <sz val="10"/>
      <color theme="0" tint="-0.249977111117893"/>
      <name val="Times New Roman"/>
      <family val="1"/>
      <charset val="186"/>
    </font>
    <font>
      <vertAlign val="superscript"/>
      <sz val="10"/>
      <name val="Times New Roman"/>
      <family val="1"/>
      <charset val="186"/>
    </font>
    <font>
      <sz val="10"/>
      <color theme="0"/>
      <name val="Times New Roman"/>
      <family val="1"/>
    </font>
    <font>
      <sz val="10"/>
      <color theme="0"/>
      <name val="Times New Roman"/>
      <family val="1"/>
      <charset val="186"/>
    </font>
    <font>
      <b/>
      <sz val="10"/>
      <color theme="0"/>
      <name val="Times New Roman"/>
      <family val="1"/>
      <charset val="186"/>
    </font>
    <font>
      <sz val="10"/>
      <color theme="0"/>
      <name val="Cambria"/>
      <family val="1"/>
      <charset val="186"/>
    </font>
    <font>
      <sz val="11"/>
      <color rgb="FFFF0000"/>
      <name val="Times New Roman"/>
      <family val="1"/>
      <charset val="186"/>
    </font>
    <font>
      <sz val="10"/>
      <color theme="0"/>
      <name val="Arial"/>
      <family val="2"/>
      <charset val="186"/>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99"/>
        <bgColor indexed="64"/>
      </patternFill>
    </fill>
  </fills>
  <borders count="118">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s>
  <cellStyleXfs count="4">
    <xf numFmtId="0" fontId="0" fillId="0" borderId="0"/>
    <xf numFmtId="0" fontId="5" fillId="0" borderId="0"/>
    <xf numFmtId="0" fontId="1" fillId="2" borderId="1" applyBorder="0">
      <alignment horizontal="left" vertical="top" wrapText="1"/>
    </xf>
    <xf numFmtId="166" fontId="14" fillId="0" borderId="0" applyBorder="0" applyProtection="0"/>
  </cellStyleXfs>
  <cellXfs count="1123">
    <xf numFmtId="0" fontId="0" fillId="0" borderId="0" xfId="0"/>
    <xf numFmtId="0" fontId="1" fillId="0" borderId="0" xfId="0" applyFont="1" applyFill="1" applyBorder="1" applyAlignment="1">
      <alignment horizontal="center" vertical="top"/>
    </xf>
    <xf numFmtId="0" fontId="1" fillId="0" borderId="0" xfId="0" applyFont="1" applyBorder="1" applyAlignment="1">
      <alignment vertical="top"/>
    </xf>
    <xf numFmtId="0" fontId="1" fillId="0" borderId="0" xfId="0" applyFont="1" applyAlignment="1">
      <alignment vertical="top"/>
    </xf>
    <xf numFmtId="49" fontId="3" fillId="3" borderId="4" xfId="0" applyNumberFormat="1" applyFont="1" applyFill="1" applyBorder="1" applyAlignment="1">
      <alignment horizontal="center" vertical="top"/>
    </xf>
    <xf numFmtId="0" fontId="1" fillId="0" borderId="0" xfId="0" applyFont="1" applyFill="1" applyAlignment="1">
      <alignment vertical="top"/>
    </xf>
    <xf numFmtId="0" fontId="1" fillId="2" borderId="0" xfId="0" applyFont="1" applyFill="1" applyAlignment="1">
      <alignment vertical="top"/>
    </xf>
    <xf numFmtId="0" fontId="5" fillId="0" borderId="0" xfId="0" applyFont="1"/>
    <xf numFmtId="0" fontId="1" fillId="0" borderId="0" xfId="0" applyFont="1" applyAlignment="1">
      <alignment vertical="center"/>
    </xf>
    <xf numFmtId="165" fontId="1" fillId="0" borderId="0" xfId="0" applyNumberFormat="1" applyFont="1" applyAlignment="1">
      <alignment vertical="top"/>
    </xf>
    <xf numFmtId="0" fontId="1" fillId="0" borderId="0" xfId="0" applyFont="1" applyAlignment="1">
      <alignment horizontal="center" vertical="top"/>
    </xf>
    <xf numFmtId="49" fontId="3" fillId="4" borderId="44" xfId="0" applyNumberFormat="1" applyFont="1" applyFill="1" applyBorder="1" applyAlignment="1">
      <alignment horizontal="center" vertical="top"/>
    </xf>
    <xf numFmtId="0" fontId="3" fillId="8" borderId="49" xfId="0" applyFont="1" applyFill="1" applyBorder="1" applyAlignment="1">
      <alignment horizontal="center" vertical="top"/>
    </xf>
    <xf numFmtId="0" fontId="1" fillId="6" borderId="7" xfId="0" applyFont="1" applyFill="1" applyBorder="1" applyAlignment="1">
      <alignment horizontal="center" vertical="top"/>
    </xf>
    <xf numFmtId="49" fontId="3" fillId="10" borderId="28" xfId="0" applyNumberFormat="1" applyFont="1" applyFill="1" applyBorder="1" applyAlignment="1">
      <alignment horizontal="center" vertical="top"/>
    </xf>
    <xf numFmtId="49" fontId="3" fillId="10" borderId="24" xfId="0" applyNumberFormat="1" applyFont="1" applyFill="1" applyBorder="1" applyAlignment="1">
      <alignment horizontal="center" vertical="top"/>
    </xf>
    <xf numFmtId="49" fontId="3" fillId="10" borderId="44" xfId="0" applyNumberFormat="1" applyFont="1" applyFill="1" applyBorder="1" applyAlignment="1">
      <alignment horizontal="center" vertical="top"/>
    </xf>
    <xf numFmtId="49" fontId="3" fillId="10" borderId="47" xfId="0" applyNumberFormat="1" applyFont="1" applyFill="1" applyBorder="1" applyAlignment="1">
      <alignment horizontal="center" vertical="top"/>
    </xf>
    <xf numFmtId="49" fontId="3" fillId="10" borderId="6" xfId="0" applyNumberFormat="1" applyFont="1" applyFill="1" applyBorder="1" applyAlignment="1">
      <alignment horizontal="center" vertical="top" wrapText="1"/>
    </xf>
    <xf numFmtId="49" fontId="3" fillId="10" borderId="10"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3" fontId="1" fillId="0" borderId="0" xfId="0" applyNumberFormat="1" applyFont="1" applyBorder="1" applyAlignment="1">
      <alignment vertical="top"/>
    </xf>
    <xf numFmtId="0" fontId="1" fillId="6" borderId="5" xfId="0" applyFont="1" applyFill="1" applyBorder="1" applyAlignment="1">
      <alignment horizontal="center" vertical="top"/>
    </xf>
    <xf numFmtId="49" fontId="3" fillId="3" borderId="57" xfId="0" applyNumberFormat="1" applyFont="1" applyFill="1" applyBorder="1" applyAlignment="1">
      <alignment horizontal="center" vertical="top"/>
    </xf>
    <xf numFmtId="49" fontId="3" fillId="11" borderId="55" xfId="0" applyNumberFormat="1" applyFont="1" applyFill="1" applyBorder="1" applyAlignment="1">
      <alignment horizontal="center" vertical="top"/>
    </xf>
    <xf numFmtId="49" fontId="3" fillId="11" borderId="28" xfId="0" applyNumberFormat="1" applyFont="1" applyFill="1" applyBorder="1" applyAlignment="1">
      <alignment horizontal="center" vertical="top"/>
    </xf>
    <xf numFmtId="165" fontId="1" fillId="6" borderId="0" xfId="0" applyNumberFormat="1" applyFont="1" applyFill="1" applyBorder="1" applyAlignment="1">
      <alignment horizontal="center" vertical="top"/>
    </xf>
    <xf numFmtId="165" fontId="1" fillId="6" borderId="16" xfId="0" applyNumberFormat="1" applyFont="1" applyFill="1" applyBorder="1" applyAlignment="1">
      <alignment horizontal="center" vertical="top"/>
    </xf>
    <xf numFmtId="49" fontId="3" fillId="9" borderId="35" xfId="0" applyNumberFormat="1" applyFont="1" applyFill="1" applyBorder="1" applyAlignment="1">
      <alignment horizontal="center" vertical="top"/>
    </xf>
    <xf numFmtId="165" fontId="1" fillId="6" borderId="7" xfId="0" applyNumberFormat="1" applyFont="1" applyFill="1" applyBorder="1" applyAlignment="1">
      <alignment horizontal="center" vertical="top" wrapText="1"/>
    </xf>
    <xf numFmtId="0" fontId="1" fillId="6" borderId="11" xfId="0" applyFont="1" applyFill="1" applyBorder="1" applyAlignment="1">
      <alignment horizontal="center" vertical="top" wrapText="1"/>
    </xf>
    <xf numFmtId="49" fontId="3" fillId="3" borderId="18" xfId="0" applyNumberFormat="1" applyFont="1" applyFill="1" applyBorder="1" applyAlignment="1">
      <alignment horizontal="center" vertical="top" wrapText="1"/>
    </xf>
    <xf numFmtId="49" fontId="3" fillId="9" borderId="38" xfId="0" applyNumberFormat="1" applyFont="1" applyFill="1" applyBorder="1" applyAlignment="1">
      <alignment horizontal="center" vertical="top"/>
    </xf>
    <xf numFmtId="49" fontId="3" fillId="3" borderId="11" xfId="0" applyNumberFormat="1" applyFont="1" applyFill="1" applyBorder="1" applyAlignment="1">
      <alignment horizontal="center" vertical="top" wrapText="1"/>
    </xf>
    <xf numFmtId="49" fontId="3" fillId="3" borderId="17" xfId="0" applyNumberFormat="1" applyFont="1" applyFill="1" applyBorder="1" applyAlignment="1">
      <alignment horizontal="center" vertical="top"/>
    </xf>
    <xf numFmtId="49" fontId="3" fillId="10" borderId="8" xfId="0" applyNumberFormat="1" applyFont="1" applyFill="1" applyBorder="1" applyAlignment="1">
      <alignment horizontal="center" vertical="top" wrapText="1"/>
    </xf>
    <xf numFmtId="49" fontId="3" fillId="8" borderId="46" xfId="0" applyNumberFormat="1" applyFont="1" applyFill="1" applyBorder="1" applyAlignment="1">
      <alignment horizontal="center" vertical="top" wrapText="1"/>
    </xf>
    <xf numFmtId="49" fontId="3" fillId="8" borderId="38" xfId="0" applyNumberFormat="1" applyFont="1" applyFill="1" applyBorder="1" applyAlignment="1">
      <alignment horizontal="center" vertical="top"/>
    </xf>
    <xf numFmtId="49" fontId="3" fillId="8" borderId="0" xfId="0" applyNumberFormat="1" applyFont="1" applyFill="1" applyBorder="1" applyAlignment="1">
      <alignment horizontal="center" vertical="top"/>
    </xf>
    <xf numFmtId="49" fontId="3" fillId="8" borderId="18"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0" fontId="5" fillId="0" borderId="0" xfId="0" applyFont="1" applyAlignment="1">
      <alignment horizontal="left" vertical="top" wrapText="1"/>
    </xf>
    <xf numFmtId="49" fontId="3" fillId="10" borderId="28" xfId="0" applyNumberFormat="1" applyFont="1" applyFill="1" applyBorder="1" applyAlignment="1">
      <alignment horizontal="center" vertical="top" wrapText="1"/>
    </xf>
    <xf numFmtId="49" fontId="3" fillId="8" borderId="0" xfId="0" applyNumberFormat="1" applyFont="1" applyFill="1" applyBorder="1" applyAlignment="1">
      <alignment horizontal="center" vertical="top" wrapText="1"/>
    </xf>
    <xf numFmtId="0" fontId="3" fillId="6" borderId="36" xfId="0" applyFont="1" applyFill="1" applyBorder="1" applyAlignment="1">
      <alignment horizontal="center" vertical="center" wrapText="1"/>
    </xf>
    <xf numFmtId="49" fontId="3" fillId="8" borderId="11" xfId="0" applyNumberFormat="1" applyFont="1" applyFill="1" applyBorder="1" applyAlignment="1">
      <alignment vertical="center" textRotation="90"/>
    </xf>
    <xf numFmtId="3" fontId="1" fillId="6" borderId="41" xfId="0" applyNumberFormat="1" applyFont="1" applyFill="1" applyBorder="1" applyAlignment="1">
      <alignment horizontal="center" vertical="top"/>
    </xf>
    <xf numFmtId="3" fontId="1" fillId="6" borderId="41" xfId="0" applyNumberFormat="1" applyFont="1" applyFill="1" applyBorder="1" applyAlignment="1">
      <alignment horizontal="center" vertical="top" wrapText="1"/>
    </xf>
    <xf numFmtId="3" fontId="1" fillId="6" borderId="40" xfId="0" applyNumberFormat="1" applyFont="1" applyFill="1" applyBorder="1" applyAlignment="1">
      <alignment horizontal="center" vertical="top"/>
    </xf>
    <xf numFmtId="49" fontId="3" fillId="10" borderId="9" xfId="0" applyNumberFormat="1" applyFont="1" applyFill="1" applyBorder="1" applyAlignment="1">
      <alignment horizontal="center" vertical="top"/>
    </xf>
    <xf numFmtId="49" fontId="3" fillId="3" borderId="46" xfId="0" applyNumberFormat="1" applyFont="1" applyFill="1" applyBorder="1" applyAlignment="1">
      <alignment horizontal="center" vertical="top"/>
    </xf>
    <xf numFmtId="3" fontId="1" fillId="6" borderId="43" xfId="0" applyNumberFormat="1" applyFont="1" applyFill="1" applyBorder="1" applyAlignment="1">
      <alignment horizontal="center" vertical="top"/>
    </xf>
    <xf numFmtId="3" fontId="1" fillId="6" borderId="40" xfId="0" applyNumberFormat="1" applyFont="1" applyFill="1" applyBorder="1" applyAlignment="1">
      <alignment horizontal="center" vertical="top" wrapText="1"/>
    </xf>
    <xf numFmtId="3" fontId="1" fillId="6" borderId="72" xfId="0" applyNumberFormat="1" applyFont="1" applyFill="1" applyBorder="1" applyAlignment="1">
      <alignment horizontal="center" vertical="top" wrapText="1"/>
    </xf>
    <xf numFmtId="3" fontId="1" fillId="6" borderId="43" xfId="0" applyNumberFormat="1" applyFont="1" applyFill="1" applyBorder="1" applyAlignment="1">
      <alignment horizontal="center" vertical="top" wrapText="1"/>
    </xf>
    <xf numFmtId="3" fontId="1" fillId="6" borderId="40" xfId="1" applyNumberFormat="1" applyFont="1" applyFill="1" applyBorder="1" applyAlignment="1">
      <alignment horizontal="center" vertical="top"/>
    </xf>
    <xf numFmtId="3" fontId="1" fillId="6" borderId="73" xfId="0" applyNumberFormat="1" applyFont="1" applyFill="1" applyBorder="1" applyAlignment="1">
      <alignment horizontal="center" vertical="top" wrapText="1"/>
    </xf>
    <xf numFmtId="1" fontId="1" fillId="6" borderId="76" xfId="0" applyNumberFormat="1" applyFont="1" applyFill="1" applyBorder="1" applyAlignment="1">
      <alignment horizontal="center" vertical="top" wrapText="1"/>
    </xf>
    <xf numFmtId="3" fontId="1" fillId="6" borderId="76" xfId="0" applyNumberFormat="1" applyFont="1" applyFill="1" applyBorder="1" applyAlignment="1">
      <alignment horizontal="center" vertical="top"/>
    </xf>
    <xf numFmtId="3" fontId="1" fillId="6" borderId="73" xfId="0" applyNumberFormat="1" applyFont="1" applyFill="1" applyBorder="1" applyAlignment="1">
      <alignment horizontal="center" vertical="top"/>
    </xf>
    <xf numFmtId="3" fontId="3" fillId="6" borderId="41" xfId="0" applyNumberFormat="1" applyFont="1" applyFill="1" applyBorder="1" applyAlignment="1">
      <alignment horizontal="center" vertical="top" wrapText="1"/>
    </xf>
    <xf numFmtId="0" fontId="1" fillId="6" borderId="73" xfId="0" applyNumberFormat="1" applyFont="1" applyFill="1" applyBorder="1" applyAlignment="1">
      <alignment horizontal="center" vertical="top" wrapText="1"/>
    </xf>
    <xf numFmtId="49" fontId="1" fillId="6" borderId="73" xfId="0" applyNumberFormat="1" applyFont="1" applyFill="1" applyBorder="1" applyAlignment="1">
      <alignment horizontal="center" vertical="top" wrapText="1"/>
    </xf>
    <xf numFmtId="1" fontId="1" fillId="6" borderId="41" xfId="0" applyNumberFormat="1" applyFont="1" applyFill="1" applyBorder="1" applyAlignment="1">
      <alignment horizontal="center" vertical="top" wrapText="1"/>
    </xf>
    <xf numFmtId="1" fontId="1" fillId="6" borderId="41" xfId="1" applyNumberFormat="1" applyFont="1" applyFill="1" applyBorder="1" applyAlignment="1">
      <alignment horizontal="center" vertical="top" wrapText="1"/>
    </xf>
    <xf numFmtId="3" fontId="1" fillId="6" borderId="72" xfId="1" applyNumberFormat="1" applyFont="1" applyFill="1" applyBorder="1" applyAlignment="1">
      <alignment horizontal="center" vertical="top" wrapText="1"/>
    </xf>
    <xf numFmtId="165" fontId="1" fillId="6" borderId="41" xfId="0" applyNumberFormat="1" applyFont="1" applyFill="1" applyBorder="1" applyAlignment="1">
      <alignment horizontal="center" vertical="top" wrapText="1"/>
    </xf>
    <xf numFmtId="165" fontId="1" fillId="6" borderId="4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xf>
    <xf numFmtId="0" fontId="1" fillId="6" borderId="4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3" fontId="1" fillId="0" borderId="0" xfId="0" applyNumberFormat="1" applyFont="1" applyAlignment="1">
      <alignment horizontal="center" vertical="top"/>
    </xf>
    <xf numFmtId="0" fontId="1" fillId="0" borderId="0" xfId="0" applyFont="1" applyBorder="1" applyAlignment="1">
      <alignment horizontal="center" vertical="top"/>
    </xf>
    <xf numFmtId="0" fontId="1" fillId="0" borderId="0" xfId="0" applyFont="1" applyFill="1" applyAlignment="1">
      <alignment horizontal="center" vertical="top"/>
    </xf>
    <xf numFmtId="0" fontId="3" fillId="8" borderId="83" xfId="0" applyFont="1" applyFill="1" applyBorder="1" applyAlignment="1">
      <alignment horizontal="center" vertical="top"/>
    </xf>
    <xf numFmtId="3" fontId="1" fillId="6" borderId="85" xfId="0" applyNumberFormat="1" applyFont="1" applyFill="1" applyBorder="1" applyAlignment="1">
      <alignment horizontal="center" vertical="top" wrapText="1"/>
    </xf>
    <xf numFmtId="3" fontId="1" fillId="6" borderId="75" xfId="0" applyNumberFormat="1" applyFont="1" applyFill="1" applyBorder="1" applyAlignment="1">
      <alignment horizontal="center" vertical="top" wrapText="1"/>
    </xf>
    <xf numFmtId="165" fontId="1" fillId="6" borderId="27" xfId="0" applyNumberFormat="1" applyFont="1" applyFill="1" applyBorder="1" applyAlignment="1">
      <alignment horizontal="center" vertical="top"/>
    </xf>
    <xf numFmtId="0" fontId="1" fillId="6" borderId="71" xfId="0" applyFont="1" applyFill="1" applyBorder="1" applyAlignment="1">
      <alignment horizontal="center" vertical="top" wrapText="1"/>
    </xf>
    <xf numFmtId="0" fontId="1" fillId="6" borderId="43" xfId="0" applyFont="1" applyFill="1" applyBorder="1" applyAlignment="1">
      <alignment horizontal="center" vertical="top"/>
    </xf>
    <xf numFmtId="2" fontId="1" fillId="0" borderId="0" xfId="0" applyNumberFormat="1" applyFont="1" applyAlignment="1">
      <alignment horizontal="center" vertical="top"/>
    </xf>
    <xf numFmtId="0" fontId="1" fillId="6" borderId="40" xfId="0" applyNumberFormat="1" applyFont="1" applyFill="1" applyBorder="1" applyAlignment="1">
      <alignment horizontal="center" vertical="top" wrapText="1"/>
    </xf>
    <xf numFmtId="0" fontId="1" fillId="6" borderId="27" xfId="0" applyFont="1" applyFill="1" applyBorder="1" applyAlignment="1">
      <alignment horizontal="center" vertical="top"/>
    </xf>
    <xf numFmtId="0" fontId="3" fillId="8" borderId="84" xfId="0" applyFont="1" applyFill="1" applyBorder="1" applyAlignment="1">
      <alignment horizontal="center" vertical="top"/>
    </xf>
    <xf numFmtId="165" fontId="1" fillId="6" borderId="7" xfId="0" applyNumberFormat="1" applyFont="1" applyFill="1" applyBorder="1" applyAlignment="1">
      <alignment horizontal="center" vertical="top"/>
    </xf>
    <xf numFmtId="0" fontId="3" fillId="6" borderId="38" xfId="0" applyFont="1" applyFill="1" applyBorder="1" applyAlignment="1">
      <alignment horizontal="center" vertical="center" wrapText="1"/>
    </xf>
    <xf numFmtId="0" fontId="1" fillId="6" borderId="11" xfId="0" applyFont="1" applyFill="1" applyBorder="1" applyAlignment="1">
      <alignment vertical="center" textRotation="90"/>
    </xf>
    <xf numFmtId="0" fontId="1" fillId="6" borderId="27" xfId="0" applyFont="1" applyFill="1" applyBorder="1" applyAlignment="1">
      <alignment horizontal="center" vertical="center" textRotation="90" wrapText="1"/>
    </xf>
    <xf numFmtId="0" fontId="1" fillId="6" borderId="7" xfId="0" applyFont="1" applyFill="1" applyBorder="1" applyAlignment="1">
      <alignment horizontal="center" vertical="top" wrapText="1"/>
    </xf>
    <xf numFmtId="0" fontId="15" fillId="0" borderId="0" xfId="0" applyFont="1" applyAlignment="1">
      <alignment vertical="top" wrapText="1"/>
    </xf>
    <xf numFmtId="165" fontId="1" fillId="6" borderId="39" xfId="0" applyNumberFormat="1" applyFont="1" applyFill="1" applyBorder="1" applyAlignment="1">
      <alignment horizontal="center" vertical="top" wrapText="1"/>
    </xf>
    <xf numFmtId="0" fontId="1" fillId="6" borderId="16" xfId="0" applyFont="1" applyFill="1" applyBorder="1" applyAlignment="1">
      <alignment horizontal="center" vertical="top"/>
    </xf>
    <xf numFmtId="165" fontId="1" fillId="6" borderId="75" xfId="0" applyNumberFormat="1" applyFont="1" applyFill="1" applyBorder="1" applyAlignment="1">
      <alignment horizontal="center" vertical="top"/>
    </xf>
    <xf numFmtId="0" fontId="1" fillId="6" borderId="34" xfId="0" applyFont="1" applyFill="1" applyBorder="1" applyAlignment="1">
      <alignment horizontal="center" vertical="top" wrapText="1"/>
    </xf>
    <xf numFmtId="3" fontId="1" fillId="6" borderId="76" xfId="1" applyNumberFormat="1" applyFont="1" applyFill="1" applyBorder="1" applyAlignment="1">
      <alignment horizontal="center" vertical="top" wrapText="1"/>
    </xf>
    <xf numFmtId="49" fontId="3" fillId="8" borderId="17" xfId="0" applyNumberFormat="1" applyFont="1" applyFill="1" applyBorder="1" applyAlignment="1">
      <alignment horizontal="center" vertical="top" wrapText="1"/>
    </xf>
    <xf numFmtId="0" fontId="1" fillId="6" borderId="81" xfId="0" applyFont="1" applyFill="1" applyBorder="1" applyAlignment="1">
      <alignment vertical="top" wrapText="1"/>
    </xf>
    <xf numFmtId="3" fontId="1" fillId="6" borderId="82" xfId="0" applyNumberFormat="1" applyFont="1" applyFill="1" applyBorder="1" applyAlignment="1">
      <alignment horizontal="center" vertical="top"/>
    </xf>
    <xf numFmtId="0" fontId="3" fillId="6" borderId="81" xfId="0" applyFont="1" applyFill="1" applyBorder="1" applyAlignment="1">
      <alignment horizontal="center" vertical="top" wrapText="1"/>
    </xf>
    <xf numFmtId="164" fontId="1" fillId="6" borderId="73" xfId="0" applyNumberFormat="1" applyFont="1" applyFill="1" applyBorder="1" applyAlignment="1">
      <alignment horizontal="center" vertical="top"/>
    </xf>
    <xf numFmtId="0" fontId="3" fillId="6" borderId="11" xfId="0" applyFont="1" applyFill="1" applyBorder="1" applyAlignment="1">
      <alignment horizontal="center" vertical="center" wrapText="1"/>
    </xf>
    <xf numFmtId="0" fontId="1" fillId="6" borderId="11" xfId="0" applyFont="1" applyFill="1" applyBorder="1" applyAlignment="1">
      <alignment vertical="center" textRotation="90" wrapText="1"/>
    </xf>
    <xf numFmtId="0" fontId="3" fillId="6" borderId="11" xfId="0" applyFont="1" applyFill="1" applyBorder="1" applyAlignment="1">
      <alignment horizontal="center" vertical="top"/>
    </xf>
    <xf numFmtId="3" fontId="3" fillId="6" borderId="14" xfId="0" applyNumberFormat="1" applyFont="1" applyFill="1" applyBorder="1" applyAlignment="1">
      <alignment horizontal="center" vertical="top"/>
    </xf>
    <xf numFmtId="0" fontId="3" fillId="6" borderId="21" xfId="0" applyFont="1" applyFill="1" applyBorder="1" applyAlignment="1">
      <alignment horizontal="center" vertical="top"/>
    </xf>
    <xf numFmtId="0" fontId="3" fillId="6" borderId="1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16" xfId="0" applyFont="1" applyBorder="1" applyAlignment="1">
      <alignment vertical="top"/>
    </xf>
    <xf numFmtId="0" fontId="1" fillId="6" borderId="64" xfId="0" applyFont="1" applyFill="1" applyBorder="1" applyAlignment="1">
      <alignment horizontal="center" vertical="top"/>
    </xf>
    <xf numFmtId="165" fontId="3" fillId="3" borderId="47" xfId="0" applyNumberFormat="1" applyFont="1" applyFill="1" applyBorder="1" applyAlignment="1">
      <alignment horizontal="center" vertical="top"/>
    </xf>
    <xf numFmtId="0" fontId="1" fillId="0" borderId="53" xfId="0" applyFont="1" applyBorder="1" applyAlignment="1">
      <alignment horizontal="center" vertical="top"/>
    </xf>
    <xf numFmtId="0" fontId="1" fillId="0" borderId="0" xfId="0" applyFont="1" applyFill="1" applyBorder="1" applyAlignment="1">
      <alignment vertical="top"/>
    </xf>
    <xf numFmtId="3" fontId="1" fillId="6" borderId="76" xfId="0" applyNumberFormat="1" applyFont="1" applyFill="1" applyBorder="1" applyAlignment="1">
      <alignment horizontal="center" vertical="top" wrapText="1"/>
    </xf>
    <xf numFmtId="3" fontId="1" fillId="6" borderId="75" xfId="1" applyNumberFormat="1" applyFont="1" applyFill="1" applyBorder="1" applyAlignment="1">
      <alignment horizontal="center" vertical="top" wrapText="1"/>
    </xf>
    <xf numFmtId="3" fontId="3" fillId="6" borderId="14" xfId="0" applyNumberFormat="1" applyFont="1" applyFill="1" applyBorder="1" applyAlignment="1">
      <alignment horizontal="center" vertical="top" wrapText="1"/>
    </xf>
    <xf numFmtId="3" fontId="3" fillId="6" borderId="11" xfId="0" applyNumberFormat="1" applyFont="1" applyFill="1" applyBorder="1" applyAlignment="1">
      <alignment horizontal="center" vertical="top" wrapText="1"/>
    </xf>
    <xf numFmtId="165" fontId="3" fillId="8" borderId="83" xfId="0" applyNumberFormat="1" applyFont="1" applyFill="1" applyBorder="1" applyAlignment="1">
      <alignment horizontal="center" vertical="top"/>
    </xf>
    <xf numFmtId="0" fontId="1" fillId="0" borderId="7" xfId="0" applyFont="1" applyBorder="1" applyAlignment="1">
      <alignment vertical="top"/>
    </xf>
    <xf numFmtId="0" fontId="1" fillId="0" borderId="43" xfId="0" applyFont="1" applyBorder="1" applyAlignment="1">
      <alignment vertical="top"/>
    </xf>
    <xf numFmtId="165" fontId="1" fillId="6" borderId="41" xfId="0" applyNumberFormat="1" applyFont="1" applyFill="1" applyBorder="1" applyAlignment="1">
      <alignment horizontal="center" vertical="top"/>
    </xf>
    <xf numFmtId="165" fontId="1" fillId="6" borderId="33" xfId="0" applyNumberFormat="1" applyFont="1" applyFill="1" applyBorder="1" applyAlignment="1">
      <alignment horizontal="center" vertical="top"/>
    </xf>
    <xf numFmtId="165" fontId="1" fillId="6" borderId="20" xfId="0" applyNumberFormat="1" applyFont="1" applyFill="1" applyBorder="1" applyAlignment="1">
      <alignment horizontal="center" vertical="top"/>
    </xf>
    <xf numFmtId="0" fontId="1" fillId="6" borderId="8" xfId="0" applyFont="1" applyFill="1" applyBorder="1" applyAlignment="1">
      <alignment horizontal="center" vertical="top"/>
    </xf>
    <xf numFmtId="165" fontId="1" fillId="6" borderId="14" xfId="0" applyNumberFormat="1" applyFont="1" applyFill="1" applyBorder="1" applyAlignment="1">
      <alignment horizontal="center" vertical="top"/>
    </xf>
    <xf numFmtId="165" fontId="1" fillId="6" borderId="11" xfId="0" applyNumberFormat="1" applyFont="1" applyFill="1" applyBorder="1" applyAlignment="1">
      <alignment horizontal="center" vertical="top"/>
    </xf>
    <xf numFmtId="165" fontId="1" fillId="6" borderId="23" xfId="0" applyNumberFormat="1" applyFont="1" applyFill="1" applyBorder="1" applyAlignment="1">
      <alignment horizontal="center" vertical="top"/>
    </xf>
    <xf numFmtId="0" fontId="1" fillId="6" borderId="11" xfId="0" applyFont="1" applyFill="1" applyBorder="1" applyAlignment="1">
      <alignment horizontal="center" vertical="top"/>
    </xf>
    <xf numFmtId="165" fontId="1" fillId="6" borderId="11" xfId="0" applyNumberFormat="1" applyFont="1" applyFill="1" applyBorder="1" applyAlignment="1">
      <alignment horizontal="center" vertical="top" wrapText="1"/>
    </xf>
    <xf numFmtId="0" fontId="1" fillId="0" borderId="13" xfId="0" applyFont="1" applyBorder="1" applyAlignment="1">
      <alignment vertical="top"/>
    </xf>
    <xf numFmtId="165" fontId="1" fillId="6" borderId="68" xfId="0" applyNumberFormat="1" applyFont="1" applyFill="1" applyBorder="1" applyAlignment="1">
      <alignment horizontal="center" vertical="top"/>
    </xf>
    <xf numFmtId="165" fontId="1" fillId="6" borderId="59" xfId="0" applyNumberFormat="1" applyFont="1" applyFill="1" applyBorder="1" applyAlignment="1">
      <alignment horizontal="center" vertical="top"/>
    </xf>
    <xf numFmtId="165" fontId="3" fillId="8" borderId="89" xfId="0" applyNumberFormat="1" applyFont="1" applyFill="1" applyBorder="1" applyAlignment="1">
      <alignment horizontal="center" vertical="top"/>
    </xf>
    <xf numFmtId="165" fontId="3" fillId="8" borderId="3" xfId="0" applyNumberFormat="1" applyFont="1" applyFill="1" applyBorder="1" applyAlignment="1">
      <alignment horizontal="center" vertical="top"/>
    </xf>
    <xf numFmtId="165" fontId="3" fillId="3" borderId="51" xfId="0" applyNumberFormat="1" applyFont="1" applyFill="1" applyBorder="1" applyAlignment="1">
      <alignment horizontal="center" vertical="top"/>
    </xf>
    <xf numFmtId="165" fontId="1" fillId="6" borderId="6" xfId="0" applyNumberFormat="1" applyFont="1" applyFill="1" applyBorder="1" applyAlignment="1">
      <alignment horizontal="center" vertical="top"/>
    </xf>
    <xf numFmtId="165" fontId="3" fillId="3" borderId="44" xfId="0" applyNumberFormat="1" applyFont="1" applyFill="1" applyBorder="1" applyAlignment="1">
      <alignment horizontal="center" vertical="top"/>
    </xf>
    <xf numFmtId="165" fontId="1" fillId="6" borderId="18" xfId="0" applyNumberFormat="1" applyFont="1" applyFill="1" applyBorder="1" applyAlignment="1">
      <alignment horizontal="center" vertical="top"/>
    </xf>
    <xf numFmtId="165" fontId="3" fillId="3" borderId="4" xfId="0" applyNumberFormat="1" applyFont="1" applyFill="1" applyBorder="1" applyAlignment="1">
      <alignment horizontal="center" vertical="top"/>
    </xf>
    <xf numFmtId="3" fontId="1" fillId="6" borderId="81" xfId="0" applyNumberFormat="1" applyFont="1" applyFill="1" applyBorder="1" applyAlignment="1">
      <alignment horizontal="center" vertical="top"/>
    </xf>
    <xf numFmtId="165" fontId="3" fillId="3" borderId="95" xfId="0" applyNumberFormat="1" applyFont="1" applyFill="1" applyBorder="1" applyAlignment="1">
      <alignment horizontal="center" vertical="top"/>
    </xf>
    <xf numFmtId="165" fontId="3" fillId="8" borderId="74" xfId="0" applyNumberFormat="1" applyFont="1" applyFill="1" applyBorder="1" applyAlignment="1">
      <alignment horizontal="center" vertical="top"/>
    </xf>
    <xf numFmtId="165" fontId="3" fillId="3" borderId="57" xfId="0" applyNumberFormat="1" applyFont="1" applyFill="1" applyBorder="1" applyAlignment="1">
      <alignment horizontal="center" vertical="top"/>
    </xf>
    <xf numFmtId="165" fontId="3" fillId="9" borderId="89" xfId="0" applyNumberFormat="1" applyFont="1" applyFill="1" applyBorder="1" applyAlignment="1">
      <alignment horizontal="center" vertical="top"/>
    </xf>
    <xf numFmtId="165" fontId="3" fillId="10" borderId="4" xfId="0" applyNumberFormat="1" applyFont="1" applyFill="1" applyBorder="1" applyAlignment="1">
      <alignment horizontal="center" vertical="top"/>
    </xf>
    <xf numFmtId="165" fontId="3" fillId="4" borderId="4" xfId="0" applyNumberFormat="1" applyFont="1" applyFill="1" applyBorder="1" applyAlignment="1">
      <alignment horizontal="center" vertical="top"/>
    </xf>
    <xf numFmtId="0" fontId="1" fillId="6" borderId="16" xfId="0" applyFont="1" applyFill="1" applyBorder="1" applyAlignment="1">
      <alignment vertical="top" wrapText="1"/>
    </xf>
    <xf numFmtId="0" fontId="1" fillId="6" borderId="86" xfId="1" applyFont="1" applyFill="1" applyBorder="1" applyAlignment="1">
      <alignment vertical="top" wrapText="1"/>
    </xf>
    <xf numFmtId="0" fontId="1" fillId="6" borderId="96" xfId="0" applyFont="1" applyFill="1" applyBorder="1" applyAlignment="1">
      <alignment horizontal="left" vertical="top" wrapText="1"/>
    </xf>
    <xf numFmtId="0" fontId="12" fillId="6" borderId="5" xfId="0" applyFont="1" applyFill="1" applyBorder="1" applyAlignment="1">
      <alignment horizontal="left" vertical="top" wrapText="1"/>
    </xf>
    <xf numFmtId="0" fontId="1" fillId="6" borderId="86" xfId="0" applyFont="1" applyFill="1" applyBorder="1" applyAlignment="1">
      <alignment horizontal="left" vertical="top" wrapText="1"/>
    </xf>
    <xf numFmtId="0" fontId="12" fillId="6" borderId="70" xfId="0" applyFont="1" applyFill="1" applyBorder="1" applyAlignment="1">
      <alignment vertical="top" wrapText="1"/>
    </xf>
    <xf numFmtId="0" fontId="1" fillId="6" borderId="86" xfId="0" applyFont="1" applyFill="1" applyBorder="1" applyAlignment="1">
      <alignment vertical="top" wrapText="1"/>
    </xf>
    <xf numFmtId="3" fontId="1" fillId="6" borderId="75" xfId="1" applyNumberFormat="1" applyFont="1" applyFill="1" applyBorder="1" applyAlignment="1">
      <alignment horizontal="center" vertical="top"/>
    </xf>
    <xf numFmtId="0" fontId="1" fillId="6" borderId="71" xfId="0" applyFont="1" applyFill="1" applyBorder="1" applyAlignment="1">
      <alignment vertical="top" wrapText="1"/>
    </xf>
    <xf numFmtId="0" fontId="1" fillId="6" borderId="97" xfId="0" applyFont="1" applyFill="1" applyBorder="1" applyAlignment="1">
      <alignment vertical="top" wrapText="1"/>
    </xf>
    <xf numFmtId="0" fontId="1" fillId="6" borderId="96" xfId="1" applyFont="1" applyFill="1" applyBorder="1" applyAlignment="1">
      <alignment horizontal="left" vertical="top" wrapText="1"/>
    </xf>
    <xf numFmtId="0" fontId="1" fillId="6" borderId="96" xfId="0" applyFont="1" applyFill="1" applyBorder="1" applyAlignment="1">
      <alignment vertical="top" wrapText="1"/>
    </xf>
    <xf numFmtId="0" fontId="1" fillId="6" borderId="84" xfId="0" applyFont="1" applyFill="1" applyBorder="1" applyAlignment="1">
      <alignment horizontal="left" vertical="top" wrapText="1"/>
    </xf>
    <xf numFmtId="165" fontId="1" fillId="6" borderId="75" xfId="0" applyNumberFormat="1" applyFont="1" applyFill="1" applyBorder="1" applyAlignment="1">
      <alignment horizontal="center" vertical="top" wrapText="1"/>
    </xf>
    <xf numFmtId="0" fontId="1" fillId="6" borderId="75" xfId="0" applyFont="1" applyFill="1" applyBorder="1" applyAlignment="1">
      <alignment horizontal="center" vertical="top"/>
    </xf>
    <xf numFmtId="0" fontId="1" fillId="6" borderId="77" xfId="0" applyFont="1" applyFill="1" applyBorder="1" applyAlignment="1">
      <alignment horizontal="center" vertical="top"/>
    </xf>
    <xf numFmtId="0" fontId="1" fillId="6" borderId="76" xfId="0" applyFont="1" applyFill="1" applyBorder="1" applyAlignment="1">
      <alignment horizontal="center" vertical="top"/>
    </xf>
    <xf numFmtId="0" fontId="1" fillId="6" borderId="73" xfId="0" applyFont="1" applyFill="1" applyBorder="1" applyAlignment="1">
      <alignment horizontal="center" vertical="top"/>
    </xf>
    <xf numFmtId="0" fontId="1" fillId="6" borderId="72" xfId="0" applyFont="1" applyFill="1" applyBorder="1" applyAlignment="1">
      <alignment horizontal="center" vertical="top"/>
    </xf>
    <xf numFmtId="0" fontId="1" fillId="6" borderId="40" xfId="0" applyFont="1" applyFill="1" applyBorder="1" applyAlignment="1">
      <alignment horizontal="center" vertical="top"/>
    </xf>
    <xf numFmtId="1" fontId="1" fillId="6" borderId="40" xfId="0" applyNumberFormat="1" applyFont="1" applyFill="1" applyBorder="1" applyAlignment="1">
      <alignment horizontal="center" vertical="top" wrapText="1"/>
    </xf>
    <xf numFmtId="0" fontId="1" fillId="0" borderId="72" xfId="0" applyFont="1" applyBorder="1" applyAlignment="1">
      <alignment horizontal="center" vertical="top"/>
    </xf>
    <xf numFmtId="0" fontId="1" fillId="6" borderId="43" xfId="0" applyNumberFormat="1" applyFont="1" applyFill="1" applyBorder="1" applyAlignment="1">
      <alignment horizontal="center" vertical="top" wrapText="1"/>
    </xf>
    <xf numFmtId="49" fontId="3" fillId="10" borderId="20" xfId="0" applyNumberFormat="1" applyFont="1" applyFill="1" applyBorder="1" applyAlignment="1">
      <alignment horizontal="center" vertical="top" wrapText="1"/>
    </xf>
    <xf numFmtId="3" fontId="1" fillId="6" borderId="33" xfId="0" applyNumberFormat="1" applyFont="1" applyFill="1" applyBorder="1" applyAlignment="1">
      <alignment horizontal="center" vertical="top" wrapText="1"/>
    </xf>
    <xf numFmtId="3" fontId="1" fillId="6" borderId="8" xfId="0" applyNumberFormat="1" applyFont="1" applyFill="1" applyBorder="1" applyAlignment="1">
      <alignment horizontal="center" vertical="top" wrapText="1"/>
    </xf>
    <xf numFmtId="3" fontId="1" fillId="6" borderId="20" xfId="0" applyNumberFormat="1" applyFont="1" applyFill="1" applyBorder="1" applyAlignment="1">
      <alignment horizontal="center" vertical="top" wrapText="1"/>
    </xf>
    <xf numFmtId="3" fontId="1" fillId="6" borderId="14"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wrapText="1"/>
    </xf>
    <xf numFmtId="3" fontId="1" fillId="6" borderId="23" xfId="0" applyNumberFormat="1" applyFont="1" applyFill="1" applyBorder="1" applyAlignment="1">
      <alignment horizontal="center" vertical="top" wrapText="1"/>
    </xf>
    <xf numFmtId="3" fontId="1" fillId="6" borderId="98" xfId="0" applyNumberFormat="1" applyFont="1" applyFill="1" applyBorder="1" applyAlignment="1">
      <alignment horizontal="center" vertical="top" wrapText="1"/>
    </xf>
    <xf numFmtId="3" fontId="1" fillId="6" borderId="68" xfId="0" applyNumberFormat="1" applyFont="1" applyFill="1" applyBorder="1" applyAlignment="1">
      <alignment horizontal="center" vertical="top" wrapText="1"/>
    </xf>
    <xf numFmtId="3" fontId="1" fillId="6" borderId="33" xfId="0" applyNumberFormat="1" applyFont="1" applyFill="1" applyBorder="1" applyAlignment="1">
      <alignment horizontal="center" vertical="top"/>
    </xf>
    <xf numFmtId="3" fontId="1" fillId="6" borderId="20" xfId="0" applyNumberFormat="1" applyFont="1" applyFill="1" applyBorder="1" applyAlignment="1">
      <alignment horizontal="center" vertical="top"/>
    </xf>
    <xf numFmtId="3" fontId="1" fillId="6" borderId="8" xfId="0" applyNumberFormat="1" applyFont="1" applyFill="1" applyBorder="1" applyAlignment="1">
      <alignment horizontal="center" vertical="top"/>
    </xf>
    <xf numFmtId="0" fontId="1" fillId="6" borderId="20" xfId="0" applyFont="1" applyFill="1" applyBorder="1" applyAlignment="1">
      <alignment horizontal="center" vertical="top"/>
    </xf>
    <xf numFmtId="3" fontId="1" fillId="6" borderId="14" xfId="0" applyNumberFormat="1" applyFont="1" applyFill="1" applyBorder="1" applyAlignment="1">
      <alignment horizontal="center" vertical="top"/>
    </xf>
    <xf numFmtId="3" fontId="1" fillId="6" borderId="23" xfId="0" applyNumberFormat="1" applyFont="1" applyFill="1" applyBorder="1" applyAlignment="1">
      <alignment horizontal="center" vertical="top"/>
    </xf>
    <xf numFmtId="3" fontId="1" fillId="6" borderId="11" xfId="0" applyNumberFormat="1" applyFont="1" applyFill="1" applyBorder="1" applyAlignment="1">
      <alignment horizontal="center" vertical="top"/>
    </xf>
    <xf numFmtId="0" fontId="1" fillId="6" borderId="23" xfId="0" applyFont="1" applyFill="1" applyBorder="1" applyAlignment="1">
      <alignment horizontal="center" vertical="top"/>
    </xf>
    <xf numFmtId="0" fontId="1" fillId="6" borderId="65" xfId="0" applyNumberFormat="1" applyFont="1" applyFill="1" applyBorder="1" applyAlignment="1">
      <alignment horizontal="center" vertical="top" wrapText="1"/>
    </xf>
    <xf numFmtId="0" fontId="1" fillId="6" borderId="68" xfId="0" applyNumberFormat="1" applyFont="1" applyFill="1" applyBorder="1" applyAlignment="1">
      <alignment horizontal="center" vertical="top" wrapText="1"/>
    </xf>
    <xf numFmtId="165" fontId="1" fillId="6" borderId="59" xfId="0" applyNumberFormat="1" applyFont="1" applyFill="1" applyBorder="1" applyAlignment="1">
      <alignment horizontal="center" vertical="top" wrapText="1"/>
    </xf>
    <xf numFmtId="3" fontId="1" fillId="6" borderId="59" xfId="0" applyNumberFormat="1" applyFont="1" applyFill="1" applyBorder="1" applyAlignment="1">
      <alignment horizontal="center" vertical="top" wrapText="1"/>
    </xf>
    <xf numFmtId="3" fontId="1" fillId="6" borderId="8" xfId="1" applyNumberFormat="1" applyFont="1" applyFill="1" applyBorder="1" applyAlignment="1">
      <alignment horizontal="center" vertical="top" wrapText="1"/>
    </xf>
    <xf numFmtId="3" fontId="1" fillId="6" borderId="89" xfId="0" applyNumberFormat="1" applyFont="1" applyFill="1" applyBorder="1" applyAlignment="1">
      <alignment horizontal="center" vertical="top"/>
    </xf>
    <xf numFmtId="3" fontId="1" fillId="6" borderId="60" xfId="1"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3" fontId="1" fillId="6" borderId="98" xfId="1" applyNumberFormat="1" applyFont="1" applyFill="1" applyBorder="1" applyAlignment="1">
      <alignment horizontal="center" vertical="top"/>
    </xf>
    <xf numFmtId="1" fontId="1" fillId="6" borderId="59" xfId="0" applyNumberFormat="1" applyFont="1" applyFill="1" applyBorder="1" applyAlignment="1">
      <alignment horizontal="center" vertical="top" wrapText="1"/>
    </xf>
    <xf numFmtId="1" fontId="1" fillId="6" borderId="60" xfId="0" applyNumberFormat="1" applyFont="1" applyFill="1" applyBorder="1" applyAlignment="1">
      <alignment horizontal="center" vertical="top" wrapText="1"/>
    </xf>
    <xf numFmtId="165" fontId="1" fillId="6" borderId="63" xfId="0" applyNumberFormat="1" applyFont="1" applyFill="1" applyBorder="1" applyAlignment="1">
      <alignment horizontal="center" vertical="top" wrapText="1"/>
    </xf>
    <xf numFmtId="0" fontId="1" fillId="6" borderId="61" xfId="0" applyFont="1" applyFill="1" applyBorder="1" applyAlignment="1">
      <alignment horizontal="center" vertical="top"/>
    </xf>
    <xf numFmtId="0" fontId="1" fillId="6" borderId="63" xfId="0" applyFont="1" applyFill="1" applyBorder="1" applyAlignment="1">
      <alignment horizontal="center" vertical="top"/>
    </xf>
    <xf numFmtId="164" fontId="1" fillId="6" borderId="93" xfId="0" applyNumberFormat="1" applyFont="1" applyFill="1" applyBorder="1" applyAlignment="1">
      <alignment horizontal="center" vertical="center" wrapText="1"/>
    </xf>
    <xf numFmtId="165" fontId="1" fillId="6" borderId="100" xfId="0" applyNumberFormat="1" applyFont="1" applyFill="1" applyBorder="1" applyAlignment="1">
      <alignment horizontal="center" vertical="top" wrapText="1"/>
    </xf>
    <xf numFmtId="165" fontId="1" fillId="6" borderId="93" xfId="0" applyNumberFormat="1" applyFont="1" applyFill="1" applyBorder="1" applyAlignment="1">
      <alignment horizontal="center" vertical="top" wrapText="1"/>
    </xf>
    <xf numFmtId="1" fontId="1" fillId="6" borderId="87" xfId="0" applyNumberFormat="1" applyFont="1" applyFill="1" applyBorder="1" applyAlignment="1">
      <alignment horizontal="center" vertical="top" wrapText="1"/>
    </xf>
    <xf numFmtId="0" fontId="1" fillId="6" borderId="93" xfId="0" applyFont="1" applyFill="1" applyBorder="1" applyAlignment="1">
      <alignment horizontal="center" vertical="top"/>
    </xf>
    <xf numFmtId="0" fontId="1" fillId="6" borderId="100" xfId="0" applyFont="1" applyFill="1" applyBorder="1" applyAlignment="1">
      <alignment horizontal="center" vertical="top"/>
    </xf>
    <xf numFmtId="3" fontId="1" fillId="6" borderId="91" xfId="0" applyNumberFormat="1" applyFont="1" applyFill="1" applyBorder="1" applyAlignment="1">
      <alignment horizontal="center" vertical="top"/>
    </xf>
    <xf numFmtId="0" fontId="1" fillId="6" borderId="59" xfId="0" applyFont="1" applyFill="1" applyBorder="1" applyAlignment="1">
      <alignment horizontal="center" vertical="top"/>
    </xf>
    <xf numFmtId="0" fontId="1" fillId="6" borderId="33" xfId="0" applyFont="1" applyFill="1" applyBorder="1" applyAlignment="1">
      <alignment horizontal="center" vertical="top"/>
    </xf>
    <xf numFmtId="0" fontId="1" fillId="6" borderId="66" xfId="0" applyFont="1" applyFill="1" applyBorder="1" applyAlignment="1">
      <alignment horizontal="center" vertical="top"/>
    </xf>
    <xf numFmtId="0" fontId="1" fillId="6" borderId="65" xfId="0" applyFont="1" applyFill="1" applyBorder="1" applyAlignment="1">
      <alignment horizontal="center" vertical="top"/>
    </xf>
    <xf numFmtId="0" fontId="1" fillId="6" borderId="60" xfId="0" applyFont="1" applyFill="1" applyBorder="1" applyAlignment="1">
      <alignment horizontal="center" vertical="top"/>
    </xf>
    <xf numFmtId="0" fontId="1" fillId="6" borderId="99" xfId="0" applyFont="1" applyFill="1" applyBorder="1" applyAlignment="1">
      <alignment horizontal="center" vertical="top"/>
    </xf>
    <xf numFmtId="0" fontId="1" fillId="6" borderId="14" xfId="0" applyFont="1" applyFill="1" applyBorder="1" applyAlignment="1">
      <alignment horizontal="center" vertical="top"/>
    </xf>
    <xf numFmtId="0" fontId="1" fillId="6" borderId="68" xfId="0" applyFont="1" applyFill="1" applyBorder="1" applyAlignment="1">
      <alignment horizontal="center" vertical="top"/>
    </xf>
    <xf numFmtId="1" fontId="1" fillId="6" borderId="33" xfId="0" applyNumberFormat="1" applyFont="1" applyFill="1" applyBorder="1" applyAlignment="1">
      <alignment horizontal="center" vertical="top" wrapText="1"/>
    </xf>
    <xf numFmtId="3" fontId="1" fillId="6" borderId="59" xfId="0" applyNumberFormat="1" applyFont="1" applyFill="1" applyBorder="1" applyAlignment="1">
      <alignment horizontal="center" vertical="top"/>
    </xf>
    <xf numFmtId="3" fontId="1" fillId="6" borderId="65" xfId="0" applyNumberFormat="1" applyFont="1" applyFill="1" applyBorder="1" applyAlignment="1">
      <alignment horizontal="center" vertical="top"/>
    </xf>
    <xf numFmtId="164" fontId="1" fillId="6" borderId="65" xfId="0" applyNumberFormat="1" applyFont="1" applyFill="1" applyBorder="1" applyAlignment="1">
      <alignment horizontal="center" vertical="top"/>
    </xf>
    <xf numFmtId="1" fontId="1" fillId="6" borderId="14" xfId="0" applyNumberFormat="1" applyFont="1" applyFill="1" applyBorder="1" applyAlignment="1">
      <alignment horizontal="center" vertical="top" wrapText="1"/>
    </xf>
    <xf numFmtId="0" fontId="1" fillId="0" borderId="67" xfId="0" applyFont="1" applyBorder="1" applyAlignment="1">
      <alignment horizontal="center" vertical="top"/>
    </xf>
    <xf numFmtId="3" fontId="1" fillId="6" borderId="60" xfId="0" applyNumberFormat="1" applyFont="1" applyFill="1" applyBorder="1" applyAlignment="1">
      <alignment horizontal="center" vertical="top"/>
    </xf>
    <xf numFmtId="3" fontId="1" fillId="6" borderId="68" xfId="0" applyNumberFormat="1" applyFont="1" applyFill="1" applyBorder="1" applyAlignment="1">
      <alignment horizontal="center" vertical="top"/>
    </xf>
    <xf numFmtId="3" fontId="1" fillId="6" borderId="99" xfId="0" applyNumberFormat="1" applyFont="1" applyFill="1" applyBorder="1" applyAlignment="1">
      <alignment horizontal="center" vertical="top"/>
    </xf>
    <xf numFmtId="3" fontId="1" fillId="6" borderId="2" xfId="0" applyNumberFormat="1" applyFont="1" applyFill="1" applyBorder="1" applyAlignment="1">
      <alignment horizontal="center" vertical="top"/>
    </xf>
    <xf numFmtId="3" fontId="1" fillId="6" borderId="6" xfId="0" applyNumberFormat="1" applyFont="1" applyFill="1" applyBorder="1" applyAlignment="1">
      <alignment horizontal="center" vertical="top"/>
    </xf>
    <xf numFmtId="0" fontId="1" fillId="6" borderId="20" xfId="0" applyNumberFormat="1" applyFont="1" applyFill="1" applyBorder="1" applyAlignment="1">
      <alignment horizontal="center" vertical="top" wrapText="1"/>
    </xf>
    <xf numFmtId="0" fontId="1" fillId="6" borderId="8" xfId="0" applyNumberFormat="1" applyFont="1" applyFill="1" applyBorder="1" applyAlignment="1">
      <alignment horizontal="center" vertical="top" wrapText="1"/>
    </xf>
    <xf numFmtId="3" fontId="1" fillId="6" borderId="18" xfId="0" applyNumberFormat="1" applyFont="1" applyFill="1" applyBorder="1" applyAlignment="1">
      <alignment horizontal="center" vertical="top"/>
    </xf>
    <xf numFmtId="0" fontId="1" fillId="6" borderId="23" xfId="0" applyNumberFormat="1" applyFont="1" applyFill="1" applyBorder="1" applyAlignment="1">
      <alignment horizontal="center" vertical="top" wrapText="1"/>
    </xf>
    <xf numFmtId="0" fontId="1" fillId="6" borderId="11" xfId="0" applyNumberFormat="1" applyFont="1" applyFill="1" applyBorder="1" applyAlignment="1">
      <alignment horizontal="center" vertical="top" wrapText="1"/>
    </xf>
    <xf numFmtId="0" fontId="1" fillId="0" borderId="89" xfId="0" applyFont="1" applyBorder="1" applyAlignment="1">
      <alignment horizontal="center" vertical="center" textRotation="90"/>
    </xf>
    <xf numFmtId="0" fontId="1" fillId="0" borderId="3" xfId="0" applyFont="1" applyBorder="1" applyAlignment="1">
      <alignment horizontal="center" vertical="center" textRotation="90"/>
    </xf>
    <xf numFmtId="0" fontId="17" fillId="0" borderId="44"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51" xfId="0" applyFont="1" applyBorder="1" applyAlignment="1">
      <alignment horizontal="center" vertical="center" textRotation="90" wrapText="1"/>
    </xf>
    <xf numFmtId="165" fontId="1" fillId="0" borderId="43" xfId="0" applyNumberFormat="1" applyFont="1" applyBorder="1" applyAlignment="1">
      <alignment horizontal="center" vertical="top"/>
    </xf>
    <xf numFmtId="165" fontId="1" fillId="8" borderId="43" xfId="0" applyNumberFormat="1" applyFont="1" applyFill="1" applyBorder="1" applyAlignment="1">
      <alignment horizontal="center" vertical="top"/>
    </xf>
    <xf numFmtId="3" fontId="1" fillId="6" borderId="87" xfId="0" applyNumberFormat="1" applyFont="1" applyFill="1" applyBorder="1" applyAlignment="1">
      <alignment horizontal="center" vertical="top" wrapText="1"/>
    </xf>
    <xf numFmtId="3" fontId="1" fillId="6" borderId="62" xfId="0" applyNumberFormat="1" applyFont="1" applyFill="1" applyBorder="1" applyAlignment="1">
      <alignment horizontal="center" vertical="top" wrapText="1"/>
    </xf>
    <xf numFmtId="3" fontId="1" fillId="6" borderId="85" xfId="0" applyNumberFormat="1" applyFont="1" applyFill="1" applyBorder="1" applyAlignment="1">
      <alignment horizontal="center" vertical="top"/>
    </xf>
    <xf numFmtId="165" fontId="1" fillId="6" borderId="90" xfId="0" applyNumberFormat="1" applyFont="1" applyFill="1" applyBorder="1" applyAlignment="1">
      <alignment horizontal="center" vertical="top"/>
    </xf>
    <xf numFmtId="3" fontId="3" fillId="6" borderId="38" xfId="0" applyNumberFormat="1" applyFont="1" applyFill="1" applyBorder="1" applyAlignment="1">
      <alignment horizontal="center" vertical="top"/>
    </xf>
    <xf numFmtId="0" fontId="3" fillId="6" borderId="0" xfId="0" applyFont="1" applyFill="1" applyBorder="1" applyAlignment="1">
      <alignment horizontal="center" vertical="center" wrapText="1"/>
    </xf>
    <xf numFmtId="3" fontId="1" fillId="6" borderId="94" xfId="0" applyNumberFormat="1" applyFont="1" applyFill="1" applyBorder="1" applyAlignment="1">
      <alignment horizontal="center" vertical="top" wrapText="1"/>
    </xf>
    <xf numFmtId="165" fontId="1" fillId="6" borderId="1" xfId="0" applyNumberFormat="1" applyFont="1" applyFill="1" applyBorder="1" applyAlignment="1">
      <alignment horizontal="center" vertical="top"/>
    </xf>
    <xf numFmtId="0" fontId="1" fillId="6" borderId="41" xfId="0" applyFont="1" applyFill="1" applyBorder="1" applyAlignment="1">
      <alignment horizontal="center" vertical="top"/>
    </xf>
    <xf numFmtId="0" fontId="1" fillId="6" borderId="97" xfId="0" applyFont="1" applyFill="1" applyBorder="1" applyAlignment="1">
      <alignment horizontal="center" vertical="top"/>
    </xf>
    <xf numFmtId="0" fontId="1" fillId="6" borderId="12" xfId="0" applyFont="1" applyFill="1" applyBorder="1" applyAlignment="1">
      <alignment horizontal="center" vertical="top"/>
    </xf>
    <xf numFmtId="0" fontId="1" fillId="6" borderId="22" xfId="0" applyFont="1" applyFill="1" applyBorder="1" applyAlignment="1">
      <alignment horizontal="center" vertical="top"/>
    </xf>
    <xf numFmtId="3" fontId="1" fillId="6" borderId="27" xfId="0" applyNumberFormat="1" applyFont="1" applyFill="1" applyBorder="1" applyAlignment="1">
      <alignment horizontal="center" vertical="top" wrapText="1"/>
    </xf>
    <xf numFmtId="0" fontId="1" fillId="6" borderId="86" xfId="0" applyFont="1" applyFill="1" applyBorder="1" applyAlignment="1">
      <alignment horizontal="center" vertical="top"/>
    </xf>
    <xf numFmtId="0" fontId="1" fillId="0" borderId="99" xfId="0" applyFont="1" applyBorder="1" applyAlignment="1">
      <alignment horizontal="center" vertical="top"/>
    </xf>
    <xf numFmtId="165" fontId="1" fillId="6" borderId="99" xfId="0" applyNumberFormat="1" applyFont="1" applyFill="1" applyBorder="1" applyAlignment="1">
      <alignment horizontal="center" vertical="top"/>
    </xf>
    <xf numFmtId="0" fontId="1" fillId="6" borderId="76" xfId="0" applyNumberFormat="1" applyFont="1" applyFill="1" applyBorder="1" applyAlignment="1">
      <alignment horizontal="center" vertical="top" wrapText="1"/>
    </xf>
    <xf numFmtId="165" fontId="1" fillId="6" borderId="99" xfId="0" applyNumberFormat="1" applyFont="1" applyFill="1" applyBorder="1" applyAlignment="1">
      <alignment horizontal="center" vertical="top" wrapText="1"/>
    </xf>
    <xf numFmtId="165" fontId="1" fillId="6" borderId="69" xfId="0" applyNumberFormat="1" applyFont="1" applyFill="1" applyBorder="1" applyAlignment="1">
      <alignment horizontal="center" vertical="top"/>
    </xf>
    <xf numFmtId="3" fontId="1" fillId="6" borderId="69" xfId="0" applyNumberFormat="1" applyFont="1" applyFill="1" applyBorder="1" applyAlignment="1">
      <alignment horizontal="center" vertical="top" wrapText="1"/>
    </xf>
    <xf numFmtId="0" fontId="1" fillId="6" borderId="75" xfId="0" applyNumberFormat="1" applyFont="1" applyFill="1" applyBorder="1" applyAlignment="1">
      <alignment horizontal="center" vertical="top" wrapText="1"/>
    </xf>
    <xf numFmtId="165" fontId="1" fillId="6" borderId="94" xfId="0" applyNumberFormat="1" applyFont="1" applyFill="1" applyBorder="1" applyAlignment="1">
      <alignment horizontal="center" vertical="top" wrapText="1"/>
    </xf>
    <xf numFmtId="165" fontId="1" fillId="6" borderId="73" xfId="0" applyNumberFormat="1" applyFont="1" applyFill="1" applyBorder="1" applyAlignment="1">
      <alignment horizontal="center" vertical="top" wrapText="1"/>
    </xf>
    <xf numFmtId="165" fontId="1" fillId="6" borderId="70" xfId="0" applyNumberFormat="1" applyFont="1" applyFill="1" applyBorder="1" applyAlignment="1">
      <alignment horizontal="center" vertical="top" wrapText="1"/>
    </xf>
    <xf numFmtId="165" fontId="1" fillId="6" borderId="86" xfId="0" applyNumberFormat="1" applyFont="1" applyFill="1" applyBorder="1" applyAlignment="1">
      <alignment horizontal="center" vertical="top" wrapText="1"/>
    </xf>
    <xf numFmtId="165" fontId="1" fillId="6" borderId="60" xfId="0" applyNumberFormat="1" applyFont="1" applyFill="1" applyBorder="1" applyAlignment="1">
      <alignment horizontal="center" vertical="top"/>
    </xf>
    <xf numFmtId="165" fontId="1" fillId="6" borderId="62" xfId="0" applyNumberFormat="1" applyFont="1" applyFill="1" applyBorder="1" applyAlignment="1">
      <alignment horizontal="center" vertical="top"/>
    </xf>
    <xf numFmtId="3" fontId="1" fillId="6" borderId="12" xfId="0" applyNumberFormat="1" applyFont="1" applyFill="1" applyBorder="1" applyAlignment="1">
      <alignment horizontal="center" vertical="top" wrapText="1"/>
    </xf>
    <xf numFmtId="0" fontId="1" fillId="6" borderId="87" xfId="0" applyFont="1" applyFill="1" applyBorder="1" applyAlignment="1">
      <alignment horizontal="center" vertical="top"/>
    </xf>
    <xf numFmtId="0" fontId="1" fillId="6" borderId="86" xfId="0" applyFont="1" applyFill="1" applyBorder="1" applyAlignment="1">
      <alignment horizontal="center" vertical="top" wrapText="1"/>
    </xf>
    <xf numFmtId="165" fontId="1" fillId="6" borderId="65" xfId="0" applyNumberFormat="1" applyFont="1" applyFill="1" applyBorder="1" applyAlignment="1">
      <alignment horizontal="center" vertical="top"/>
    </xf>
    <xf numFmtId="165" fontId="1" fillId="6" borderId="85" xfId="0" applyNumberFormat="1" applyFont="1" applyFill="1" applyBorder="1" applyAlignment="1">
      <alignment horizontal="center" vertical="top"/>
    </xf>
    <xf numFmtId="0" fontId="1" fillId="6" borderId="41" xfId="0" applyFont="1" applyFill="1" applyBorder="1" applyAlignment="1">
      <alignment vertical="top"/>
    </xf>
    <xf numFmtId="0" fontId="1" fillId="6" borderId="16" xfId="0" applyFont="1" applyFill="1" applyBorder="1" applyAlignment="1">
      <alignment vertical="top"/>
    </xf>
    <xf numFmtId="0" fontId="1" fillId="6" borderId="70" xfId="0" applyFont="1" applyFill="1" applyBorder="1" applyAlignment="1">
      <alignment horizontal="center" vertical="top" wrapText="1"/>
    </xf>
    <xf numFmtId="165" fontId="1" fillId="6" borderId="63" xfId="0" applyNumberFormat="1" applyFont="1" applyFill="1" applyBorder="1" applyAlignment="1">
      <alignment horizontal="center" vertical="top"/>
    </xf>
    <xf numFmtId="165" fontId="1" fillId="6" borderId="64" xfId="0" applyNumberFormat="1" applyFont="1" applyFill="1" applyBorder="1" applyAlignment="1">
      <alignment horizontal="center" vertical="top"/>
    </xf>
    <xf numFmtId="0" fontId="1" fillId="6" borderId="96" xfId="0" applyFont="1" applyFill="1" applyBorder="1" applyAlignment="1">
      <alignment horizontal="center" vertical="top" wrapText="1"/>
    </xf>
    <xf numFmtId="0" fontId="3" fillId="0" borderId="0" xfId="0" applyFont="1" applyBorder="1" applyAlignment="1">
      <alignment horizontal="center" vertical="top"/>
    </xf>
    <xf numFmtId="0" fontId="3" fillId="6" borderId="0" xfId="0" applyFont="1" applyFill="1" applyBorder="1" applyAlignment="1">
      <alignment horizontal="center" vertical="top" wrapText="1"/>
    </xf>
    <xf numFmtId="165" fontId="1" fillId="6" borderId="22" xfId="0" applyNumberFormat="1" applyFont="1" applyFill="1" applyBorder="1" applyAlignment="1">
      <alignment horizontal="center" vertical="top"/>
    </xf>
    <xf numFmtId="3" fontId="1" fillId="6" borderId="22" xfId="0" applyNumberFormat="1" applyFont="1" applyFill="1" applyBorder="1" applyAlignment="1">
      <alignment horizontal="center" vertical="top" wrapText="1"/>
    </xf>
    <xf numFmtId="165" fontId="1" fillId="6" borderId="12" xfId="0" applyNumberFormat="1" applyFont="1" applyFill="1" applyBorder="1" applyAlignment="1">
      <alignment horizontal="center" vertical="top"/>
    </xf>
    <xf numFmtId="3" fontId="1" fillId="6" borderId="94" xfId="0" applyNumberFormat="1" applyFont="1" applyFill="1" applyBorder="1" applyAlignment="1">
      <alignment horizontal="center" vertical="top"/>
    </xf>
    <xf numFmtId="3" fontId="1" fillId="6" borderId="22" xfId="0" applyNumberFormat="1" applyFont="1" applyFill="1" applyBorder="1" applyAlignment="1">
      <alignment horizontal="center" vertical="top"/>
    </xf>
    <xf numFmtId="165" fontId="1" fillId="6" borderId="71" xfId="0" applyNumberFormat="1" applyFont="1" applyFill="1" applyBorder="1" applyAlignment="1">
      <alignment horizontal="center" vertical="top" wrapText="1"/>
    </xf>
    <xf numFmtId="165" fontId="1" fillId="6" borderId="98" xfId="0" applyNumberFormat="1" applyFont="1" applyFill="1" applyBorder="1" applyAlignment="1">
      <alignment horizontal="center" vertical="top" wrapText="1"/>
    </xf>
    <xf numFmtId="165" fontId="1" fillId="6" borderId="58" xfId="0" applyNumberFormat="1" applyFont="1" applyFill="1" applyBorder="1" applyAlignment="1">
      <alignment horizontal="center" vertical="top"/>
    </xf>
    <xf numFmtId="165" fontId="1" fillId="6" borderId="8" xfId="0" applyNumberFormat="1" applyFont="1" applyFill="1" applyBorder="1" applyAlignment="1">
      <alignment horizontal="center" vertical="center"/>
    </xf>
    <xf numFmtId="164" fontId="1" fillId="6" borderId="60" xfId="0" applyNumberFormat="1" applyFont="1" applyFill="1" applyBorder="1" applyAlignment="1">
      <alignment horizontal="center" vertical="top"/>
    </xf>
    <xf numFmtId="3" fontId="20" fillId="6" borderId="5" xfId="0" applyNumberFormat="1" applyFont="1" applyFill="1" applyBorder="1" applyAlignment="1">
      <alignment horizontal="center" vertical="top"/>
    </xf>
    <xf numFmtId="0" fontId="21" fillId="0" borderId="0" xfId="0" applyFont="1" applyBorder="1" applyAlignment="1">
      <alignment vertical="top"/>
    </xf>
    <xf numFmtId="0" fontId="1" fillId="6" borderId="23" xfId="0" applyFont="1" applyFill="1" applyBorder="1" applyAlignment="1">
      <alignment horizontal="center" vertical="center" textRotation="90" wrapText="1"/>
    </xf>
    <xf numFmtId="0" fontId="1" fillId="6" borderId="65" xfId="0" applyNumberFormat="1" applyFont="1" applyFill="1" applyBorder="1" applyAlignment="1">
      <alignment horizontal="center" vertical="top"/>
    </xf>
    <xf numFmtId="0" fontId="1" fillId="6" borderId="8" xfId="0" applyNumberFormat="1" applyFont="1" applyFill="1" applyBorder="1" applyAlignment="1">
      <alignment horizontal="center" vertical="top"/>
    </xf>
    <xf numFmtId="0" fontId="1" fillId="6" borderId="23" xfId="0" applyFont="1" applyFill="1" applyBorder="1" applyAlignment="1">
      <alignment vertical="center" textRotation="90" wrapText="1"/>
    </xf>
    <xf numFmtId="0" fontId="5" fillId="6" borderId="11" xfId="0" applyFont="1" applyFill="1" applyBorder="1" applyAlignment="1">
      <alignment horizontal="left" vertical="top" wrapText="1"/>
    </xf>
    <xf numFmtId="165" fontId="1" fillId="6" borderId="66" xfId="0" applyNumberFormat="1" applyFont="1" applyFill="1" applyBorder="1" applyAlignment="1">
      <alignment horizontal="center" vertical="top" wrapText="1"/>
    </xf>
    <xf numFmtId="165" fontId="1" fillId="6" borderId="58" xfId="0" applyNumberFormat="1" applyFont="1" applyFill="1" applyBorder="1" applyAlignment="1">
      <alignment horizontal="center" vertical="top" wrapText="1"/>
    </xf>
    <xf numFmtId="0" fontId="3" fillId="6" borderId="14" xfId="0" applyFont="1" applyFill="1" applyBorder="1" applyAlignment="1">
      <alignment horizontal="center" vertical="top"/>
    </xf>
    <xf numFmtId="3" fontId="3" fillId="6" borderId="11" xfId="0" applyNumberFormat="1" applyFont="1" applyFill="1" applyBorder="1" applyAlignment="1">
      <alignment horizontal="center" vertical="top"/>
    </xf>
    <xf numFmtId="0" fontId="3" fillId="6" borderId="11" xfId="0" applyFont="1" applyFill="1" applyBorder="1" applyAlignment="1">
      <alignment horizontal="center" vertical="center"/>
    </xf>
    <xf numFmtId="0" fontId="3" fillId="6" borderId="91" xfId="0" applyFont="1" applyFill="1" applyBorder="1" applyAlignment="1">
      <alignment horizontal="center" vertical="top" wrapText="1"/>
    </xf>
    <xf numFmtId="0" fontId="1" fillId="6" borderId="33" xfId="0" applyNumberFormat="1" applyFont="1" applyFill="1" applyBorder="1" applyAlignment="1">
      <alignment horizontal="center" vertical="top" wrapText="1"/>
    </xf>
    <xf numFmtId="0" fontId="1" fillId="6" borderId="16" xfId="0" applyFont="1" applyFill="1" applyBorder="1" applyAlignment="1">
      <alignment horizontal="center" vertical="top" wrapText="1"/>
    </xf>
    <xf numFmtId="165" fontId="1" fillId="6" borderId="5" xfId="0" applyNumberFormat="1" applyFont="1" applyFill="1" applyBorder="1" applyAlignment="1">
      <alignment horizontal="center" vertical="top"/>
    </xf>
    <xf numFmtId="165" fontId="1" fillId="6" borderId="8" xfId="0" applyNumberFormat="1" applyFont="1" applyFill="1" applyBorder="1" applyAlignment="1">
      <alignment horizontal="center" vertical="top"/>
    </xf>
    <xf numFmtId="165" fontId="1" fillId="6" borderId="98" xfId="0" applyNumberFormat="1" applyFont="1" applyFill="1" applyBorder="1" applyAlignment="1">
      <alignment horizontal="center" vertical="top"/>
    </xf>
    <xf numFmtId="165" fontId="1" fillId="6" borderId="14" xfId="0" applyNumberFormat="1" applyFont="1" applyFill="1" applyBorder="1" applyAlignment="1">
      <alignment horizontal="center" vertical="top" wrapText="1"/>
    </xf>
    <xf numFmtId="165" fontId="1" fillId="6" borderId="16" xfId="0" applyNumberFormat="1" applyFont="1" applyFill="1" applyBorder="1" applyAlignment="1">
      <alignment vertical="top" wrapText="1"/>
    </xf>
    <xf numFmtId="3" fontId="1" fillId="6" borderId="90" xfId="0" applyNumberFormat="1" applyFont="1" applyFill="1" applyBorder="1" applyAlignment="1">
      <alignment horizontal="center" vertical="top"/>
    </xf>
    <xf numFmtId="0" fontId="1" fillId="6" borderId="14" xfId="0" applyNumberFormat="1" applyFont="1" applyFill="1" applyBorder="1" applyAlignment="1">
      <alignment horizontal="center" vertical="top" wrapText="1"/>
    </xf>
    <xf numFmtId="165" fontId="1" fillId="6" borderId="16" xfId="0" applyNumberFormat="1" applyFont="1" applyFill="1" applyBorder="1" applyAlignment="1">
      <alignment horizontal="left" vertical="top"/>
    </xf>
    <xf numFmtId="3" fontId="1" fillId="6" borderId="11" xfId="1" applyNumberFormat="1" applyFont="1" applyFill="1" applyBorder="1" applyAlignment="1">
      <alignment horizontal="center" vertical="top" wrapText="1"/>
    </xf>
    <xf numFmtId="3" fontId="1" fillId="6" borderId="12" xfId="1" applyNumberFormat="1" applyFont="1" applyFill="1" applyBorder="1" applyAlignment="1">
      <alignment horizontal="center" vertical="top" wrapText="1"/>
    </xf>
    <xf numFmtId="165" fontId="1" fillId="6" borderId="70" xfId="0" applyNumberFormat="1" applyFont="1" applyFill="1" applyBorder="1" applyAlignment="1">
      <alignment horizontal="left" vertical="top"/>
    </xf>
    <xf numFmtId="3" fontId="1" fillId="6" borderId="65" xfId="1" applyNumberFormat="1" applyFont="1" applyFill="1" applyBorder="1" applyAlignment="1">
      <alignment horizontal="center" vertical="top" wrapText="1"/>
    </xf>
    <xf numFmtId="3" fontId="1" fillId="6" borderId="69" xfId="1" applyNumberFormat="1" applyFont="1" applyFill="1" applyBorder="1" applyAlignment="1">
      <alignment horizontal="center" vertical="top" wrapText="1"/>
    </xf>
    <xf numFmtId="0" fontId="1" fillId="6" borderId="67" xfId="0" applyFont="1" applyFill="1" applyBorder="1" applyAlignment="1">
      <alignment horizontal="center" vertical="center" textRotation="90"/>
    </xf>
    <xf numFmtId="3" fontId="3" fillId="6" borderId="23" xfId="0" applyNumberFormat="1" applyFont="1" applyFill="1" applyBorder="1" applyAlignment="1">
      <alignment horizontal="center" vertical="top" wrapText="1"/>
    </xf>
    <xf numFmtId="49" fontId="1" fillId="6" borderId="94" xfId="0" applyNumberFormat="1" applyFont="1" applyFill="1" applyBorder="1" applyAlignment="1">
      <alignment horizontal="center" vertical="top" wrapText="1"/>
    </xf>
    <xf numFmtId="3" fontId="1" fillId="6" borderId="9" xfId="0" applyNumberFormat="1" applyFont="1" applyFill="1" applyBorder="1" applyAlignment="1">
      <alignment horizontal="center" vertical="top"/>
    </xf>
    <xf numFmtId="0" fontId="1" fillId="6" borderId="0" xfId="0" applyFont="1" applyFill="1" applyAlignment="1">
      <alignment horizontal="center" vertical="top"/>
    </xf>
    <xf numFmtId="165" fontId="1" fillId="6" borderId="70" xfId="0" applyNumberFormat="1" applyFont="1" applyFill="1" applyBorder="1" applyAlignment="1">
      <alignment vertical="top" wrapText="1"/>
    </xf>
    <xf numFmtId="0" fontId="1" fillId="0" borderId="28" xfId="0" applyFont="1" applyBorder="1" applyAlignment="1">
      <alignment vertical="top"/>
    </xf>
    <xf numFmtId="0" fontId="1" fillId="0" borderId="58" xfId="0" applyFont="1" applyBorder="1" applyAlignment="1">
      <alignment horizontal="center" vertical="top"/>
    </xf>
    <xf numFmtId="3" fontId="1" fillId="0" borderId="28" xfId="0" applyNumberFormat="1" applyFont="1" applyBorder="1" applyAlignment="1">
      <alignment vertical="top"/>
    </xf>
    <xf numFmtId="0" fontId="1" fillId="0" borderId="41" xfId="0" applyFont="1" applyBorder="1" applyAlignment="1">
      <alignment vertical="top"/>
    </xf>
    <xf numFmtId="0" fontId="1" fillId="6" borderId="107" xfId="0" applyFont="1" applyFill="1" applyBorder="1" applyAlignment="1">
      <alignment vertical="top" wrapText="1"/>
    </xf>
    <xf numFmtId="0" fontId="1" fillId="6" borderId="20" xfId="0" applyFont="1" applyFill="1" applyBorder="1" applyAlignment="1">
      <alignment vertical="top"/>
    </xf>
    <xf numFmtId="3" fontId="1" fillId="6" borderId="43" xfId="1" applyNumberFormat="1" applyFont="1" applyFill="1" applyBorder="1" applyAlignment="1">
      <alignment horizontal="center" vertical="top" wrapText="1"/>
    </xf>
    <xf numFmtId="165" fontId="1" fillId="6" borderId="72" xfId="0" applyNumberFormat="1" applyFont="1" applyFill="1" applyBorder="1" applyAlignment="1">
      <alignment horizontal="center" vertical="top" wrapText="1"/>
    </xf>
    <xf numFmtId="165" fontId="1" fillId="6" borderId="43" xfId="0" applyNumberFormat="1" applyFont="1" applyFill="1" applyBorder="1" applyAlignment="1">
      <alignment vertical="top" wrapText="1"/>
    </xf>
    <xf numFmtId="0" fontId="1" fillId="6" borderId="8" xfId="0" applyFont="1" applyFill="1" applyBorder="1" applyAlignment="1">
      <alignment vertical="top"/>
    </xf>
    <xf numFmtId="0" fontId="1" fillId="6" borderId="11" xfId="0" applyFont="1" applyFill="1" applyBorder="1" applyAlignment="1">
      <alignment horizontal="center" vertical="center" textRotation="90"/>
    </xf>
    <xf numFmtId="0" fontId="3" fillId="6" borderId="13" xfId="0" applyFont="1" applyFill="1" applyBorder="1" applyAlignment="1">
      <alignment horizontal="center" vertical="top" wrapText="1"/>
    </xf>
    <xf numFmtId="49" fontId="3" fillId="8" borderId="23" xfId="0" applyNumberFormat="1" applyFont="1" applyFill="1" applyBorder="1" applyAlignment="1">
      <alignment horizontal="center" vertical="top"/>
    </xf>
    <xf numFmtId="165" fontId="1" fillId="6" borderId="0" xfId="0" applyNumberFormat="1" applyFont="1" applyFill="1" applyAlignment="1">
      <alignment horizontal="center" vertical="top"/>
    </xf>
    <xf numFmtId="0" fontId="5" fillId="12" borderId="0" xfId="0" applyFont="1" applyFill="1" applyBorder="1"/>
    <xf numFmtId="0" fontId="5" fillId="12" borderId="41" xfId="0" applyFont="1" applyFill="1" applyBorder="1"/>
    <xf numFmtId="0" fontId="1" fillId="9" borderId="25" xfId="0" applyFont="1" applyFill="1" applyBorder="1" applyAlignment="1">
      <alignment vertical="top"/>
    </xf>
    <xf numFmtId="0" fontId="5" fillId="7" borderId="53" xfId="0" applyFont="1" applyFill="1" applyBorder="1"/>
    <xf numFmtId="0" fontId="5" fillId="7" borderId="48" xfId="0" applyFont="1" applyFill="1" applyBorder="1"/>
    <xf numFmtId="0" fontId="1" fillId="10" borderId="30" xfId="0" applyFont="1" applyFill="1" applyBorder="1" applyAlignment="1">
      <alignment vertical="top"/>
    </xf>
    <xf numFmtId="0" fontId="1" fillId="9" borderId="74" xfId="0" applyFont="1" applyFill="1" applyBorder="1" applyAlignment="1">
      <alignment vertical="top"/>
    </xf>
    <xf numFmtId="0" fontId="1" fillId="10" borderId="32" xfId="0" applyFont="1" applyFill="1" applyBorder="1" applyAlignment="1">
      <alignment vertical="top"/>
    </xf>
    <xf numFmtId="0" fontId="5" fillId="12" borderId="31" xfId="0" applyFont="1" applyFill="1" applyBorder="1"/>
    <xf numFmtId="0" fontId="1" fillId="10" borderId="31" xfId="0" applyFont="1" applyFill="1" applyBorder="1" applyAlignment="1">
      <alignment vertical="top"/>
    </xf>
    <xf numFmtId="0" fontId="1" fillId="0" borderId="80" xfId="0" applyFont="1" applyBorder="1" applyAlignment="1">
      <alignment horizontal="center" vertical="center" textRotation="90"/>
    </xf>
    <xf numFmtId="0" fontId="1" fillId="6" borderId="27" xfId="0" applyFont="1" applyFill="1" applyBorder="1" applyAlignment="1">
      <alignment vertical="top"/>
    </xf>
    <xf numFmtId="165" fontId="1" fillId="6" borderId="26" xfId="0" applyNumberFormat="1" applyFont="1" applyFill="1" applyBorder="1" applyAlignment="1">
      <alignment horizontal="center" vertical="top"/>
    </xf>
    <xf numFmtId="165" fontId="1" fillId="6" borderId="64" xfId="0" applyNumberFormat="1" applyFont="1" applyFill="1" applyBorder="1" applyAlignment="1">
      <alignment horizontal="center" vertical="top" wrapText="1"/>
    </xf>
    <xf numFmtId="165" fontId="3" fillId="6" borderId="8" xfId="0" applyNumberFormat="1" applyFont="1" applyFill="1" applyBorder="1" applyAlignment="1">
      <alignment horizontal="center" vertical="top"/>
    </xf>
    <xf numFmtId="0" fontId="1" fillId="9" borderId="53" xfId="0" applyFont="1" applyFill="1" applyBorder="1" applyAlignment="1">
      <alignment vertical="top"/>
    </xf>
    <xf numFmtId="0" fontId="1" fillId="9" borderId="0" xfId="0" applyFont="1" applyFill="1" applyBorder="1" applyAlignment="1">
      <alignment vertical="top"/>
    </xf>
    <xf numFmtId="0" fontId="1" fillId="9" borderId="30" xfId="0" applyFont="1" applyFill="1" applyBorder="1" applyAlignment="1">
      <alignment vertical="top"/>
    </xf>
    <xf numFmtId="0" fontId="1" fillId="9" borderId="50" xfId="0" applyFont="1" applyFill="1" applyBorder="1" applyAlignment="1">
      <alignment vertical="top"/>
    </xf>
    <xf numFmtId="0" fontId="1" fillId="9" borderId="51" xfId="0" applyFont="1" applyFill="1" applyBorder="1" applyAlignment="1">
      <alignment vertical="top"/>
    </xf>
    <xf numFmtId="0" fontId="1" fillId="9" borderId="82" xfId="0" applyFont="1" applyFill="1" applyBorder="1" applyAlignment="1">
      <alignment vertical="top"/>
    </xf>
    <xf numFmtId="0" fontId="1" fillId="10" borderId="0" xfId="0" applyFont="1" applyFill="1" applyBorder="1" applyAlignment="1">
      <alignment vertical="top"/>
    </xf>
    <xf numFmtId="0" fontId="1" fillId="12" borderId="50" xfId="0" applyFont="1" applyFill="1" applyBorder="1" applyAlignment="1">
      <alignment vertical="top"/>
    </xf>
    <xf numFmtId="0" fontId="1" fillId="12" borderId="51" xfId="0" applyFont="1" applyFill="1" applyBorder="1" applyAlignment="1">
      <alignment vertical="top"/>
    </xf>
    <xf numFmtId="3" fontId="1" fillId="6" borderId="27" xfId="0" applyNumberFormat="1" applyFont="1" applyFill="1" applyBorder="1" applyAlignment="1">
      <alignment horizontal="center" vertical="top"/>
    </xf>
    <xf numFmtId="0" fontId="1" fillId="6" borderId="41" xfId="0" applyNumberFormat="1" applyFont="1" applyFill="1" applyBorder="1" applyAlignment="1">
      <alignment horizontal="center" vertical="top"/>
    </xf>
    <xf numFmtId="0" fontId="1" fillId="6" borderId="11" xfId="0" applyNumberFormat="1" applyFont="1" applyFill="1" applyBorder="1" applyAlignment="1">
      <alignment horizontal="center" vertical="top"/>
    </xf>
    <xf numFmtId="0" fontId="1" fillId="6" borderId="39" xfId="0" applyFont="1" applyFill="1" applyBorder="1" applyAlignment="1">
      <alignment horizontal="center" vertical="top"/>
    </xf>
    <xf numFmtId="0" fontId="1" fillId="6" borderId="88" xfId="0" applyFont="1" applyFill="1" applyBorder="1" applyAlignment="1">
      <alignment horizontal="center" vertical="top"/>
    </xf>
    <xf numFmtId="0" fontId="1" fillId="6" borderId="94" xfId="0" applyFont="1" applyFill="1" applyBorder="1" applyAlignment="1">
      <alignment horizontal="center" vertical="top"/>
    </xf>
    <xf numFmtId="0" fontId="1" fillId="0" borderId="27" xfId="0" applyFont="1" applyBorder="1" applyAlignment="1">
      <alignment vertical="top"/>
    </xf>
    <xf numFmtId="3" fontId="1" fillId="6" borderId="39" xfId="1" applyNumberFormat="1" applyFont="1" applyFill="1" applyBorder="1" applyAlignment="1">
      <alignment horizontal="center" vertical="top"/>
    </xf>
    <xf numFmtId="3" fontId="1" fillId="6" borderId="13" xfId="0" applyNumberFormat="1" applyFont="1" applyFill="1" applyBorder="1" applyAlignment="1">
      <alignment horizontal="center" vertical="top" wrapText="1"/>
    </xf>
    <xf numFmtId="3" fontId="1" fillId="6" borderId="93" xfId="1" applyNumberFormat="1" applyFont="1" applyFill="1" applyBorder="1" applyAlignment="1">
      <alignment horizontal="center" vertical="top" wrapText="1"/>
    </xf>
    <xf numFmtId="1" fontId="1" fillId="6" borderId="27" xfId="1" applyNumberFormat="1" applyFont="1" applyFill="1" applyBorder="1" applyAlignment="1">
      <alignment horizontal="center" vertical="top" wrapText="1"/>
    </xf>
    <xf numFmtId="3" fontId="1" fillId="6" borderId="87" xfId="1" applyNumberFormat="1" applyFont="1" applyFill="1" applyBorder="1" applyAlignment="1">
      <alignment horizontal="center" vertical="top" wrapText="1"/>
    </xf>
    <xf numFmtId="3" fontId="1" fillId="6" borderId="88" xfId="1" applyNumberFormat="1" applyFont="1" applyFill="1" applyBorder="1" applyAlignment="1">
      <alignment horizontal="center" vertical="top" wrapText="1"/>
    </xf>
    <xf numFmtId="165" fontId="1" fillId="6" borderId="88" xfId="0" applyNumberFormat="1" applyFont="1" applyFill="1" applyBorder="1" applyAlignment="1">
      <alignment horizontal="center" vertical="top" wrapText="1"/>
    </xf>
    <xf numFmtId="0" fontId="1" fillId="6" borderId="94" xfId="0" applyNumberFormat="1" applyFont="1" applyFill="1" applyBorder="1" applyAlignment="1">
      <alignment horizontal="center" vertical="top" wrapText="1"/>
    </xf>
    <xf numFmtId="3" fontId="1" fillId="6" borderId="94" xfId="1" applyNumberFormat="1" applyFont="1" applyFill="1" applyBorder="1" applyAlignment="1">
      <alignment horizontal="center" vertical="top" wrapText="1"/>
    </xf>
    <xf numFmtId="3" fontId="1" fillId="6" borderId="13" xfId="1" applyNumberFormat="1" applyFont="1" applyFill="1" applyBorder="1" applyAlignment="1">
      <alignment horizontal="center" vertical="top" wrapText="1"/>
    </xf>
    <xf numFmtId="3" fontId="1" fillId="6" borderId="93" xfId="0" applyNumberFormat="1" applyFont="1" applyFill="1" applyBorder="1" applyAlignment="1">
      <alignment horizontal="center" vertical="top" wrapText="1"/>
    </xf>
    <xf numFmtId="0" fontId="1" fillId="0" borderId="13" xfId="0" applyFont="1" applyBorder="1" applyAlignment="1">
      <alignment horizontal="center" vertical="top"/>
    </xf>
    <xf numFmtId="3" fontId="1" fillId="6" borderId="39" xfId="0" applyNumberFormat="1" applyFont="1" applyFill="1" applyBorder="1" applyAlignment="1">
      <alignment horizontal="center" vertical="top" wrapText="1"/>
    </xf>
    <xf numFmtId="3" fontId="1" fillId="6" borderId="13" xfId="1" applyNumberFormat="1" applyFont="1" applyFill="1" applyBorder="1" applyAlignment="1">
      <alignment horizontal="center" vertical="top"/>
    </xf>
    <xf numFmtId="3" fontId="1" fillId="6" borderId="88" xfId="0" applyNumberFormat="1" applyFont="1" applyFill="1" applyBorder="1" applyAlignment="1">
      <alignment horizontal="center" vertical="top" wrapText="1"/>
    </xf>
    <xf numFmtId="0" fontId="1" fillId="6" borderId="87" xfId="0" applyNumberFormat="1" applyFont="1" applyFill="1" applyBorder="1" applyAlignment="1">
      <alignment horizontal="center" vertical="top" wrapText="1"/>
    </xf>
    <xf numFmtId="1" fontId="1" fillId="6" borderId="27" xfId="0" applyNumberFormat="1" applyFont="1" applyFill="1" applyBorder="1" applyAlignment="1">
      <alignment horizontal="center" vertical="top" wrapText="1"/>
    </xf>
    <xf numFmtId="3" fontId="1" fillId="6" borderId="100" xfId="0" applyNumberFormat="1" applyFont="1" applyFill="1" applyBorder="1" applyAlignment="1">
      <alignment horizontal="center" vertical="top" wrapText="1"/>
    </xf>
    <xf numFmtId="0" fontId="1" fillId="0" borderId="27" xfId="0" applyFont="1" applyBorder="1" applyAlignment="1">
      <alignment horizontal="center" vertical="top"/>
    </xf>
    <xf numFmtId="3" fontId="1" fillId="6" borderId="27" xfId="1" applyNumberFormat="1" applyFont="1" applyFill="1" applyBorder="1" applyAlignment="1">
      <alignment horizontal="center" vertical="top"/>
    </xf>
    <xf numFmtId="0" fontId="1" fillId="6" borderId="13" xfId="0" applyFont="1" applyFill="1" applyBorder="1" applyAlignment="1">
      <alignment horizontal="center" vertical="top"/>
    </xf>
    <xf numFmtId="165" fontId="1" fillId="6" borderId="13" xfId="0" applyNumberFormat="1" applyFont="1" applyFill="1" applyBorder="1" applyAlignment="1">
      <alignment vertical="top" wrapText="1"/>
    </xf>
    <xf numFmtId="165" fontId="1" fillId="6" borderId="93" xfId="0" applyNumberFormat="1" applyFont="1" applyFill="1" applyBorder="1" applyAlignment="1">
      <alignment horizontal="center" vertical="top"/>
    </xf>
    <xf numFmtId="3" fontId="3" fillId="6" borderId="43" xfId="0" applyNumberFormat="1" applyFont="1" applyFill="1" applyBorder="1" applyAlignment="1">
      <alignment horizontal="center" vertical="top" wrapText="1"/>
    </xf>
    <xf numFmtId="3" fontId="3" fillId="6" borderId="27" xfId="0" applyNumberFormat="1" applyFont="1" applyFill="1" applyBorder="1" applyAlignment="1">
      <alignment horizontal="center" vertical="top" wrapText="1"/>
    </xf>
    <xf numFmtId="3" fontId="3" fillId="6" borderId="13" xfId="0" applyNumberFormat="1" applyFont="1" applyFill="1" applyBorder="1" applyAlignment="1">
      <alignment horizontal="center" vertical="top" wrapText="1"/>
    </xf>
    <xf numFmtId="0" fontId="1" fillId="9" borderId="41" xfId="0" applyFont="1" applyFill="1" applyBorder="1" applyAlignment="1">
      <alignment vertical="top"/>
    </xf>
    <xf numFmtId="3" fontId="3" fillId="6" borderId="1" xfId="0" applyNumberFormat="1" applyFont="1" applyFill="1" applyBorder="1" applyAlignment="1">
      <alignment horizontal="center" vertical="top" wrapText="1"/>
    </xf>
    <xf numFmtId="0" fontId="5" fillId="7" borderId="37" xfId="0" applyFont="1" applyFill="1" applyBorder="1"/>
    <xf numFmtId="165" fontId="1" fillId="8" borderId="2" xfId="0" applyNumberFormat="1" applyFont="1" applyFill="1" applyBorder="1" applyAlignment="1">
      <alignment horizontal="center" vertical="top"/>
    </xf>
    <xf numFmtId="3" fontId="1" fillId="6" borderId="64" xfId="1" applyNumberFormat="1" applyFont="1" applyFill="1" applyBorder="1" applyAlignment="1">
      <alignment horizontal="center" vertical="top"/>
    </xf>
    <xf numFmtId="0" fontId="1" fillId="6" borderId="111" xfId="0" applyFont="1" applyFill="1" applyBorder="1" applyAlignment="1">
      <alignment vertical="top" wrapText="1"/>
    </xf>
    <xf numFmtId="165" fontId="1" fillId="9" borderId="4" xfId="0" applyNumberFormat="1" applyFont="1" applyFill="1" applyBorder="1" applyAlignment="1">
      <alignment horizontal="center" vertical="top"/>
    </xf>
    <xf numFmtId="0" fontId="1" fillId="6" borderId="83" xfId="0" applyFont="1" applyFill="1" applyBorder="1" applyAlignment="1">
      <alignment horizontal="left" vertical="top" wrapText="1"/>
    </xf>
    <xf numFmtId="0" fontId="1" fillId="6" borderId="108" xfId="0" applyFont="1" applyFill="1" applyBorder="1" applyAlignment="1">
      <alignment vertical="top" wrapText="1"/>
    </xf>
    <xf numFmtId="3" fontId="3" fillId="6" borderId="39" xfId="0" applyNumberFormat="1" applyFont="1" applyFill="1" applyBorder="1" applyAlignment="1">
      <alignment horizontal="center" vertical="top" wrapText="1"/>
    </xf>
    <xf numFmtId="0" fontId="1" fillId="0" borderId="68" xfId="0" applyFont="1" applyBorder="1" applyAlignment="1">
      <alignment horizontal="center" vertical="center"/>
    </xf>
    <xf numFmtId="0" fontId="1" fillId="6" borderId="62" xfId="0" applyNumberFormat="1" applyFont="1" applyFill="1" applyBorder="1" applyAlignment="1">
      <alignment horizontal="center" vertical="top" wrapText="1"/>
    </xf>
    <xf numFmtId="165" fontId="3" fillId="3" borderId="112" xfId="0" applyNumberFormat="1" applyFont="1" applyFill="1" applyBorder="1" applyAlignment="1">
      <alignment horizontal="center" vertical="top"/>
    </xf>
    <xf numFmtId="3" fontId="1" fillId="6" borderId="98" xfId="0" applyNumberFormat="1" applyFont="1" applyFill="1" applyBorder="1" applyAlignment="1">
      <alignment horizontal="center" vertical="top"/>
    </xf>
    <xf numFmtId="3" fontId="1" fillId="6" borderId="8" xfId="0" applyNumberFormat="1" applyFont="1" applyFill="1" applyBorder="1" applyAlignment="1">
      <alignment horizontal="right" vertical="center"/>
    </xf>
    <xf numFmtId="0" fontId="1" fillId="9" borderId="50" xfId="0" applyFont="1" applyFill="1" applyBorder="1" applyAlignment="1">
      <alignment horizontal="center" vertical="top"/>
    </xf>
    <xf numFmtId="0" fontId="1" fillId="6" borderId="14" xfId="0" applyFont="1" applyFill="1" applyBorder="1" applyAlignment="1">
      <alignment horizontal="center" vertical="center"/>
    </xf>
    <xf numFmtId="0" fontId="1" fillId="6" borderId="11" xfId="0" applyFont="1" applyFill="1" applyBorder="1" applyAlignment="1">
      <alignment horizontal="center" vertical="center"/>
    </xf>
    <xf numFmtId="165" fontId="3" fillId="8" borderId="80" xfId="0" applyNumberFormat="1" applyFont="1" applyFill="1" applyBorder="1" applyAlignment="1">
      <alignment horizontal="center" vertical="top"/>
    </xf>
    <xf numFmtId="165" fontId="3" fillId="10" borderId="47" xfId="0" applyNumberFormat="1" applyFont="1" applyFill="1" applyBorder="1" applyAlignment="1">
      <alignment horizontal="center" vertical="top"/>
    </xf>
    <xf numFmtId="165" fontId="3" fillId="10" borderId="95" xfId="0" applyNumberFormat="1" applyFont="1" applyFill="1" applyBorder="1" applyAlignment="1">
      <alignment horizontal="center" vertical="top"/>
    </xf>
    <xf numFmtId="165" fontId="3" fillId="4" borderId="112" xfId="0" applyNumberFormat="1" applyFont="1" applyFill="1" applyBorder="1" applyAlignment="1">
      <alignment horizontal="center" vertical="top"/>
    </xf>
    <xf numFmtId="165" fontId="3" fillId="4" borderId="47" xfId="0" applyNumberFormat="1" applyFont="1" applyFill="1" applyBorder="1" applyAlignment="1">
      <alignment horizontal="center" vertical="top"/>
    </xf>
    <xf numFmtId="0" fontId="1" fillId="10" borderId="50" xfId="0" applyFont="1" applyFill="1" applyBorder="1" applyAlignment="1">
      <alignment vertical="top"/>
    </xf>
    <xf numFmtId="165" fontId="1" fillId="9" borderId="57" xfId="0" applyNumberFormat="1" applyFont="1" applyFill="1" applyBorder="1" applyAlignment="1">
      <alignment horizontal="center" vertical="top"/>
    </xf>
    <xf numFmtId="165" fontId="3" fillId="8" borderId="54" xfId="0" applyNumberFormat="1" applyFont="1" applyFill="1" applyBorder="1" applyAlignment="1">
      <alignment horizontal="center" vertical="top" wrapText="1"/>
    </xf>
    <xf numFmtId="165" fontId="3" fillId="8" borderId="90" xfId="0" applyNumberFormat="1" applyFont="1" applyFill="1" applyBorder="1" applyAlignment="1">
      <alignment horizontal="center" vertical="top" wrapText="1"/>
    </xf>
    <xf numFmtId="165" fontId="3" fillId="4" borderId="56" xfId="0" applyNumberFormat="1" applyFont="1" applyFill="1" applyBorder="1" applyAlignment="1">
      <alignment horizontal="center" vertical="top"/>
    </xf>
    <xf numFmtId="165" fontId="3" fillId="4" borderId="106" xfId="0" applyNumberFormat="1" applyFont="1" applyFill="1" applyBorder="1" applyAlignment="1">
      <alignment horizontal="center" vertical="top"/>
    </xf>
    <xf numFmtId="165" fontId="1" fillId="6" borderId="52" xfId="0" applyNumberFormat="1" applyFont="1" applyFill="1" applyBorder="1" applyAlignment="1">
      <alignment horizontal="center" vertical="top"/>
    </xf>
    <xf numFmtId="165" fontId="1" fillId="0" borderId="52" xfId="0" applyNumberFormat="1" applyFont="1" applyBorder="1" applyAlignment="1">
      <alignment horizontal="center" vertical="top"/>
    </xf>
    <xf numFmtId="165" fontId="1" fillId="0" borderId="90" xfId="0" applyNumberFormat="1" applyFont="1" applyBorder="1" applyAlignment="1">
      <alignment horizontal="center" vertical="top"/>
    </xf>
    <xf numFmtId="165" fontId="1" fillId="0" borderId="10" xfId="0" applyNumberFormat="1" applyFont="1" applyBorder="1" applyAlignment="1">
      <alignment horizontal="center" vertical="top"/>
    </xf>
    <xf numFmtId="165" fontId="1" fillId="8" borderId="52" xfId="0" applyNumberFormat="1" applyFont="1" applyFill="1" applyBorder="1" applyAlignment="1">
      <alignment horizontal="center" vertical="top"/>
    </xf>
    <xf numFmtId="165" fontId="3" fillId="4" borderId="54" xfId="0" applyNumberFormat="1" applyFont="1" applyFill="1" applyBorder="1" applyAlignment="1">
      <alignment horizontal="center" vertical="top" wrapText="1"/>
    </xf>
    <xf numFmtId="165" fontId="3" fillId="4" borderId="90" xfId="0" applyNumberFormat="1" applyFont="1" applyFill="1" applyBorder="1" applyAlignment="1">
      <alignment horizontal="center" vertical="top" wrapText="1"/>
    </xf>
    <xf numFmtId="165" fontId="3" fillId="5" borderId="24" xfId="0" applyNumberFormat="1" applyFont="1" applyFill="1" applyBorder="1" applyAlignment="1">
      <alignment horizontal="center" vertical="top"/>
    </xf>
    <xf numFmtId="165" fontId="3" fillId="5" borderId="3" xfId="0" applyNumberFormat="1" applyFont="1" applyFill="1" applyBorder="1" applyAlignment="1">
      <alignment horizontal="center" vertical="top"/>
    </xf>
    <xf numFmtId="165" fontId="3" fillId="5" borderId="80" xfId="0" applyNumberFormat="1" applyFont="1" applyFill="1" applyBorder="1" applyAlignment="1">
      <alignment horizontal="center" vertical="top"/>
    </xf>
    <xf numFmtId="165" fontId="1" fillId="0" borderId="37" xfId="0" applyNumberFormat="1" applyFont="1" applyBorder="1" applyAlignment="1">
      <alignment horizontal="center" vertical="top"/>
    </xf>
    <xf numFmtId="165" fontId="3" fillId="4" borderId="26" xfId="0" applyNumberFormat="1" applyFont="1" applyFill="1" applyBorder="1" applyAlignment="1">
      <alignment horizontal="center" vertical="top" wrapText="1"/>
    </xf>
    <xf numFmtId="165" fontId="1" fillId="0" borderId="2" xfId="0" applyNumberFormat="1" applyFont="1" applyBorder="1" applyAlignment="1">
      <alignment horizontal="center" vertical="top"/>
    </xf>
    <xf numFmtId="165" fontId="1" fillId="0" borderId="26" xfId="0" applyNumberFormat="1" applyFont="1" applyBorder="1" applyAlignment="1">
      <alignment horizontal="center" vertical="top"/>
    </xf>
    <xf numFmtId="165" fontId="3" fillId="8" borderId="26" xfId="0" applyNumberFormat="1" applyFont="1" applyFill="1" applyBorder="1" applyAlignment="1">
      <alignment horizontal="center" vertical="top" wrapText="1"/>
    </xf>
    <xf numFmtId="165" fontId="3" fillId="4" borderId="114" xfId="0" applyNumberFormat="1" applyFont="1" applyFill="1" applyBorder="1" applyAlignment="1">
      <alignment horizontal="center" vertical="top"/>
    </xf>
    <xf numFmtId="4" fontId="1" fillId="0" borderId="0" xfId="0" applyNumberFormat="1" applyFont="1" applyBorder="1" applyAlignment="1">
      <alignment vertical="top"/>
    </xf>
    <xf numFmtId="3" fontId="1" fillId="6" borderId="64" xfId="0" applyNumberFormat="1" applyFont="1" applyFill="1" applyBorder="1" applyAlignment="1">
      <alignment horizontal="center" vertical="top"/>
    </xf>
    <xf numFmtId="49" fontId="3" fillId="3" borderId="81" xfId="0" applyNumberFormat="1" applyFont="1" applyFill="1" applyBorder="1" applyAlignment="1">
      <alignment horizontal="center" vertical="top"/>
    </xf>
    <xf numFmtId="1" fontId="1" fillId="6" borderId="94" xfId="0" applyNumberFormat="1" applyFont="1" applyFill="1" applyBorder="1" applyAlignment="1">
      <alignment horizontal="center" vertical="top" wrapText="1"/>
    </xf>
    <xf numFmtId="1" fontId="1" fillId="6" borderId="68" xfId="0" applyNumberFormat="1" applyFont="1" applyFill="1" applyBorder="1" applyAlignment="1">
      <alignment horizontal="center" vertical="top" wrapText="1"/>
    </xf>
    <xf numFmtId="1" fontId="1" fillId="6" borderId="73" xfId="0" applyNumberFormat="1" applyFont="1" applyFill="1" applyBorder="1" applyAlignment="1">
      <alignment horizontal="center" vertical="top" wrapText="1"/>
    </xf>
    <xf numFmtId="0" fontId="1" fillId="6" borderId="52" xfId="0" applyFont="1" applyFill="1" applyBorder="1" applyAlignment="1">
      <alignment horizontal="left" vertical="top" wrapText="1"/>
    </xf>
    <xf numFmtId="0" fontId="1" fillId="6" borderId="28" xfId="1" applyFont="1" applyFill="1" applyBorder="1" applyAlignment="1">
      <alignment vertical="top" wrapText="1"/>
    </xf>
    <xf numFmtId="0" fontId="1" fillId="6" borderId="11"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5" fillId="6" borderId="11" xfId="0" applyFont="1" applyFill="1" applyBorder="1" applyAlignment="1">
      <alignment vertical="top" wrapText="1"/>
    </xf>
    <xf numFmtId="0" fontId="1" fillId="6" borderId="11" xfId="0" applyFont="1" applyFill="1" applyBorder="1" applyAlignment="1">
      <alignment horizontal="center" vertical="center" textRotation="90" wrapText="1"/>
    </xf>
    <xf numFmtId="49" fontId="3" fillId="3" borderId="38"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0" fontId="1" fillId="6" borderId="38" xfId="0" applyFont="1" applyFill="1" applyBorder="1" applyAlignment="1">
      <alignment horizontal="left" vertical="top" wrapText="1"/>
    </xf>
    <xf numFmtId="0" fontId="1" fillId="6" borderId="45" xfId="0" applyFont="1" applyFill="1" applyBorder="1" applyAlignment="1">
      <alignment vertical="top" wrapText="1"/>
    </xf>
    <xf numFmtId="0" fontId="3" fillId="6" borderId="18" xfId="0" applyFont="1" applyFill="1" applyBorder="1" applyAlignment="1">
      <alignment horizontal="center" vertical="top" wrapText="1"/>
    </xf>
    <xf numFmtId="0" fontId="3" fillId="6" borderId="23" xfId="0" applyFont="1" applyFill="1" applyBorder="1" applyAlignment="1">
      <alignment horizontal="center" vertical="top" wrapText="1"/>
    </xf>
    <xf numFmtId="49" fontId="3" fillId="8" borderId="11" xfId="0" applyNumberFormat="1" applyFont="1" applyFill="1" applyBorder="1" applyAlignment="1">
      <alignment horizontal="center" vertical="top" wrapText="1"/>
    </xf>
    <xf numFmtId="0" fontId="1" fillId="6" borderId="105" xfId="0" applyFont="1" applyFill="1" applyBorder="1" applyAlignment="1">
      <alignment vertical="top" wrapText="1"/>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0" fontId="1" fillId="6" borderId="34" xfId="0" applyFont="1" applyFill="1" applyBorder="1" applyAlignment="1">
      <alignment horizontal="left" vertical="top" wrapText="1"/>
    </xf>
    <xf numFmtId="0" fontId="1" fillId="0" borderId="41" xfId="0" applyFont="1" applyBorder="1" applyAlignment="1">
      <alignment horizontal="center" vertical="top"/>
    </xf>
    <xf numFmtId="0" fontId="1" fillId="0" borderId="43" xfId="0" applyFont="1" applyBorder="1" applyAlignment="1">
      <alignment horizontal="center" vertical="top"/>
    </xf>
    <xf numFmtId="0" fontId="1" fillId="0" borderId="23" xfId="0" applyFont="1" applyBorder="1" applyAlignment="1">
      <alignment horizontal="center" vertical="top"/>
    </xf>
    <xf numFmtId="0" fontId="2" fillId="0" borderId="0" xfId="0" applyFont="1" applyAlignment="1">
      <alignment vertical="center"/>
    </xf>
    <xf numFmtId="0" fontId="1" fillId="6" borderId="103" xfId="0" applyFont="1" applyFill="1" applyBorder="1" applyAlignment="1">
      <alignment horizontal="center" vertical="top"/>
    </xf>
    <xf numFmtId="0" fontId="1" fillId="6" borderId="21" xfId="0" applyFont="1" applyFill="1" applyBorder="1" applyAlignment="1">
      <alignment vertical="top"/>
    </xf>
    <xf numFmtId="49" fontId="3" fillId="3" borderId="38" xfId="0" applyNumberFormat="1" applyFont="1" applyFill="1" applyBorder="1" applyAlignment="1">
      <alignment horizontal="center" vertical="top"/>
    </xf>
    <xf numFmtId="0" fontId="3" fillId="6" borderId="11" xfId="0" applyFont="1" applyFill="1" applyBorder="1" applyAlignment="1">
      <alignment horizontal="center" vertical="top" wrapText="1"/>
    </xf>
    <xf numFmtId="0" fontId="1" fillId="6" borderId="79" xfId="0" applyFont="1" applyFill="1" applyBorder="1" applyAlignment="1">
      <alignment vertical="top" wrapText="1"/>
    </xf>
    <xf numFmtId="0" fontId="1" fillId="6" borderId="30" xfId="1" applyFont="1" applyFill="1" applyBorder="1" applyAlignment="1">
      <alignment vertical="top" wrapText="1"/>
    </xf>
    <xf numFmtId="0" fontId="1" fillId="6" borderId="0" xfId="0" applyFont="1" applyFill="1" applyBorder="1" applyAlignment="1">
      <alignment horizontal="left" vertical="top" wrapText="1"/>
    </xf>
    <xf numFmtId="0" fontId="1" fillId="6" borderId="102" xfId="0" applyFont="1" applyFill="1" applyBorder="1" applyAlignment="1">
      <alignment horizontal="left" vertical="top" wrapText="1"/>
    </xf>
    <xf numFmtId="0" fontId="3" fillId="6" borderId="14" xfId="0" applyFont="1" applyFill="1" applyBorder="1" applyAlignment="1">
      <alignment horizontal="center" vertical="top" wrapText="1"/>
    </xf>
    <xf numFmtId="0" fontId="1" fillId="6" borderId="11"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6" borderId="105" xfId="0" applyFont="1" applyFill="1" applyBorder="1" applyAlignment="1">
      <alignment horizontal="left" vertical="top" wrapText="1"/>
    </xf>
    <xf numFmtId="49" fontId="3" fillId="3" borderId="38" xfId="0" applyNumberFormat="1" applyFont="1" applyFill="1" applyBorder="1" applyAlignment="1">
      <alignment horizontal="center" vertical="top"/>
    </xf>
    <xf numFmtId="0" fontId="1" fillId="6" borderId="62" xfId="0" applyFont="1" applyFill="1" applyBorder="1" applyAlignment="1">
      <alignment horizontal="center" vertical="top"/>
    </xf>
    <xf numFmtId="1" fontId="1" fillId="6" borderId="88" xfId="0" applyNumberFormat="1" applyFont="1" applyFill="1" applyBorder="1" applyAlignment="1">
      <alignment horizontal="center" vertical="top" wrapText="1"/>
    </xf>
    <xf numFmtId="1" fontId="1" fillId="6" borderId="67" xfId="0" applyNumberFormat="1" applyFont="1" applyFill="1" applyBorder="1" applyAlignment="1">
      <alignment horizontal="center" vertical="top" wrapText="1"/>
    </xf>
    <xf numFmtId="1" fontId="1" fillId="6" borderId="72" xfId="0" applyNumberFormat="1" applyFont="1" applyFill="1" applyBorder="1" applyAlignment="1">
      <alignment horizontal="center"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6" borderId="11" xfId="0" applyFont="1" applyFill="1" applyBorder="1" applyAlignment="1">
      <alignment horizontal="center" vertical="center" textRotation="90" wrapText="1"/>
    </xf>
    <xf numFmtId="49" fontId="3" fillId="3" borderId="38" xfId="0" applyNumberFormat="1" applyFont="1" applyFill="1" applyBorder="1" applyAlignment="1">
      <alignment horizontal="center" vertical="top"/>
    </xf>
    <xf numFmtId="0" fontId="1" fillId="6" borderId="38" xfId="0" applyFont="1" applyFill="1" applyBorder="1" applyAlignment="1">
      <alignment horizontal="left" vertical="top" wrapText="1"/>
    </xf>
    <xf numFmtId="0" fontId="1" fillId="6" borderId="28" xfId="0" applyFont="1" applyFill="1" applyBorder="1" applyAlignment="1">
      <alignment vertical="top" wrapText="1"/>
    </xf>
    <xf numFmtId="0" fontId="1" fillId="6" borderId="11" xfId="0" applyFont="1" applyFill="1" applyBorder="1" applyAlignment="1">
      <alignment vertical="top" wrapText="1"/>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49" fontId="3" fillId="8" borderId="11" xfId="0" applyNumberFormat="1" applyFont="1" applyFill="1" applyBorder="1" applyAlignment="1">
      <alignment horizontal="center" vertical="top" wrapText="1"/>
    </xf>
    <xf numFmtId="3" fontId="1" fillId="6" borderId="93" xfId="1" applyNumberFormat="1" applyFont="1" applyFill="1" applyBorder="1" applyAlignment="1">
      <alignment horizontal="center" vertical="top"/>
    </xf>
    <xf numFmtId="165" fontId="1" fillId="0" borderId="0" xfId="0" applyNumberFormat="1" applyFont="1" applyFill="1" applyAlignment="1">
      <alignment horizontal="center" vertical="top"/>
    </xf>
    <xf numFmtId="0" fontId="1" fillId="6" borderId="86" xfId="0" applyFont="1" applyFill="1" applyBorder="1" applyAlignment="1">
      <alignment vertical="top"/>
    </xf>
    <xf numFmtId="164" fontId="1" fillId="6" borderId="76" xfId="0" applyNumberFormat="1" applyFont="1" applyFill="1" applyBorder="1" applyAlignment="1">
      <alignment horizontal="center" vertical="top"/>
    </xf>
    <xf numFmtId="1" fontId="1" fillId="6" borderId="59" xfId="0" applyNumberFormat="1" applyFont="1" applyFill="1" applyBorder="1" applyAlignment="1">
      <alignment horizontal="center" vertical="top"/>
    </xf>
    <xf numFmtId="0" fontId="1" fillId="6" borderId="66" xfId="0" applyNumberFormat="1" applyFont="1" applyFill="1" applyBorder="1" applyAlignment="1">
      <alignment horizontal="center" vertical="top"/>
    </xf>
    <xf numFmtId="0" fontId="1" fillId="6" borderId="67" xfId="0" applyNumberFormat="1" applyFont="1" applyFill="1" applyBorder="1" applyAlignment="1">
      <alignment horizontal="center" vertical="top"/>
    </xf>
    <xf numFmtId="3" fontId="1" fillId="6" borderId="104" xfId="0" applyNumberFormat="1" applyFont="1" applyFill="1" applyBorder="1" applyAlignment="1">
      <alignment horizontal="center" vertical="top" wrapText="1"/>
    </xf>
    <xf numFmtId="165" fontId="1" fillId="0" borderId="0" xfId="0" applyNumberFormat="1" applyFont="1" applyBorder="1" applyAlignment="1">
      <alignment vertical="top"/>
    </xf>
    <xf numFmtId="164" fontId="1" fillId="0" borderId="0" xfId="0" applyNumberFormat="1" applyFont="1" applyBorder="1" applyAlignment="1">
      <alignment vertical="top"/>
    </xf>
    <xf numFmtId="0" fontId="1" fillId="6" borderId="28"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6" borderId="11" xfId="0" applyFont="1" applyFill="1" applyBorder="1" applyAlignment="1">
      <alignment horizontal="center" vertical="top" wrapText="1"/>
    </xf>
    <xf numFmtId="165" fontId="23" fillId="0" borderId="0" xfId="0" applyNumberFormat="1" applyFont="1" applyAlignment="1">
      <alignment vertical="top"/>
    </xf>
    <xf numFmtId="165" fontId="3" fillId="6" borderId="11" xfId="0" applyNumberFormat="1" applyFont="1" applyFill="1" applyBorder="1" applyAlignment="1">
      <alignment horizontal="center" vertical="top"/>
    </xf>
    <xf numFmtId="3" fontId="1" fillId="6" borderId="11" xfId="0" applyNumberFormat="1" applyFont="1" applyFill="1" applyBorder="1" applyAlignment="1">
      <alignment horizontal="right" vertical="center"/>
    </xf>
    <xf numFmtId="165" fontId="3" fillId="6" borderId="12" xfId="0" applyNumberFormat="1" applyFont="1" applyFill="1" applyBorder="1" applyAlignment="1">
      <alignment horizontal="center" vertical="top"/>
    </xf>
    <xf numFmtId="3" fontId="1" fillId="6" borderId="12" xfId="0" applyNumberFormat="1" applyFont="1" applyFill="1" applyBorder="1" applyAlignment="1">
      <alignment horizontal="right" vertical="center"/>
    </xf>
    <xf numFmtId="0" fontId="1" fillId="6" borderId="28" xfId="0" applyFont="1" applyFill="1" applyBorder="1" applyAlignment="1">
      <alignment vertical="top" wrapText="1"/>
    </xf>
    <xf numFmtId="0" fontId="3" fillId="6" borderId="14" xfId="0" applyFont="1" applyFill="1" applyBorder="1" applyAlignment="1">
      <alignment horizontal="center" vertical="top" wrapText="1"/>
    </xf>
    <xf numFmtId="0" fontId="1" fillId="6" borderId="70" xfId="0" applyFont="1" applyFill="1" applyBorder="1" applyAlignment="1">
      <alignment vertical="top" wrapText="1"/>
    </xf>
    <xf numFmtId="165" fontId="22" fillId="6" borderId="7" xfId="0" applyNumberFormat="1" applyFont="1" applyFill="1" applyBorder="1" applyAlignment="1">
      <alignment horizontal="left" vertical="top"/>
    </xf>
    <xf numFmtId="0" fontId="1" fillId="6" borderId="70" xfId="0" applyFont="1" applyFill="1" applyBorder="1" applyAlignment="1">
      <alignment vertical="top" wrapText="1"/>
    </xf>
    <xf numFmtId="0" fontId="1" fillId="6" borderId="5" xfId="0" applyFont="1" applyFill="1" applyBorder="1" applyAlignment="1">
      <alignment vertical="top" wrapText="1"/>
    </xf>
    <xf numFmtId="0" fontId="1" fillId="6" borderId="99" xfId="0" applyFont="1" applyFill="1" applyBorder="1" applyAlignment="1">
      <alignment vertical="top" wrapText="1"/>
    </xf>
    <xf numFmtId="0" fontId="1" fillId="6" borderId="14" xfId="0" applyFont="1" applyFill="1" applyBorder="1" applyAlignment="1">
      <alignment vertical="center"/>
    </xf>
    <xf numFmtId="0" fontId="1" fillId="6" borderId="63" xfId="0" applyNumberFormat="1" applyFont="1" applyFill="1" applyBorder="1" applyAlignment="1">
      <alignment horizontal="center" vertical="top"/>
    </xf>
    <xf numFmtId="0" fontId="1" fillId="6" borderId="85" xfId="0" applyNumberFormat="1" applyFont="1" applyFill="1" applyBorder="1" applyAlignment="1">
      <alignment horizontal="center" vertical="top"/>
    </xf>
    <xf numFmtId="0" fontId="1" fillId="0" borderId="0" xfId="0" applyFont="1" applyAlignment="1">
      <alignment horizontal="right" vertical="top"/>
    </xf>
    <xf numFmtId="0" fontId="5" fillId="6" borderId="11" xfId="0" applyFont="1" applyFill="1" applyBorder="1" applyAlignment="1">
      <alignment vertical="top" wrapText="1"/>
    </xf>
    <xf numFmtId="0" fontId="1" fillId="6" borderId="11" xfId="0" applyFont="1" applyFill="1" applyBorder="1" applyAlignment="1">
      <alignment horizontal="center" vertical="center" textRotation="90" wrapText="1"/>
    </xf>
    <xf numFmtId="0" fontId="1" fillId="6" borderId="113" xfId="0" applyFont="1" applyFill="1" applyBorder="1" applyAlignment="1">
      <alignment vertical="top"/>
    </xf>
    <xf numFmtId="0" fontId="1" fillId="6" borderId="85" xfId="0" applyFont="1" applyFill="1" applyBorder="1" applyAlignment="1">
      <alignment vertical="top"/>
    </xf>
    <xf numFmtId="165" fontId="1" fillId="6" borderId="38" xfId="0" applyNumberFormat="1" applyFont="1" applyFill="1" applyBorder="1" applyAlignment="1">
      <alignment horizontal="center" vertical="top"/>
    </xf>
    <xf numFmtId="0" fontId="1" fillId="6" borderId="33" xfId="0" applyFont="1" applyFill="1" applyBorder="1" applyAlignment="1">
      <alignment vertical="top"/>
    </xf>
    <xf numFmtId="49" fontId="3" fillId="10" borderId="8" xfId="0" applyNumberFormat="1" applyFont="1" applyFill="1" applyBorder="1" applyAlignment="1">
      <alignment horizontal="center" vertical="top"/>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49" fontId="3" fillId="3" borderId="3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3" fillId="6" borderId="23" xfId="0" applyFont="1" applyFill="1" applyBorder="1" applyAlignment="1">
      <alignment horizontal="center" vertical="top" wrapText="1"/>
    </xf>
    <xf numFmtId="0" fontId="1" fillId="0" borderId="23" xfId="0" applyFont="1" applyBorder="1" applyAlignment="1">
      <alignment horizontal="center" vertical="top"/>
    </xf>
    <xf numFmtId="0" fontId="1" fillId="0" borderId="20" xfId="0" applyFont="1" applyBorder="1" applyAlignment="1">
      <alignment horizontal="center" vertical="top"/>
    </xf>
    <xf numFmtId="164" fontId="1" fillId="6" borderId="94" xfId="0" applyNumberFormat="1" applyFont="1" applyFill="1" applyBorder="1" applyAlignment="1">
      <alignment horizontal="center" vertical="top"/>
    </xf>
    <xf numFmtId="0" fontId="1" fillId="6" borderId="28" xfId="0" applyFont="1" applyFill="1" applyBorder="1" applyAlignment="1">
      <alignment vertical="center" wrapText="1"/>
    </xf>
    <xf numFmtId="0" fontId="1" fillId="6" borderId="111" xfId="0" applyFont="1" applyFill="1" applyBorder="1" applyAlignment="1">
      <alignment horizontal="center" vertical="top"/>
    </xf>
    <xf numFmtId="0" fontId="1" fillId="0" borderId="22" xfId="0" applyFont="1" applyBorder="1" applyAlignment="1">
      <alignment horizontal="center" vertical="top"/>
    </xf>
    <xf numFmtId="165" fontId="1" fillId="0" borderId="0" xfId="0" applyNumberFormat="1" applyFont="1" applyAlignment="1">
      <alignment horizontal="center" vertical="top"/>
    </xf>
    <xf numFmtId="0" fontId="1" fillId="0" borderId="0" xfId="0" applyFont="1" applyFill="1" applyAlignment="1">
      <alignment horizontal="right" vertical="top"/>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6" borderId="11" xfId="0" applyFont="1" applyFill="1" applyBorder="1" applyAlignment="1">
      <alignment horizontal="center" vertical="center" textRotation="90" wrapText="1"/>
    </xf>
    <xf numFmtId="49" fontId="3" fillId="3" borderId="38" xfId="0" applyNumberFormat="1" applyFont="1" applyFill="1" applyBorder="1" applyAlignment="1">
      <alignment horizontal="center" vertical="top"/>
    </xf>
    <xf numFmtId="0" fontId="1" fillId="6" borderId="38" xfId="0" applyFont="1" applyFill="1" applyBorder="1" applyAlignment="1">
      <alignment horizontal="left" vertical="top" wrapText="1"/>
    </xf>
    <xf numFmtId="0" fontId="1" fillId="6" borderId="14" xfId="0" applyFont="1" applyFill="1" applyBorder="1" applyAlignment="1">
      <alignment vertical="top" wrapText="1"/>
    </xf>
    <xf numFmtId="0" fontId="1" fillId="6" borderId="11" xfId="0" applyFont="1" applyFill="1" applyBorder="1" applyAlignment="1">
      <alignment vertical="top" wrapText="1"/>
    </xf>
    <xf numFmtId="0" fontId="1" fillId="6" borderId="38" xfId="0" applyFont="1" applyFill="1" applyBorder="1" applyAlignment="1">
      <alignment vertical="top" wrapText="1"/>
    </xf>
    <xf numFmtId="0" fontId="3" fillId="6" borderId="115" xfId="0" applyFont="1" applyFill="1" applyBorder="1" applyAlignment="1">
      <alignment vertical="top" wrapText="1"/>
    </xf>
    <xf numFmtId="165" fontId="1" fillId="6" borderId="116" xfId="0" applyNumberFormat="1" applyFont="1" applyFill="1" applyBorder="1" applyAlignment="1">
      <alignment horizontal="center" vertical="top"/>
    </xf>
    <xf numFmtId="1" fontId="1" fillId="6" borderId="73" xfId="0" applyNumberFormat="1" applyFont="1" applyFill="1" applyBorder="1" applyAlignment="1">
      <alignment horizontal="center" vertical="top" wrapText="1"/>
    </xf>
    <xf numFmtId="1" fontId="1" fillId="6" borderId="27" xfId="0" applyNumberFormat="1" applyFont="1" applyFill="1" applyBorder="1" applyAlignment="1">
      <alignment horizontal="center" vertical="top" wrapText="1"/>
    </xf>
    <xf numFmtId="1" fontId="1" fillId="6" borderId="67" xfId="0" applyNumberFormat="1" applyFont="1" applyFill="1" applyBorder="1" applyAlignment="1">
      <alignment horizontal="center" vertical="top" wrapText="1"/>
    </xf>
    <xf numFmtId="0" fontId="3" fillId="6" borderId="23" xfId="0" applyFont="1" applyFill="1" applyBorder="1" applyAlignment="1">
      <alignment horizontal="center" vertical="top" wrapText="1"/>
    </xf>
    <xf numFmtId="1" fontId="1" fillId="6" borderId="88" xfId="0" applyNumberFormat="1" applyFont="1" applyFill="1" applyBorder="1" applyAlignment="1">
      <alignment horizontal="center" vertical="top" wrapText="1"/>
    </xf>
    <xf numFmtId="1" fontId="1" fillId="6" borderId="72" xfId="0" applyNumberFormat="1" applyFont="1" applyFill="1" applyBorder="1" applyAlignment="1">
      <alignment horizontal="center" vertical="top" wrapText="1"/>
    </xf>
    <xf numFmtId="0" fontId="5" fillId="6" borderId="38" xfId="0" applyFont="1" applyFill="1" applyBorder="1" applyAlignment="1"/>
    <xf numFmtId="0" fontId="1" fillId="6" borderId="55"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6" borderId="11" xfId="0" applyFont="1" applyFill="1" applyBorder="1" applyAlignment="1">
      <alignment horizontal="center" vertical="center" textRotation="90" wrapText="1"/>
    </xf>
    <xf numFmtId="49" fontId="3" fillId="3" borderId="38" xfId="0" applyNumberFormat="1" applyFont="1" applyFill="1" applyBorder="1" applyAlignment="1">
      <alignment horizontal="center" vertical="top"/>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0" fontId="1" fillId="6" borderId="38" xfId="0" applyFont="1" applyFill="1" applyBorder="1" applyAlignment="1">
      <alignment horizontal="left" vertical="top" wrapText="1"/>
    </xf>
    <xf numFmtId="3" fontId="1" fillId="6" borderId="3" xfId="0" applyNumberFormat="1" applyFont="1" applyFill="1" applyBorder="1" applyAlignment="1">
      <alignment horizontal="center" vertical="top"/>
    </xf>
    <xf numFmtId="0" fontId="5" fillId="0" borderId="38" xfId="0" applyFont="1" applyBorder="1" applyAlignment="1">
      <alignment horizontal="left" vertical="top" wrapText="1"/>
    </xf>
    <xf numFmtId="3" fontId="1" fillId="6" borderId="1" xfId="0" applyNumberFormat="1" applyFont="1" applyFill="1" applyBorder="1" applyAlignment="1">
      <alignment horizontal="center" vertical="top" wrapText="1"/>
    </xf>
    <xf numFmtId="0" fontId="1" fillId="6" borderId="16" xfId="0" applyFont="1" applyFill="1" applyBorder="1" applyAlignment="1">
      <alignment vertical="center" wrapText="1"/>
    </xf>
    <xf numFmtId="0" fontId="1" fillId="6" borderId="20" xfId="0" applyFont="1" applyFill="1" applyBorder="1" applyAlignment="1">
      <alignment horizontal="center" vertical="top" wrapText="1"/>
    </xf>
    <xf numFmtId="0" fontId="1" fillId="6" borderId="99" xfId="0" applyFont="1" applyFill="1" applyBorder="1" applyAlignment="1">
      <alignment horizontal="center" vertical="top" wrapText="1"/>
    </xf>
    <xf numFmtId="0" fontId="1" fillId="6" borderId="64" xfId="0" applyFont="1" applyFill="1" applyBorder="1" applyAlignment="1">
      <alignment horizontal="center" vertical="top" wrapText="1"/>
    </xf>
    <xf numFmtId="0" fontId="3" fillId="6" borderId="23" xfId="0" applyFont="1" applyFill="1" applyBorder="1" applyAlignment="1">
      <alignment horizontal="center" vertical="top" wrapText="1"/>
    </xf>
    <xf numFmtId="0" fontId="3" fillId="6" borderId="11" xfId="0" applyFont="1" applyFill="1" applyBorder="1" applyAlignment="1">
      <alignment horizontal="center" vertical="top" wrapText="1"/>
    </xf>
    <xf numFmtId="164" fontId="1" fillId="6" borderId="113" xfId="0" applyNumberFormat="1" applyFont="1" applyFill="1" applyBorder="1" applyAlignment="1">
      <alignment horizontal="center" vertical="center" wrapText="1"/>
    </xf>
    <xf numFmtId="164" fontId="1" fillId="6" borderId="85" xfId="0" applyNumberFormat="1" applyFont="1" applyFill="1" applyBorder="1" applyAlignment="1">
      <alignment horizontal="center" vertical="center" wrapText="1"/>
    </xf>
    <xf numFmtId="0" fontId="19" fillId="0" borderId="28" xfId="0" applyFont="1" applyBorder="1" applyAlignment="1">
      <alignment vertical="top" wrapText="1"/>
    </xf>
    <xf numFmtId="0" fontId="1" fillId="6" borderId="69" xfId="0" applyFont="1" applyFill="1" applyBorder="1" applyAlignment="1">
      <alignment vertical="top" wrapText="1"/>
    </xf>
    <xf numFmtId="0" fontId="1" fillId="6" borderId="5" xfId="0" applyFont="1" applyFill="1" applyBorder="1" applyAlignment="1">
      <alignment vertical="top"/>
    </xf>
    <xf numFmtId="3" fontId="1" fillId="6" borderId="93" xfId="0" applyNumberFormat="1" applyFont="1" applyFill="1" applyBorder="1" applyAlignment="1">
      <alignment horizontal="center" vertical="top"/>
    </xf>
    <xf numFmtId="0" fontId="1" fillId="6" borderId="0" xfId="0" applyFont="1" applyFill="1" applyBorder="1" applyAlignment="1">
      <alignment vertical="top" wrapText="1"/>
    </xf>
    <xf numFmtId="1" fontId="1" fillId="6" borderId="68" xfId="0" applyNumberFormat="1" applyFont="1" applyFill="1" applyBorder="1" applyAlignment="1">
      <alignment horizontal="center" vertical="top"/>
    </xf>
    <xf numFmtId="1" fontId="1" fillId="6" borderId="73" xfId="0" applyNumberFormat="1" applyFont="1" applyFill="1" applyBorder="1" applyAlignment="1">
      <alignment horizontal="center" vertical="top"/>
    </xf>
    <xf numFmtId="1" fontId="1" fillId="6" borderId="11" xfId="0" applyNumberFormat="1" applyFont="1" applyFill="1" applyBorder="1" applyAlignment="1">
      <alignment horizontal="center" vertical="top"/>
    </xf>
    <xf numFmtId="1" fontId="1" fillId="6" borderId="41" xfId="0" applyNumberFormat="1" applyFont="1" applyFill="1" applyBorder="1" applyAlignment="1">
      <alignment horizontal="center" vertical="top"/>
    </xf>
    <xf numFmtId="1" fontId="1" fillId="6" borderId="27" xfId="0" applyNumberFormat="1" applyFont="1" applyFill="1" applyBorder="1" applyAlignment="1">
      <alignment horizontal="center" vertical="top"/>
    </xf>
    <xf numFmtId="1" fontId="1" fillId="6" borderId="94" xfId="0" applyNumberFormat="1" applyFont="1" applyFill="1" applyBorder="1" applyAlignment="1">
      <alignment horizontal="center" vertical="top"/>
    </xf>
    <xf numFmtId="1" fontId="1" fillId="6" borderId="60" xfId="0" applyNumberFormat="1" applyFont="1" applyFill="1" applyBorder="1" applyAlignment="1">
      <alignment horizontal="center" vertical="top"/>
    </xf>
    <xf numFmtId="1" fontId="1" fillId="6" borderId="76" xfId="0" applyNumberFormat="1" applyFont="1" applyFill="1" applyBorder="1" applyAlignment="1">
      <alignment horizontal="center" vertical="top"/>
    </xf>
    <xf numFmtId="1" fontId="1" fillId="6" borderId="67" xfId="0" applyNumberFormat="1" applyFont="1" applyFill="1" applyBorder="1" applyAlignment="1">
      <alignment horizontal="center" vertical="top"/>
    </xf>
    <xf numFmtId="1" fontId="1" fillId="6" borderId="72" xfId="0" applyNumberFormat="1" applyFont="1" applyFill="1" applyBorder="1" applyAlignment="1">
      <alignment horizontal="center" vertical="top"/>
    </xf>
    <xf numFmtId="0" fontId="1" fillId="6" borderId="37" xfId="0" applyFont="1" applyFill="1" applyBorder="1" applyAlignment="1">
      <alignment vertical="top"/>
    </xf>
    <xf numFmtId="49" fontId="3" fillId="3" borderId="11"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9" borderId="48" xfId="0" applyFont="1" applyFill="1" applyBorder="1" applyAlignment="1">
      <alignment vertical="top"/>
    </xf>
    <xf numFmtId="0" fontId="1" fillId="6" borderId="69" xfId="0" applyFont="1" applyFill="1" applyBorder="1" applyAlignment="1">
      <alignment vertical="top"/>
    </xf>
    <xf numFmtId="0" fontId="1" fillId="6" borderId="22" xfId="0" applyFont="1" applyFill="1" applyBorder="1" applyAlignment="1">
      <alignment vertical="top"/>
    </xf>
    <xf numFmtId="0" fontId="1" fillId="10" borderId="51" xfId="0" applyFont="1" applyFill="1" applyBorder="1" applyAlignment="1">
      <alignment vertical="top"/>
    </xf>
    <xf numFmtId="0" fontId="3" fillId="6" borderId="23" xfId="0" applyFont="1" applyFill="1" applyBorder="1" applyAlignment="1">
      <alignment horizontal="center" vertical="top" wrapText="1"/>
    </xf>
    <xf numFmtId="0" fontId="3" fillId="6" borderId="36" xfId="0" applyFont="1" applyFill="1" applyBorder="1" applyAlignment="1">
      <alignment horizontal="center" vertical="top" wrapText="1"/>
    </xf>
    <xf numFmtId="1" fontId="1" fillId="6" borderId="88" xfId="0" applyNumberFormat="1" applyFont="1" applyFill="1" applyBorder="1" applyAlignment="1">
      <alignment horizontal="center" vertical="top" wrapText="1"/>
    </xf>
    <xf numFmtId="1" fontId="1" fillId="6" borderId="72" xfId="0" applyNumberFormat="1" applyFont="1" applyFill="1" applyBorder="1" applyAlignment="1">
      <alignment horizontal="center" vertical="top" wrapText="1"/>
    </xf>
    <xf numFmtId="1" fontId="1" fillId="6" borderId="68" xfId="0" applyNumberFormat="1" applyFont="1" applyFill="1" applyBorder="1" applyAlignment="1">
      <alignment horizontal="center" vertical="top" wrapText="1"/>
    </xf>
    <xf numFmtId="165" fontId="1" fillId="6" borderId="110" xfId="0" applyNumberFormat="1"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0" fontId="1" fillId="6" borderId="12" xfId="0" applyFont="1" applyFill="1" applyBorder="1" applyAlignment="1">
      <alignment horizontal="center" vertical="center"/>
    </xf>
    <xf numFmtId="3" fontId="1" fillId="6" borderId="67" xfId="0" applyNumberFormat="1" applyFont="1" applyFill="1" applyBorder="1" applyAlignment="1">
      <alignment horizontal="center" vertical="top"/>
    </xf>
    <xf numFmtId="0" fontId="3" fillId="6" borderId="11" xfId="0" applyFont="1" applyFill="1" applyBorder="1" applyAlignment="1">
      <alignment horizontal="center" vertical="top" wrapText="1"/>
    </xf>
    <xf numFmtId="0" fontId="1" fillId="6" borderId="70" xfId="0" applyFont="1" applyFill="1" applyBorder="1" applyAlignment="1">
      <alignment vertical="top" wrapText="1"/>
    </xf>
    <xf numFmtId="0" fontId="1" fillId="6" borderId="88" xfId="0" applyFont="1" applyFill="1" applyBorder="1" applyAlignment="1">
      <alignment horizontal="center" vertical="top" wrapText="1"/>
    </xf>
    <xf numFmtId="0" fontId="1" fillId="6" borderId="66" xfId="0" applyFont="1" applyFill="1" applyBorder="1" applyAlignment="1">
      <alignment vertical="top" wrapText="1"/>
    </xf>
    <xf numFmtId="0" fontId="1" fillId="6" borderId="12" xfId="0" applyFont="1" applyFill="1" applyBorder="1" applyAlignment="1">
      <alignment vertical="top" wrapText="1"/>
    </xf>
    <xf numFmtId="0" fontId="1" fillId="6" borderId="70"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6" borderId="11" xfId="0" applyFont="1" applyFill="1" applyBorder="1" applyAlignment="1">
      <alignment horizontal="center" vertical="top" wrapText="1"/>
    </xf>
    <xf numFmtId="0" fontId="1" fillId="6" borderId="60" xfId="0" applyNumberFormat="1" applyFont="1" applyFill="1" applyBorder="1" applyAlignment="1">
      <alignment horizontal="center" vertical="top"/>
    </xf>
    <xf numFmtId="0" fontId="1" fillId="6" borderId="64" xfId="0" applyNumberFormat="1" applyFont="1" applyFill="1" applyBorder="1" applyAlignment="1">
      <alignment horizontal="center" vertical="top"/>
    </xf>
    <xf numFmtId="0" fontId="1" fillId="6" borderId="69" xfId="0" applyNumberFormat="1" applyFont="1" applyFill="1" applyBorder="1" applyAlignment="1">
      <alignment horizontal="center" vertical="top"/>
    </xf>
    <xf numFmtId="0" fontId="1" fillId="6" borderId="76" xfId="0" applyFont="1" applyFill="1" applyBorder="1" applyAlignment="1">
      <alignment vertical="top" wrapText="1"/>
    </xf>
    <xf numFmtId="0" fontId="1" fillId="6" borderId="93" xfId="0" applyFont="1" applyFill="1" applyBorder="1" applyAlignment="1">
      <alignment horizontal="center" vertical="top" wrapText="1"/>
    </xf>
    <xf numFmtId="0" fontId="1" fillId="6" borderId="98" xfId="0" applyFont="1" applyFill="1" applyBorder="1" applyAlignment="1">
      <alignment horizontal="center" vertical="top" wrapText="1"/>
    </xf>
    <xf numFmtId="0" fontId="1" fillId="6" borderId="13" xfId="0" applyFont="1" applyFill="1" applyBorder="1" applyAlignment="1">
      <alignment horizontal="center" vertical="top" wrapText="1"/>
    </xf>
    <xf numFmtId="0" fontId="1" fillId="6" borderId="23" xfId="0" applyFont="1" applyFill="1" applyBorder="1" applyAlignment="1">
      <alignment horizontal="center" vertical="top" wrapText="1"/>
    </xf>
    <xf numFmtId="165" fontId="1" fillId="6" borderId="14" xfId="0" applyNumberFormat="1" applyFont="1" applyFill="1" applyBorder="1" applyAlignment="1">
      <alignment horizontal="center" vertical="center"/>
    </xf>
    <xf numFmtId="3" fontId="1" fillId="6" borderId="115" xfId="0" applyNumberFormat="1" applyFont="1" applyFill="1" applyBorder="1" applyAlignment="1">
      <alignment horizontal="center" vertical="top"/>
    </xf>
    <xf numFmtId="3" fontId="1" fillId="6" borderId="65" xfId="0" applyNumberFormat="1" applyFont="1" applyFill="1" applyBorder="1" applyAlignment="1">
      <alignment horizontal="center" vertical="top"/>
    </xf>
    <xf numFmtId="3" fontId="1" fillId="6" borderId="66" xfId="0" applyNumberFormat="1" applyFont="1" applyFill="1" applyBorder="1" applyAlignment="1">
      <alignment horizontal="center" vertical="top"/>
    </xf>
    <xf numFmtId="0" fontId="3" fillId="9" borderId="50" xfId="0" applyFont="1" applyFill="1" applyBorder="1" applyAlignment="1">
      <alignment horizontal="center" vertical="top" wrapText="1"/>
    </xf>
    <xf numFmtId="49" fontId="3" fillId="8" borderId="11"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0" fontId="1" fillId="6" borderId="45" xfId="0" applyFont="1" applyFill="1" applyBorder="1" applyAlignment="1">
      <alignment horizontal="left" vertical="top" wrapText="1"/>
    </xf>
    <xf numFmtId="0" fontId="1" fillId="3" borderId="47" xfId="0" applyFont="1" applyFill="1" applyBorder="1" applyAlignment="1">
      <alignment horizontal="center"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0" fontId="1" fillId="6" borderId="70" xfId="0" applyFont="1" applyFill="1" applyBorder="1" applyAlignment="1">
      <alignment horizontal="left" vertical="top" wrapText="1"/>
    </xf>
    <xf numFmtId="0" fontId="1" fillId="6" borderId="7" xfId="0" applyFont="1" applyFill="1" applyBorder="1" applyAlignment="1">
      <alignment horizontal="left" vertical="top" wrapText="1"/>
    </xf>
    <xf numFmtId="0" fontId="13" fillId="6" borderId="78" xfId="0" applyFont="1" applyFill="1" applyBorder="1" applyAlignment="1">
      <alignment vertical="top" wrapText="1"/>
    </xf>
    <xf numFmtId="0" fontId="1" fillId="10" borderId="47" xfId="0" applyFont="1" applyFill="1" applyBorder="1" applyAlignment="1">
      <alignment horizontal="center" vertical="top" wrapText="1"/>
    </xf>
    <xf numFmtId="0" fontId="1" fillId="4" borderId="47" xfId="0" applyFont="1" applyFill="1" applyBorder="1" applyAlignment="1">
      <alignment horizontal="center" vertical="top"/>
    </xf>
    <xf numFmtId="0" fontId="1" fillId="6" borderId="14" xfId="0" applyFont="1" applyFill="1" applyBorder="1" applyAlignment="1">
      <alignment vertical="top" wrapText="1"/>
    </xf>
    <xf numFmtId="0" fontId="1" fillId="3" borderId="83" xfId="0" applyFont="1" applyFill="1" applyBorder="1" applyAlignment="1">
      <alignment horizontal="center" vertical="top" wrapText="1"/>
    </xf>
    <xf numFmtId="0" fontId="1" fillId="6" borderId="28" xfId="0" applyFont="1" applyFill="1" applyBorder="1" applyAlignment="1">
      <alignment horizontal="left" vertical="top" wrapText="1"/>
    </xf>
    <xf numFmtId="49" fontId="3" fillId="3" borderId="38" xfId="0" applyNumberFormat="1" applyFont="1" applyFill="1" applyBorder="1" applyAlignment="1">
      <alignment horizontal="center" vertical="top"/>
    </xf>
    <xf numFmtId="0" fontId="1" fillId="6" borderId="71" xfId="0" applyFont="1" applyFill="1" applyBorder="1" applyAlignment="1">
      <alignment horizontal="left" vertical="top" wrapText="1"/>
    </xf>
    <xf numFmtId="3" fontId="1" fillId="6" borderId="12" xfId="0" applyNumberFormat="1" applyFont="1" applyFill="1" applyBorder="1" applyAlignment="1">
      <alignment horizontal="center" vertical="top"/>
    </xf>
    <xf numFmtId="0" fontId="1" fillId="6" borderId="7" xfId="1" applyFont="1" applyFill="1" applyBorder="1" applyAlignment="1">
      <alignment horizontal="left" vertical="top" wrapText="1"/>
    </xf>
    <xf numFmtId="0" fontId="1" fillId="6" borderId="28" xfId="1" applyFont="1" applyFill="1" applyBorder="1" applyAlignment="1">
      <alignment vertical="top" wrapText="1"/>
    </xf>
    <xf numFmtId="0" fontId="1" fillId="6" borderId="5"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0" borderId="11"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6" borderId="5" xfId="1" applyFont="1" applyFill="1" applyBorder="1" applyAlignment="1">
      <alignment vertical="top" wrapText="1"/>
    </xf>
    <xf numFmtId="0" fontId="1" fillId="6" borderId="7" xfId="1" applyFont="1" applyFill="1" applyBorder="1" applyAlignment="1">
      <alignment vertical="top" wrapText="1"/>
    </xf>
    <xf numFmtId="0" fontId="1" fillId="6" borderId="16" xfId="1" applyFont="1" applyFill="1" applyBorder="1" applyAlignment="1">
      <alignment vertical="top" wrapText="1"/>
    </xf>
    <xf numFmtId="0" fontId="1" fillId="6" borderId="70" xfId="0" applyFont="1" applyFill="1" applyBorder="1" applyAlignment="1">
      <alignment vertical="top" wrapText="1"/>
    </xf>
    <xf numFmtId="0" fontId="1" fillId="6" borderId="5" xfId="0" applyFont="1" applyFill="1" applyBorder="1" applyAlignment="1">
      <alignment vertical="top" wrapText="1"/>
    </xf>
    <xf numFmtId="0" fontId="1" fillId="6" borderId="7" xfId="0" applyFont="1" applyFill="1" applyBorder="1" applyAlignment="1">
      <alignment vertical="top" wrapText="1"/>
    </xf>
    <xf numFmtId="0" fontId="3" fillId="6" borderId="12"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1" fillId="6" borderId="70" xfId="0" applyFont="1" applyFill="1" applyBorder="1" applyAlignment="1">
      <alignment vertical="center" wrapText="1"/>
    </xf>
    <xf numFmtId="0" fontId="1" fillId="0" borderId="7" xfId="0" applyFont="1" applyFill="1" applyBorder="1" applyAlignment="1">
      <alignment vertical="top" wrapText="1"/>
    </xf>
    <xf numFmtId="3" fontId="1" fillId="6" borderId="88" xfId="0" applyNumberFormat="1" applyFont="1" applyFill="1" applyBorder="1" applyAlignment="1">
      <alignment horizontal="center" vertical="top"/>
    </xf>
    <xf numFmtId="0" fontId="22" fillId="6" borderId="7" xfId="0" applyFont="1" applyFill="1" applyBorder="1" applyAlignment="1">
      <alignment vertical="top" wrapText="1"/>
    </xf>
    <xf numFmtId="3" fontId="1" fillId="6" borderId="88" xfId="1" applyNumberFormat="1" applyFont="1" applyFill="1" applyBorder="1" applyAlignment="1">
      <alignment horizontal="center" vertical="top"/>
    </xf>
    <xf numFmtId="3" fontId="1" fillId="6" borderId="1" xfId="0" applyNumberFormat="1" applyFont="1" applyFill="1" applyBorder="1" applyAlignment="1">
      <alignment horizontal="center" vertical="top"/>
    </xf>
    <xf numFmtId="165" fontId="1" fillId="6" borderId="7" xfId="0" applyNumberFormat="1" applyFont="1" applyFill="1" applyBorder="1" applyAlignment="1">
      <alignment vertical="top" wrapText="1"/>
    </xf>
    <xf numFmtId="0" fontId="1" fillId="6" borderId="22" xfId="0" applyFont="1" applyFill="1" applyBorder="1" applyAlignment="1">
      <alignment vertical="center" textRotation="90" wrapText="1"/>
    </xf>
    <xf numFmtId="0" fontId="1" fillId="6" borderId="97" xfId="0" applyFont="1" applyFill="1" applyBorder="1" applyAlignment="1">
      <alignment vertical="center" wrapText="1"/>
    </xf>
    <xf numFmtId="0" fontId="1" fillId="0" borderId="12" xfId="0" applyFont="1" applyBorder="1" applyAlignment="1">
      <alignment horizontal="center" vertical="top"/>
    </xf>
    <xf numFmtId="0" fontId="3" fillId="6" borderId="22" xfId="0" applyFont="1" applyFill="1" applyBorder="1" applyAlignment="1">
      <alignment horizontal="center" vertical="top" wrapText="1"/>
    </xf>
    <xf numFmtId="0" fontId="1" fillId="0" borderId="29" xfId="0" applyFont="1" applyFill="1" applyBorder="1" applyAlignment="1">
      <alignment horizontal="center" vertical="top"/>
    </xf>
    <xf numFmtId="0" fontId="1" fillId="0" borderId="53" xfId="0" applyFont="1" applyFill="1" applyBorder="1" applyAlignment="1">
      <alignment horizontal="center" vertical="top"/>
    </xf>
    <xf numFmtId="0" fontId="1" fillId="0" borderId="30" xfId="0" applyFont="1" applyFill="1" applyBorder="1" applyAlignment="1">
      <alignment horizontal="center" vertical="top"/>
    </xf>
    <xf numFmtId="165" fontId="1" fillId="6" borderId="115" xfId="0" applyNumberFormat="1" applyFont="1" applyFill="1" applyBorder="1" applyAlignment="1">
      <alignment horizontal="center" vertical="top"/>
    </xf>
    <xf numFmtId="0" fontId="3" fillId="6" borderId="64" xfId="0" applyFont="1" applyFill="1" applyBorder="1" applyAlignment="1">
      <alignment horizontal="center" vertical="top" wrapText="1"/>
    </xf>
    <xf numFmtId="0" fontId="1" fillId="6" borderId="1" xfId="0" applyFont="1" applyFill="1" applyBorder="1" applyAlignment="1">
      <alignment horizontal="center" vertical="center" textRotation="90" wrapText="1"/>
    </xf>
    <xf numFmtId="0" fontId="1" fillId="6" borderId="22" xfId="0" applyFont="1" applyFill="1" applyBorder="1" applyAlignment="1">
      <alignment horizontal="center" vertical="center" textRotation="90" wrapText="1"/>
    </xf>
    <xf numFmtId="0" fontId="1" fillId="6" borderId="33"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27" xfId="0" applyFont="1" applyFill="1" applyBorder="1" applyAlignment="1">
      <alignment horizontal="center" vertical="center"/>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1" fillId="6" borderId="29" xfId="0" applyFont="1" applyFill="1" applyBorder="1" applyAlignment="1">
      <alignment vertical="top" wrapText="1"/>
    </xf>
    <xf numFmtId="165" fontId="1" fillId="6" borderId="42" xfId="0" applyNumberFormat="1" applyFont="1" applyFill="1" applyBorder="1" applyAlignment="1">
      <alignment horizontal="center" vertical="top"/>
    </xf>
    <xf numFmtId="165" fontId="1" fillId="6" borderId="33" xfId="0" applyNumberFormat="1" applyFont="1" applyFill="1" applyBorder="1" applyAlignment="1">
      <alignment horizontal="center" vertical="center"/>
    </xf>
    <xf numFmtId="165" fontId="1" fillId="6" borderId="85" xfId="0" applyNumberFormat="1" applyFont="1" applyFill="1" applyBorder="1" applyAlignment="1">
      <alignment horizontal="center" vertical="center"/>
    </xf>
    <xf numFmtId="165" fontId="1" fillId="6" borderId="63" xfId="0" applyNumberFormat="1" applyFont="1" applyFill="1" applyBorder="1" applyAlignment="1">
      <alignment horizontal="center" vertical="center"/>
    </xf>
    <xf numFmtId="165" fontId="1" fillId="6" borderId="11" xfId="0" applyNumberFormat="1" applyFont="1" applyFill="1" applyBorder="1" applyAlignment="1">
      <alignment horizontal="center" vertical="center"/>
    </xf>
    <xf numFmtId="165" fontId="1" fillId="6" borderId="0" xfId="0" applyNumberFormat="1" applyFont="1" applyFill="1" applyAlignment="1">
      <alignment horizontal="center" vertical="center"/>
    </xf>
    <xf numFmtId="165" fontId="1" fillId="6" borderId="59" xfId="0" applyNumberFormat="1" applyFont="1" applyFill="1" applyBorder="1" applyAlignment="1">
      <alignment horizontal="center" vertical="center"/>
    </xf>
    <xf numFmtId="165" fontId="1" fillId="6" borderId="60" xfId="0" applyNumberFormat="1" applyFont="1" applyFill="1" applyBorder="1" applyAlignment="1">
      <alignment horizontal="center" vertical="center"/>
    </xf>
    <xf numFmtId="165" fontId="1" fillId="6" borderId="58" xfId="0" applyNumberFormat="1" applyFont="1" applyFill="1" applyBorder="1" applyAlignment="1">
      <alignment horizontal="center" vertical="center"/>
    </xf>
    <xf numFmtId="165" fontId="1" fillId="6" borderId="66" xfId="0" applyNumberFormat="1" applyFont="1" applyFill="1" applyBorder="1" applyAlignment="1">
      <alignment horizontal="center" vertical="center"/>
    </xf>
    <xf numFmtId="165" fontId="1" fillId="6" borderId="68" xfId="0" applyNumberFormat="1" applyFont="1" applyFill="1" applyBorder="1" applyAlignment="1">
      <alignment horizontal="center" vertical="center"/>
    </xf>
    <xf numFmtId="165" fontId="1" fillId="6" borderId="62" xfId="0" applyNumberFormat="1" applyFont="1" applyFill="1" applyBorder="1" applyAlignment="1">
      <alignment horizontal="center" vertical="center"/>
    </xf>
    <xf numFmtId="165" fontId="3" fillId="9" borderId="91" xfId="0" applyNumberFormat="1" applyFont="1" applyFill="1" applyBorder="1" applyAlignment="1">
      <alignment horizontal="center" vertical="top"/>
    </xf>
    <xf numFmtId="165" fontId="3" fillId="9" borderId="81" xfId="0" applyNumberFormat="1" applyFont="1" applyFill="1" applyBorder="1" applyAlignment="1">
      <alignment horizontal="center" vertical="top"/>
    </xf>
    <xf numFmtId="3" fontId="25" fillId="6" borderId="5" xfId="0" applyNumberFormat="1" applyFont="1" applyFill="1" applyBorder="1" applyAlignment="1">
      <alignment horizontal="center" vertical="top"/>
    </xf>
    <xf numFmtId="165" fontId="25" fillId="6" borderId="33" xfId="0" applyNumberFormat="1" applyFont="1" applyFill="1" applyBorder="1" applyAlignment="1">
      <alignment horizontal="center" vertical="top"/>
    </xf>
    <xf numFmtId="165" fontId="25" fillId="6" borderId="14" xfId="0" applyNumberFormat="1" applyFont="1" applyFill="1" applyBorder="1" applyAlignment="1">
      <alignment horizontal="center" vertical="top"/>
    </xf>
    <xf numFmtId="0" fontId="25" fillId="6" borderId="5" xfId="0" applyFont="1" applyFill="1" applyBorder="1" applyAlignment="1">
      <alignment horizontal="center" vertical="top" wrapText="1"/>
    </xf>
    <xf numFmtId="165" fontId="25" fillId="6" borderId="8" xfId="0" applyNumberFormat="1" applyFont="1" applyFill="1" applyBorder="1" applyAlignment="1">
      <alignment horizontal="center" vertical="top"/>
    </xf>
    <xf numFmtId="165" fontId="25" fillId="6" borderId="1" xfId="0" applyNumberFormat="1" applyFont="1" applyFill="1" applyBorder="1" applyAlignment="1">
      <alignment horizontal="center" vertical="top"/>
    </xf>
    <xf numFmtId="3" fontId="25" fillId="6" borderId="16" xfId="0" applyNumberFormat="1" applyFont="1" applyFill="1" applyBorder="1" applyAlignment="1">
      <alignment horizontal="center" vertical="top"/>
    </xf>
    <xf numFmtId="164" fontId="25" fillId="6" borderId="20" xfId="0" applyNumberFormat="1" applyFont="1" applyFill="1" applyBorder="1" applyAlignment="1">
      <alignment horizontal="center" vertical="top" wrapText="1"/>
    </xf>
    <xf numFmtId="164" fontId="25" fillId="6" borderId="23" xfId="0" applyNumberFormat="1" applyFont="1" applyFill="1" applyBorder="1" applyAlignment="1">
      <alignment horizontal="center" vertical="top" wrapText="1"/>
    </xf>
    <xf numFmtId="164" fontId="25" fillId="6" borderId="22" xfId="0" applyNumberFormat="1" applyFont="1" applyFill="1" applyBorder="1" applyAlignment="1">
      <alignment horizontal="center" vertical="top" wrapText="1"/>
    </xf>
    <xf numFmtId="0" fontId="25" fillId="6" borderId="70" xfId="0" applyFont="1" applyFill="1" applyBorder="1" applyAlignment="1">
      <alignment horizontal="center" vertical="top" wrapText="1"/>
    </xf>
    <xf numFmtId="164" fontId="25" fillId="6" borderId="65" xfId="0" applyNumberFormat="1" applyFont="1" applyFill="1" applyBorder="1" applyAlignment="1">
      <alignment horizontal="center" vertical="top" wrapText="1"/>
    </xf>
    <xf numFmtId="164" fontId="25" fillId="6" borderId="11" xfId="0" applyNumberFormat="1" applyFont="1" applyFill="1" applyBorder="1" applyAlignment="1">
      <alignment horizontal="center" vertical="top" wrapText="1"/>
    </xf>
    <xf numFmtId="164" fontId="25" fillId="6" borderId="27" xfId="0" applyNumberFormat="1" applyFont="1" applyFill="1" applyBorder="1" applyAlignment="1">
      <alignment horizontal="center" vertical="top" wrapText="1"/>
    </xf>
    <xf numFmtId="0" fontId="25" fillId="6" borderId="7" xfId="0" applyFont="1" applyFill="1" applyBorder="1" applyAlignment="1">
      <alignment horizontal="center" vertical="top" wrapText="1"/>
    </xf>
    <xf numFmtId="165" fontId="25" fillId="6" borderId="11" xfId="0" applyNumberFormat="1" applyFont="1" applyFill="1" applyBorder="1" applyAlignment="1">
      <alignment horizontal="center" vertical="top"/>
    </xf>
    <xf numFmtId="165" fontId="25" fillId="6" borderId="12" xfId="0" applyNumberFormat="1" applyFont="1" applyFill="1" applyBorder="1" applyAlignment="1">
      <alignment horizontal="center" vertical="top"/>
    </xf>
    <xf numFmtId="0" fontId="25" fillId="0" borderId="0" xfId="0" applyFont="1" applyAlignment="1">
      <alignment horizontal="center" vertical="top"/>
    </xf>
    <xf numFmtId="0" fontId="25" fillId="0" borderId="20" xfId="0" applyFont="1" applyBorder="1" applyAlignment="1">
      <alignment vertical="top"/>
    </xf>
    <xf numFmtId="0" fontId="25" fillId="0" borderId="21" xfId="0" applyFont="1" applyBorder="1" applyAlignment="1">
      <alignment vertical="top"/>
    </xf>
    <xf numFmtId="0" fontId="25" fillId="0" borderId="22" xfId="0" applyFont="1" applyBorder="1" applyAlignment="1">
      <alignment vertical="top"/>
    </xf>
    <xf numFmtId="164" fontId="25" fillId="6" borderId="61" xfId="0" applyNumberFormat="1" applyFont="1" applyFill="1" applyBorder="1" applyAlignment="1">
      <alignment horizontal="center" vertical="top" wrapText="1"/>
    </xf>
    <xf numFmtId="164" fontId="25" fillId="6" borderId="98" xfId="0" applyNumberFormat="1" applyFont="1" applyFill="1" applyBorder="1" applyAlignment="1">
      <alignment horizontal="center" vertical="top" wrapText="1"/>
    </xf>
    <xf numFmtId="164" fontId="25" fillId="6" borderId="1" xfId="0" applyNumberFormat="1" applyFont="1" applyFill="1" applyBorder="1" applyAlignment="1">
      <alignment horizontal="center" vertical="top" wrapText="1"/>
    </xf>
    <xf numFmtId="3" fontId="25" fillId="6" borderId="0" xfId="0" applyNumberFormat="1" applyFont="1" applyFill="1" applyBorder="1" applyAlignment="1">
      <alignment horizontal="center" vertical="top"/>
    </xf>
    <xf numFmtId="165" fontId="25" fillId="0" borderId="0" xfId="0" applyNumberFormat="1" applyFont="1" applyBorder="1" applyAlignment="1">
      <alignment vertical="top"/>
    </xf>
    <xf numFmtId="0" fontId="25" fillId="6" borderId="0" xfId="0" applyFont="1" applyFill="1" applyBorder="1" applyAlignment="1">
      <alignment horizontal="center" vertical="top" wrapText="1"/>
    </xf>
    <xf numFmtId="164" fontId="25" fillId="0" borderId="0" xfId="0" applyNumberFormat="1" applyFont="1" applyBorder="1" applyAlignment="1">
      <alignment vertical="top"/>
    </xf>
    <xf numFmtId="3" fontId="25" fillId="0" borderId="0" xfId="0" applyNumberFormat="1" applyFont="1" applyBorder="1" applyAlignment="1">
      <alignment vertical="top"/>
    </xf>
    <xf numFmtId="0" fontId="26" fillId="6" borderId="70" xfId="0" applyFont="1" applyFill="1" applyBorder="1" applyAlignment="1">
      <alignment horizontal="center" vertical="top" wrapText="1"/>
    </xf>
    <xf numFmtId="165" fontId="26" fillId="6" borderId="0" xfId="0" applyNumberFormat="1" applyFont="1" applyFill="1" applyAlignment="1">
      <alignment horizontal="center" vertical="top"/>
    </xf>
    <xf numFmtId="165" fontId="26" fillId="6" borderId="103" xfId="0" applyNumberFormat="1" applyFont="1" applyFill="1" applyBorder="1" applyAlignment="1">
      <alignment horizontal="center" vertical="top"/>
    </xf>
    <xf numFmtId="165" fontId="26" fillId="6" borderId="69" xfId="0" applyNumberFormat="1" applyFont="1" applyFill="1" applyBorder="1" applyAlignment="1">
      <alignment horizontal="center" vertical="top"/>
    </xf>
    <xf numFmtId="165" fontId="26" fillId="6" borderId="65" xfId="0" applyNumberFormat="1" applyFont="1" applyFill="1" applyBorder="1" applyAlignment="1">
      <alignment horizontal="center" vertical="top"/>
    </xf>
    <xf numFmtId="165" fontId="26" fillId="6" borderId="68" xfId="0" applyNumberFormat="1" applyFont="1" applyFill="1" applyBorder="1" applyAlignment="1">
      <alignment horizontal="center" vertical="top"/>
    </xf>
    <xf numFmtId="0" fontId="26" fillId="6" borderId="7" xfId="0" applyFont="1" applyFill="1" applyBorder="1" applyAlignment="1">
      <alignment horizontal="center" vertical="top" wrapText="1"/>
    </xf>
    <xf numFmtId="165" fontId="26" fillId="6" borderId="8" xfId="0" applyNumberFormat="1" applyFont="1" applyFill="1" applyBorder="1" applyAlignment="1">
      <alignment horizontal="center" vertical="top"/>
    </xf>
    <xf numFmtId="165" fontId="26" fillId="6" borderId="11" xfId="0" applyNumberFormat="1" applyFont="1" applyFill="1" applyBorder="1" applyAlignment="1">
      <alignment horizontal="center" vertical="top"/>
    </xf>
    <xf numFmtId="165" fontId="26" fillId="6" borderId="12" xfId="0" applyNumberFormat="1" applyFont="1" applyFill="1" applyBorder="1" applyAlignment="1">
      <alignment horizontal="center" vertical="top"/>
    </xf>
    <xf numFmtId="165" fontId="26" fillId="6" borderId="41" xfId="0" applyNumberFormat="1" applyFont="1" applyFill="1" applyBorder="1" applyAlignment="1">
      <alignment horizontal="center" vertical="top"/>
    </xf>
    <xf numFmtId="165" fontId="26" fillId="6" borderId="67" xfId="0" applyNumberFormat="1" applyFont="1" applyFill="1" applyBorder="1" applyAlignment="1">
      <alignment horizontal="center" vertical="top"/>
    </xf>
    <xf numFmtId="165" fontId="26" fillId="6" borderId="58" xfId="0" applyNumberFormat="1" applyFont="1" applyFill="1" applyBorder="1" applyAlignment="1">
      <alignment horizontal="center" vertical="top"/>
    </xf>
    <xf numFmtId="164" fontId="26" fillId="6" borderId="65" xfId="0" applyNumberFormat="1" applyFont="1" applyFill="1" applyBorder="1" applyAlignment="1">
      <alignment horizontal="center" vertical="top"/>
    </xf>
    <xf numFmtId="164" fontId="26" fillId="6" borderId="68" xfId="0" applyNumberFormat="1" applyFont="1" applyFill="1" applyBorder="1" applyAlignment="1">
      <alignment horizontal="center" vertical="top"/>
    </xf>
    <xf numFmtId="164" fontId="26" fillId="6" borderId="69" xfId="0" applyNumberFormat="1" applyFont="1" applyFill="1" applyBorder="1" applyAlignment="1">
      <alignment horizontal="center" vertical="top"/>
    </xf>
    <xf numFmtId="0" fontId="26" fillId="6" borderId="16" xfId="0" applyFont="1" applyFill="1" applyBorder="1" applyAlignment="1">
      <alignment horizontal="center" vertical="top"/>
    </xf>
    <xf numFmtId="0" fontId="26" fillId="0" borderId="16" xfId="0" applyFont="1" applyBorder="1" applyAlignment="1">
      <alignment horizontal="center" vertical="top"/>
    </xf>
    <xf numFmtId="3" fontId="26" fillId="6" borderId="20" xfId="0" applyNumberFormat="1" applyFont="1" applyFill="1" applyBorder="1" applyAlignment="1">
      <alignment horizontal="center" vertical="top"/>
    </xf>
    <xf numFmtId="0" fontId="26" fillId="6" borderId="5" xfId="0" applyFont="1" applyFill="1" applyBorder="1" applyAlignment="1">
      <alignment horizontal="center" vertical="top" wrapText="1"/>
    </xf>
    <xf numFmtId="165" fontId="26" fillId="6" borderId="14" xfId="0" applyNumberFormat="1" applyFont="1" applyFill="1" applyBorder="1" applyAlignment="1">
      <alignment horizontal="center" vertical="top"/>
    </xf>
    <xf numFmtId="0" fontId="26" fillId="6" borderId="16" xfId="0" applyFont="1" applyFill="1" applyBorder="1" applyAlignment="1">
      <alignment horizontal="center" vertical="top" wrapText="1"/>
    </xf>
    <xf numFmtId="165" fontId="26" fillId="6" borderId="22" xfId="0" applyNumberFormat="1" applyFont="1" applyFill="1" applyBorder="1" applyAlignment="1">
      <alignment horizontal="center" vertical="top"/>
    </xf>
    <xf numFmtId="165" fontId="26" fillId="6" borderId="33" xfId="0" applyNumberFormat="1" applyFont="1" applyFill="1" applyBorder="1" applyAlignment="1">
      <alignment horizontal="center" vertical="top"/>
    </xf>
    <xf numFmtId="165" fontId="26" fillId="6" borderId="7" xfId="0" applyNumberFormat="1" applyFont="1" applyFill="1" applyBorder="1" applyAlignment="1">
      <alignment horizontal="center" vertical="top" wrapText="1"/>
    </xf>
    <xf numFmtId="165" fontId="26" fillId="6" borderId="16" xfId="0" applyNumberFormat="1" applyFont="1" applyFill="1" applyBorder="1" applyAlignment="1">
      <alignment horizontal="center" vertical="top" wrapText="1"/>
    </xf>
    <xf numFmtId="165" fontId="26" fillId="6" borderId="20" xfId="0" applyNumberFormat="1" applyFont="1" applyFill="1" applyBorder="1" applyAlignment="1">
      <alignment horizontal="center" vertical="top"/>
    </xf>
    <xf numFmtId="165" fontId="26" fillId="6" borderId="0" xfId="0" applyNumberFormat="1" applyFont="1" applyFill="1" applyBorder="1" applyAlignment="1">
      <alignment horizontal="center" vertical="top"/>
    </xf>
    <xf numFmtId="165" fontId="26" fillId="6" borderId="0" xfId="0" applyNumberFormat="1" applyFont="1" applyFill="1" applyBorder="1" applyAlignment="1">
      <alignment horizontal="center" vertical="top" wrapText="1"/>
    </xf>
    <xf numFmtId="165" fontId="26" fillId="0" borderId="0" xfId="0" applyNumberFormat="1" applyFont="1" applyBorder="1" applyAlignment="1">
      <alignment vertical="top"/>
    </xf>
    <xf numFmtId="0" fontId="26" fillId="6" borderId="0" xfId="0" applyFont="1" applyFill="1" applyBorder="1" applyAlignment="1">
      <alignment horizontal="center" vertical="top"/>
    </xf>
    <xf numFmtId="0" fontId="26" fillId="0" borderId="0" xfId="0" applyFont="1" applyBorder="1" applyAlignment="1">
      <alignment vertical="top"/>
    </xf>
    <xf numFmtId="0" fontId="26" fillId="6" borderId="7" xfId="0" applyFont="1" applyFill="1" applyBorder="1" applyAlignment="1">
      <alignment horizontal="center" vertical="top"/>
    </xf>
    <xf numFmtId="0" fontId="26" fillId="6" borderId="5" xfId="0" applyFont="1" applyFill="1" applyBorder="1" applyAlignment="1">
      <alignment horizontal="center" vertical="top"/>
    </xf>
    <xf numFmtId="165" fontId="26" fillId="6" borderId="14" xfId="0" applyNumberFormat="1" applyFont="1" applyFill="1" applyBorder="1" applyAlignment="1">
      <alignment horizontal="center" vertical="center"/>
    </xf>
    <xf numFmtId="165" fontId="26" fillId="6" borderId="1" xfId="0" applyNumberFormat="1" applyFont="1" applyFill="1" applyBorder="1" applyAlignment="1">
      <alignment horizontal="center" vertical="top"/>
    </xf>
    <xf numFmtId="0" fontId="26" fillId="6" borderId="71" xfId="0" applyFont="1" applyFill="1" applyBorder="1" applyAlignment="1">
      <alignment horizontal="center" vertical="top" wrapText="1"/>
    </xf>
    <xf numFmtId="165" fontId="26" fillId="6" borderId="66" xfId="0" applyNumberFormat="1" applyFont="1" applyFill="1" applyBorder="1" applyAlignment="1">
      <alignment horizontal="center" vertical="top"/>
    </xf>
    <xf numFmtId="0" fontId="26" fillId="0" borderId="7" xfId="0" applyFont="1" applyFill="1" applyBorder="1" applyAlignment="1">
      <alignment horizontal="center" vertical="top" wrapText="1"/>
    </xf>
    <xf numFmtId="165" fontId="27" fillId="6" borderId="12" xfId="0" applyNumberFormat="1" applyFont="1" applyFill="1" applyBorder="1" applyAlignment="1">
      <alignment horizontal="center" vertical="top"/>
    </xf>
    <xf numFmtId="165" fontId="26" fillId="6" borderId="23" xfId="0" applyNumberFormat="1" applyFont="1" applyFill="1" applyBorder="1" applyAlignment="1">
      <alignment horizontal="center" vertical="top"/>
    </xf>
    <xf numFmtId="165" fontId="26" fillId="6" borderId="36" xfId="0" applyNumberFormat="1" applyFont="1" applyFill="1" applyBorder="1" applyAlignment="1">
      <alignment horizontal="center" vertical="top"/>
    </xf>
    <xf numFmtId="165" fontId="26" fillId="6" borderId="27" xfId="0" applyNumberFormat="1" applyFont="1" applyFill="1" applyBorder="1" applyAlignment="1">
      <alignment horizontal="center" vertical="top"/>
    </xf>
    <xf numFmtId="0" fontId="26" fillId="0" borderId="20" xfId="0" applyFont="1" applyBorder="1" applyAlignment="1">
      <alignment vertical="top"/>
    </xf>
    <xf numFmtId="0" fontId="26" fillId="0" borderId="23" xfId="0" applyFont="1" applyBorder="1" applyAlignment="1">
      <alignment vertical="top"/>
    </xf>
    <xf numFmtId="0" fontId="26" fillId="0" borderId="22" xfId="0" applyFont="1" applyBorder="1" applyAlignment="1">
      <alignment vertical="top"/>
    </xf>
    <xf numFmtId="0" fontId="26" fillId="0" borderId="16" xfId="0" applyFont="1" applyFill="1" applyBorder="1" applyAlignment="1">
      <alignment horizontal="center" vertical="top" wrapText="1"/>
    </xf>
    <xf numFmtId="3" fontId="26" fillId="6" borderId="1" xfId="1" applyNumberFormat="1" applyFont="1" applyFill="1" applyBorder="1" applyAlignment="1">
      <alignment horizontal="center" vertical="top"/>
    </xf>
    <xf numFmtId="165" fontId="26" fillId="6" borderId="78" xfId="0" applyNumberFormat="1" applyFont="1" applyFill="1" applyBorder="1" applyAlignment="1">
      <alignment horizontal="center" vertical="top"/>
    </xf>
    <xf numFmtId="4" fontId="26" fillId="6" borderId="30" xfId="0" applyNumberFormat="1" applyFont="1" applyFill="1" applyBorder="1" applyAlignment="1">
      <alignment horizontal="center" vertical="top"/>
    </xf>
    <xf numFmtId="4" fontId="26" fillId="6" borderId="1" xfId="0" applyNumberFormat="1" applyFont="1" applyFill="1" applyBorder="1" applyAlignment="1">
      <alignment horizontal="center" vertical="top"/>
    </xf>
    <xf numFmtId="0" fontId="26" fillId="6" borderId="28" xfId="0" applyFont="1" applyFill="1" applyBorder="1" applyAlignment="1">
      <alignment horizontal="center" vertical="center"/>
    </xf>
    <xf numFmtId="0" fontId="26" fillId="6" borderId="36" xfId="0" applyFont="1" applyFill="1" applyBorder="1" applyAlignment="1">
      <alignment horizontal="center" vertical="center"/>
    </xf>
    <xf numFmtId="0" fontId="26" fillId="6" borderId="12" xfId="0" applyFont="1" applyFill="1" applyBorder="1" applyAlignment="1">
      <alignment horizontal="center" vertical="center"/>
    </xf>
    <xf numFmtId="164" fontId="26" fillId="6" borderId="0" xfId="0" applyNumberFormat="1" applyFont="1" applyFill="1" applyBorder="1" applyAlignment="1">
      <alignment horizontal="center" vertical="top"/>
    </xf>
    <xf numFmtId="164" fontId="26" fillId="6" borderId="36" xfId="0" applyNumberFormat="1" applyFont="1" applyFill="1" applyBorder="1" applyAlignment="1">
      <alignment horizontal="center" vertical="top"/>
    </xf>
    <xf numFmtId="165" fontId="26" fillId="6" borderId="40" xfId="0" applyNumberFormat="1" applyFont="1" applyFill="1" applyBorder="1" applyAlignment="1">
      <alignment horizontal="center" vertical="top"/>
    </xf>
    <xf numFmtId="0" fontId="26" fillId="0" borderId="28" xfId="0" applyFont="1" applyBorder="1" applyAlignment="1">
      <alignment horizontal="center" vertical="top"/>
    </xf>
    <xf numFmtId="0" fontId="26" fillId="0" borderId="8" xfId="0" applyFont="1" applyBorder="1" applyAlignment="1">
      <alignment vertical="top"/>
    </xf>
    <xf numFmtId="0" fontId="26" fillId="0" borderId="11" xfId="0" applyFont="1" applyBorder="1" applyAlignment="1">
      <alignment vertical="top"/>
    </xf>
    <xf numFmtId="0" fontId="26" fillId="0" borderId="16" xfId="0" applyFont="1" applyBorder="1" applyAlignment="1">
      <alignment vertical="top"/>
    </xf>
    <xf numFmtId="0" fontId="26" fillId="6" borderId="20" xfId="0" applyFont="1" applyFill="1" applyBorder="1" applyAlignment="1">
      <alignment vertical="top"/>
    </xf>
    <xf numFmtId="0" fontId="26" fillId="6" borderId="13" xfId="0" applyFont="1" applyFill="1" applyBorder="1" applyAlignment="1">
      <alignment vertical="top"/>
    </xf>
    <xf numFmtId="0" fontId="26" fillId="6" borderId="43" xfId="0" applyFont="1" applyFill="1" applyBorder="1" applyAlignment="1">
      <alignment vertical="top"/>
    </xf>
    <xf numFmtId="0" fontId="26" fillId="6" borderId="40" xfId="0" applyFont="1" applyFill="1" applyBorder="1" applyAlignment="1">
      <alignment horizontal="center" vertical="top" wrapText="1"/>
    </xf>
    <xf numFmtId="0" fontId="26" fillId="0" borderId="7" xfId="0" applyFont="1" applyBorder="1" applyAlignment="1">
      <alignment horizontal="center" vertical="top"/>
    </xf>
    <xf numFmtId="165" fontId="26" fillId="6" borderId="5" xfId="0" applyNumberFormat="1" applyFont="1" applyFill="1" applyBorder="1" applyAlignment="1">
      <alignment horizontal="center" vertical="top" wrapText="1"/>
    </xf>
    <xf numFmtId="165" fontId="26" fillId="6" borderId="8" xfId="0" applyNumberFormat="1" applyFont="1" applyFill="1" applyBorder="1" applyAlignment="1">
      <alignment horizontal="center" vertical="top" wrapText="1"/>
    </xf>
    <xf numFmtId="165" fontId="26" fillId="6" borderId="14" xfId="0" applyNumberFormat="1" applyFont="1" applyFill="1" applyBorder="1" applyAlignment="1">
      <alignment horizontal="center" vertical="top" wrapText="1"/>
    </xf>
    <xf numFmtId="165" fontId="26" fillId="6" borderId="0" xfId="0" applyNumberFormat="1" applyFont="1" applyFill="1" applyAlignment="1">
      <alignment horizontal="center" vertical="top" wrapText="1"/>
    </xf>
    <xf numFmtId="165" fontId="26" fillId="6" borderId="11" xfId="0" applyNumberFormat="1" applyFont="1" applyFill="1" applyBorder="1" applyAlignment="1">
      <alignment horizontal="center" vertical="top" wrapText="1"/>
    </xf>
    <xf numFmtId="165" fontId="26" fillId="6" borderId="12" xfId="0" applyNumberFormat="1" applyFont="1" applyFill="1" applyBorder="1" applyAlignment="1">
      <alignment horizontal="center" vertical="top" wrapText="1"/>
    </xf>
    <xf numFmtId="0" fontId="26" fillId="0" borderId="0" xfId="0" applyFont="1" applyBorder="1" applyAlignment="1">
      <alignment horizontal="center" vertical="top"/>
    </xf>
    <xf numFmtId="4" fontId="26" fillId="0" borderId="0" xfId="0" applyNumberFormat="1" applyFont="1" applyBorder="1" applyAlignment="1">
      <alignment vertical="top"/>
    </xf>
    <xf numFmtId="0" fontId="26" fillId="6" borderId="0" xfId="0" applyFont="1" applyFill="1" applyBorder="1" applyAlignment="1">
      <alignment horizontal="center" vertical="top" wrapText="1"/>
    </xf>
    <xf numFmtId="0" fontId="19" fillId="6" borderId="7" xfId="0" applyFont="1" applyFill="1" applyBorder="1" applyAlignment="1">
      <alignment horizontal="center" vertical="top" wrapText="1"/>
    </xf>
    <xf numFmtId="165" fontId="19" fillId="6" borderId="8" xfId="0" applyNumberFormat="1" applyFont="1" applyFill="1" applyBorder="1" applyAlignment="1">
      <alignment horizontal="center" vertical="top"/>
    </xf>
    <xf numFmtId="165" fontId="19" fillId="6" borderId="11" xfId="0" applyNumberFormat="1" applyFont="1" applyFill="1" applyBorder="1" applyAlignment="1">
      <alignment horizontal="center" vertical="top"/>
    </xf>
    <xf numFmtId="165" fontId="19" fillId="6" borderId="12" xfId="0" applyNumberFormat="1" applyFont="1" applyFill="1" applyBorder="1" applyAlignment="1">
      <alignment horizontal="center" vertical="top"/>
    </xf>
    <xf numFmtId="165" fontId="19" fillId="6" borderId="8" xfId="0" applyNumberFormat="1" applyFont="1" applyFill="1" applyBorder="1" applyAlignment="1">
      <alignment horizontal="center" vertical="top" wrapText="1"/>
    </xf>
    <xf numFmtId="165" fontId="19" fillId="6" borderId="0" xfId="0" applyNumberFormat="1" applyFont="1" applyFill="1" applyAlignment="1">
      <alignment horizontal="center" vertical="top" wrapText="1"/>
    </xf>
    <xf numFmtId="165" fontId="19" fillId="6" borderId="7" xfId="0" applyNumberFormat="1" applyFont="1" applyFill="1" applyBorder="1" applyAlignment="1">
      <alignment horizontal="center" vertical="top" wrapText="1"/>
    </xf>
    <xf numFmtId="165" fontId="19" fillId="6" borderId="11" xfId="0" applyNumberFormat="1" applyFont="1" applyFill="1" applyBorder="1" applyAlignment="1">
      <alignment horizontal="center" vertical="top" wrapText="1"/>
    </xf>
    <xf numFmtId="165" fontId="19" fillId="6" borderId="12" xfId="0" applyNumberFormat="1" applyFont="1" applyFill="1" applyBorder="1" applyAlignment="1">
      <alignment horizontal="center" vertical="top" wrapText="1"/>
    </xf>
    <xf numFmtId="165" fontId="19" fillId="6" borderId="27" xfId="0" applyNumberFormat="1" applyFont="1" applyFill="1" applyBorder="1" applyAlignment="1">
      <alignment horizontal="center" vertical="top"/>
    </xf>
    <xf numFmtId="165" fontId="19" fillId="6" borderId="0" xfId="0" applyNumberFormat="1" applyFont="1" applyFill="1" applyBorder="1" applyAlignment="1">
      <alignment horizontal="center" vertical="top"/>
    </xf>
    <xf numFmtId="165" fontId="19" fillId="6" borderId="41" xfId="0" applyNumberFormat="1" applyFont="1" applyFill="1" applyBorder="1" applyAlignment="1">
      <alignment horizontal="center" vertical="top" wrapText="1"/>
    </xf>
    <xf numFmtId="165" fontId="19" fillId="6" borderId="16" xfId="0" applyNumberFormat="1" applyFont="1" applyFill="1" applyBorder="1" applyAlignment="1">
      <alignment horizontal="center" vertical="top"/>
    </xf>
    <xf numFmtId="165" fontId="19" fillId="6" borderId="20" xfId="0" applyNumberFormat="1" applyFont="1" applyFill="1" applyBorder="1" applyAlignment="1">
      <alignment horizontal="center" vertical="top" wrapText="1"/>
    </xf>
    <xf numFmtId="165" fontId="19" fillId="6" borderId="23" xfId="0" applyNumberFormat="1" applyFont="1" applyFill="1" applyBorder="1" applyAlignment="1">
      <alignment horizontal="center" vertical="top" wrapText="1"/>
    </xf>
    <xf numFmtId="49" fontId="19" fillId="6" borderId="40" xfId="0" applyNumberFormat="1" applyFont="1" applyFill="1" applyBorder="1" applyAlignment="1">
      <alignment vertical="top"/>
    </xf>
    <xf numFmtId="0" fontId="19" fillId="6" borderId="16" xfId="0" applyFont="1" applyFill="1" applyBorder="1" applyAlignment="1">
      <alignment vertical="top"/>
    </xf>
    <xf numFmtId="165" fontId="19" fillId="6" borderId="20" xfId="0" applyNumberFormat="1" applyFont="1" applyFill="1" applyBorder="1" applyAlignment="1">
      <alignment horizontal="center" vertical="center"/>
    </xf>
    <xf numFmtId="165" fontId="19" fillId="6" borderId="23" xfId="0" applyNumberFormat="1" applyFont="1" applyFill="1" applyBorder="1" applyAlignment="1">
      <alignment horizontal="center" vertical="center"/>
    </xf>
    <xf numFmtId="165" fontId="19" fillId="6" borderId="22" xfId="0" applyNumberFormat="1" applyFont="1" applyFill="1" applyBorder="1" applyAlignment="1">
      <alignment horizontal="center" vertical="center"/>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49" fontId="3" fillId="8" borderId="11" xfId="0" applyNumberFormat="1" applyFont="1" applyFill="1" applyBorder="1" applyAlignment="1">
      <alignment horizontal="center" vertical="top" wrapText="1"/>
    </xf>
    <xf numFmtId="3" fontId="1" fillId="6" borderId="68" xfId="0" applyNumberFormat="1" applyFont="1" applyFill="1" applyBorder="1" applyAlignment="1">
      <alignment horizontal="center" vertical="top"/>
    </xf>
    <xf numFmtId="0" fontId="19" fillId="0" borderId="28" xfId="0" applyFont="1" applyBorder="1" applyAlignment="1">
      <alignment vertical="top"/>
    </xf>
    <xf numFmtId="0" fontId="19" fillId="0" borderId="0" xfId="0" applyFont="1" applyBorder="1" applyAlignment="1">
      <alignment vertical="top"/>
    </xf>
    <xf numFmtId="0" fontId="29" fillId="0" borderId="0" xfId="0" applyFont="1" applyBorder="1" applyAlignment="1">
      <alignment vertical="top"/>
    </xf>
    <xf numFmtId="0" fontId="26" fillId="0" borderId="0" xfId="0" applyFont="1" applyAlignment="1">
      <alignment vertical="top"/>
    </xf>
    <xf numFmtId="3" fontId="26" fillId="0" borderId="0" xfId="0" applyNumberFormat="1" applyFont="1" applyBorder="1" applyAlignment="1">
      <alignment vertical="top"/>
    </xf>
    <xf numFmtId="0" fontId="30" fillId="0" borderId="0" xfId="0" applyFont="1"/>
    <xf numFmtId="0" fontId="26" fillId="0" borderId="0" xfId="0" applyFont="1" applyBorder="1" applyAlignment="1">
      <alignment vertical="top" wrapText="1"/>
    </xf>
    <xf numFmtId="0" fontId="26" fillId="6" borderId="0" xfId="0" applyFont="1" applyFill="1" applyBorder="1" applyAlignment="1">
      <alignment vertical="top"/>
    </xf>
    <xf numFmtId="2" fontId="26" fillId="0" borderId="0" xfId="0" applyNumberFormat="1" applyFont="1" applyBorder="1" applyAlignment="1">
      <alignment vertical="top"/>
    </xf>
    <xf numFmtId="0" fontId="26" fillId="0" borderId="0" xfId="0" applyFont="1" applyFill="1" applyBorder="1" applyAlignment="1">
      <alignment vertical="top"/>
    </xf>
    <xf numFmtId="165" fontId="1" fillId="6" borderId="0" xfId="0" applyNumberFormat="1" applyFont="1" applyFill="1" applyBorder="1" applyAlignment="1">
      <alignment horizontal="center" vertical="center"/>
    </xf>
    <xf numFmtId="165" fontId="1" fillId="6" borderId="99" xfId="0" applyNumberFormat="1" applyFont="1" applyFill="1" applyBorder="1" applyAlignment="1">
      <alignment horizontal="center" vertical="center"/>
    </xf>
    <xf numFmtId="0" fontId="1" fillId="6" borderId="103" xfId="0" applyFont="1" applyFill="1" applyBorder="1" applyAlignment="1">
      <alignment horizontal="center" vertical="top" wrapText="1"/>
    </xf>
    <xf numFmtId="165" fontId="1" fillId="6" borderId="94"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0" fontId="1" fillId="6" borderId="11" xfId="0" applyFont="1" applyFill="1" applyBorder="1" applyAlignment="1">
      <alignment vertical="top" wrapText="1"/>
    </xf>
    <xf numFmtId="0" fontId="1" fillId="6" borderId="70" xfId="0" applyFont="1" applyFill="1" applyBorder="1" applyAlignment="1">
      <alignment horizontal="left" vertical="top" wrapText="1"/>
    </xf>
    <xf numFmtId="49" fontId="3" fillId="8" borderId="11"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0" fontId="25" fillId="6" borderId="41" xfId="0" applyFont="1" applyFill="1" applyBorder="1" applyAlignment="1">
      <alignment horizontal="center" vertical="top" wrapText="1"/>
    </xf>
    <xf numFmtId="165" fontId="25" fillId="6" borderId="0" xfId="0" applyNumberFormat="1" applyFont="1" applyFill="1" applyBorder="1" applyAlignment="1">
      <alignment horizontal="center" vertical="top"/>
    </xf>
    <xf numFmtId="0" fontId="1" fillId="6" borderId="28" xfId="0" applyFont="1" applyFill="1" applyBorder="1" applyAlignment="1">
      <alignment horizontal="left" vertical="top" wrapText="1"/>
    </xf>
    <xf numFmtId="0" fontId="1" fillId="6" borderId="5" xfId="0" applyFont="1" applyFill="1" applyBorder="1" applyAlignment="1">
      <alignment horizontal="left" vertical="top" wrapText="1"/>
    </xf>
    <xf numFmtId="0" fontId="1" fillId="6" borderId="60" xfId="0" applyNumberFormat="1" applyFont="1" applyFill="1" applyBorder="1" applyAlignment="1">
      <alignment horizontal="center" vertical="top" wrapText="1"/>
    </xf>
    <xf numFmtId="0" fontId="1" fillId="6" borderId="104" xfId="0" applyNumberFormat="1" applyFont="1" applyFill="1" applyBorder="1" applyAlignment="1">
      <alignment horizontal="center" vertical="top" wrapText="1"/>
    </xf>
    <xf numFmtId="0" fontId="3" fillId="2" borderId="38" xfId="0" applyFont="1" applyFill="1" applyBorder="1" applyAlignment="1">
      <alignment horizontal="center" vertical="top" wrapText="1"/>
    </xf>
    <xf numFmtId="3" fontId="1" fillId="6" borderId="0" xfId="0" applyNumberFormat="1" applyFont="1" applyFill="1" applyBorder="1" applyAlignment="1">
      <alignment horizontal="center" vertical="top"/>
    </xf>
    <xf numFmtId="3" fontId="1" fillId="6" borderId="36" xfId="0" applyNumberFormat="1" applyFont="1" applyFill="1" applyBorder="1" applyAlignment="1">
      <alignment horizontal="center" vertical="top"/>
    </xf>
    <xf numFmtId="3" fontId="1" fillId="6" borderId="21" xfId="0" applyNumberFormat="1" applyFont="1" applyFill="1" applyBorder="1" applyAlignment="1">
      <alignment horizontal="center" vertical="top"/>
    </xf>
    <xf numFmtId="0" fontId="1" fillId="6" borderId="11" xfId="0" applyFont="1" applyFill="1" applyBorder="1" applyAlignment="1">
      <alignment horizontal="center" vertical="center" textRotation="90" wrapText="1"/>
    </xf>
    <xf numFmtId="164" fontId="26" fillId="6" borderId="45" xfId="0" applyNumberFormat="1" applyFont="1" applyFill="1" applyBorder="1" applyAlignment="1">
      <alignment horizontal="center" vertical="top"/>
    </xf>
    <xf numFmtId="0" fontId="26" fillId="6" borderId="14" xfId="0" applyNumberFormat="1" applyFont="1" applyFill="1" applyBorder="1" applyAlignment="1">
      <alignment horizontal="center" vertical="top"/>
    </xf>
    <xf numFmtId="0" fontId="26" fillId="0" borderId="5" xfId="0" applyFont="1" applyBorder="1" applyAlignment="1">
      <alignment horizontal="center" vertical="top"/>
    </xf>
    <xf numFmtId="0" fontId="26" fillId="6" borderId="8" xfId="0" applyFont="1" applyFill="1" applyBorder="1" applyAlignment="1">
      <alignment vertical="top"/>
    </xf>
    <xf numFmtId="0" fontId="26" fillId="6" borderId="8" xfId="0" applyFont="1" applyFill="1" applyBorder="1" applyAlignment="1">
      <alignment horizontal="center" vertical="top"/>
    </xf>
    <xf numFmtId="164" fontId="26" fillId="6" borderId="11" xfId="0" applyNumberFormat="1" applyFont="1" applyFill="1" applyBorder="1" applyAlignment="1">
      <alignment horizontal="center" vertical="top"/>
    </xf>
    <xf numFmtId="3" fontId="26" fillId="6" borderId="12" xfId="0" applyNumberFormat="1" applyFont="1" applyFill="1" applyBorder="1" applyAlignment="1">
      <alignment horizontal="center" vertical="top" wrapText="1"/>
    </xf>
    <xf numFmtId="165" fontId="26" fillId="6" borderId="5" xfId="0" applyNumberFormat="1" applyFont="1" applyFill="1" applyBorder="1" applyAlignment="1">
      <alignment horizontal="center" vertical="top"/>
    </xf>
    <xf numFmtId="165" fontId="26" fillId="6" borderId="16" xfId="0" applyNumberFormat="1" applyFont="1" applyFill="1" applyBorder="1" applyAlignment="1">
      <alignment horizontal="center" vertical="top"/>
    </xf>
    <xf numFmtId="0" fontId="26" fillId="6" borderId="52" xfId="0" applyFont="1" applyFill="1" applyBorder="1" applyAlignment="1">
      <alignment vertical="top"/>
    </xf>
    <xf numFmtId="164" fontId="26" fillId="6" borderId="33" xfId="0" applyNumberFormat="1" applyFont="1" applyFill="1" applyBorder="1" applyAlignment="1">
      <alignment horizontal="center" vertical="top"/>
    </xf>
    <xf numFmtId="164" fontId="26" fillId="6" borderId="14" xfId="1" applyNumberFormat="1" applyFont="1" applyFill="1" applyBorder="1" applyAlignment="1">
      <alignment horizontal="center" vertical="top"/>
    </xf>
    <xf numFmtId="165" fontId="26" fillId="6" borderId="23" xfId="1" applyNumberFormat="1" applyFont="1" applyFill="1" applyBorder="1" applyAlignment="1">
      <alignment horizontal="center" vertical="top"/>
    </xf>
    <xf numFmtId="165" fontId="26" fillId="6" borderId="22" xfId="1" applyNumberFormat="1" applyFont="1" applyFill="1" applyBorder="1" applyAlignment="1">
      <alignment horizontal="center" vertical="top"/>
    </xf>
    <xf numFmtId="0" fontId="28" fillId="6" borderId="5" xfId="0" applyFont="1" applyFill="1" applyBorder="1" applyAlignment="1">
      <alignment horizontal="center" vertical="top"/>
    </xf>
    <xf numFmtId="0" fontId="26" fillId="6" borderId="20" xfId="0" applyFont="1" applyFill="1" applyBorder="1" applyAlignment="1">
      <alignment horizontal="center" vertical="top"/>
    </xf>
    <xf numFmtId="4" fontId="26" fillId="6" borderId="33" xfId="0" applyNumberFormat="1" applyFont="1" applyFill="1" applyBorder="1" applyAlignment="1">
      <alignment horizontal="center" vertical="top"/>
    </xf>
    <xf numFmtId="0" fontId="26" fillId="6" borderId="23" xfId="0" applyFont="1" applyFill="1" applyBorder="1" applyAlignment="1">
      <alignment horizontal="center" vertical="top"/>
    </xf>
    <xf numFmtId="0" fontId="26" fillId="6" borderId="22" xfId="0" applyFont="1" applyFill="1" applyBorder="1" applyAlignment="1">
      <alignment horizontal="center" vertical="top"/>
    </xf>
    <xf numFmtId="0" fontId="26" fillId="6" borderId="28" xfId="0" applyFont="1" applyFill="1" applyBorder="1" applyAlignment="1">
      <alignment horizontal="center" vertical="top"/>
    </xf>
    <xf numFmtId="165" fontId="27" fillId="6" borderId="27" xfId="0" applyNumberFormat="1" applyFont="1" applyFill="1" applyBorder="1" applyAlignment="1">
      <alignment horizontal="center" vertical="top"/>
    </xf>
    <xf numFmtId="165" fontId="27" fillId="6" borderId="11" xfId="0" applyNumberFormat="1" applyFont="1" applyFill="1" applyBorder="1" applyAlignment="1">
      <alignment horizontal="center" vertical="top"/>
    </xf>
    <xf numFmtId="165" fontId="27" fillId="6" borderId="22" xfId="0" applyNumberFormat="1" applyFont="1" applyFill="1" applyBorder="1" applyAlignment="1">
      <alignment horizontal="center" vertical="top"/>
    </xf>
    <xf numFmtId="165" fontId="26" fillId="6" borderId="33" xfId="0" applyNumberFormat="1" applyFont="1" applyFill="1" applyBorder="1" applyAlignment="1">
      <alignment horizontal="center" vertical="center"/>
    </xf>
    <xf numFmtId="165" fontId="26" fillId="6" borderId="40" xfId="0" applyNumberFormat="1" applyFont="1" applyFill="1" applyBorder="1" applyAlignment="1">
      <alignment horizontal="center" vertical="center"/>
    </xf>
    <xf numFmtId="165" fontId="1" fillId="6" borderId="117" xfId="0" applyNumberFormat="1" applyFont="1" applyFill="1" applyBorder="1" applyAlignment="1">
      <alignment horizontal="center" vertical="top"/>
    </xf>
    <xf numFmtId="165" fontId="27" fillId="6" borderId="8" xfId="0" applyNumberFormat="1" applyFont="1" applyFill="1" applyBorder="1" applyAlignment="1">
      <alignment horizontal="center" vertical="top"/>
    </xf>
    <xf numFmtId="164" fontId="26" fillId="6" borderId="22" xfId="0" applyNumberFormat="1" applyFont="1" applyFill="1" applyBorder="1" applyAlignment="1">
      <alignment horizontal="center" vertical="top"/>
    </xf>
    <xf numFmtId="164" fontId="26" fillId="6" borderId="23" xfId="0" applyNumberFormat="1" applyFont="1" applyFill="1" applyBorder="1" applyAlignment="1">
      <alignment horizontal="center" vertical="top"/>
    </xf>
    <xf numFmtId="3" fontId="26" fillId="6" borderId="12" xfId="0" applyNumberFormat="1" applyFont="1" applyFill="1" applyBorder="1" applyAlignment="1">
      <alignment horizontal="right" vertical="top"/>
    </xf>
    <xf numFmtId="3" fontId="26" fillId="6" borderId="1" xfId="0" applyNumberFormat="1" applyFont="1" applyFill="1" applyBorder="1" applyAlignment="1">
      <alignment horizontal="right" vertical="top"/>
    </xf>
    <xf numFmtId="0" fontId="26" fillId="0" borderId="12" xfId="0" applyFont="1" applyBorder="1" applyAlignment="1">
      <alignment vertical="top"/>
    </xf>
    <xf numFmtId="165" fontId="25" fillId="6" borderId="20" xfId="0" applyNumberFormat="1" applyFont="1" applyFill="1" applyBorder="1" applyAlignment="1">
      <alignment horizontal="center" vertical="top"/>
    </xf>
    <xf numFmtId="165" fontId="25" fillId="6" borderId="23" xfId="0" applyNumberFormat="1" applyFont="1" applyFill="1" applyBorder="1" applyAlignment="1">
      <alignment horizontal="center" vertical="top"/>
    </xf>
    <xf numFmtId="165" fontId="25" fillId="6" borderId="22" xfId="0" applyNumberFormat="1" applyFont="1" applyFill="1" applyBorder="1" applyAlignment="1">
      <alignment horizontal="center" vertical="top"/>
    </xf>
    <xf numFmtId="0" fontId="25" fillId="6" borderId="16" xfId="0" applyFont="1" applyFill="1" applyBorder="1" applyAlignment="1">
      <alignment horizontal="center" vertical="top" wrapText="1"/>
    </xf>
    <xf numFmtId="164" fontId="25" fillId="0" borderId="33" xfId="0" applyNumberFormat="1" applyFont="1" applyBorder="1" applyAlignment="1">
      <alignment horizontal="center" vertical="center"/>
    </xf>
    <xf numFmtId="0" fontId="25" fillId="0" borderId="14" xfId="0" applyFont="1" applyBorder="1" applyAlignment="1">
      <alignment vertical="top"/>
    </xf>
    <xf numFmtId="0" fontId="25" fillId="0" borderId="1" xfId="0" applyFont="1" applyBorder="1" applyAlignment="1">
      <alignment vertical="top"/>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1" fontId="1" fillId="6" borderId="67" xfId="0" applyNumberFormat="1" applyFont="1" applyFill="1" applyBorder="1" applyAlignment="1">
      <alignment horizontal="center" vertical="top" wrapText="1"/>
    </xf>
    <xf numFmtId="1" fontId="1" fillId="6" borderId="72" xfId="0" applyNumberFormat="1" applyFont="1" applyFill="1" applyBorder="1" applyAlignment="1">
      <alignment horizontal="center" vertical="top" wrapText="1"/>
    </xf>
    <xf numFmtId="0" fontId="1" fillId="6" borderId="38" xfId="0" applyFont="1" applyFill="1" applyBorder="1" applyAlignment="1">
      <alignment horizontal="left" vertical="top" wrapText="1"/>
    </xf>
    <xf numFmtId="0" fontId="1" fillId="6" borderId="11" xfId="0" applyFont="1" applyFill="1" applyBorder="1" applyAlignment="1">
      <alignment horizontal="center" vertical="center" textRotation="90" wrapText="1"/>
    </xf>
    <xf numFmtId="0" fontId="1" fillId="6" borderId="28"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6" borderId="11" xfId="0" applyFont="1" applyFill="1" applyBorder="1" applyAlignment="1">
      <alignment horizontal="center" vertical="top" wrapText="1"/>
    </xf>
    <xf numFmtId="165" fontId="1" fillId="6" borderId="64" xfId="0" applyNumberFormat="1" applyFont="1" applyFill="1" applyBorder="1" applyAlignment="1">
      <alignment horizontal="center" vertical="center"/>
    </xf>
    <xf numFmtId="0" fontId="1" fillId="6" borderId="41" xfId="0" applyFont="1" applyFill="1" applyBorder="1" applyAlignment="1">
      <alignment horizontal="center" vertical="center"/>
    </xf>
    <xf numFmtId="0" fontId="3" fillId="6" borderId="1" xfId="0" applyFont="1" applyFill="1" applyBorder="1" applyAlignment="1">
      <alignment horizontal="center" vertical="center" wrapText="1"/>
    </xf>
    <xf numFmtId="0" fontId="1" fillId="6" borderId="12" xfId="0" applyFont="1" applyFill="1" applyBorder="1" applyAlignment="1">
      <alignment horizontal="center" vertical="center" textRotation="90" wrapText="1"/>
    </xf>
    <xf numFmtId="0" fontId="20" fillId="6" borderId="71" xfId="0" applyFont="1" applyFill="1" applyBorder="1" applyAlignment="1">
      <alignment horizontal="center" vertical="top" wrapText="1"/>
    </xf>
    <xf numFmtId="165" fontId="25" fillId="6" borderId="10" xfId="0" applyNumberFormat="1" applyFont="1" applyFill="1" applyBorder="1" applyAlignment="1">
      <alignment horizontal="center" vertical="top"/>
    </xf>
    <xf numFmtId="165" fontId="25" fillId="6" borderId="2" xfId="0" applyNumberFormat="1" applyFont="1" applyFill="1" applyBorder="1" applyAlignment="1">
      <alignment horizontal="center" vertical="top"/>
    </xf>
    <xf numFmtId="165" fontId="25" fillId="6" borderId="90" xfId="0" applyNumberFormat="1" applyFont="1" applyFill="1" applyBorder="1" applyAlignment="1">
      <alignment horizontal="center" vertical="top"/>
    </xf>
    <xf numFmtId="3" fontId="1" fillId="6" borderId="26" xfId="0" applyNumberFormat="1" applyFont="1" applyFill="1" applyBorder="1" applyAlignment="1">
      <alignment horizontal="center" vertical="top"/>
    </xf>
    <xf numFmtId="0" fontId="9" fillId="6" borderId="1" xfId="0" applyFont="1" applyFill="1" applyBorder="1" applyAlignment="1">
      <alignment horizontal="center" vertical="top" wrapText="1"/>
    </xf>
    <xf numFmtId="0" fontId="20" fillId="6" borderId="15" xfId="0" applyFont="1" applyFill="1" applyBorder="1" applyAlignment="1">
      <alignment vertical="top" wrapText="1"/>
    </xf>
    <xf numFmtId="3" fontId="16" fillId="0" borderId="0" xfId="0" applyNumberFormat="1" applyFont="1" applyAlignment="1">
      <alignment horizontal="center" vertical="top"/>
    </xf>
    <xf numFmtId="0" fontId="4"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horizontal="center" vertical="top" wrapText="1"/>
    </xf>
    <xf numFmtId="0" fontId="1" fillId="0" borderId="19" xfId="0" applyFont="1" applyBorder="1" applyAlignment="1">
      <alignment horizontal="right" vertical="top"/>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1" fillId="0" borderId="28" xfId="0" applyFont="1" applyBorder="1" applyAlignment="1">
      <alignment horizontal="center" vertical="center" wrapText="1"/>
    </xf>
    <xf numFmtId="0" fontId="1" fillId="0" borderId="24" xfId="0" applyFont="1" applyBorder="1" applyAlignment="1">
      <alignment horizontal="center" vertical="center" wrapText="1"/>
    </xf>
    <xf numFmtId="3" fontId="1" fillId="0" borderId="52" xfId="0" applyNumberFormat="1" applyFont="1" applyBorder="1" applyAlignment="1">
      <alignment horizontal="center" vertical="center"/>
    </xf>
    <xf numFmtId="3" fontId="1" fillId="0" borderId="37" xfId="0" applyNumberFormat="1" applyFont="1" applyBorder="1" applyAlignment="1">
      <alignment horizontal="center" vertical="center"/>
    </xf>
    <xf numFmtId="3" fontId="1" fillId="0" borderId="43" xfId="0" applyNumberFormat="1" applyFont="1" applyBorder="1" applyAlignment="1">
      <alignment horizontal="center" vertical="center"/>
    </xf>
    <xf numFmtId="49" fontId="3" fillId="7" borderId="56" xfId="0" applyNumberFormat="1" applyFont="1" applyFill="1" applyBorder="1" applyAlignment="1">
      <alignment horizontal="left" vertical="top" wrapText="1"/>
    </xf>
    <xf numFmtId="49" fontId="3" fillId="7" borderId="53" xfId="0" applyNumberFormat="1" applyFont="1" applyFill="1" applyBorder="1" applyAlignment="1">
      <alignment horizontal="left" vertical="top" wrapText="1"/>
    </xf>
    <xf numFmtId="0" fontId="3" fillId="4" borderId="54" xfId="0" applyFont="1" applyFill="1" applyBorder="1" applyAlignment="1">
      <alignment horizontal="left" vertical="top" wrapText="1"/>
    </xf>
    <xf numFmtId="0" fontId="3" fillId="4" borderId="31" xfId="0" applyFont="1" applyFill="1" applyBorder="1" applyAlignment="1">
      <alignment horizontal="left" vertical="top" wrapText="1"/>
    </xf>
    <xf numFmtId="3" fontId="1" fillId="0" borderId="34" xfId="0" applyNumberFormat="1" applyFont="1" applyBorder="1" applyAlignment="1">
      <alignment horizontal="center" vertical="center" textRotation="90" wrapText="1" shrinkToFit="1"/>
    </xf>
    <xf numFmtId="3" fontId="1" fillId="0" borderId="7" xfId="0" applyNumberFormat="1" applyFont="1" applyBorder="1" applyAlignment="1">
      <alignment horizontal="center" vertical="center" textRotation="90" wrapText="1" shrinkToFit="1"/>
    </xf>
    <xf numFmtId="3" fontId="1" fillId="0" borderId="49" xfId="0" applyNumberFormat="1" applyFont="1" applyBorder="1" applyAlignment="1">
      <alignment horizontal="center" vertical="center" textRotation="90" wrapText="1" shrinkToFit="1"/>
    </xf>
    <xf numFmtId="0" fontId="1" fillId="0" borderId="6"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17" xfId="0" applyFont="1" applyBorder="1" applyAlignment="1">
      <alignment horizontal="center" vertical="center" textRotation="90" wrapText="1"/>
    </xf>
    <xf numFmtId="0" fontId="1" fillId="0" borderId="92"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01" xfId="0" applyFont="1" applyBorder="1" applyAlignment="1">
      <alignment horizontal="center" vertical="center" textRotation="90" wrapText="1"/>
    </xf>
    <xf numFmtId="3" fontId="1" fillId="0" borderId="6" xfId="0" applyNumberFormat="1" applyFont="1" applyBorder="1" applyAlignment="1">
      <alignment horizontal="center" vertical="center" textRotation="90" shrinkToFit="1"/>
    </xf>
    <xf numFmtId="3" fontId="1" fillId="0" borderId="8"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18"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3" fontId="1" fillId="0" borderId="17" xfId="0" applyNumberFormat="1" applyFont="1" applyBorder="1" applyAlignment="1">
      <alignment horizontal="center" vertical="center" textRotation="90" shrinkToFit="1"/>
    </xf>
    <xf numFmtId="3" fontId="1" fillId="0" borderId="35" xfId="0" applyNumberFormat="1" applyFont="1" applyBorder="1" applyAlignment="1">
      <alignment horizontal="center" vertical="center" shrinkToFit="1"/>
    </xf>
    <xf numFmtId="3" fontId="1" fillId="0" borderId="38" xfId="0" applyNumberFormat="1" applyFont="1" applyBorder="1" applyAlignment="1">
      <alignment horizontal="center" vertical="center" shrinkToFit="1"/>
    </xf>
    <xf numFmtId="3" fontId="1" fillId="0" borderId="46" xfId="0" applyNumberFormat="1" applyFont="1" applyBorder="1" applyAlignment="1">
      <alignment horizontal="center" vertical="center" shrinkToFit="1"/>
    </xf>
    <xf numFmtId="0" fontId="1" fillId="6" borderId="26" xfId="0" applyFont="1" applyFill="1" applyBorder="1" applyAlignment="1">
      <alignment horizontal="left" vertical="top" wrapText="1"/>
    </xf>
    <xf numFmtId="0" fontId="5" fillId="6" borderId="26"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23" xfId="0" applyFont="1" applyFill="1" applyBorder="1" applyAlignment="1">
      <alignment horizontal="left" vertical="top" wrapText="1"/>
    </xf>
    <xf numFmtId="0" fontId="3" fillId="10" borderId="38" xfId="0" applyFont="1" applyFill="1" applyBorder="1" applyAlignment="1">
      <alignment horizontal="left" vertical="top" wrapText="1"/>
    </xf>
    <xf numFmtId="0" fontId="3" fillId="10" borderId="0" xfId="0" applyFont="1" applyFill="1" applyBorder="1" applyAlignment="1">
      <alignment horizontal="left" vertical="top" wrapText="1"/>
    </xf>
    <xf numFmtId="0" fontId="3" fillId="9" borderId="26" xfId="0" applyFont="1" applyFill="1" applyBorder="1" applyAlignment="1">
      <alignment horizontal="left" vertical="top" wrapText="1"/>
    </xf>
    <xf numFmtId="0" fontId="3" fillId="9" borderId="31"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38"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105" xfId="0" applyFont="1" applyFill="1" applyBorder="1" applyAlignment="1">
      <alignment horizontal="left" vertical="top" wrapText="1"/>
    </xf>
    <xf numFmtId="49" fontId="3" fillId="10" borderId="8" xfId="0" applyNumberFormat="1" applyFont="1" applyFill="1" applyBorder="1" applyAlignment="1">
      <alignment horizontal="center" vertical="top"/>
    </xf>
    <xf numFmtId="49" fontId="3" fillId="3" borderId="27" xfId="0" applyNumberFormat="1" applyFont="1" applyFill="1" applyBorder="1" applyAlignment="1">
      <alignment horizontal="center" vertical="top"/>
    </xf>
    <xf numFmtId="49" fontId="3" fillId="8" borderId="11"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0" fontId="5" fillId="6" borderId="11" xfId="0" applyFont="1" applyFill="1" applyBorder="1" applyAlignment="1">
      <alignment vertical="top" wrapText="1"/>
    </xf>
    <xf numFmtId="49" fontId="3" fillId="3" borderId="38" xfId="0" applyNumberFormat="1" applyFont="1" applyFill="1" applyBorder="1" applyAlignment="1">
      <alignment horizontal="center" vertical="top"/>
    </xf>
    <xf numFmtId="0" fontId="1" fillId="6" borderId="68" xfId="0" applyFont="1" applyFill="1" applyBorder="1" applyAlignment="1">
      <alignment horizontal="left" vertical="top" wrapText="1"/>
    </xf>
    <xf numFmtId="0" fontId="1" fillId="6" borderId="14" xfId="0" applyFont="1" applyFill="1" applyBorder="1" applyAlignment="1">
      <alignment vertical="top" wrapText="1"/>
    </xf>
    <xf numFmtId="0" fontId="1" fillId="6" borderId="11" xfId="0" applyFont="1" applyFill="1" applyBorder="1" applyAlignment="1">
      <alignment vertical="top" wrapText="1"/>
    </xf>
    <xf numFmtId="0" fontId="5" fillId="0" borderId="11" xfId="0" applyFont="1" applyBorder="1" applyAlignment="1">
      <alignment horizontal="left" vertical="top" wrapText="1"/>
    </xf>
    <xf numFmtId="0" fontId="1" fillId="6" borderId="36" xfId="0" applyFont="1" applyFill="1" applyBorder="1" applyAlignment="1">
      <alignment horizontal="left" vertical="top" wrapText="1"/>
    </xf>
    <xf numFmtId="0" fontId="5" fillId="6" borderId="38" xfId="0" applyFont="1" applyFill="1" applyBorder="1" applyAlignment="1">
      <alignment vertical="top" wrapText="1"/>
    </xf>
    <xf numFmtId="0" fontId="1" fillId="6" borderId="38" xfId="0" applyFont="1" applyFill="1" applyBorder="1" applyAlignment="1">
      <alignment horizontal="left" vertical="top" wrapText="1"/>
    </xf>
    <xf numFmtId="0" fontId="1" fillId="6" borderId="70" xfId="0" applyFont="1" applyFill="1" applyBorder="1" applyAlignment="1">
      <alignment horizontal="left" vertical="top" wrapText="1"/>
    </xf>
    <xf numFmtId="0" fontId="1" fillId="6" borderId="71" xfId="0" applyFont="1" applyFill="1" applyBorder="1" applyAlignment="1">
      <alignment horizontal="left" vertical="top" wrapText="1"/>
    </xf>
    <xf numFmtId="0" fontId="1" fillId="6" borderId="37" xfId="0" applyFont="1" applyFill="1" applyBorder="1" applyAlignment="1">
      <alignment horizontal="left" vertical="top" wrapText="1"/>
    </xf>
    <xf numFmtId="0" fontId="1" fillId="6" borderId="45" xfId="0" applyFont="1" applyFill="1" applyBorder="1" applyAlignment="1">
      <alignment horizontal="left" vertical="top" wrapText="1"/>
    </xf>
    <xf numFmtId="0" fontId="1" fillId="6" borderId="52" xfId="0" applyFont="1" applyFill="1" applyBorder="1" applyAlignment="1">
      <alignment horizontal="left" vertical="top" wrapText="1"/>
    </xf>
    <xf numFmtId="0" fontId="1" fillId="6" borderId="23" xfId="0" applyFont="1" applyFill="1" applyBorder="1" applyAlignment="1">
      <alignment vertical="top" wrapText="1"/>
    </xf>
    <xf numFmtId="0" fontId="1" fillId="6" borderId="7" xfId="1" applyFont="1" applyFill="1" applyBorder="1" applyAlignment="1">
      <alignment horizontal="left" vertical="top" wrapText="1"/>
    </xf>
    <xf numFmtId="0" fontId="1" fillId="6" borderId="16" xfId="1" applyFont="1" applyFill="1" applyBorder="1" applyAlignment="1">
      <alignment horizontal="left" vertical="top" wrapText="1"/>
    </xf>
    <xf numFmtId="3" fontId="1" fillId="0" borderId="18" xfId="0" applyNumberFormat="1" applyFont="1" applyFill="1" applyBorder="1" applyAlignment="1">
      <alignment horizontal="center" vertical="top" wrapText="1"/>
    </xf>
    <xf numFmtId="3" fontId="1" fillId="0" borderId="23" xfId="0" applyNumberFormat="1" applyFont="1" applyFill="1" applyBorder="1" applyAlignment="1">
      <alignment horizontal="center" vertical="top" wrapText="1"/>
    </xf>
    <xf numFmtId="3" fontId="1" fillId="0" borderId="42" xfId="0" applyNumberFormat="1" applyFont="1" applyFill="1" applyBorder="1" applyAlignment="1">
      <alignment horizontal="center" vertical="top" wrapText="1"/>
    </xf>
    <xf numFmtId="3" fontId="1" fillId="0" borderId="43" xfId="0" applyNumberFormat="1" applyFont="1" applyFill="1" applyBorder="1" applyAlignment="1">
      <alignment horizontal="center" vertical="top" wrapText="1"/>
    </xf>
    <xf numFmtId="49" fontId="3" fillId="10" borderId="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3" fillId="8" borderId="18" xfId="0" applyNumberFormat="1" applyFont="1" applyFill="1" applyBorder="1" applyAlignment="1">
      <alignment horizontal="center" vertical="top"/>
    </xf>
    <xf numFmtId="0" fontId="7" fillId="6" borderId="18" xfId="0" applyFont="1" applyFill="1" applyBorder="1" applyAlignment="1">
      <alignment horizontal="left" vertical="top" wrapText="1"/>
    </xf>
    <xf numFmtId="0" fontId="7" fillId="6" borderId="23" xfId="0" applyFont="1" applyFill="1" applyBorder="1" applyAlignment="1">
      <alignment horizontal="left" vertical="top" wrapText="1"/>
    </xf>
    <xf numFmtId="0" fontId="3" fillId="6" borderId="18" xfId="0" applyFont="1" applyFill="1" applyBorder="1" applyAlignment="1">
      <alignment horizontal="center" vertical="top" wrapText="1"/>
    </xf>
    <xf numFmtId="0" fontId="3" fillId="6" borderId="23" xfId="0" applyFont="1" applyFill="1" applyBorder="1" applyAlignment="1">
      <alignment horizontal="center" vertical="top" wrapText="1"/>
    </xf>
    <xf numFmtId="49" fontId="3" fillId="3" borderId="57" xfId="0" applyNumberFormat="1" applyFont="1" applyFill="1" applyBorder="1" applyAlignment="1">
      <alignment horizontal="right" vertical="top"/>
    </xf>
    <xf numFmtId="49" fontId="3" fillId="3" borderId="50" xfId="0" applyNumberFormat="1" applyFont="1" applyFill="1" applyBorder="1" applyAlignment="1">
      <alignment horizontal="right" vertical="top"/>
    </xf>
    <xf numFmtId="0" fontId="1" fillId="3" borderId="50" xfId="0" applyFont="1" applyFill="1" applyBorder="1" applyAlignment="1">
      <alignment horizontal="center" vertical="top" wrapText="1"/>
    </xf>
    <xf numFmtId="3" fontId="1" fillId="0" borderId="109" xfId="0" applyNumberFormat="1" applyFont="1" applyFill="1" applyBorder="1" applyAlignment="1">
      <alignment horizontal="center" vertical="top" wrapText="1"/>
    </xf>
    <xf numFmtId="3" fontId="1" fillId="0" borderId="13" xfId="0" applyNumberFormat="1" applyFont="1" applyFill="1" applyBorder="1" applyAlignment="1">
      <alignment horizontal="center" vertical="top" wrapText="1"/>
    </xf>
    <xf numFmtId="0" fontId="18" fillId="6" borderId="14" xfId="0" applyFont="1" applyFill="1" applyBorder="1" applyAlignment="1">
      <alignment horizontal="left" vertical="top" wrapText="1"/>
    </xf>
    <xf numFmtId="0" fontId="18" fillId="6" borderId="11" xfId="0" applyFont="1" applyFill="1" applyBorder="1" applyAlignment="1">
      <alignment horizontal="left" vertical="top" wrapText="1"/>
    </xf>
    <xf numFmtId="0" fontId="18" fillId="6" borderId="23" xfId="0" applyFont="1" applyFill="1" applyBorder="1" applyAlignment="1">
      <alignment horizontal="left" vertical="top" wrapText="1"/>
    </xf>
    <xf numFmtId="0" fontId="1" fillId="6" borderId="65" xfId="0" applyFont="1" applyFill="1" applyBorder="1" applyAlignment="1">
      <alignment vertical="top"/>
    </xf>
    <xf numFmtId="0" fontId="1" fillId="6" borderId="20" xfId="0" applyFont="1" applyFill="1" applyBorder="1" applyAlignment="1">
      <alignment vertical="top"/>
    </xf>
    <xf numFmtId="0" fontId="3" fillId="9" borderId="114" xfId="0" applyFont="1" applyFill="1" applyBorder="1" applyAlignment="1">
      <alignment horizontal="left" vertical="center"/>
    </xf>
    <xf numFmtId="0" fontId="3" fillId="9" borderId="53" xfId="0" applyFont="1" applyFill="1" applyBorder="1" applyAlignment="1">
      <alignment horizontal="left" vertical="center"/>
    </xf>
    <xf numFmtId="0" fontId="1" fillId="6" borderId="45" xfId="0" applyFont="1" applyFill="1" applyBorder="1" applyAlignment="1">
      <alignment vertical="top" wrapText="1"/>
    </xf>
    <xf numFmtId="0" fontId="1" fillId="6" borderId="28" xfId="0" applyFont="1" applyFill="1" applyBorder="1" applyAlignment="1">
      <alignment vertical="top" wrapText="1"/>
    </xf>
    <xf numFmtId="0" fontId="1" fillId="6" borderId="108" xfId="0" applyFont="1" applyFill="1" applyBorder="1" applyAlignment="1">
      <alignment horizontal="left" vertical="top" wrapText="1"/>
    </xf>
    <xf numFmtId="0" fontId="3" fillId="9" borderId="57" xfId="0" applyFont="1" applyFill="1" applyBorder="1" applyAlignment="1">
      <alignment horizontal="left" vertical="top" wrapText="1"/>
    </xf>
    <xf numFmtId="0" fontId="3" fillId="9" borderId="50" xfId="0" applyFont="1" applyFill="1" applyBorder="1" applyAlignment="1">
      <alignment horizontal="left" vertical="top" wrapText="1"/>
    </xf>
    <xf numFmtId="0" fontId="1" fillId="6" borderId="7" xfId="0" applyFont="1" applyFill="1" applyBorder="1" applyAlignment="1">
      <alignment horizontal="left" vertical="top" wrapText="1"/>
    </xf>
    <xf numFmtId="49" fontId="3" fillId="8" borderId="11"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 fillId="2" borderId="11" xfId="0" applyFont="1" applyFill="1" applyBorder="1" applyAlignment="1">
      <alignment vertical="top" wrapText="1"/>
    </xf>
    <xf numFmtId="0" fontId="3" fillId="6" borderId="14" xfId="0" applyFont="1" applyFill="1" applyBorder="1" applyAlignment="1">
      <alignment horizontal="center" vertical="top" wrapText="1"/>
    </xf>
    <xf numFmtId="0" fontId="3" fillId="6" borderId="11" xfId="0" applyFont="1" applyFill="1" applyBorder="1" applyAlignment="1">
      <alignment horizontal="center" vertical="top" wrapText="1"/>
    </xf>
    <xf numFmtId="49" fontId="3" fillId="3" borderId="51" xfId="0" applyNumberFormat="1" applyFont="1" applyFill="1" applyBorder="1" applyAlignment="1">
      <alignment horizontal="right" vertical="top"/>
    </xf>
    <xf numFmtId="0" fontId="8" fillId="6" borderId="14"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0" applyFont="1" applyFill="1" applyBorder="1" applyAlignment="1"/>
    <xf numFmtId="0" fontId="3" fillId="6" borderId="18" xfId="0" applyFont="1" applyFill="1" applyBorder="1" applyAlignment="1">
      <alignment horizontal="left" vertical="top" wrapText="1"/>
    </xf>
    <xf numFmtId="0" fontId="3" fillId="6" borderId="23" xfId="0" applyFont="1" applyFill="1" applyBorder="1" applyAlignment="1">
      <alignment horizontal="left" vertical="top" wrapText="1"/>
    </xf>
    <xf numFmtId="49" fontId="9" fillId="10" borderId="52" xfId="0" applyNumberFormat="1" applyFont="1" applyFill="1" applyBorder="1" applyAlignment="1">
      <alignment horizontal="center" vertical="top"/>
    </xf>
    <xf numFmtId="49" fontId="9" fillId="10" borderId="28" xfId="0" applyNumberFormat="1" applyFont="1" applyFill="1" applyBorder="1" applyAlignment="1">
      <alignment horizontal="center" vertical="top"/>
    </xf>
    <xf numFmtId="49" fontId="9" fillId="9" borderId="23" xfId="0" applyNumberFormat="1" applyFont="1" applyFill="1" applyBorder="1" applyAlignment="1">
      <alignment horizontal="center" vertical="top"/>
    </xf>
    <xf numFmtId="49" fontId="9" fillId="9" borderId="11" xfId="0" applyNumberFormat="1" applyFont="1" applyFill="1" applyBorder="1" applyAlignment="1">
      <alignment horizontal="center" vertical="top"/>
    </xf>
    <xf numFmtId="49" fontId="9" fillId="8" borderId="37" xfId="0" applyNumberFormat="1" applyFont="1" applyFill="1" applyBorder="1" applyAlignment="1">
      <alignment horizontal="center" vertical="top"/>
    </xf>
    <xf numFmtId="49" fontId="9" fillId="8" borderId="0" xfId="0" applyNumberFormat="1" applyFont="1" applyFill="1" applyBorder="1" applyAlignment="1">
      <alignment horizontal="center" vertical="top"/>
    </xf>
    <xf numFmtId="3" fontId="1" fillId="6" borderId="2"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5"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49" fontId="3" fillId="3" borderId="80" xfId="0" applyNumberFormat="1" applyFont="1" applyFill="1" applyBorder="1" applyAlignment="1">
      <alignment horizontal="right" vertical="top"/>
    </xf>
    <xf numFmtId="49" fontId="3" fillId="3" borderId="74" xfId="0" applyNumberFormat="1" applyFont="1" applyFill="1" applyBorder="1" applyAlignment="1">
      <alignment horizontal="right" vertical="top"/>
    </xf>
    <xf numFmtId="49" fontId="3" fillId="3" borderId="82" xfId="0" applyNumberFormat="1" applyFont="1" applyFill="1" applyBorder="1" applyAlignment="1">
      <alignment horizontal="right" vertical="top"/>
    </xf>
    <xf numFmtId="49" fontId="3" fillId="10" borderId="57" xfId="0" applyNumberFormat="1" applyFont="1" applyFill="1" applyBorder="1" applyAlignment="1">
      <alignment horizontal="right" vertical="top"/>
    </xf>
    <xf numFmtId="49" fontId="3" fillId="10" borderId="50" xfId="0" applyNumberFormat="1" applyFont="1" applyFill="1" applyBorder="1" applyAlignment="1">
      <alignment horizontal="right" vertical="top"/>
    </xf>
    <xf numFmtId="49" fontId="3" fillId="10" borderId="51" xfId="0" applyNumberFormat="1" applyFont="1" applyFill="1" applyBorder="1" applyAlignment="1">
      <alignment horizontal="right" vertical="top"/>
    </xf>
    <xf numFmtId="3" fontId="1" fillId="6" borderId="45" xfId="0" applyNumberFormat="1" applyFont="1" applyFill="1" applyBorder="1" applyAlignment="1">
      <alignment horizontal="left" vertical="top" wrapText="1"/>
    </xf>
    <xf numFmtId="3" fontId="1" fillId="6" borderId="52" xfId="0" applyNumberFormat="1" applyFont="1" applyFill="1" applyBorder="1" applyAlignment="1">
      <alignment horizontal="left" vertical="top" wrapText="1"/>
    </xf>
    <xf numFmtId="0" fontId="3" fillId="4" borderId="56" xfId="0" applyFont="1" applyFill="1" applyBorder="1" applyAlignment="1">
      <alignment horizontal="right" vertical="top" wrapText="1"/>
    </xf>
    <xf numFmtId="0" fontId="3" fillId="4" borderId="53" xfId="0" applyFont="1" applyFill="1" applyBorder="1" applyAlignment="1">
      <alignment horizontal="right" vertical="top" wrapText="1"/>
    </xf>
    <xf numFmtId="0" fontId="3" fillId="4" borderId="48" xfId="0" applyFont="1" applyFill="1" applyBorder="1" applyAlignment="1">
      <alignment horizontal="right" vertical="top" wrapText="1"/>
    </xf>
    <xf numFmtId="0" fontId="3" fillId="8" borderId="54" xfId="0" applyFont="1" applyFill="1" applyBorder="1" applyAlignment="1">
      <alignment horizontal="right" vertical="top" wrapText="1"/>
    </xf>
    <xf numFmtId="0" fontId="5" fillId="8" borderId="31" xfId="0" applyFont="1" applyFill="1" applyBorder="1" applyAlignment="1">
      <alignment horizontal="right" vertical="top" wrapText="1"/>
    </xf>
    <xf numFmtId="0" fontId="5" fillId="8" borderId="32" xfId="0" applyFont="1" applyFill="1" applyBorder="1" applyAlignment="1">
      <alignment horizontal="right" vertical="top" wrapText="1"/>
    </xf>
    <xf numFmtId="0" fontId="1" fillId="6" borderId="43" xfId="0" applyFont="1" applyFill="1" applyBorder="1" applyAlignment="1">
      <alignment horizontal="left" vertical="top" wrapText="1"/>
    </xf>
    <xf numFmtId="0" fontId="1" fillId="6" borderId="54"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32" xfId="0" applyFont="1" applyFill="1" applyBorder="1" applyAlignment="1">
      <alignment horizontal="left" vertical="top" wrapText="1"/>
    </xf>
    <xf numFmtId="0" fontId="1" fillId="0" borderId="54"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49" fontId="3" fillId="4" borderId="57" xfId="0" applyNumberFormat="1" applyFont="1" applyFill="1" applyBorder="1" applyAlignment="1">
      <alignment horizontal="right" vertical="top"/>
    </xf>
    <xf numFmtId="49" fontId="3" fillId="4" borderId="50" xfId="0" applyNumberFormat="1" applyFont="1" applyFill="1" applyBorder="1" applyAlignment="1">
      <alignment horizontal="right" vertical="top"/>
    </xf>
    <xf numFmtId="49" fontId="3" fillId="4" borderId="51" xfId="0" applyNumberFormat="1" applyFont="1" applyFill="1" applyBorder="1" applyAlignment="1">
      <alignment horizontal="right" vertical="top"/>
    </xf>
    <xf numFmtId="49" fontId="3" fillId="0" borderId="19" xfId="0" applyNumberFormat="1" applyFont="1" applyFill="1" applyBorder="1" applyAlignment="1">
      <alignment horizontal="center" vertical="top" wrapText="1"/>
    </xf>
    <xf numFmtId="3" fontId="3" fillId="0" borderId="47" xfId="0" applyNumberFormat="1" applyFont="1" applyBorder="1" applyAlignment="1">
      <alignment horizontal="center" vertical="center" wrapText="1"/>
    </xf>
    <xf numFmtId="3" fontId="3" fillId="0" borderId="50" xfId="0" applyNumberFormat="1" applyFont="1" applyBorder="1" applyAlignment="1">
      <alignment horizontal="center" vertical="center" wrapText="1"/>
    </xf>
    <xf numFmtId="3" fontId="3" fillId="0" borderId="51" xfId="0" applyNumberFormat="1" applyFont="1" applyBorder="1" applyAlignment="1">
      <alignment horizontal="center" vertical="center" wrapText="1"/>
    </xf>
    <xf numFmtId="3" fontId="1" fillId="0" borderId="29" xfId="0" applyNumberFormat="1" applyFont="1" applyFill="1" applyBorder="1" applyAlignment="1">
      <alignment horizontal="left" vertical="top" wrapText="1"/>
    </xf>
    <xf numFmtId="0" fontId="3" fillId="5" borderId="24" xfId="0" applyFont="1" applyFill="1" applyBorder="1" applyAlignment="1">
      <alignment horizontal="right" vertical="top" wrapText="1"/>
    </xf>
    <xf numFmtId="0" fontId="3" fillId="5" borderId="19" xfId="0" applyFont="1" applyFill="1" applyBorder="1" applyAlignment="1">
      <alignment horizontal="right" vertical="top" wrapText="1"/>
    </xf>
    <xf numFmtId="0" fontId="3" fillId="5" borderId="25" xfId="0" applyFont="1" applyFill="1" applyBorder="1" applyAlignment="1">
      <alignment horizontal="right" vertical="top" wrapText="1"/>
    </xf>
    <xf numFmtId="0" fontId="1" fillId="8" borderId="54" xfId="0" applyFont="1" applyFill="1" applyBorder="1" applyAlignment="1">
      <alignment horizontal="left" vertical="top" wrapText="1"/>
    </xf>
    <xf numFmtId="0" fontId="1" fillId="8" borderId="31" xfId="0" applyFont="1" applyFill="1" applyBorder="1" applyAlignment="1">
      <alignment horizontal="left" vertical="top" wrapText="1"/>
    </xf>
    <xf numFmtId="0" fontId="1" fillId="8" borderId="32" xfId="0" applyFont="1" applyFill="1" applyBorder="1" applyAlignment="1">
      <alignment horizontal="left" vertical="top" wrapText="1"/>
    </xf>
    <xf numFmtId="0" fontId="3" fillId="4" borderId="54" xfId="0" applyFont="1" applyFill="1" applyBorder="1" applyAlignment="1">
      <alignment horizontal="right" vertical="top" wrapText="1"/>
    </xf>
    <xf numFmtId="0" fontId="3" fillId="4" borderId="31" xfId="0" applyFont="1" applyFill="1" applyBorder="1" applyAlignment="1">
      <alignment horizontal="right" vertical="top" wrapText="1"/>
    </xf>
    <xf numFmtId="0" fontId="3" fillId="4" borderId="32" xfId="0" applyFont="1" applyFill="1" applyBorder="1" applyAlignment="1">
      <alignment horizontal="right" vertical="top" wrapText="1"/>
    </xf>
    <xf numFmtId="0" fontId="3" fillId="6" borderId="5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1" fillId="2" borderId="52"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6" borderId="5" xfId="1" applyFont="1" applyFill="1" applyBorder="1" applyAlignment="1">
      <alignment vertical="top" wrapText="1"/>
    </xf>
    <xf numFmtId="0" fontId="5" fillId="6" borderId="16" xfId="0" applyFont="1" applyFill="1" applyBorder="1" applyAlignment="1">
      <alignment vertical="top" wrapText="1"/>
    </xf>
    <xf numFmtId="0" fontId="1" fillId="6" borderId="5" xfId="0" applyFont="1" applyFill="1" applyBorder="1" applyAlignment="1">
      <alignment horizontal="left" vertical="top" wrapText="1"/>
    </xf>
    <xf numFmtId="0" fontId="1" fillId="6" borderId="16" xfId="0" applyFont="1" applyFill="1" applyBorder="1" applyAlignment="1">
      <alignment horizontal="left" vertical="top" wrapText="1"/>
    </xf>
    <xf numFmtId="0" fontId="21" fillId="0" borderId="0" xfId="0" applyFont="1" applyAlignment="1">
      <alignment horizontal="left" vertical="top" wrapText="1"/>
    </xf>
    <xf numFmtId="0" fontId="1" fillId="6" borderId="34" xfId="0" applyFont="1" applyFill="1" applyBorder="1" applyAlignment="1">
      <alignment horizontal="left" vertical="top" wrapText="1"/>
    </xf>
    <xf numFmtId="0" fontId="3" fillId="6" borderId="5" xfId="0" applyFont="1" applyFill="1" applyBorder="1" applyAlignment="1">
      <alignment vertical="top" wrapText="1"/>
    </xf>
    <xf numFmtId="0" fontId="3" fillId="6" borderId="7" xfId="0" applyFont="1" applyFill="1" applyBorder="1" applyAlignment="1">
      <alignment vertical="top" wrapText="1"/>
    </xf>
    <xf numFmtId="0" fontId="3" fillId="6" borderId="16" xfId="0" applyFont="1" applyFill="1" applyBorder="1" applyAlignment="1">
      <alignment vertical="top" wrapText="1"/>
    </xf>
    <xf numFmtId="0" fontId="1" fillId="6" borderId="7" xfId="1" applyFont="1" applyFill="1" applyBorder="1" applyAlignment="1">
      <alignment vertical="top" wrapText="1"/>
    </xf>
    <xf numFmtId="0" fontId="1" fillId="6" borderId="16" xfId="1" applyFont="1" applyFill="1" applyBorder="1" applyAlignment="1">
      <alignment vertical="top" wrapText="1"/>
    </xf>
    <xf numFmtId="0" fontId="1" fillId="6" borderId="5" xfId="0" applyFont="1" applyFill="1" applyBorder="1" applyAlignment="1">
      <alignment horizontal="left" vertical="top"/>
    </xf>
    <xf numFmtId="0" fontId="1" fillId="6" borderId="71" xfId="0" applyFont="1" applyFill="1" applyBorder="1" applyAlignment="1">
      <alignment horizontal="left" vertical="top"/>
    </xf>
    <xf numFmtId="0" fontId="5" fillId="6" borderId="7" xfId="0" applyFont="1" applyFill="1" applyBorder="1" applyAlignment="1">
      <alignment vertical="top" wrapText="1"/>
    </xf>
    <xf numFmtId="0" fontId="3" fillId="2" borderId="1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9" borderId="112" xfId="0" applyFont="1" applyFill="1" applyBorder="1" applyAlignment="1">
      <alignment horizontal="left" vertical="top" wrapText="1"/>
    </xf>
    <xf numFmtId="3" fontId="1" fillId="6" borderId="33" xfId="0" applyNumberFormat="1" applyFont="1" applyFill="1" applyBorder="1" applyAlignment="1">
      <alignment horizontal="center" vertical="top" wrapText="1"/>
    </xf>
    <xf numFmtId="3" fontId="1" fillId="6" borderId="66" xfId="0" applyNumberFormat="1" applyFont="1" applyFill="1" applyBorder="1" applyAlignment="1">
      <alignment horizontal="center" vertical="top" wrapText="1"/>
    </xf>
    <xf numFmtId="3" fontId="1" fillId="6" borderId="14"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wrapText="1"/>
    </xf>
    <xf numFmtId="3" fontId="1" fillId="6" borderId="1" xfId="0" applyNumberFormat="1" applyFont="1" applyFill="1" applyBorder="1" applyAlignment="1">
      <alignment horizontal="center" vertical="top" wrapText="1"/>
    </xf>
    <xf numFmtId="3" fontId="1" fillId="6" borderId="58" xfId="0" applyNumberFormat="1" applyFont="1" applyFill="1" applyBorder="1" applyAlignment="1">
      <alignment horizontal="center" vertical="top" wrapText="1"/>
    </xf>
  </cellXfs>
  <cellStyles count="4">
    <cellStyle name="Excel Built-in Normal" xfId="3" xr:uid="{00000000-0005-0000-0000-000000000000}"/>
    <cellStyle name="Įprastas" xfId="0" builtinId="0"/>
    <cellStyle name="Įprastas 2" xfId="1" xr:uid="{00000000-0005-0000-0000-000002000000}"/>
    <cellStyle name="Stilius 1" xfId="2" xr:uid="{00000000-0005-0000-0000-000003000000}"/>
  </cellStyles>
  <dxfs count="0"/>
  <tableStyles count="0" defaultTableStyle="TableStyleMedium2" defaultPivotStyle="PivotStyleLight16"/>
  <colors>
    <mruColors>
      <color rgb="FFFFFF99"/>
      <color rgb="FFFFD5FF"/>
      <color rgb="FFCCFFCC"/>
      <color rgb="FFFFCCFF"/>
      <color rgb="FF66FF99"/>
      <color rgb="FFCCCC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4"/>
  <sheetViews>
    <sheetView tabSelected="1" zoomScaleNormal="100" zoomScaleSheetLayoutView="100" workbookViewId="0">
      <selection activeCell="A247" sqref="A247:J247"/>
    </sheetView>
  </sheetViews>
  <sheetFormatPr defaultColWidth="9.44140625" defaultRowHeight="13.2" x14ac:dyDescent="0.25"/>
  <cols>
    <col min="1" max="3" width="3" style="3" customWidth="1"/>
    <col min="4" max="4" width="32" style="3" customWidth="1"/>
    <col min="5" max="5" width="4.44140625" style="8" customWidth="1"/>
    <col min="6" max="6" width="8.44140625" style="10" customWidth="1"/>
    <col min="7" max="9" width="9" style="3" customWidth="1"/>
    <col min="10" max="10" width="38.44140625" style="3" customWidth="1"/>
    <col min="11" max="13" width="6.88671875" style="10" customWidth="1"/>
    <col min="14" max="14" width="8.5546875" style="2" customWidth="1"/>
    <col min="15" max="15" width="12.109375" style="770" hidden="1" customWidth="1"/>
    <col min="16" max="18" width="9.44140625" style="770" hidden="1" customWidth="1"/>
    <col min="19" max="19" width="9.44140625" style="2" customWidth="1"/>
    <col min="20" max="16384" width="9.44140625" style="2"/>
  </cols>
  <sheetData>
    <row r="1" spans="1:18" ht="32.25" customHeight="1" x14ac:dyDescent="0.25">
      <c r="G1" s="10"/>
      <c r="H1" s="10"/>
      <c r="I1" s="10"/>
      <c r="J1" s="1102" t="s">
        <v>220</v>
      </c>
      <c r="K1" s="1102"/>
      <c r="L1" s="1102"/>
      <c r="M1" s="1102"/>
    </row>
    <row r="2" spans="1:18" ht="14.25" customHeight="1" x14ac:dyDescent="0.25">
      <c r="G2" s="10"/>
      <c r="H2" s="10"/>
      <c r="I2" s="10"/>
      <c r="J2" s="1102" t="s">
        <v>221</v>
      </c>
      <c r="K2" s="1102"/>
      <c r="L2" s="1102"/>
      <c r="M2" s="1102"/>
    </row>
    <row r="3" spans="1:18" ht="14.25" customHeight="1" x14ac:dyDescent="0.25">
      <c r="G3" s="10"/>
      <c r="H3" s="10"/>
      <c r="I3" s="10"/>
      <c r="J3" s="90"/>
      <c r="K3" s="90"/>
      <c r="L3" s="90"/>
      <c r="M3" s="90"/>
    </row>
    <row r="4" spans="1:18" ht="15" customHeight="1" x14ac:dyDescent="0.25">
      <c r="A4" s="932" t="s">
        <v>218</v>
      </c>
      <c r="B4" s="932"/>
      <c r="C4" s="932"/>
      <c r="D4" s="932"/>
      <c r="E4" s="932"/>
      <c r="F4" s="932"/>
      <c r="G4" s="932"/>
      <c r="H4" s="932"/>
      <c r="I4" s="932"/>
      <c r="J4" s="932"/>
      <c r="K4" s="932"/>
      <c r="L4" s="932"/>
      <c r="M4" s="932"/>
    </row>
    <row r="5" spans="1:18" ht="19.5" customHeight="1" x14ac:dyDescent="0.25">
      <c r="A5" s="933" t="s">
        <v>20</v>
      </c>
      <c r="B5" s="933"/>
      <c r="C5" s="933"/>
      <c r="D5" s="933"/>
      <c r="E5" s="933"/>
      <c r="F5" s="933"/>
      <c r="G5" s="933"/>
      <c r="H5" s="933"/>
      <c r="I5" s="933"/>
      <c r="J5" s="933"/>
      <c r="K5" s="933"/>
      <c r="L5" s="933"/>
      <c r="M5" s="933"/>
    </row>
    <row r="6" spans="1:18" ht="16.350000000000001" customHeight="1" x14ac:dyDescent="0.25">
      <c r="A6" s="934" t="s">
        <v>59</v>
      </c>
      <c r="B6" s="934"/>
      <c r="C6" s="934"/>
      <c r="D6" s="934"/>
      <c r="E6" s="934"/>
      <c r="F6" s="934"/>
      <c r="G6" s="934"/>
      <c r="H6" s="934"/>
      <c r="I6" s="934"/>
      <c r="J6" s="934"/>
      <c r="K6" s="934"/>
      <c r="L6" s="934"/>
      <c r="M6" s="934"/>
    </row>
    <row r="7" spans="1:18" s="3" customFormat="1" ht="15" customHeight="1" x14ac:dyDescent="0.25">
      <c r="A7" s="935"/>
      <c r="B7" s="935"/>
      <c r="C7" s="935"/>
      <c r="D7" s="935"/>
      <c r="E7" s="935"/>
      <c r="F7" s="935"/>
      <c r="G7" s="935"/>
      <c r="H7" s="935"/>
      <c r="I7" s="935"/>
      <c r="J7" s="935"/>
      <c r="O7" s="842"/>
      <c r="P7" s="842"/>
      <c r="Q7" s="842"/>
      <c r="R7" s="842"/>
    </row>
    <row r="8" spans="1:18" ht="13.8" thickBot="1" x14ac:dyDescent="0.3">
      <c r="J8" s="936" t="s">
        <v>57</v>
      </c>
      <c r="K8" s="936"/>
      <c r="L8" s="936"/>
      <c r="M8" s="936"/>
    </row>
    <row r="9" spans="1:18" s="21" customFormat="1" ht="24.75" customHeight="1" thickBot="1" x14ac:dyDescent="0.3">
      <c r="A9" s="961" t="s">
        <v>15</v>
      </c>
      <c r="B9" s="964" t="s">
        <v>0</v>
      </c>
      <c r="C9" s="964" t="s">
        <v>1</v>
      </c>
      <c r="D9" s="967" t="s">
        <v>10</v>
      </c>
      <c r="E9" s="964" t="s">
        <v>128</v>
      </c>
      <c r="F9" s="949" t="s">
        <v>2</v>
      </c>
      <c r="G9" s="952" t="s">
        <v>237</v>
      </c>
      <c r="H9" s="955" t="s">
        <v>129</v>
      </c>
      <c r="I9" s="958" t="s">
        <v>168</v>
      </c>
      <c r="J9" s="937" t="s">
        <v>9</v>
      </c>
      <c r="K9" s="938"/>
      <c r="L9" s="938"/>
      <c r="M9" s="939"/>
      <c r="O9" s="843"/>
      <c r="P9" s="843"/>
      <c r="Q9" s="843"/>
      <c r="R9" s="843"/>
    </row>
    <row r="10" spans="1:18" s="21" customFormat="1" ht="18.75" customHeight="1" x14ac:dyDescent="0.25">
      <c r="A10" s="962"/>
      <c r="B10" s="965"/>
      <c r="C10" s="965"/>
      <c r="D10" s="968"/>
      <c r="E10" s="965"/>
      <c r="F10" s="950"/>
      <c r="G10" s="953"/>
      <c r="H10" s="956"/>
      <c r="I10" s="959"/>
      <c r="J10" s="940" t="s">
        <v>10</v>
      </c>
      <c r="K10" s="942" t="s">
        <v>163</v>
      </c>
      <c r="L10" s="943"/>
      <c r="M10" s="944"/>
      <c r="N10" s="325"/>
      <c r="O10" s="843"/>
      <c r="P10" s="843"/>
      <c r="Q10" s="843"/>
      <c r="R10" s="843"/>
    </row>
    <row r="11" spans="1:18" s="21" customFormat="1" ht="110.25" customHeight="1" thickBot="1" x14ac:dyDescent="0.3">
      <c r="A11" s="963"/>
      <c r="B11" s="966"/>
      <c r="C11" s="966"/>
      <c r="D11" s="969"/>
      <c r="E11" s="966"/>
      <c r="F11" s="951"/>
      <c r="G11" s="954"/>
      <c r="H11" s="957"/>
      <c r="I11" s="960"/>
      <c r="J11" s="941"/>
      <c r="K11" s="232" t="s">
        <v>130</v>
      </c>
      <c r="L11" s="347" t="s">
        <v>131</v>
      </c>
      <c r="M11" s="233" t="s">
        <v>167</v>
      </c>
      <c r="O11" s="843"/>
      <c r="P11" s="843"/>
      <c r="Q11" s="843"/>
      <c r="R11" s="843"/>
    </row>
    <row r="12" spans="1:18" s="7" customFormat="1" ht="15" customHeight="1" x14ac:dyDescent="0.25">
      <c r="A12" s="945" t="s">
        <v>40</v>
      </c>
      <c r="B12" s="946"/>
      <c r="C12" s="946"/>
      <c r="D12" s="946"/>
      <c r="E12" s="946"/>
      <c r="F12" s="946"/>
      <c r="G12" s="946"/>
      <c r="H12" s="946"/>
      <c r="I12" s="946"/>
      <c r="J12" s="946"/>
      <c r="K12" s="396"/>
      <c r="L12" s="340"/>
      <c r="M12" s="341"/>
      <c r="O12" s="844"/>
      <c r="P12" s="844"/>
      <c r="Q12" s="844"/>
      <c r="R12" s="844"/>
    </row>
    <row r="13" spans="1:18" s="7" customFormat="1" ht="14.25" customHeight="1" x14ac:dyDescent="0.25">
      <c r="A13" s="947" t="s">
        <v>32</v>
      </c>
      <c r="B13" s="948"/>
      <c r="C13" s="948"/>
      <c r="D13" s="948"/>
      <c r="E13" s="948"/>
      <c r="F13" s="948"/>
      <c r="G13" s="948"/>
      <c r="H13" s="948"/>
      <c r="I13" s="948"/>
      <c r="J13" s="948"/>
      <c r="K13" s="345"/>
      <c r="L13" s="337"/>
      <c r="M13" s="338"/>
      <c r="O13" s="844"/>
      <c r="P13" s="844"/>
      <c r="Q13" s="844"/>
      <c r="R13" s="844"/>
    </row>
    <row r="14" spans="1:18" ht="15" customHeight="1" x14ac:dyDescent="0.25">
      <c r="A14" s="169" t="s">
        <v>3</v>
      </c>
      <c r="B14" s="975" t="s">
        <v>41</v>
      </c>
      <c r="C14" s="976"/>
      <c r="D14" s="976"/>
      <c r="E14" s="976"/>
      <c r="F14" s="976"/>
      <c r="G14" s="976"/>
      <c r="H14" s="976"/>
      <c r="I14" s="976"/>
      <c r="J14" s="976"/>
      <c r="K14" s="346"/>
      <c r="L14" s="342"/>
      <c r="M14" s="344"/>
    </row>
    <row r="15" spans="1:18" ht="15.75" customHeight="1" x14ac:dyDescent="0.25">
      <c r="A15" s="19" t="s">
        <v>3</v>
      </c>
      <c r="B15" s="20" t="s">
        <v>3</v>
      </c>
      <c r="C15" s="977" t="s">
        <v>29</v>
      </c>
      <c r="D15" s="978"/>
      <c r="E15" s="978"/>
      <c r="F15" s="978"/>
      <c r="G15" s="978"/>
      <c r="H15" s="978"/>
      <c r="I15" s="978"/>
      <c r="J15" s="978"/>
      <c r="K15" s="354"/>
      <c r="L15" s="354"/>
      <c r="M15" s="394"/>
    </row>
    <row r="16" spans="1:18" ht="15" customHeight="1" x14ac:dyDescent="0.25">
      <c r="A16" s="448" t="s">
        <v>3</v>
      </c>
      <c r="B16" s="452" t="s">
        <v>3</v>
      </c>
      <c r="C16" s="449" t="s">
        <v>3</v>
      </c>
      <c r="D16" s="979" t="s">
        <v>54</v>
      </c>
      <c r="E16" s="44"/>
      <c r="F16" s="661" t="s">
        <v>19</v>
      </c>
      <c r="G16" s="697">
        <f>7203.2+42.5+394.1</f>
        <v>7639.8</v>
      </c>
      <c r="H16" s="634">
        <f>15049.1+46.8-420.4</f>
        <v>14675.5</v>
      </c>
      <c r="I16" s="698">
        <f>13507.7+8.7-300</f>
        <v>13216.4</v>
      </c>
      <c r="J16" s="1104"/>
      <c r="K16" s="403"/>
      <c r="L16" s="115"/>
      <c r="M16" s="395"/>
      <c r="O16" s="811" t="s">
        <v>19</v>
      </c>
      <c r="P16" s="812">
        <f>+G28+G32+G37+G41+G50+G52+G55+G58+G60+G62+G63+G64+G72+G75+G76+G77+G82+G85+G86+G88+G90+G97+G98+G99+G100+G105+G110+G111+G112+G113+G114+G117+G118+G121+G122+G124+G125+G126+G128+G129+G131+G133+G135+G137</f>
        <v>7203.2</v>
      </c>
      <c r="Q16" s="812">
        <f>+H28+H32+H37+H41+H50+H52+H55+H58+H60+H62+H63+H64+H72+H75+H76+H77+H82+H85+H86+H88+H90+H97+H98+H99+H100+H105+H110+H111+H112+H113+H114+H117+H118+H121+H122+H124+H125+H126+H128+H129+H131+H133+H135+H137</f>
        <v>15049.1</v>
      </c>
      <c r="R16" s="812">
        <f>+I28+I32+I37+I41+I50+I52+I55+I58+I60+I62+I63+I64+I72+I75+I76+I77+I82+I85+I86+I88+I90+I97+I98+I99+I100+I105+I110+I111+I112+I113+I114+I117+I118+I121+I122+I124+I125+I126+I128+I129+I131+I133+I135+I137</f>
        <v>13507.7</v>
      </c>
    </row>
    <row r="17" spans="1:18" ht="15" customHeight="1" x14ac:dyDescent="0.25">
      <c r="A17" s="448"/>
      <c r="B17" s="452"/>
      <c r="C17" s="449"/>
      <c r="D17" s="980"/>
      <c r="E17" s="86"/>
      <c r="F17" s="273" t="s">
        <v>110</v>
      </c>
      <c r="G17" s="702"/>
      <c r="H17" s="703"/>
      <c r="I17" s="704">
        <v>2964.9</v>
      </c>
      <c r="J17" s="1105"/>
      <c r="K17" s="392"/>
      <c r="L17" s="392"/>
      <c r="M17" s="60"/>
      <c r="O17" s="813" t="s">
        <v>110</v>
      </c>
      <c r="P17" s="768">
        <f>+G30</f>
        <v>0</v>
      </c>
      <c r="Q17" s="768">
        <f t="shared" ref="Q17:R17" si="0">+H30</f>
        <v>0</v>
      </c>
      <c r="R17" s="768">
        <f t="shared" si="0"/>
        <v>2964.9</v>
      </c>
    </row>
    <row r="18" spans="1:18" ht="15" customHeight="1" x14ac:dyDescent="0.25">
      <c r="A18" s="643"/>
      <c r="B18" s="653"/>
      <c r="C18" s="644"/>
      <c r="D18" s="980"/>
      <c r="E18" s="86"/>
      <c r="F18" s="273" t="s">
        <v>127</v>
      </c>
      <c r="G18" s="705"/>
      <c r="H18" s="700">
        <v>662.6</v>
      </c>
      <c r="I18" s="701">
        <v>1000</v>
      </c>
      <c r="J18" s="1105"/>
      <c r="K18" s="392"/>
      <c r="L18" s="392"/>
      <c r="M18" s="60"/>
      <c r="O18" s="813" t="s">
        <v>127</v>
      </c>
      <c r="P18" s="768">
        <f>+G29</f>
        <v>0</v>
      </c>
      <c r="Q18" s="768">
        <f t="shared" ref="Q18:R18" si="1">+H29</f>
        <v>662.6</v>
      </c>
      <c r="R18" s="768">
        <f t="shared" si="1"/>
        <v>1000</v>
      </c>
    </row>
    <row r="19" spans="1:18" ht="15" customHeight="1" x14ac:dyDescent="0.25">
      <c r="A19" s="643"/>
      <c r="B19" s="653"/>
      <c r="C19" s="644"/>
      <c r="D19" s="980"/>
      <c r="E19" s="86"/>
      <c r="F19" s="273" t="s">
        <v>92</v>
      </c>
      <c r="G19" s="705">
        <v>24.5</v>
      </c>
      <c r="H19" s="706"/>
      <c r="I19" s="707"/>
      <c r="J19" s="1105"/>
      <c r="K19" s="392"/>
      <c r="L19" s="392"/>
      <c r="M19" s="60"/>
      <c r="O19" s="813" t="s">
        <v>92</v>
      </c>
      <c r="P19" s="768">
        <f>+G78</f>
        <v>24.5</v>
      </c>
      <c r="Q19" s="768">
        <f t="shared" ref="Q19:R19" si="2">+H78</f>
        <v>0</v>
      </c>
      <c r="R19" s="768">
        <f t="shared" si="2"/>
        <v>0</v>
      </c>
    </row>
    <row r="20" spans="1:18" ht="15" customHeight="1" x14ac:dyDescent="0.25">
      <c r="A20" s="643"/>
      <c r="B20" s="653"/>
      <c r="C20" s="644"/>
      <c r="D20" s="980"/>
      <c r="E20" s="86"/>
      <c r="F20" s="273" t="s">
        <v>28</v>
      </c>
      <c r="G20" s="287">
        <v>35.700000000000003</v>
      </c>
      <c r="H20" s="706">
        <v>35.700000000000003</v>
      </c>
      <c r="I20" s="701">
        <v>35.700000000000003</v>
      </c>
      <c r="J20" s="1105"/>
      <c r="K20" s="392"/>
      <c r="L20" s="392"/>
      <c r="M20" s="60"/>
      <c r="O20" s="813" t="s">
        <v>28</v>
      </c>
      <c r="P20" s="768">
        <f>+G91+G106+G108+G120</f>
        <v>35.700000000000003</v>
      </c>
      <c r="Q20" s="768">
        <f t="shared" ref="Q20:R20" si="3">+H91+H106+H108+H120</f>
        <v>35.700000000000003</v>
      </c>
      <c r="R20" s="768">
        <f t="shared" si="3"/>
        <v>35.700000000000003</v>
      </c>
    </row>
    <row r="21" spans="1:18" ht="15" customHeight="1" x14ac:dyDescent="0.25">
      <c r="A21" s="643"/>
      <c r="B21" s="653"/>
      <c r="C21" s="644"/>
      <c r="D21" s="980"/>
      <c r="E21" s="86"/>
      <c r="F21" s="268" t="s">
        <v>38</v>
      </c>
      <c r="G21" s="702">
        <f>3651+63+23.7</f>
        <v>3737.7</v>
      </c>
      <c r="H21" s="703"/>
      <c r="I21" s="707"/>
      <c r="J21" s="1105"/>
      <c r="K21" s="392"/>
      <c r="L21" s="392"/>
      <c r="M21" s="60"/>
      <c r="O21" s="813" t="s">
        <v>38</v>
      </c>
      <c r="P21" s="768">
        <f>+G27+G42+G45+G49+G83+G84+G115+G119+G127+G130+G138</f>
        <v>3651</v>
      </c>
      <c r="Q21" s="768">
        <f>+H27+H42+H45+H49+H83+H84+H115+H119+H127+H130+H138</f>
        <v>0</v>
      </c>
      <c r="R21" s="768">
        <f>+I27+I42+I45+I49+I83+I84+I115+I119+I127+I130+I138</f>
        <v>0</v>
      </c>
    </row>
    <row r="22" spans="1:18" ht="15" customHeight="1" x14ac:dyDescent="0.25">
      <c r="A22" s="834"/>
      <c r="B22" s="836"/>
      <c r="C22" s="835"/>
      <c r="D22" s="980"/>
      <c r="E22" s="86"/>
      <c r="F22" s="268" t="s">
        <v>50</v>
      </c>
      <c r="G22" s="703">
        <f>2.4+7.1+12.7</f>
        <v>22.2</v>
      </c>
      <c r="H22" s="700"/>
      <c r="I22" s="707"/>
      <c r="J22" s="1105"/>
      <c r="K22" s="392"/>
      <c r="L22" s="392"/>
      <c r="M22" s="60"/>
      <c r="O22" s="813"/>
      <c r="P22" s="768"/>
      <c r="Q22" s="768"/>
      <c r="R22" s="768"/>
    </row>
    <row r="23" spans="1:18" ht="15" customHeight="1" x14ac:dyDescent="0.25">
      <c r="A23" s="834"/>
      <c r="B23" s="836"/>
      <c r="C23" s="835"/>
      <c r="D23" s="980"/>
      <c r="E23" s="86"/>
      <c r="F23" s="273" t="s">
        <v>115</v>
      </c>
      <c r="G23" s="131">
        <v>78</v>
      </c>
      <c r="H23" s="706"/>
      <c r="I23" s="707"/>
      <c r="J23" s="1105"/>
      <c r="K23" s="392"/>
      <c r="L23" s="392"/>
      <c r="M23" s="60"/>
      <c r="O23" s="813"/>
      <c r="P23" s="768"/>
      <c r="Q23" s="768"/>
      <c r="R23" s="768"/>
    </row>
    <row r="24" spans="1:18" ht="15" customHeight="1" x14ac:dyDescent="0.25">
      <c r="A24" s="834"/>
      <c r="B24" s="836"/>
      <c r="C24" s="835"/>
      <c r="D24" s="980"/>
      <c r="E24" s="86"/>
      <c r="F24" s="273" t="s">
        <v>114</v>
      </c>
      <c r="G24" s="130">
        <v>6.9</v>
      </c>
      <c r="H24" s="706"/>
      <c r="I24" s="707"/>
      <c r="J24" s="1105"/>
      <c r="K24" s="392"/>
      <c r="L24" s="392"/>
      <c r="M24" s="60"/>
      <c r="O24" s="813"/>
      <c r="P24" s="768"/>
      <c r="Q24" s="768"/>
      <c r="R24" s="768"/>
    </row>
    <row r="25" spans="1:18" ht="15" customHeight="1" x14ac:dyDescent="0.25">
      <c r="A25" s="916"/>
      <c r="B25" s="919"/>
      <c r="C25" s="917"/>
      <c r="D25" s="980"/>
      <c r="E25" s="86"/>
      <c r="F25" s="273" t="s">
        <v>113</v>
      </c>
      <c r="G25" s="852">
        <v>2.4</v>
      </c>
      <c r="H25" s="706"/>
      <c r="I25" s="849"/>
      <c r="J25" s="1105"/>
      <c r="K25" s="392"/>
      <c r="L25" s="392"/>
      <c r="M25" s="60"/>
      <c r="O25" s="813"/>
      <c r="P25" s="768"/>
      <c r="Q25" s="768"/>
      <c r="R25" s="768"/>
    </row>
    <row r="26" spans="1:18" ht="15" customHeight="1" x14ac:dyDescent="0.25">
      <c r="A26" s="448"/>
      <c r="B26" s="452"/>
      <c r="C26" s="449"/>
      <c r="D26" s="979"/>
      <c r="E26" s="107"/>
      <c r="F26" s="273" t="s">
        <v>141</v>
      </c>
      <c r="G26" s="699"/>
      <c r="H26" s="850"/>
      <c r="I26" s="921">
        <v>233.4</v>
      </c>
      <c r="J26" s="1106"/>
      <c r="K26" s="393"/>
      <c r="L26" s="393"/>
      <c r="M26" s="391"/>
      <c r="O26" s="813" t="s">
        <v>141</v>
      </c>
      <c r="P26" s="768">
        <f>+G56</f>
        <v>0</v>
      </c>
      <c r="Q26" s="768">
        <f t="shared" ref="Q26:R26" si="4">+H56</f>
        <v>0</v>
      </c>
      <c r="R26" s="768">
        <f t="shared" si="4"/>
        <v>233.4</v>
      </c>
    </row>
    <row r="27" spans="1:18" ht="16.5" customHeight="1" x14ac:dyDescent="0.25">
      <c r="A27" s="448"/>
      <c r="B27" s="452"/>
      <c r="C27" s="449"/>
      <c r="D27" s="972" t="s">
        <v>73</v>
      </c>
      <c r="E27" s="298" t="s">
        <v>107</v>
      </c>
      <c r="F27" s="758" t="s">
        <v>223</v>
      </c>
      <c r="G27" s="762">
        <f>1556.3-500-500-56.3</f>
        <v>500</v>
      </c>
      <c r="H27" s="759"/>
      <c r="I27" s="774"/>
      <c r="J27" s="1032" t="s">
        <v>146</v>
      </c>
      <c r="K27" s="251"/>
      <c r="L27" s="251">
        <v>36</v>
      </c>
      <c r="M27" s="47">
        <v>100</v>
      </c>
      <c r="P27" s="812">
        <f>SUM(P16:P26)</f>
        <v>10914.4</v>
      </c>
      <c r="Q27" s="812">
        <f>SUM(Q16:Q26)</f>
        <v>15747.4</v>
      </c>
      <c r="R27" s="812">
        <f>SUM(R16:R26)</f>
        <v>17741.7</v>
      </c>
    </row>
    <row r="28" spans="1:18" ht="28.5" customHeight="1" x14ac:dyDescent="0.25">
      <c r="A28" s="448"/>
      <c r="B28" s="452"/>
      <c r="C28" s="449"/>
      <c r="D28" s="973"/>
      <c r="E28" s="461" t="s">
        <v>104</v>
      </c>
      <c r="F28" s="804" t="s">
        <v>224</v>
      </c>
      <c r="G28" s="746"/>
      <c r="H28" s="747">
        <f>4756.1-662.6+300+500+56.3</f>
        <v>4949.8</v>
      </c>
      <c r="I28" s="748">
        <f>5945.1+200</f>
        <v>6145.1</v>
      </c>
      <c r="J28" s="1032"/>
      <c r="K28" s="386"/>
      <c r="L28" s="221"/>
      <c r="M28" s="324"/>
      <c r="P28" s="768">
        <f>+P27-G143</f>
        <v>-632.79999999999995</v>
      </c>
      <c r="Q28" s="768">
        <f>+Q27-H143</f>
        <v>373.6</v>
      </c>
      <c r="R28" s="768">
        <f>+R27-I143</f>
        <v>291.3</v>
      </c>
    </row>
    <row r="29" spans="1:18" ht="15" customHeight="1" x14ac:dyDescent="0.25">
      <c r="A29" s="448"/>
      <c r="B29" s="452"/>
      <c r="C29" s="449"/>
      <c r="D29" s="973"/>
      <c r="E29" s="461" t="s">
        <v>136</v>
      </c>
      <c r="F29" s="745" t="s">
        <v>225</v>
      </c>
      <c r="G29" s="746"/>
      <c r="H29" s="747">
        <v>662.6</v>
      </c>
      <c r="I29" s="748">
        <v>1000</v>
      </c>
      <c r="J29" s="996" t="s">
        <v>147</v>
      </c>
      <c r="K29" s="245"/>
      <c r="L29" s="178">
        <v>30</v>
      </c>
      <c r="M29" s="47">
        <v>100</v>
      </c>
    </row>
    <row r="30" spans="1:18" ht="15" customHeight="1" x14ac:dyDescent="0.25">
      <c r="A30" s="448"/>
      <c r="B30" s="452"/>
      <c r="C30" s="449"/>
      <c r="D30" s="973"/>
      <c r="E30" s="101" t="s">
        <v>96</v>
      </c>
      <c r="F30" s="745" t="s">
        <v>226</v>
      </c>
      <c r="G30" s="746"/>
      <c r="H30" s="747"/>
      <c r="I30" s="748">
        <v>2964.9</v>
      </c>
      <c r="J30" s="1032"/>
      <c r="K30" s="348"/>
      <c r="L30" s="348"/>
      <c r="M30" s="271"/>
    </row>
    <row r="31" spans="1:18" ht="15.6" customHeight="1" x14ac:dyDescent="0.25">
      <c r="A31" s="448"/>
      <c r="B31" s="452"/>
      <c r="C31" s="449"/>
      <c r="D31" s="973"/>
      <c r="E31" s="103" t="s">
        <v>33</v>
      </c>
      <c r="F31" s="760"/>
      <c r="G31" s="765"/>
      <c r="H31" s="747"/>
      <c r="I31" s="761"/>
      <c r="J31" s="272"/>
      <c r="K31" s="348"/>
      <c r="L31" s="348"/>
      <c r="M31" s="271"/>
    </row>
    <row r="32" spans="1:18" ht="16.5" customHeight="1" x14ac:dyDescent="0.25">
      <c r="A32" s="448"/>
      <c r="B32" s="452"/>
      <c r="C32" s="449"/>
      <c r="D32" s="970" t="s">
        <v>215</v>
      </c>
      <c r="E32" s="106" t="s">
        <v>107</v>
      </c>
      <c r="F32" s="805" t="s">
        <v>224</v>
      </c>
      <c r="G32" s="806">
        <v>50</v>
      </c>
      <c r="H32" s="807"/>
      <c r="I32" s="808"/>
      <c r="J32" s="663" t="s">
        <v>55</v>
      </c>
      <c r="K32" s="380"/>
      <c r="L32" s="173">
        <v>1</v>
      </c>
      <c r="M32" s="575"/>
    </row>
    <row r="33" spans="1:13" ht="16.350000000000001" customHeight="1" x14ac:dyDescent="0.25">
      <c r="A33" s="448"/>
      <c r="B33" s="452"/>
      <c r="C33" s="449"/>
      <c r="D33" s="970"/>
      <c r="E33" s="101" t="s">
        <v>104</v>
      </c>
      <c r="F33" s="763"/>
      <c r="G33" s="806"/>
      <c r="H33" s="809"/>
      <c r="I33" s="810"/>
      <c r="J33" s="657"/>
      <c r="K33" s="171"/>
      <c r="L33" s="251"/>
      <c r="M33" s="47"/>
    </row>
    <row r="34" spans="1:13" ht="15" customHeight="1" x14ac:dyDescent="0.25">
      <c r="A34" s="448"/>
      <c r="B34" s="452"/>
      <c r="C34" s="449"/>
      <c r="D34" s="971"/>
      <c r="E34" s="101" t="s">
        <v>96</v>
      </c>
      <c r="F34" s="820"/>
      <c r="G34" s="815"/>
      <c r="H34" s="823"/>
      <c r="I34" s="824"/>
      <c r="J34" s="1002"/>
      <c r="K34" s="251"/>
      <c r="L34" s="251"/>
      <c r="M34" s="47"/>
    </row>
    <row r="35" spans="1:13" ht="15" customHeight="1" x14ac:dyDescent="0.25">
      <c r="A35" s="448"/>
      <c r="B35" s="452"/>
      <c r="C35" s="449"/>
      <c r="D35" s="971"/>
      <c r="E35" s="669" t="s">
        <v>136</v>
      </c>
      <c r="F35" s="825"/>
      <c r="G35" s="818"/>
      <c r="H35" s="821"/>
      <c r="I35" s="822"/>
      <c r="J35" s="1002"/>
      <c r="K35" s="251"/>
      <c r="L35" s="251"/>
      <c r="M35" s="47"/>
    </row>
    <row r="36" spans="1:13" ht="14.85" customHeight="1" x14ac:dyDescent="0.25">
      <c r="A36" s="448"/>
      <c r="B36" s="452"/>
      <c r="C36" s="449"/>
      <c r="D36" s="971"/>
      <c r="E36" s="105" t="s">
        <v>33</v>
      </c>
      <c r="F36" s="826"/>
      <c r="G36" s="827"/>
      <c r="H36" s="828"/>
      <c r="I36" s="819"/>
      <c r="J36" s="1003"/>
      <c r="K36" s="369"/>
      <c r="L36" s="369"/>
      <c r="M36" s="54"/>
    </row>
    <row r="37" spans="1:13" ht="15" customHeight="1" x14ac:dyDescent="0.25">
      <c r="A37" s="448"/>
      <c r="B37" s="453"/>
      <c r="C37" s="37"/>
      <c r="D37" s="972" t="s">
        <v>103</v>
      </c>
      <c r="E37" s="104" t="s">
        <v>107</v>
      </c>
      <c r="F37" s="771" t="s">
        <v>224</v>
      </c>
      <c r="G37" s="746">
        <v>57.8</v>
      </c>
      <c r="H37" s="744">
        <v>100</v>
      </c>
      <c r="I37" s="795"/>
      <c r="J37" s="666" t="s">
        <v>150</v>
      </c>
      <c r="K37" s="361">
        <v>30</v>
      </c>
      <c r="L37" s="361">
        <v>100</v>
      </c>
      <c r="M37" s="676"/>
    </row>
    <row r="38" spans="1:13" ht="15" customHeight="1" x14ac:dyDescent="0.25">
      <c r="A38" s="448"/>
      <c r="B38" s="453"/>
      <c r="C38" s="37"/>
      <c r="D38" s="973"/>
      <c r="E38" s="243" t="s">
        <v>136</v>
      </c>
      <c r="F38" s="796"/>
      <c r="G38" s="797"/>
      <c r="H38" s="798"/>
      <c r="I38" s="748"/>
      <c r="K38" s="662"/>
      <c r="M38" s="655"/>
    </row>
    <row r="39" spans="1:13" ht="15" customHeight="1" x14ac:dyDescent="0.25">
      <c r="A39" s="448"/>
      <c r="B39" s="453"/>
      <c r="C39" s="37"/>
      <c r="D39" s="973"/>
      <c r="E39" s="299" t="s">
        <v>33</v>
      </c>
      <c r="F39" s="771"/>
      <c r="G39" s="746"/>
      <c r="H39" s="781"/>
      <c r="I39" s="740"/>
      <c r="J39" s="668"/>
      <c r="K39" s="361"/>
      <c r="L39" s="361"/>
      <c r="M39" s="46"/>
    </row>
    <row r="40" spans="1:13" ht="15" customHeight="1" x14ac:dyDescent="0.25">
      <c r="A40" s="448"/>
      <c r="B40" s="453"/>
      <c r="C40" s="37"/>
      <c r="D40" s="974"/>
      <c r="E40" s="116" t="s">
        <v>122</v>
      </c>
      <c r="F40" s="799"/>
      <c r="G40" s="800"/>
      <c r="H40" s="801"/>
      <c r="I40" s="802"/>
      <c r="J40" s="108"/>
      <c r="K40" s="129"/>
      <c r="L40" s="129"/>
      <c r="M40" s="119"/>
    </row>
    <row r="41" spans="1:13" ht="14.1" customHeight="1" x14ac:dyDescent="0.25">
      <c r="A41" s="448"/>
      <c r="B41" s="453"/>
      <c r="C41" s="37"/>
      <c r="D41" s="447" t="s">
        <v>125</v>
      </c>
      <c r="E41" s="104" t="s">
        <v>107</v>
      </c>
      <c r="F41" s="758" t="s">
        <v>224</v>
      </c>
      <c r="G41" s="762"/>
      <c r="H41" s="781">
        <v>50</v>
      </c>
      <c r="I41" s="774"/>
      <c r="J41" s="1098" t="s">
        <v>149</v>
      </c>
      <c r="K41" s="361">
        <v>97</v>
      </c>
      <c r="L41" s="361">
        <v>100</v>
      </c>
      <c r="M41" s="46"/>
    </row>
    <row r="42" spans="1:13" ht="14.1" customHeight="1" x14ac:dyDescent="0.25">
      <c r="A42" s="448"/>
      <c r="B42" s="453"/>
      <c r="C42" s="37"/>
      <c r="D42" s="447"/>
      <c r="E42" s="243" t="s">
        <v>136</v>
      </c>
      <c r="F42" s="745" t="s">
        <v>223</v>
      </c>
      <c r="G42" s="746">
        <v>900</v>
      </c>
      <c r="H42" s="747"/>
      <c r="I42" s="748"/>
      <c r="J42" s="1107"/>
      <c r="K42" s="361"/>
      <c r="L42" s="361"/>
      <c r="M42" s="46"/>
    </row>
    <row r="43" spans="1:13" ht="14.1" customHeight="1" x14ac:dyDescent="0.25">
      <c r="A43" s="448"/>
      <c r="B43" s="453"/>
      <c r="C43" s="37"/>
      <c r="D43" s="447"/>
      <c r="E43" s="86" t="s">
        <v>96</v>
      </c>
      <c r="F43" s="745"/>
      <c r="G43" s="746"/>
      <c r="H43" s="747"/>
      <c r="I43" s="748"/>
      <c r="J43" s="1107"/>
      <c r="K43" s="361"/>
      <c r="L43" s="361"/>
      <c r="M43" s="46"/>
    </row>
    <row r="44" spans="1:13" ht="14.1" customHeight="1" x14ac:dyDescent="0.25">
      <c r="A44" s="448"/>
      <c r="B44" s="453"/>
      <c r="C44" s="37"/>
      <c r="D44" s="447"/>
      <c r="E44" s="105" t="s">
        <v>33</v>
      </c>
      <c r="F44" s="760"/>
      <c r="G44" s="765"/>
      <c r="H44" s="779"/>
      <c r="I44" s="761"/>
      <c r="J44" s="1108"/>
      <c r="K44" s="361"/>
      <c r="L44" s="361"/>
      <c r="M44" s="46"/>
    </row>
    <row r="45" spans="1:13" ht="15" customHeight="1" x14ac:dyDescent="0.25">
      <c r="A45" s="448"/>
      <c r="B45" s="453"/>
      <c r="C45" s="37"/>
      <c r="D45" s="972" t="s">
        <v>132</v>
      </c>
      <c r="E45" s="115" t="s">
        <v>133</v>
      </c>
      <c r="F45" s="772" t="s">
        <v>223</v>
      </c>
      <c r="G45" s="762">
        <v>1030</v>
      </c>
      <c r="H45" s="759"/>
      <c r="I45" s="740"/>
      <c r="J45" s="663" t="s">
        <v>149</v>
      </c>
      <c r="K45" s="364">
        <v>100</v>
      </c>
      <c r="L45" s="364"/>
      <c r="M45" s="165"/>
    </row>
    <row r="46" spans="1:13" ht="15" customHeight="1" x14ac:dyDescent="0.25">
      <c r="A46" s="448"/>
      <c r="B46" s="453"/>
      <c r="C46" s="37"/>
      <c r="D46" s="973"/>
      <c r="E46" s="299" t="s">
        <v>107</v>
      </c>
      <c r="F46" s="745"/>
      <c r="G46" s="746"/>
      <c r="H46" s="747"/>
      <c r="I46" s="748"/>
      <c r="J46" s="664"/>
      <c r="K46" s="83"/>
      <c r="L46" s="83"/>
      <c r="M46" s="247"/>
    </row>
    <row r="47" spans="1:13" ht="15" customHeight="1" x14ac:dyDescent="0.25">
      <c r="A47" s="448"/>
      <c r="B47" s="453"/>
      <c r="C47" s="37"/>
      <c r="D47" s="447"/>
      <c r="E47" s="243" t="s">
        <v>33</v>
      </c>
      <c r="F47" s="745"/>
      <c r="G47" s="746"/>
      <c r="H47" s="747"/>
      <c r="I47" s="740"/>
      <c r="J47" s="664"/>
      <c r="K47" s="83"/>
      <c r="L47" s="83"/>
      <c r="M47" s="247"/>
    </row>
    <row r="48" spans="1:13" ht="15" customHeight="1" x14ac:dyDescent="0.25">
      <c r="A48" s="448"/>
      <c r="B48" s="453"/>
      <c r="C48" s="37"/>
      <c r="D48" s="447"/>
      <c r="E48" s="243" t="s">
        <v>136</v>
      </c>
      <c r="F48" s="760"/>
      <c r="G48" s="746"/>
      <c r="H48" s="747"/>
      <c r="I48" s="740"/>
      <c r="J48" s="665"/>
      <c r="K48" s="83"/>
      <c r="L48" s="83"/>
      <c r="M48" s="247"/>
    </row>
    <row r="49" spans="1:14" ht="19.350000000000001" customHeight="1" x14ac:dyDescent="0.25">
      <c r="A49" s="448"/>
      <c r="B49" s="453"/>
      <c r="C49" s="37"/>
      <c r="D49" s="972" t="s">
        <v>135</v>
      </c>
      <c r="E49" s="115" t="s">
        <v>33</v>
      </c>
      <c r="F49" s="772" t="s">
        <v>223</v>
      </c>
      <c r="G49" s="762">
        <f>895.2-50</f>
        <v>845.2</v>
      </c>
      <c r="H49" s="759"/>
      <c r="I49" s="774"/>
      <c r="J49" s="664" t="s">
        <v>149</v>
      </c>
      <c r="K49" s="364">
        <v>60</v>
      </c>
      <c r="L49" s="364">
        <v>100</v>
      </c>
      <c r="M49" s="165"/>
    </row>
    <row r="50" spans="1:14" ht="19.350000000000001" customHeight="1" x14ac:dyDescent="0.25">
      <c r="A50" s="448"/>
      <c r="B50" s="453"/>
      <c r="C50" s="37"/>
      <c r="D50" s="973"/>
      <c r="E50" s="299" t="s">
        <v>107</v>
      </c>
      <c r="F50" s="745" t="s">
        <v>224</v>
      </c>
      <c r="G50" s="746"/>
      <c r="H50" s="747">
        <v>1139.2</v>
      </c>
      <c r="I50" s="748"/>
      <c r="J50" s="446"/>
      <c r="K50" s="123"/>
      <c r="L50" s="83"/>
      <c r="M50" s="247"/>
    </row>
    <row r="51" spans="1:14" ht="19.350000000000001" customHeight="1" x14ac:dyDescent="0.25">
      <c r="A51" s="448"/>
      <c r="B51" s="453"/>
      <c r="C51" s="37"/>
      <c r="D51" s="974"/>
      <c r="E51" s="318" t="s">
        <v>136</v>
      </c>
      <c r="F51" s="760"/>
      <c r="G51" s="765"/>
      <c r="H51" s="779"/>
      <c r="I51" s="761"/>
      <c r="J51" s="659"/>
      <c r="K51" s="83"/>
      <c r="L51" s="83"/>
      <c r="M51" s="247"/>
    </row>
    <row r="52" spans="1:14" ht="27.6" customHeight="1" x14ac:dyDescent="0.25">
      <c r="A52" s="983"/>
      <c r="B52" s="984"/>
      <c r="C52" s="985"/>
      <c r="D52" s="972" t="s">
        <v>158</v>
      </c>
      <c r="E52" s="612" t="s">
        <v>216</v>
      </c>
      <c r="F52" s="758" t="s">
        <v>224</v>
      </c>
      <c r="G52" s="762"/>
      <c r="H52" s="759">
        <v>30</v>
      </c>
      <c r="I52" s="774">
        <v>100</v>
      </c>
      <c r="J52" s="1109" t="s">
        <v>200</v>
      </c>
      <c r="K52" s="1117"/>
      <c r="L52" s="1119">
        <v>1</v>
      </c>
      <c r="M52" s="1121"/>
    </row>
    <row r="53" spans="1:14" ht="12.6" customHeight="1" x14ac:dyDescent="0.25">
      <c r="A53" s="983"/>
      <c r="B53" s="984"/>
      <c r="C53" s="985"/>
      <c r="D53" s="973"/>
      <c r="E53" s="613" t="s">
        <v>107</v>
      </c>
      <c r="F53" s="745"/>
      <c r="G53" s="746"/>
      <c r="H53" s="747"/>
      <c r="I53" s="740"/>
      <c r="J53" s="1110"/>
      <c r="K53" s="1118"/>
      <c r="L53" s="1120"/>
      <c r="M53" s="1122"/>
      <c r="N53" s="323"/>
    </row>
    <row r="54" spans="1:14" ht="27.6" customHeight="1" x14ac:dyDescent="0.25">
      <c r="A54" s="983"/>
      <c r="B54" s="984"/>
      <c r="C54" s="985"/>
      <c r="D54" s="974"/>
      <c r="E54" s="86" t="s">
        <v>136</v>
      </c>
      <c r="F54" s="760"/>
      <c r="G54" s="765"/>
      <c r="H54" s="779"/>
      <c r="I54" s="761"/>
      <c r="J54" s="322" t="s">
        <v>55</v>
      </c>
      <c r="K54" s="385"/>
      <c r="L54" s="251"/>
      <c r="M54" s="258">
        <v>1</v>
      </c>
    </row>
    <row r="55" spans="1:14" ht="27" customHeight="1" x14ac:dyDescent="0.25">
      <c r="A55" s="983"/>
      <c r="B55" s="984"/>
      <c r="C55" s="985"/>
      <c r="D55" s="972" t="s">
        <v>238</v>
      </c>
      <c r="E55" s="670" t="s">
        <v>104</v>
      </c>
      <c r="F55" s="803" t="s">
        <v>224</v>
      </c>
      <c r="G55" s="746"/>
      <c r="H55" s="759"/>
      <c r="I55" s="774">
        <f>450-345</f>
        <v>105</v>
      </c>
      <c r="J55" s="586" t="s">
        <v>149</v>
      </c>
      <c r="K55" s="170"/>
      <c r="L55" s="173"/>
      <c r="M55" s="575">
        <v>5</v>
      </c>
    </row>
    <row r="56" spans="1:14" ht="15.6" customHeight="1" x14ac:dyDescent="0.25">
      <c r="A56" s="983"/>
      <c r="B56" s="984"/>
      <c r="C56" s="985"/>
      <c r="D56" s="973"/>
      <c r="E56" s="613" t="s">
        <v>107</v>
      </c>
      <c r="F56" s="745" t="s">
        <v>227</v>
      </c>
      <c r="G56" s="746"/>
      <c r="H56" s="747"/>
      <c r="I56" s="740">
        <f>1050-816.6</f>
        <v>233.4</v>
      </c>
      <c r="J56" s="677"/>
      <c r="K56" s="251"/>
      <c r="L56" s="251"/>
      <c r="M56" s="266"/>
    </row>
    <row r="57" spans="1:14" ht="31.5" customHeight="1" x14ac:dyDescent="0.25">
      <c r="A57" s="983"/>
      <c r="B57" s="984"/>
      <c r="C57" s="985"/>
      <c r="D57" s="974"/>
      <c r="E57" s="107" t="s">
        <v>197</v>
      </c>
      <c r="F57" s="760"/>
      <c r="G57" s="746"/>
      <c r="H57" s="779"/>
      <c r="I57" s="761"/>
      <c r="J57" s="308"/>
      <c r="K57" s="389"/>
      <c r="L57" s="389"/>
      <c r="M57" s="331"/>
    </row>
    <row r="58" spans="1:14" ht="15.6" customHeight="1" x14ac:dyDescent="0.25">
      <c r="A58" s="448"/>
      <c r="B58" s="453"/>
      <c r="C58" s="449"/>
      <c r="D58" s="973" t="s">
        <v>60</v>
      </c>
      <c r="E58" s="244" t="s">
        <v>136</v>
      </c>
      <c r="F58" s="772" t="s">
        <v>224</v>
      </c>
      <c r="G58" s="762">
        <f>196.9-36.4</f>
        <v>160.5</v>
      </c>
      <c r="H58" s="747">
        <f>196.9-36.4</f>
        <v>160.5</v>
      </c>
      <c r="I58" s="740">
        <f>196.9-36.4</f>
        <v>160.5</v>
      </c>
      <c r="J58" s="148" t="s">
        <v>84</v>
      </c>
      <c r="K58" s="390">
        <v>6.3</v>
      </c>
      <c r="L58" s="390">
        <v>6.3</v>
      </c>
      <c r="M58" s="93">
        <v>6.3</v>
      </c>
    </row>
    <row r="59" spans="1:14" ht="15.6" customHeight="1" x14ac:dyDescent="0.25">
      <c r="A59" s="448"/>
      <c r="B59" s="453"/>
      <c r="C59" s="449"/>
      <c r="D59" s="973"/>
      <c r="E59" s="291"/>
      <c r="F59" s="771"/>
      <c r="G59" s="746"/>
      <c r="H59" s="747"/>
      <c r="I59" s="740"/>
      <c r="J59" s="645" t="s">
        <v>95</v>
      </c>
      <c r="K59" s="375">
        <v>387</v>
      </c>
      <c r="L59" s="375">
        <v>387</v>
      </c>
      <c r="M59" s="61">
        <v>387</v>
      </c>
    </row>
    <row r="60" spans="1:14" ht="15.6" customHeight="1" x14ac:dyDescent="0.25">
      <c r="A60" s="983"/>
      <c r="B60" s="986"/>
      <c r="C60" s="985"/>
      <c r="D60" s="972" t="s">
        <v>22</v>
      </c>
      <c r="E60" s="244" t="s">
        <v>136</v>
      </c>
      <c r="F60" s="758" t="s">
        <v>224</v>
      </c>
      <c r="G60" s="762">
        <v>74.3</v>
      </c>
      <c r="H60" s="759">
        <v>74.3</v>
      </c>
      <c r="I60" s="774">
        <v>74.3</v>
      </c>
      <c r="J60" s="148" t="s">
        <v>23</v>
      </c>
      <c r="K60" s="378">
        <v>8</v>
      </c>
      <c r="L60" s="378">
        <v>8</v>
      </c>
      <c r="M60" s="77">
        <v>8</v>
      </c>
    </row>
    <row r="61" spans="1:14" ht="15.6" customHeight="1" x14ac:dyDescent="0.25">
      <c r="A61" s="983"/>
      <c r="B61" s="986"/>
      <c r="C61" s="985"/>
      <c r="D61" s="973"/>
      <c r="E61" s="244"/>
      <c r="F61" s="745"/>
      <c r="G61" s="746"/>
      <c r="H61" s="747"/>
      <c r="I61" s="749"/>
      <c r="J61" s="150" t="s">
        <v>137</v>
      </c>
      <c r="K61" s="239">
        <v>23</v>
      </c>
      <c r="L61" s="239">
        <v>26</v>
      </c>
      <c r="M61" s="113">
        <v>26</v>
      </c>
    </row>
    <row r="62" spans="1:14" ht="17.25" customHeight="1" x14ac:dyDescent="0.25">
      <c r="A62" s="983"/>
      <c r="B62" s="986"/>
      <c r="C62" s="985"/>
      <c r="D62" s="973"/>
      <c r="E62" s="244"/>
      <c r="F62" s="745" t="s">
        <v>224</v>
      </c>
      <c r="G62" s="746">
        <v>40</v>
      </c>
      <c r="H62" s="747"/>
      <c r="I62" s="748"/>
      <c r="J62" s="150" t="s">
        <v>126</v>
      </c>
      <c r="K62" s="239">
        <v>1</v>
      </c>
      <c r="L62" s="239"/>
      <c r="M62" s="113"/>
    </row>
    <row r="63" spans="1:14" ht="15" customHeight="1" x14ac:dyDescent="0.25">
      <c r="A63" s="983"/>
      <c r="B63" s="986"/>
      <c r="C63" s="985"/>
      <c r="D63" s="973"/>
      <c r="E63" s="244"/>
      <c r="F63" s="775" t="s">
        <v>224</v>
      </c>
      <c r="G63" s="765"/>
      <c r="H63" s="779">
        <v>100</v>
      </c>
      <c r="I63" s="761"/>
      <c r="J63" s="646" t="s">
        <v>150</v>
      </c>
      <c r="K63" s="251"/>
      <c r="L63" s="251">
        <v>100</v>
      </c>
      <c r="M63" s="47"/>
    </row>
    <row r="64" spans="1:14" ht="15.75" customHeight="1" x14ac:dyDescent="0.25">
      <c r="A64" s="448"/>
      <c r="B64" s="453"/>
      <c r="C64" s="449"/>
      <c r="D64" s="972" t="s">
        <v>239</v>
      </c>
      <c r="E64" s="106" t="s">
        <v>136</v>
      </c>
      <c r="F64" s="758" t="s">
        <v>224</v>
      </c>
      <c r="G64" s="762">
        <f>209.1-25</f>
        <v>184.1</v>
      </c>
      <c r="H64" s="759">
        <v>107</v>
      </c>
      <c r="I64" s="740">
        <v>115.7</v>
      </c>
      <c r="J64" s="149" t="s">
        <v>78</v>
      </c>
      <c r="K64" s="380"/>
      <c r="L64" s="380"/>
      <c r="M64" s="52"/>
    </row>
    <row r="65" spans="1:15" ht="39.75" customHeight="1" x14ac:dyDescent="0.25">
      <c r="A65" s="478"/>
      <c r="B65" s="479"/>
      <c r="C65" s="480"/>
      <c r="D65" s="987"/>
      <c r="E65" s="102"/>
      <c r="F65" s="745"/>
      <c r="G65" s="746"/>
      <c r="H65" s="747"/>
      <c r="I65" s="766"/>
      <c r="J65" s="654" t="s">
        <v>209</v>
      </c>
      <c r="K65" s="382">
        <v>76</v>
      </c>
      <c r="L65" s="382">
        <v>30</v>
      </c>
      <c r="M65" s="53">
        <v>30</v>
      </c>
    </row>
    <row r="66" spans="1:15" ht="15" customHeight="1" x14ac:dyDescent="0.25">
      <c r="A66" s="448"/>
      <c r="B66" s="453"/>
      <c r="C66" s="449"/>
      <c r="D66" s="987"/>
      <c r="E66" s="868"/>
      <c r="F66" s="814"/>
      <c r="G66" s="815"/>
      <c r="H66" s="816"/>
      <c r="I66" s="817"/>
      <c r="J66" s="666" t="s">
        <v>251</v>
      </c>
      <c r="K66" s="319" t="s">
        <v>252</v>
      </c>
      <c r="L66" s="319" t="s">
        <v>253</v>
      </c>
      <c r="M66" s="62" t="s">
        <v>253</v>
      </c>
    </row>
    <row r="67" spans="1:15" ht="17.25" customHeight="1" x14ac:dyDescent="0.25">
      <c r="A67" s="478"/>
      <c r="B67" s="479"/>
      <c r="C67" s="480"/>
      <c r="D67" s="30"/>
      <c r="E67" s="102"/>
      <c r="F67" s="89"/>
      <c r="G67" s="305"/>
      <c r="H67" s="78"/>
      <c r="I67" s="78"/>
      <c r="J67" s="671" t="s">
        <v>179</v>
      </c>
      <c r="K67" s="383">
        <v>100</v>
      </c>
      <c r="L67" s="383"/>
      <c r="M67" s="255"/>
    </row>
    <row r="68" spans="1:15" ht="15.75" customHeight="1" x14ac:dyDescent="0.25">
      <c r="A68" s="448"/>
      <c r="B68" s="453"/>
      <c r="C68" s="449"/>
      <c r="D68" s="30"/>
      <c r="E68" s="102"/>
      <c r="F68" s="89"/>
      <c r="G68" s="305"/>
      <c r="H68" s="78"/>
      <c r="I68" s="78"/>
      <c r="J68" s="151" t="s">
        <v>180</v>
      </c>
      <c r="K68" s="384"/>
      <c r="L68" s="384"/>
      <c r="M68" s="63"/>
    </row>
    <row r="69" spans="1:15" ht="28.5" customHeight="1" x14ac:dyDescent="0.25">
      <c r="A69" s="448"/>
      <c r="B69" s="453"/>
      <c r="C69" s="449"/>
      <c r="D69" s="30"/>
      <c r="E69" s="102"/>
      <c r="F69" s="89"/>
      <c r="G69" s="305"/>
      <c r="H69" s="125"/>
      <c r="I69" s="281"/>
      <c r="J69" s="154" t="s">
        <v>98</v>
      </c>
      <c r="K69" s="608">
        <v>40</v>
      </c>
      <c r="L69" s="608">
        <v>40</v>
      </c>
      <c r="M69" s="609">
        <v>40</v>
      </c>
    </row>
    <row r="70" spans="1:15" ht="28.5" customHeight="1" x14ac:dyDescent="0.25">
      <c r="A70" s="478"/>
      <c r="B70" s="479"/>
      <c r="C70" s="480"/>
      <c r="D70" s="30"/>
      <c r="E70" s="102"/>
      <c r="F70" s="89"/>
      <c r="G70" s="305"/>
      <c r="H70" s="125"/>
      <c r="I70" s="26"/>
      <c r="J70" s="672" t="s">
        <v>170</v>
      </c>
      <c r="K70" s="559">
        <v>50</v>
      </c>
      <c r="L70" s="559">
        <v>50</v>
      </c>
      <c r="M70" s="63">
        <v>50</v>
      </c>
    </row>
    <row r="71" spans="1:15" ht="28.5" customHeight="1" x14ac:dyDescent="0.25">
      <c r="A71" s="448"/>
      <c r="B71" s="453"/>
      <c r="C71" s="449"/>
      <c r="D71" s="30"/>
      <c r="E71" s="294"/>
      <c r="F71" s="303"/>
      <c r="G71" s="122"/>
      <c r="H71" s="126"/>
      <c r="I71" s="279"/>
      <c r="J71" s="155" t="s">
        <v>181</v>
      </c>
      <c r="K71" s="260">
        <v>0.4</v>
      </c>
      <c r="L71" s="260">
        <v>0.4</v>
      </c>
      <c r="M71" s="261">
        <v>0.4</v>
      </c>
    </row>
    <row r="72" spans="1:15" ht="17.100000000000001" customHeight="1" x14ac:dyDescent="0.25">
      <c r="A72" s="983"/>
      <c r="B72" s="988"/>
      <c r="C72" s="985"/>
      <c r="D72" s="972" t="s">
        <v>101</v>
      </c>
      <c r="E72" s="460" t="s">
        <v>136</v>
      </c>
      <c r="F72" s="758" t="s">
        <v>224</v>
      </c>
      <c r="G72" s="790">
        <v>220.5</v>
      </c>
      <c r="H72" s="791">
        <v>256.10000000000002</v>
      </c>
      <c r="I72" s="792">
        <v>283.7</v>
      </c>
      <c r="J72" s="148" t="s">
        <v>64</v>
      </c>
      <c r="K72" s="378">
        <v>225</v>
      </c>
      <c r="L72" s="378">
        <v>242</v>
      </c>
      <c r="M72" s="76">
        <v>242</v>
      </c>
    </row>
    <row r="73" spans="1:15" ht="29.1" customHeight="1" x14ac:dyDescent="0.25">
      <c r="A73" s="983"/>
      <c r="B73" s="988"/>
      <c r="C73" s="985"/>
      <c r="D73" s="973"/>
      <c r="E73" s="101" t="s">
        <v>107</v>
      </c>
      <c r="F73" s="745"/>
      <c r="G73" s="746"/>
      <c r="H73" s="747"/>
      <c r="I73" s="748"/>
      <c r="J73" s="645" t="s">
        <v>160</v>
      </c>
      <c r="K73" s="245">
        <v>19</v>
      </c>
      <c r="L73" s="245">
        <v>19</v>
      </c>
      <c r="M73" s="258">
        <v>19</v>
      </c>
    </row>
    <row r="74" spans="1:15" ht="27.6" customHeight="1" x14ac:dyDescent="0.25">
      <c r="A74" s="983"/>
      <c r="B74" s="988"/>
      <c r="C74" s="985"/>
      <c r="D74" s="973"/>
      <c r="E74" s="102"/>
      <c r="F74" s="745"/>
      <c r="G74" s="746"/>
      <c r="H74" s="747"/>
      <c r="I74" s="748"/>
      <c r="J74" s="152" t="s">
        <v>240</v>
      </c>
      <c r="K74" s="239">
        <v>5</v>
      </c>
      <c r="L74" s="239">
        <v>5</v>
      </c>
      <c r="M74" s="240">
        <v>5</v>
      </c>
      <c r="N74" s="21"/>
      <c r="O74" s="843"/>
    </row>
    <row r="75" spans="1:15" ht="17.25" customHeight="1" x14ac:dyDescent="0.25">
      <c r="A75" s="983"/>
      <c r="B75" s="988"/>
      <c r="C75" s="985"/>
      <c r="D75" s="973"/>
      <c r="E75" s="102"/>
      <c r="F75" s="745" t="s">
        <v>224</v>
      </c>
      <c r="G75" s="746">
        <v>24</v>
      </c>
      <c r="H75" s="747">
        <v>24</v>
      </c>
      <c r="I75" s="748">
        <v>24</v>
      </c>
      <c r="J75" s="150" t="s">
        <v>112</v>
      </c>
      <c r="K75" s="267">
        <v>1</v>
      </c>
      <c r="L75" s="267">
        <v>1</v>
      </c>
      <c r="M75" s="483">
        <v>1</v>
      </c>
    </row>
    <row r="76" spans="1:15" ht="17.25" customHeight="1" x14ac:dyDescent="0.25">
      <c r="A76" s="983"/>
      <c r="B76" s="988"/>
      <c r="C76" s="985"/>
      <c r="D76" s="973"/>
      <c r="E76" s="102"/>
      <c r="F76" s="760" t="s">
        <v>224</v>
      </c>
      <c r="G76" s="746">
        <f>6+31+14.5-31</f>
        <v>20.5</v>
      </c>
      <c r="H76" s="779">
        <v>31</v>
      </c>
      <c r="I76" s="761"/>
      <c r="J76" s="152" t="s">
        <v>169</v>
      </c>
      <c r="K76" s="251">
        <v>20</v>
      </c>
      <c r="L76" s="251">
        <v>17</v>
      </c>
      <c r="M76" s="280"/>
    </row>
    <row r="77" spans="1:15" ht="15" customHeight="1" x14ac:dyDescent="0.25">
      <c r="A77" s="448"/>
      <c r="B77" s="452"/>
      <c r="C77" s="449"/>
      <c r="D77" s="972" t="s">
        <v>86</v>
      </c>
      <c r="E77" s="460" t="s">
        <v>96</v>
      </c>
      <c r="F77" s="758" t="s">
        <v>224</v>
      </c>
      <c r="G77" s="869">
        <f>207.4-50-37.4</f>
        <v>120</v>
      </c>
      <c r="H77" s="870">
        <f>207.3+50+37.4</f>
        <v>294.7</v>
      </c>
      <c r="I77" s="829"/>
      <c r="J77" s="667" t="s">
        <v>151</v>
      </c>
      <c r="K77" s="380">
        <v>95</v>
      </c>
      <c r="L77" s="380">
        <v>100</v>
      </c>
      <c r="M77" s="52"/>
    </row>
    <row r="78" spans="1:15" ht="15" customHeight="1" x14ac:dyDescent="0.25">
      <c r="A78" s="448"/>
      <c r="B78" s="452"/>
      <c r="C78" s="449"/>
      <c r="D78" s="973"/>
      <c r="E78" s="461" t="s">
        <v>157</v>
      </c>
      <c r="F78" s="745" t="s">
        <v>228</v>
      </c>
      <c r="G78" s="746">
        <v>24.5</v>
      </c>
      <c r="H78" s="747"/>
      <c r="I78" s="817"/>
      <c r="J78" s="118"/>
      <c r="K78" s="386"/>
      <c r="L78" s="386"/>
      <c r="M78" s="464"/>
    </row>
    <row r="79" spans="1:15" ht="15" customHeight="1" x14ac:dyDescent="0.25">
      <c r="A79" s="448"/>
      <c r="B79" s="452"/>
      <c r="C79" s="449"/>
      <c r="D79" s="973"/>
      <c r="E79" s="278" t="s">
        <v>33</v>
      </c>
      <c r="F79" s="771"/>
      <c r="G79" s="746"/>
      <c r="H79" s="747"/>
      <c r="I79" s="824"/>
      <c r="J79" s="664"/>
      <c r="K79" s="251"/>
      <c r="L79" s="251"/>
      <c r="M79" s="47"/>
    </row>
    <row r="80" spans="1:15" ht="15" customHeight="1" x14ac:dyDescent="0.25">
      <c r="A80" s="448"/>
      <c r="B80" s="452"/>
      <c r="C80" s="449"/>
      <c r="D80" s="974"/>
      <c r="E80" s="277" t="s">
        <v>136</v>
      </c>
      <c r="F80" s="830"/>
      <c r="G80" s="831"/>
      <c r="H80" s="832"/>
      <c r="I80" s="833"/>
      <c r="J80" s="108"/>
      <c r="K80" s="367"/>
      <c r="L80" s="367"/>
      <c r="M80" s="326"/>
    </row>
    <row r="81" spans="1:18" ht="40.5" customHeight="1" x14ac:dyDescent="0.25">
      <c r="A81" s="983"/>
      <c r="B81" s="988"/>
      <c r="C81" s="985"/>
      <c r="D81" s="553" t="s">
        <v>117</v>
      </c>
      <c r="E81" s="494" t="s">
        <v>104</v>
      </c>
      <c r="F81" s="871"/>
      <c r="G81" s="762"/>
      <c r="H81" s="759"/>
      <c r="I81" s="774"/>
      <c r="J81" s="157" t="s">
        <v>143</v>
      </c>
      <c r="K81" s="378"/>
      <c r="L81" s="378">
        <v>4</v>
      </c>
      <c r="M81" s="76">
        <v>4</v>
      </c>
      <c r="N81" s="323"/>
    </row>
    <row r="82" spans="1:18" s="3" customFormat="1" ht="21" customHeight="1" x14ac:dyDescent="0.25">
      <c r="A82" s="983"/>
      <c r="B82" s="988"/>
      <c r="C82" s="985"/>
      <c r="D82" s="555"/>
      <c r="E82" s="581" t="s">
        <v>107</v>
      </c>
      <c r="F82" s="745" t="s">
        <v>224</v>
      </c>
      <c r="G82" s="872"/>
      <c r="H82" s="874">
        <v>50</v>
      </c>
      <c r="I82" s="875"/>
      <c r="J82" s="617" t="s">
        <v>143</v>
      </c>
      <c r="K82" s="851">
        <v>3</v>
      </c>
      <c r="L82" s="838">
        <v>1</v>
      </c>
      <c r="M82" s="585"/>
      <c r="N82" s="584"/>
      <c r="O82" s="845"/>
      <c r="P82" s="842"/>
      <c r="Q82" s="842"/>
      <c r="R82" s="842"/>
    </row>
    <row r="83" spans="1:18" s="3" customFormat="1" ht="21" customHeight="1" x14ac:dyDescent="0.25">
      <c r="A83" s="983"/>
      <c r="B83" s="988"/>
      <c r="C83" s="985"/>
      <c r="D83" s="555"/>
      <c r="E83" s="616"/>
      <c r="F83" s="745" t="s">
        <v>223</v>
      </c>
      <c r="G83" s="873">
        <v>99.8</v>
      </c>
      <c r="H83" s="874"/>
      <c r="I83" s="875"/>
      <c r="J83" s="154"/>
      <c r="K83" s="619"/>
      <c r="L83" s="615"/>
      <c r="M83" s="620"/>
      <c r="N83" s="584"/>
      <c r="O83" s="845"/>
      <c r="P83" s="842"/>
      <c r="Q83" s="842"/>
      <c r="R83" s="842"/>
    </row>
    <row r="84" spans="1:18" s="3" customFormat="1" ht="42" customHeight="1" x14ac:dyDescent="0.25">
      <c r="A84" s="983"/>
      <c r="B84" s="988"/>
      <c r="C84" s="985"/>
      <c r="D84" s="555"/>
      <c r="E84" s="616"/>
      <c r="F84" s="745" t="s">
        <v>223</v>
      </c>
      <c r="G84" s="873">
        <v>30.8</v>
      </c>
      <c r="H84" s="874"/>
      <c r="I84" s="875"/>
      <c r="J84" s="152" t="s">
        <v>143</v>
      </c>
      <c r="K84" s="618">
        <v>1</v>
      </c>
      <c r="L84" s="282"/>
      <c r="M84" s="585"/>
      <c r="N84" s="584"/>
      <c r="O84" s="845"/>
      <c r="P84" s="842"/>
      <c r="Q84" s="842"/>
      <c r="R84" s="842"/>
    </row>
    <row r="85" spans="1:18" ht="41.1" customHeight="1" x14ac:dyDescent="0.25">
      <c r="A85" s="983"/>
      <c r="B85" s="988"/>
      <c r="C85" s="985"/>
      <c r="D85" s="554"/>
      <c r="E85" s="580" t="s">
        <v>136</v>
      </c>
      <c r="F85" s="760" t="s">
        <v>224</v>
      </c>
      <c r="G85" s="765">
        <v>12</v>
      </c>
      <c r="H85" s="779"/>
      <c r="I85" s="761"/>
      <c r="J85" s="668" t="s">
        <v>142</v>
      </c>
      <c r="K85" s="673">
        <v>1</v>
      </c>
      <c r="L85" s="224"/>
      <c r="M85" s="440"/>
      <c r="N85" s="323"/>
      <c r="O85" s="768"/>
      <c r="P85" s="845"/>
    </row>
    <row r="86" spans="1:18" ht="16.5" customHeight="1" x14ac:dyDescent="0.25">
      <c r="A86" s="487"/>
      <c r="B86" s="490"/>
      <c r="C86" s="488"/>
      <c r="D86" s="972" t="s">
        <v>173</v>
      </c>
      <c r="E86" s="518" t="s">
        <v>136</v>
      </c>
      <c r="F86" s="772" t="s">
        <v>224</v>
      </c>
      <c r="G86" s="793">
        <f>330-30</f>
        <v>300</v>
      </c>
      <c r="H86" s="794">
        <f>300</f>
        <v>300</v>
      </c>
      <c r="I86" s="774"/>
      <c r="J86" s="157" t="s">
        <v>174</v>
      </c>
      <c r="K86" s="587">
        <v>1</v>
      </c>
      <c r="L86" s="205"/>
      <c r="M86" s="160"/>
      <c r="N86" s="506"/>
      <c r="P86" s="845"/>
    </row>
    <row r="87" spans="1:18" ht="27.75" customHeight="1" x14ac:dyDescent="0.25">
      <c r="A87" s="487"/>
      <c r="B87" s="490"/>
      <c r="C87" s="488"/>
      <c r="D87" s="974"/>
      <c r="E87" s="101" t="s">
        <v>107</v>
      </c>
      <c r="F87" s="755"/>
      <c r="G87" s="746"/>
      <c r="H87" s="779"/>
      <c r="I87" s="761"/>
      <c r="J87" s="668" t="s">
        <v>155</v>
      </c>
      <c r="K87" s="361">
        <v>1</v>
      </c>
      <c r="L87" s="361">
        <v>1</v>
      </c>
      <c r="M87" s="80"/>
      <c r="O87" s="768"/>
      <c r="P87" s="842"/>
    </row>
    <row r="88" spans="1:18" ht="20.85" customHeight="1" x14ac:dyDescent="0.25">
      <c r="A88" s="448"/>
      <c r="B88" s="452"/>
      <c r="C88" s="449"/>
      <c r="D88" s="972" t="s">
        <v>61</v>
      </c>
      <c r="E88" s="106" t="s">
        <v>107</v>
      </c>
      <c r="F88" s="758" t="s">
        <v>224</v>
      </c>
      <c r="G88" s="762">
        <v>10</v>
      </c>
      <c r="H88" s="747">
        <v>10</v>
      </c>
      <c r="I88" s="740">
        <v>10</v>
      </c>
      <c r="J88" s="1098" t="s">
        <v>109</v>
      </c>
      <c r="K88" s="368">
        <v>1</v>
      </c>
      <c r="L88" s="368">
        <v>1</v>
      </c>
      <c r="M88" s="55">
        <v>1</v>
      </c>
      <c r="N88" s="506"/>
      <c r="P88" s="845"/>
    </row>
    <row r="89" spans="1:18" ht="22.5" customHeight="1" x14ac:dyDescent="0.25">
      <c r="A89" s="448"/>
      <c r="B89" s="452"/>
      <c r="C89" s="37"/>
      <c r="D89" s="974"/>
      <c r="E89" s="457" t="s">
        <v>136</v>
      </c>
      <c r="F89" s="785"/>
      <c r="G89" s="746"/>
      <c r="H89" s="747"/>
      <c r="I89" s="740"/>
      <c r="J89" s="1099"/>
      <c r="K89" s="369"/>
      <c r="L89" s="369"/>
      <c r="M89" s="54"/>
    </row>
    <row r="90" spans="1:18" ht="16.5" customHeight="1" x14ac:dyDescent="0.25">
      <c r="A90" s="448"/>
      <c r="B90" s="452"/>
      <c r="C90" s="37"/>
      <c r="D90" s="972" t="s">
        <v>49</v>
      </c>
      <c r="E90" s="300" t="s">
        <v>107</v>
      </c>
      <c r="F90" s="758" t="s">
        <v>224</v>
      </c>
      <c r="G90" s="762">
        <f>1056.5+107.8</f>
        <v>1164.3</v>
      </c>
      <c r="H90" s="759">
        <f>1056.1+107.8</f>
        <v>1163.9000000000001</v>
      </c>
      <c r="I90" s="774">
        <f>1056.1+107.8</f>
        <v>1163.9000000000001</v>
      </c>
      <c r="J90" s="156" t="s">
        <v>123</v>
      </c>
      <c r="K90" s="370">
        <v>23</v>
      </c>
      <c r="L90" s="370">
        <v>23</v>
      </c>
      <c r="M90" s="114">
        <v>23</v>
      </c>
      <c r="O90" s="768"/>
    </row>
    <row r="91" spans="1:18" ht="15.75" customHeight="1" x14ac:dyDescent="0.25">
      <c r="A91" s="448"/>
      <c r="B91" s="452"/>
      <c r="C91" s="45"/>
      <c r="D91" s="973"/>
      <c r="E91" s="101" t="s">
        <v>96</v>
      </c>
      <c r="F91" s="745" t="s">
        <v>229</v>
      </c>
      <c r="G91" s="746">
        <v>7.7</v>
      </c>
      <c r="H91" s="747">
        <v>7.7</v>
      </c>
      <c r="I91" s="748">
        <v>7.7</v>
      </c>
      <c r="J91" s="656" t="s">
        <v>124</v>
      </c>
      <c r="K91" s="371">
        <v>98</v>
      </c>
      <c r="L91" s="371">
        <v>98</v>
      </c>
      <c r="M91" s="64">
        <v>98</v>
      </c>
      <c r="N91" s="506"/>
    </row>
    <row r="92" spans="1:18" ht="15.75" customHeight="1" x14ac:dyDescent="0.25">
      <c r="A92" s="448"/>
      <c r="B92" s="453"/>
      <c r="C92" s="45"/>
      <c r="D92" s="973"/>
      <c r="E92" s="461" t="s">
        <v>136</v>
      </c>
      <c r="F92" s="745"/>
      <c r="G92" s="746"/>
      <c r="H92" s="747"/>
      <c r="I92" s="748"/>
      <c r="J92" s="147" t="s">
        <v>63</v>
      </c>
      <c r="K92" s="372">
        <v>8</v>
      </c>
      <c r="L92" s="193">
        <v>8</v>
      </c>
      <c r="M92" s="95">
        <v>8</v>
      </c>
      <c r="N92" s="506"/>
    </row>
    <row r="93" spans="1:18" ht="15.75" customHeight="1" x14ac:dyDescent="0.25">
      <c r="A93" s="448"/>
      <c r="B93" s="452"/>
      <c r="C93" s="45"/>
      <c r="D93" s="973"/>
      <c r="E93" s="87"/>
      <c r="F93" s="745"/>
      <c r="G93" s="746"/>
      <c r="H93" s="747"/>
      <c r="I93" s="748"/>
      <c r="J93" s="664" t="s">
        <v>79</v>
      </c>
      <c r="K93" s="372">
        <v>40</v>
      </c>
      <c r="L93" s="372">
        <v>40</v>
      </c>
      <c r="M93" s="95">
        <v>40</v>
      </c>
    </row>
    <row r="94" spans="1:18" ht="15.75" customHeight="1" x14ac:dyDescent="0.25">
      <c r="A94" s="448"/>
      <c r="B94" s="452"/>
      <c r="C94" s="45"/>
      <c r="D94" s="973"/>
      <c r="E94" s="87"/>
      <c r="F94" s="745"/>
      <c r="G94" s="746"/>
      <c r="H94" s="747"/>
      <c r="I94" s="748"/>
      <c r="J94" s="147" t="s">
        <v>144</v>
      </c>
      <c r="K94" s="373">
        <v>9</v>
      </c>
      <c r="L94" s="373">
        <v>9</v>
      </c>
      <c r="M94" s="65">
        <v>9</v>
      </c>
    </row>
    <row r="95" spans="1:18" ht="15" customHeight="1" x14ac:dyDescent="0.25">
      <c r="A95" s="448"/>
      <c r="B95" s="452"/>
      <c r="C95" s="45"/>
      <c r="D95" s="973"/>
      <c r="E95" s="87"/>
      <c r="F95" s="745"/>
      <c r="G95" s="746"/>
      <c r="H95" s="747"/>
      <c r="I95" s="748"/>
      <c r="J95" s="1032" t="s">
        <v>236</v>
      </c>
      <c r="K95" s="73">
        <v>1</v>
      </c>
      <c r="L95" s="404">
        <v>1</v>
      </c>
      <c r="M95" s="70">
        <v>1</v>
      </c>
      <c r="O95" s="768"/>
    </row>
    <row r="96" spans="1:18" ht="12.6" customHeight="1" x14ac:dyDescent="0.25">
      <c r="A96" s="448"/>
      <c r="B96" s="452"/>
      <c r="C96" s="45"/>
      <c r="D96" s="295"/>
      <c r="E96" s="87"/>
      <c r="F96" s="745"/>
      <c r="G96" s="746"/>
      <c r="H96" s="747"/>
      <c r="I96" s="748"/>
      <c r="J96" s="1032"/>
      <c r="K96" s="374"/>
      <c r="L96" s="374"/>
      <c r="M96" s="330"/>
    </row>
    <row r="97" spans="1:20" ht="15.6" customHeight="1" x14ac:dyDescent="0.25">
      <c r="A97" s="448"/>
      <c r="B97" s="452"/>
      <c r="C97" s="45"/>
      <c r="D97" s="447"/>
      <c r="E97" s="333"/>
      <c r="F97" s="745" t="s">
        <v>224</v>
      </c>
      <c r="G97" s="746">
        <v>19.100000000000001</v>
      </c>
      <c r="H97" s="747">
        <v>38.200000000000003</v>
      </c>
      <c r="I97" s="781">
        <v>43.9</v>
      </c>
      <c r="J97" s="645" t="s">
        <v>145</v>
      </c>
      <c r="K97" s="375">
        <v>44</v>
      </c>
      <c r="L97" s="375">
        <v>53</v>
      </c>
      <c r="M97" s="61">
        <v>74</v>
      </c>
    </row>
    <row r="98" spans="1:20" ht="29.25" customHeight="1" x14ac:dyDescent="0.25">
      <c r="A98" s="448"/>
      <c r="B98" s="452"/>
      <c r="C98" s="45"/>
      <c r="D98" s="447"/>
      <c r="E98" s="333"/>
      <c r="F98" s="745" t="s">
        <v>224</v>
      </c>
      <c r="G98" s="746">
        <f>29.8+21.4-20.9</f>
        <v>30.3</v>
      </c>
      <c r="H98" s="747">
        <v>67.400000000000006</v>
      </c>
      <c r="I98" s="748">
        <v>63</v>
      </c>
      <c r="J98" s="645" t="s">
        <v>183</v>
      </c>
      <c r="K98" s="863">
        <v>9</v>
      </c>
      <c r="L98" s="862">
        <v>1</v>
      </c>
      <c r="M98" s="61">
        <v>1</v>
      </c>
    </row>
    <row r="99" spans="1:20" s="112" customFormat="1" ht="28.5" customHeight="1" x14ac:dyDescent="0.25">
      <c r="A99" s="478"/>
      <c r="B99" s="482"/>
      <c r="C99" s="480"/>
      <c r="D99" s="477"/>
      <c r="E99" s="333"/>
      <c r="F99" s="745" t="s">
        <v>224</v>
      </c>
      <c r="G99" s="746">
        <v>14</v>
      </c>
      <c r="H99" s="747"/>
      <c r="I99" s="748"/>
      <c r="J99" s="481" t="s">
        <v>241</v>
      </c>
      <c r="K99" s="187">
        <v>1</v>
      </c>
      <c r="L99" s="188"/>
      <c r="M99" s="61"/>
      <c r="N99" s="2"/>
      <c r="O99" s="770"/>
      <c r="P99" s="770"/>
      <c r="Q99" s="770"/>
      <c r="R99" s="770"/>
      <c r="S99" s="2"/>
      <c r="T99" s="2"/>
    </row>
    <row r="100" spans="1:20" ht="17.25" customHeight="1" x14ac:dyDescent="0.25">
      <c r="A100" s="448"/>
      <c r="B100" s="452"/>
      <c r="C100" s="45"/>
      <c r="D100" s="447"/>
      <c r="E100" s="317"/>
      <c r="F100" s="775" t="s">
        <v>224</v>
      </c>
      <c r="G100" s="776">
        <f>15.5+17</f>
        <v>32.5</v>
      </c>
      <c r="H100" s="750">
        <v>17</v>
      </c>
      <c r="I100" s="751">
        <v>15.7</v>
      </c>
      <c r="J100" s="150" t="s">
        <v>182</v>
      </c>
      <c r="K100" s="239">
        <v>2</v>
      </c>
      <c r="L100" s="504">
        <v>1</v>
      </c>
      <c r="M100" s="405">
        <v>1</v>
      </c>
    </row>
    <row r="101" spans="1:20" ht="15" customHeight="1" x14ac:dyDescent="0.25">
      <c r="A101" s="448"/>
      <c r="B101" s="452"/>
      <c r="C101" s="45"/>
      <c r="D101" s="989" t="s">
        <v>242</v>
      </c>
      <c r="E101" s="461" t="s">
        <v>104</v>
      </c>
      <c r="F101" s="739"/>
      <c r="G101" s="743"/>
      <c r="H101" s="747"/>
      <c r="I101" s="748"/>
      <c r="J101" s="314" t="s">
        <v>138</v>
      </c>
      <c r="K101" s="315">
        <v>2</v>
      </c>
      <c r="L101" s="376">
        <v>2</v>
      </c>
      <c r="M101" s="316">
        <v>2</v>
      </c>
    </row>
    <row r="102" spans="1:20" ht="15" customHeight="1" x14ac:dyDescent="0.25">
      <c r="A102" s="448"/>
      <c r="B102" s="452"/>
      <c r="C102" s="45"/>
      <c r="D102" s="973"/>
      <c r="E102" s="101" t="s">
        <v>96</v>
      </c>
      <c r="F102" s="745"/>
      <c r="G102" s="746"/>
      <c r="H102" s="747"/>
      <c r="I102" s="766"/>
      <c r="J102" s="674"/>
      <c r="K102" s="83"/>
      <c r="L102" s="127"/>
      <c r="M102" s="249"/>
    </row>
    <row r="103" spans="1:20" ht="15" customHeight="1" x14ac:dyDescent="0.25">
      <c r="A103" s="448"/>
      <c r="B103" s="452"/>
      <c r="C103" s="45"/>
      <c r="D103" s="973"/>
      <c r="E103" s="461" t="s">
        <v>136</v>
      </c>
      <c r="F103" s="745"/>
      <c r="G103" s="746"/>
      <c r="H103" s="747"/>
      <c r="I103" s="748"/>
      <c r="J103" s="520"/>
      <c r="K103" s="191"/>
      <c r="L103" s="312"/>
      <c r="M103" s="313"/>
    </row>
    <row r="104" spans="1:20" ht="15" customHeight="1" x14ac:dyDescent="0.25">
      <c r="A104" s="448"/>
      <c r="B104" s="452"/>
      <c r="C104" s="45"/>
      <c r="D104" s="974"/>
      <c r="E104" s="457" t="s">
        <v>157</v>
      </c>
      <c r="F104" s="760"/>
      <c r="G104" s="746"/>
      <c r="H104" s="747"/>
      <c r="I104" s="740"/>
      <c r="J104" s="311"/>
      <c r="K104" s="377"/>
      <c r="L104" s="377"/>
      <c r="M104" s="329"/>
    </row>
    <row r="105" spans="1:20" ht="14.85" customHeight="1" x14ac:dyDescent="0.25">
      <c r="A105" s="983"/>
      <c r="B105" s="986"/>
      <c r="C105" s="45"/>
      <c r="D105" s="972" t="s">
        <v>85</v>
      </c>
      <c r="E105" s="461" t="s">
        <v>136</v>
      </c>
      <c r="F105" s="758" t="s">
        <v>224</v>
      </c>
      <c r="G105" s="762">
        <f>42+3.8</f>
        <v>45.8</v>
      </c>
      <c r="H105" s="759">
        <f>+G105</f>
        <v>45.8</v>
      </c>
      <c r="I105" s="774">
        <f>+H105</f>
        <v>45.8</v>
      </c>
      <c r="J105" s="148" t="s">
        <v>68</v>
      </c>
      <c r="K105" s="378">
        <v>2</v>
      </c>
      <c r="L105" s="378">
        <v>2</v>
      </c>
      <c r="M105" s="77">
        <v>2</v>
      </c>
    </row>
    <row r="106" spans="1:20" ht="14.85" customHeight="1" x14ac:dyDescent="0.25">
      <c r="A106" s="983"/>
      <c r="B106" s="986"/>
      <c r="C106" s="45"/>
      <c r="D106" s="973"/>
      <c r="E106" s="102"/>
      <c r="F106" s="745" t="s">
        <v>229</v>
      </c>
      <c r="G106" s="746">
        <v>5</v>
      </c>
      <c r="H106" s="747">
        <v>5</v>
      </c>
      <c r="I106" s="748">
        <v>5</v>
      </c>
      <c r="J106" s="645" t="s">
        <v>124</v>
      </c>
      <c r="K106" s="245">
        <v>5</v>
      </c>
      <c r="L106" s="178">
        <v>5</v>
      </c>
      <c r="M106" s="56">
        <v>5</v>
      </c>
    </row>
    <row r="107" spans="1:20" ht="14.85" customHeight="1" x14ac:dyDescent="0.25">
      <c r="A107" s="983"/>
      <c r="B107" s="986"/>
      <c r="C107" s="45"/>
      <c r="D107" s="974"/>
      <c r="E107" s="678"/>
      <c r="F107" s="756"/>
      <c r="G107" s="782"/>
      <c r="H107" s="783"/>
      <c r="I107" s="784"/>
      <c r="J107" s="108"/>
      <c r="K107" s="379"/>
      <c r="L107" s="379"/>
      <c r="M107" s="465"/>
    </row>
    <row r="108" spans="1:20" ht="15" customHeight="1" x14ac:dyDescent="0.25">
      <c r="A108" s="448"/>
      <c r="B108" s="452"/>
      <c r="C108" s="45"/>
      <c r="D108" s="973" t="s">
        <v>42</v>
      </c>
      <c r="E108" s="461" t="s">
        <v>136</v>
      </c>
      <c r="F108" s="758" t="s">
        <v>229</v>
      </c>
      <c r="G108" s="762">
        <v>21</v>
      </c>
      <c r="H108" s="759">
        <v>21</v>
      </c>
      <c r="I108" s="774">
        <v>21</v>
      </c>
      <c r="J108" s="658" t="s">
        <v>123</v>
      </c>
      <c r="K108" s="380">
        <v>2</v>
      </c>
      <c r="L108" s="380">
        <v>2</v>
      </c>
      <c r="M108" s="52">
        <v>2</v>
      </c>
    </row>
    <row r="109" spans="1:20" ht="15" customHeight="1" x14ac:dyDescent="0.25">
      <c r="A109" s="448"/>
      <c r="B109" s="452"/>
      <c r="C109" s="37"/>
      <c r="D109" s="974"/>
      <c r="E109" s="291"/>
      <c r="F109" s="785"/>
      <c r="G109" s="765"/>
      <c r="H109" s="779"/>
      <c r="I109" s="761"/>
      <c r="J109" s="659"/>
      <c r="K109" s="369"/>
      <c r="L109" s="369"/>
      <c r="M109" s="54"/>
    </row>
    <row r="110" spans="1:20" s="3" customFormat="1" ht="31.5" customHeight="1" x14ac:dyDescent="0.25">
      <c r="A110" s="448"/>
      <c r="B110" s="452"/>
      <c r="C110" s="37"/>
      <c r="D110" s="972" t="s">
        <v>139</v>
      </c>
      <c r="E110" s="607" t="s">
        <v>217</v>
      </c>
      <c r="F110" s="876" t="s">
        <v>224</v>
      </c>
      <c r="G110" s="879">
        <f>300-100</f>
        <v>200</v>
      </c>
      <c r="H110" s="880">
        <f>305+100</f>
        <v>405</v>
      </c>
      <c r="I110" s="786"/>
      <c r="J110" s="157" t="s">
        <v>188</v>
      </c>
      <c r="K110" s="205"/>
      <c r="L110" s="195"/>
      <c r="M110" s="531"/>
      <c r="N110" s="323"/>
      <c r="O110" s="842"/>
      <c r="P110" s="842"/>
      <c r="Q110" s="842"/>
      <c r="R110" s="842"/>
    </row>
    <row r="111" spans="1:20" s="3" customFormat="1" ht="29.85" customHeight="1" x14ac:dyDescent="0.25">
      <c r="A111" s="448"/>
      <c r="B111" s="452"/>
      <c r="C111" s="37"/>
      <c r="D111" s="974"/>
      <c r="E111" s="606" t="s">
        <v>107</v>
      </c>
      <c r="F111" s="877" t="s">
        <v>224</v>
      </c>
      <c r="G111" s="878"/>
      <c r="H111" s="881"/>
      <c r="I111" s="882">
        <v>300</v>
      </c>
      <c r="J111" s="155" t="s">
        <v>189</v>
      </c>
      <c r="K111" s="381"/>
      <c r="L111" s="321"/>
      <c r="M111" s="109"/>
      <c r="N111" s="323"/>
      <c r="O111" s="842"/>
      <c r="P111" s="842"/>
      <c r="Q111" s="842"/>
      <c r="R111" s="842"/>
    </row>
    <row r="112" spans="1:20" ht="15" customHeight="1" x14ac:dyDescent="0.25">
      <c r="A112" s="478"/>
      <c r="B112" s="482"/>
      <c r="C112" s="37"/>
      <c r="D112" s="990" t="s">
        <v>171</v>
      </c>
      <c r="E112" s="476" t="s">
        <v>140</v>
      </c>
      <c r="F112" s="883" t="s">
        <v>224</v>
      </c>
      <c r="G112" s="762">
        <v>24.2</v>
      </c>
      <c r="H112" s="759"/>
      <c r="I112" s="774"/>
      <c r="J112" s="157" t="s">
        <v>126</v>
      </c>
      <c r="K112" s="497">
        <v>1</v>
      </c>
      <c r="L112" s="497"/>
      <c r="M112" s="153"/>
      <c r="N112" s="323"/>
    </row>
    <row r="113" spans="1:17" ht="15" customHeight="1" x14ac:dyDescent="0.25">
      <c r="A113" s="478"/>
      <c r="B113" s="482"/>
      <c r="C113" s="37"/>
      <c r="D113" s="991"/>
      <c r="E113" s="561" t="s">
        <v>33</v>
      </c>
      <c r="F113" s="755" t="s">
        <v>224</v>
      </c>
      <c r="G113" s="765"/>
      <c r="H113" s="779">
        <v>508</v>
      </c>
      <c r="I113" s="787">
        <v>508</v>
      </c>
      <c r="J113" s="146" t="s">
        <v>151</v>
      </c>
      <c r="K113" s="387"/>
      <c r="L113" s="387">
        <v>50</v>
      </c>
      <c r="M113" s="398">
        <v>100</v>
      </c>
      <c r="N113" s="323"/>
    </row>
    <row r="114" spans="1:17" ht="27" customHeight="1" x14ac:dyDescent="0.25">
      <c r="A114" s="983"/>
      <c r="B114" s="988"/>
      <c r="C114" s="985"/>
      <c r="D114" s="972" t="s">
        <v>44</v>
      </c>
      <c r="E114" s="461" t="s">
        <v>136</v>
      </c>
      <c r="F114" s="758" t="s">
        <v>224</v>
      </c>
      <c r="G114" s="885">
        <f>4000-500</f>
        <v>3500</v>
      </c>
      <c r="H114" s="788">
        <f>4188.4-500</f>
        <v>3688.4</v>
      </c>
      <c r="I114" s="789">
        <f>4188.4-500</f>
        <v>3688.4</v>
      </c>
      <c r="J114" s="157" t="s">
        <v>83</v>
      </c>
      <c r="K114" s="203">
        <v>8.9</v>
      </c>
      <c r="L114" s="285">
        <v>8.9</v>
      </c>
      <c r="M114" s="159">
        <v>8.9</v>
      </c>
      <c r="Q114" s="846"/>
    </row>
    <row r="115" spans="1:17" ht="27" customHeight="1" x14ac:dyDescent="0.25">
      <c r="A115" s="983"/>
      <c r="B115" s="988"/>
      <c r="C115" s="985"/>
      <c r="D115" s="973"/>
      <c r="E115" s="495"/>
      <c r="F115" s="777" t="s">
        <v>223</v>
      </c>
      <c r="G115" s="746">
        <v>188.4</v>
      </c>
      <c r="H115" s="747"/>
      <c r="I115" s="748"/>
      <c r="J115" s="492" t="s">
        <v>246</v>
      </c>
      <c r="K115" s="189">
        <v>8</v>
      </c>
      <c r="L115" s="128">
        <v>8</v>
      </c>
      <c r="M115" s="66">
        <v>8</v>
      </c>
    </row>
    <row r="116" spans="1:17" ht="16.5" customHeight="1" x14ac:dyDescent="0.25">
      <c r="A116" s="983"/>
      <c r="B116" s="988"/>
      <c r="C116" s="985"/>
      <c r="D116" s="992"/>
      <c r="E116" s="102"/>
      <c r="F116" s="745"/>
      <c r="G116" s="746"/>
      <c r="H116" s="747"/>
      <c r="I116" s="748"/>
      <c r="J116" s="152" t="s">
        <v>75</v>
      </c>
      <c r="K116" s="190">
        <v>425</v>
      </c>
      <c r="L116" s="194">
        <v>425</v>
      </c>
      <c r="M116" s="56">
        <v>425</v>
      </c>
      <c r="N116" s="323"/>
    </row>
    <row r="117" spans="1:17" ht="30" customHeight="1" x14ac:dyDescent="0.25">
      <c r="A117" s="566"/>
      <c r="B117" s="569"/>
      <c r="C117" s="567"/>
      <c r="D117" s="574"/>
      <c r="E117" s="102"/>
      <c r="F117" s="760" t="s">
        <v>224</v>
      </c>
      <c r="G117" s="884">
        <v>127.2</v>
      </c>
      <c r="H117" s="886">
        <v>254.3</v>
      </c>
      <c r="I117" s="887">
        <v>254.3</v>
      </c>
      <c r="J117" s="576" t="s">
        <v>205</v>
      </c>
      <c r="K117" s="577">
        <v>764</v>
      </c>
      <c r="L117" s="578">
        <v>764</v>
      </c>
      <c r="M117" s="579">
        <v>764</v>
      </c>
      <c r="N117" s="323"/>
    </row>
    <row r="118" spans="1:17" ht="14.85" customHeight="1" x14ac:dyDescent="0.25">
      <c r="A118" s="983"/>
      <c r="B118" s="988"/>
      <c r="C118" s="985"/>
      <c r="D118" s="993" t="s">
        <v>26</v>
      </c>
      <c r="E118" s="461" t="s">
        <v>136</v>
      </c>
      <c r="F118" s="758" t="s">
        <v>224</v>
      </c>
      <c r="G118" s="746">
        <v>165</v>
      </c>
      <c r="H118" s="759">
        <v>175.5</v>
      </c>
      <c r="I118" s="749">
        <v>175.5</v>
      </c>
      <c r="J118" s="1100" t="s">
        <v>257</v>
      </c>
      <c r="K118" s="170">
        <v>4</v>
      </c>
      <c r="L118" s="174">
        <v>8</v>
      </c>
      <c r="M118" s="575">
        <v>10</v>
      </c>
      <c r="N118" s="323"/>
    </row>
    <row r="119" spans="1:17" ht="14.85" customHeight="1" x14ac:dyDescent="0.25">
      <c r="A119" s="983"/>
      <c r="B119" s="988"/>
      <c r="C119" s="985"/>
      <c r="D119" s="995"/>
      <c r="E119" s="511"/>
      <c r="F119" s="745" t="s">
        <v>223</v>
      </c>
      <c r="G119" s="746">
        <v>10.5</v>
      </c>
      <c r="H119" s="747"/>
      <c r="I119" s="748"/>
      <c r="J119" s="997"/>
      <c r="K119" s="251"/>
      <c r="L119" s="174"/>
      <c r="M119" s="47"/>
    </row>
    <row r="120" spans="1:17" ht="26.85" customHeight="1" x14ac:dyDescent="0.25">
      <c r="A120" s="983"/>
      <c r="B120" s="988"/>
      <c r="C120" s="985"/>
      <c r="D120" s="995"/>
      <c r="E120" s="451"/>
      <c r="F120" s="745" t="s">
        <v>229</v>
      </c>
      <c r="G120" s="746">
        <v>2</v>
      </c>
      <c r="H120" s="747">
        <v>2</v>
      </c>
      <c r="I120" s="748">
        <v>2</v>
      </c>
      <c r="J120" s="150" t="s">
        <v>45</v>
      </c>
      <c r="K120" s="442">
        <v>500</v>
      </c>
      <c r="L120" s="443">
        <v>500</v>
      </c>
      <c r="M120" s="444">
        <v>500</v>
      </c>
      <c r="N120" s="323"/>
    </row>
    <row r="121" spans="1:17" ht="27.75" customHeight="1" x14ac:dyDescent="0.25">
      <c r="A121" s="448"/>
      <c r="B121" s="452"/>
      <c r="C121" s="449"/>
      <c r="D121" s="454"/>
      <c r="E121" s="451"/>
      <c r="F121" s="888" t="s">
        <v>224</v>
      </c>
      <c r="G121" s="746"/>
      <c r="H121" s="747">
        <v>204.5</v>
      </c>
      <c r="I121" s="748"/>
      <c r="J121" s="666" t="s">
        <v>111</v>
      </c>
      <c r="K121" s="196"/>
      <c r="L121" s="610">
        <v>1</v>
      </c>
      <c r="M121" s="558"/>
    </row>
    <row r="122" spans="1:17" ht="27" customHeight="1" x14ac:dyDescent="0.25">
      <c r="A122" s="448"/>
      <c r="B122" s="452"/>
      <c r="C122" s="449"/>
      <c r="D122" s="454"/>
      <c r="E122" s="451"/>
      <c r="F122" s="771" t="s">
        <v>224</v>
      </c>
      <c r="G122" s="746">
        <v>118.5</v>
      </c>
      <c r="H122" s="889"/>
      <c r="I122" s="778"/>
      <c r="J122" s="150" t="s">
        <v>164</v>
      </c>
      <c r="K122" s="204">
        <v>1</v>
      </c>
      <c r="L122" s="197"/>
      <c r="M122" s="57"/>
    </row>
    <row r="123" spans="1:17" ht="27" customHeight="1" x14ac:dyDescent="0.25">
      <c r="A123" s="908"/>
      <c r="B123" s="910"/>
      <c r="C123" s="909"/>
      <c r="D123" s="913"/>
      <c r="E123" s="914"/>
      <c r="F123" s="771"/>
      <c r="G123" s="746"/>
      <c r="H123" s="889"/>
      <c r="I123" s="778"/>
      <c r="J123" s="150" t="s">
        <v>203</v>
      </c>
      <c r="K123" s="196">
        <v>2</v>
      </c>
      <c r="L123" s="911"/>
      <c r="M123" s="912"/>
    </row>
    <row r="124" spans="1:17" ht="15.6" customHeight="1" x14ac:dyDescent="0.25">
      <c r="A124" s="487"/>
      <c r="B124" s="490"/>
      <c r="C124" s="488"/>
      <c r="D124" s="491"/>
      <c r="E124" s="489"/>
      <c r="F124" s="804" t="s">
        <v>224</v>
      </c>
      <c r="G124" s="746">
        <v>85</v>
      </c>
      <c r="H124" s="890"/>
      <c r="I124" s="778"/>
      <c r="J124" s="654" t="s">
        <v>172</v>
      </c>
      <c r="K124" s="484">
        <v>1</v>
      </c>
      <c r="L124" s="485"/>
      <c r="M124" s="486"/>
    </row>
    <row r="125" spans="1:17" ht="15.6" customHeight="1" x14ac:dyDescent="0.25">
      <c r="A125" s="566"/>
      <c r="B125" s="569"/>
      <c r="C125" s="567"/>
      <c r="D125" s="572"/>
      <c r="E125" s="568"/>
      <c r="F125" s="771" t="s">
        <v>224</v>
      </c>
      <c r="G125" s="746">
        <v>22</v>
      </c>
      <c r="H125" s="890"/>
      <c r="I125" s="778"/>
      <c r="J125" s="654" t="s">
        <v>176</v>
      </c>
      <c r="K125" s="562">
        <v>1</v>
      </c>
      <c r="L125" s="560"/>
      <c r="M125" s="563"/>
    </row>
    <row r="126" spans="1:17" ht="15.6" customHeight="1" x14ac:dyDescent="0.25">
      <c r="A126" s="548"/>
      <c r="B126" s="551"/>
      <c r="C126" s="549"/>
      <c r="D126" s="552"/>
      <c r="E126" s="550"/>
      <c r="F126" s="771" t="s">
        <v>224</v>
      </c>
      <c r="G126" s="746"/>
      <c r="H126" s="747">
        <v>83.6</v>
      </c>
      <c r="I126" s="778"/>
      <c r="J126" s="654" t="s">
        <v>202</v>
      </c>
      <c r="K126" s="562"/>
      <c r="L126" s="560">
        <v>1</v>
      </c>
      <c r="M126" s="563"/>
    </row>
    <row r="127" spans="1:17" ht="15.6" customHeight="1" x14ac:dyDescent="0.25">
      <c r="A127" s="566"/>
      <c r="B127" s="569"/>
      <c r="C127" s="567"/>
      <c r="D127" s="572"/>
      <c r="E127" s="568"/>
      <c r="F127" s="771" t="s">
        <v>223</v>
      </c>
      <c r="G127" s="746">
        <v>12</v>
      </c>
      <c r="H127" s="890"/>
      <c r="I127" s="778"/>
      <c r="J127" s="654" t="s">
        <v>176</v>
      </c>
      <c r="K127" s="675">
        <v>1</v>
      </c>
      <c r="L127" s="560"/>
      <c r="M127" s="563"/>
    </row>
    <row r="128" spans="1:17" ht="30" customHeight="1" x14ac:dyDescent="0.25">
      <c r="A128" s="566"/>
      <c r="B128" s="569"/>
      <c r="C128" s="567"/>
      <c r="D128" s="572"/>
      <c r="E128" s="568"/>
      <c r="F128" s="755" t="s">
        <v>224</v>
      </c>
      <c r="G128" s="765"/>
      <c r="H128" s="779">
        <v>290</v>
      </c>
      <c r="I128" s="891"/>
      <c r="J128" s="654" t="s">
        <v>203</v>
      </c>
      <c r="K128" s="562"/>
      <c r="L128" s="560">
        <v>2</v>
      </c>
      <c r="M128" s="563"/>
    </row>
    <row r="129" spans="1:18" ht="26.1" customHeight="1" x14ac:dyDescent="0.25">
      <c r="A129" s="448"/>
      <c r="B129" s="452"/>
      <c r="C129" s="449"/>
      <c r="D129" s="993" t="s">
        <v>62</v>
      </c>
      <c r="E129" s="461" t="s">
        <v>136</v>
      </c>
      <c r="F129" s="758" t="s">
        <v>224</v>
      </c>
      <c r="G129" s="746">
        <f>120.3-4.3-20.1</f>
        <v>95.9</v>
      </c>
      <c r="H129" s="747">
        <f>120.3-20.1</f>
        <v>100.2</v>
      </c>
      <c r="I129" s="774">
        <f>120.3-20.1</f>
        <v>100.2</v>
      </c>
      <c r="J129" s="157" t="s">
        <v>70</v>
      </c>
      <c r="K129" s="630">
        <v>470</v>
      </c>
      <c r="L129" s="631">
        <v>500</v>
      </c>
      <c r="M129" s="259">
        <v>500</v>
      </c>
    </row>
    <row r="130" spans="1:18" ht="27" customHeight="1" x14ac:dyDescent="0.25">
      <c r="A130" s="448"/>
      <c r="B130" s="452"/>
      <c r="C130" s="449"/>
      <c r="D130" s="994"/>
      <c r="E130" s="291"/>
      <c r="F130" s="760" t="s">
        <v>223</v>
      </c>
      <c r="G130" s="765">
        <v>4.3</v>
      </c>
      <c r="H130" s="779"/>
      <c r="I130" s="761"/>
      <c r="J130" s="668" t="s">
        <v>71</v>
      </c>
      <c r="K130" s="632">
        <v>300</v>
      </c>
      <c r="L130" s="633">
        <v>300</v>
      </c>
      <c r="M130" s="168">
        <v>300</v>
      </c>
    </row>
    <row r="131" spans="1:18" ht="15" customHeight="1" x14ac:dyDescent="0.25">
      <c r="A131" s="448"/>
      <c r="B131" s="452"/>
      <c r="C131" s="449"/>
      <c r="D131" s="972" t="s">
        <v>37</v>
      </c>
      <c r="E131" s="461" t="s">
        <v>136</v>
      </c>
      <c r="F131" s="758" t="s">
        <v>224</v>
      </c>
      <c r="G131" s="762">
        <f>80-15</f>
        <v>65</v>
      </c>
      <c r="H131" s="759">
        <v>80</v>
      </c>
      <c r="I131" s="774">
        <v>80</v>
      </c>
      <c r="J131" s="667" t="s">
        <v>27</v>
      </c>
      <c r="K131" s="380">
        <v>9</v>
      </c>
      <c r="L131" s="173">
        <v>9</v>
      </c>
      <c r="M131" s="52">
        <v>9</v>
      </c>
      <c r="N131" s="467"/>
    </row>
    <row r="132" spans="1:18" ht="18.600000000000001" customHeight="1" x14ac:dyDescent="0.25">
      <c r="A132" s="448"/>
      <c r="B132" s="452"/>
      <c r="C132" s="37"/>
      <c r="D132" s="974"/>
      <c r="E132" s="291"/>
      <c r="F132" s="760"/>
      <c r="G132" s="765"/>
      <c r="H132" s="779"/>
      <c r="I132" s="761"/>
      <c r="J132" s="146"/>
      <c r="K132" s="369"/>
      <c r="L132" s="176"/>
      <c r="M132" s="54"/>
    </row>
    <row r="133" spans="1:18" ht="15" customHeight="1" x14ac:dyDescent="0.25">
      <c r="A133" s="448"/>
      <c r="B133" s="452"/>
      <c r="C133" s="37"/>
      <c r="D133" s="972" t="s">
        <v>94</v>
      </c>
      <c r="E133" s="461" t="s">
        <v>136</v>
      </c>
      <c r="F133" s="758" t="s">
        <v>224</v>
      </c>
      <c r="G133" s="746">
        <f>370-200</f>
        <v>170</v>
      </c>
      <c r="H133" s="759">
        <v>200</v>
      </c>
      <c r="I133" s="780"/>
      <c r="J133" s="1100" t="s">
        <v>150</v>
      </c>
      <c r="K133" s="380">
        <v>50</v>
      </c>
      <c r="L133" s="173">
        <v>100</v>
      </c>
      <c r="M133" s="52"/>
    </row>
    <row r="134" spans="1:18" ht="15" customHeight="1" x14ac:dyDescent="0.25">
      <c r="A134" s="14"/>
      <c r="B134" s="452"/>
      <c r="C134" s="37"/>
      <c r="D134" s="974"/>
      <c r="E134" s="291"/>
      <c r="F134" s="760"/>
      <c r="G134" s="765"/>
      <c r="H134" s="779"/>
      <c r="I134" s="761"/>
      <c r="J134" s="1101"/>
      <c r="K134" s="379"/>
      <c r="L134" s="466"/>
      <c r="M134" s="465"/>
    </row>
    <row r="135" spans="1:18" ht="16.5" customHeight="1" x14ac:dyDescent="0.25">
      <c r="A135" s="14"/>
      <c r="B135" s="452"/>
      <c r="C135" s="37"/>
      <c r="D135" s="972" t="s">
        <v>184</v>
      </c>
      <c r="E135" s="461" t="s">
        <v>136</v>
      </c>
      <c r="F135" s="758" t="s">
        <v>224</v>
      </c>
      <c r="G135" s="762">
        <v>41.5</v>
      </c>
      <c r="H135" s="759">
        <v>41.5</v>
      </c>
      <c r="I135" s="774">
        <v>41.5</v>
      </c>
      <c r="J135" s="157" t="s">
        <v>185</v>
      </c>
      <c r="K135" s="378">
        <v>30</v>
      </c>
      <c r="L135" s="177">
        <v>30</v>
      </c>
      <c r="M135" s="77">
        <v>30</v>
      </c>
    </row>
    <row r="136" spans="1:18" ht="16.5" customHeight="1" x14ac:dyDescent="0.25">
      <c r="A136" s="14"/>
      <c r="B136" s="470"/>
      <c r="C136" s="37"/>
      <c r="D136" s="973"/>
      <c r="E136" s="471"/>
      <c r="F136" s="745"/>
      <c r="G136" s="746"/>
      <c r="H136" s="747"/>
      <c r="I136" s="766"/>
      <c r="J136" s="402" t="s">
        <v>192</v>
      </c>
      <c r="K136" s="190">
        <v>60</v>
      </c>
      <c r="L136" s="194">
        <v>90</v>
      </c>
      <c r="M136" s="113">
        <v>90</v>
      </c>
    </row>
    <row r="137" spans="1:18" ht="27.6" customHeight="1" x14ac:dyDescent="0.25">
      <c r="A137" s="14"/>
      <c r="B137" s="452"/>
      <c r="C137" s="37"/>
      <c r="D137" s="974"/>
      <c r="E137" s="461"/>
      <c r="F137" s="760" t="s">
        <v>224</v>
      </c>
      <c r="G137" s="765">
        <v>9.1999999999999993</v>
      </c>
      <c r="H137" s="779">
        <v>9.1999999999999993</v>
      </c>
      <c r="I137" s="761">
        <v>9.1999999999999993</v>
      </c>
      <c r="J137" s="146" t="s">
        <v>193</v>
      </c>
      <c r="K137" s="369">
        <v>10</v>
      </c>
      <c r="L137" s="176">
        <v>10</v>
      </c>
      <c r="M137" s="54">
        <v>10</v>
      </c>
    </row>
    <row r="138" spans="1:18" ht="13.35" customHeight="1" x14ac:dyDescent="0.25">
      <c r="A138" s="566"/>
      <c r="B138" s="600"/>
      <c r="C138" s="601"/>
      <c r="D138" s="972" t="s">
        <v>80</v>
      </c>
      <c r="E138" s="106" t="s">
        <v>107</v>
      </c>
      <c r="F138" s="758" t="s">
        <v>223</v>
      </c>
      <c r="G138" s="762">
        <v>30</v>
      </c>
      <c r="H138" s="759"/>
      <c r="I138" s="774"/>
      <c r="J138" s="1098" t="s">
        <v>148</v>
      </c>
      <c r="K138" s="380">
        <v>100</v>
      </c>
      <c r="L138" s="380"/>
      <c r="M138" s="52"/>
    </row>
    <row r="139" spans="1:18" ht="13.35" customHeight="1" x14ac:dyDescent="0.25">
      <c r="A139" s="566"/>
      <c r="B139" s="569"/>
      <c r="C139" s="567"/>
      <c r="D139" s="973"/>
      <c r="E139" s="669" t="s">
        <v>136</v>
      </c>
      <c r="F139" s="745"/>
      <c r="G139" s="746"/>
      <c r="H139" s="747"/>
      <c r="I139" s="748"/>
      <c r="J139" s="1107"/>
      <c r="K139" s="251"/>
      <c r="L139" s="251"/>
      <c r="M139" s="47"/>
    </row>
    <row r="140" spans="1:18" ht="13.5" customHeight="1" x14ac:dyDescent="0.25">
      <c r="A140" s="566"/>
      <c r="B140" s="569"/>
      <c r="C140" s="567"/>
      <c r="D140" s="973"/>
      <c r="E140" s="101" t="s">
        <v>104</v>
      </c>
      <c r="F140" s="745"/>
      <c r="G140" s="746"/>
      <c r="H140" s="747"/>
      <c r="I140" s="748"/>
      <c r="J140" s="1111"/>
      <c r="K140" s="251"/>
      <c r="L140" s="251"/>
      <c r="M140" s="47"/>
    </row>
    <row r="141" spans="1:18" ht="13.5" customHeight="1" x14ac:dyDescent="0.25">
      <c r="A141" s="566"/>
      <c r="B141" s="569"/>
      <c r="C141" s="567"/>
      <c r="D141" s="973"/>
      <c r="E141" s="101" t="s">
        <v>96</v>
      </c>
      <c r="F141" s="745"/>
      <c r="G141" s="746"/>
      <c r="H141" s="747"/>
      <c r="I141" s="748"/>
      <c r="J141" s="1111"/>
      <c r="K141" s="251"/>
      <c r="L141" s="251"/>
      <c r="M141" s="47"/>
    </row>
    <row r="142" spans="1:18" ht="13.5" customHeight="1" x14ac:dyDescent="0.25">
      <c r="A142" s="566"/>
      <c r="B142" s="569"/>
      <c r="C142" s="567"/>
      <c r="D142" s="973"/>
      <c r="E142" s="103" t="s">
        <v>33</v>
      </c>
      <c r="F142" s="775"/>
      <c r="G142" s="765"/>
      <c r="H142" s="747"/>
      <c r="I142" s="761"/>
      <c r="J142" s="1111"/>
      <c r="K142" s="251"/>
      <c r="L142" s="251"/>
      <c r="M142" s="47"/>
    </row>
    <row r="143" spans="1:18" ht="16.5" customHeight="1" thickBot="1" x14ac:dyDescent="0.3">
      <c r="A143" s="15"/>
      <c r="B143" s="50"/>
      <c r="C143" s="36"/>
      <c r="D143" s="97"/>
      <c r="E143" s="99"/>
      <c r="F143" s="84" t="s">
        <v>4</v>
      </c>
      <c r="G143" s="117">
        <f>+G16+G17+G18+G19+G20+G21+G26+G22+G23+G24+G25</f>
        <v>11547.2</v>
      </c>
      <c r="H143" s="412">
        <f>+H16+H17+H18+H19+H20+H21+H26+H22+H23+H24</f>
        <v>15373.8</v>
      </c>
      <c r="I143" s="133">
        <f>+I16+I17+I18+I19+I20+I21+I26+I22+I23+I24</f>
        <v>17450.400000000001</v>
      </c>
      <c r="J143" s="158"/>
      <c r="K143" s="207"/>
      <c r="L143" s="139"/>
      <c r="M143" s="98"/>
    </row>
    <row r="144" spans="1:18" ht="15" customHeight="1" x14ac:dyDescent="0.25">
      <c r="A144" s="1008" t="s">
        <v>3</v>
      </c>
      <c r="B144" s="1009" t="s">
        <v>3</v>
      </c>
      <c r="C144" s="1010" t="s">
        <v>5</v>
      </c>
      <c r="D144" s="1011" t="s">
        <v>35</v>
      </c>
      <c r="E144" s="1013"/>
      <c r="F144" s="276" t="s">
        <v>19</v>
      </c>
      <c r="G144" s="894">
        <f>4378.8-300-40-146.1</f>
        <v>3892.7</v>
      </c>
      <c r="H144" s="685">
        <f>4765.6+45</f>
        <v>4810.6000000000004</v>
      </c>
      <c r="I144" s="557">
        <v>5123.2</v>
      </c>
      <c r="J144" s="1103"/>
      <c r="K144" s="1018"/>
      <c r="L144" s="1004"/>
      <c r="M144" s="1006"/>
      <c r="O144" s="770" t="s">
        <v>19</v>
      </c>
      <c r="P144" s="768">
        <f>+G146+G148+G150+G152+G154</f>
        <v>4378.8</v>
      </c>
      <c r="Q144" s="768">
        <f t="shared" ref="Q144:R144" si="5">+H146+H148+H150+H152+H154</f>
        <v>4765.6000000000004</v>
      </c>
      <c r="R144" s="768">
        <f t="shared" si="5"/>
        <v>5123.2</v>
      </c>
    </row>
    <row r="145" spans="1:20" ht="15" customHeight="1" x14ac:dyDescent="0.25">
      <c r="A145" s="983"/>
      <c r="B145" s="988"/>
      <c r="C145" s="985"/>
      <c r="D145" s="1012"/>
      <c r="E145" s="1014"/>
      <c r="F145" s="303" t="s">
        <v>38</v>
      </c>
      <c r="G145" s="122">
        <v>170.1</v>
      </c>
      <c r="H145" s="336"/>
      <c r="I145" s="281"/>
      <c r="J145" s="1101"/>
      <c r="K145" s="1019"/>
      <c r="L145" s="1005"/>
      <c r="M145" s="1007"/>
      <c r="O145" s="770" t="s">
        <v>222</v>
      </c>
      <c r="P145" s="768">
        <f>+G147+G149</f>
        <v>170.1</v>
      </c>
      <c r="Q145" s="768">
        <f t="shared" ref="Q145:R145" si="6">+H147+H149</f>
        <v>0</v>
      </c>
      <c r="R145" s="768">
        <f t="shared" si="6"/>
        <v>0</v>
      </c>
    </row>
    <row r="146" spans="1:20" ht="15.75" customHeight="1" x14ac:dyDescent="0.25">
      <c r="A146" s="983"/>
      <c r="B146" s="986"/>
      <c r="C146" s="985"/>
      <c r="D146" s="973" t="s">
        <v>56</v>
      </c>
      <c r="E146" s="106" t="s">
        <v>107</v>
      </c>
      <c r="F146" s="758" t="s">
        <v>224</v>
      </c>
      <c r="G146" s="892">
        <f>4230-400-100</f>
        <v>3730</v>
      </c>
      <c r="H146" s="773">
        <f>4634.5-400-100</f>
        <v>4134.5</v>
      </c>
      <c r="I146" s="893">
        <f>4916.2-400-100</f>
        <v>4416.2</v>
      </c>
      <c r="J146" s="646" t="s">
        <v>46</v>
      </c>
      <c r="K146" s="201">
        <v>19.8</v>
      </c>
      <c r="L146" s="582">
        <v>20.8</v>
      </c>
      <c r="M146" s="583">
        <v>21.8</v>
      </c>
      <c r="P146" s="768">
        <f>SUM(P144:P145)</f>
        <v>4548.8999999999996</v>
      </c>
      <c r="Q146" s="768">
        <f t="shared" ref="Q146:R146" si="7">SUM(Q144:Q145)</f>
        <v>4765.6000000000004</v>
      </c>
      <c r="R146" s="768">
        <f t="shared" si="7"/>
        <v>5123.2</v>
      </c>
    </row>
    <row r="147" spans="1:20" ht="17.25" customHeight="1" x14ac:dyDescent="0.25">
      <c r="A147" s="983"/>
      <c r="B147" s="986"/>
      <c r="C147" s="985"/>
      <c r="D147" s="974"/>
      <c r="E147" s="457" t="s">
        <v>136</v>
      </c>
      <c r="F147" s="760" t="s">
        <v>223</v>
      </c>
      <c r="G147" s="765">
        <v>136.19999999999999</v>
      </c>
      <c r="H147" s="779"/>
      <c r="I147" s="761"/>
      <c r="J147" s="155" t="s">
        <v>152</v>
      </c>
      <c r="K147" s="202">
        <v>7.7</v>
      </c>
      <c r="L147" s="611">
        <v>7.9</v>
      </c>
      <c r="M147" s="350">
        <v>7.7</v>
      </c>
      <c r="P147" s="768">
        <f>+P146-G155</f>
        <v>486.1</v>
      </c>
      <c r="Q147" s="768">
        <f t="shared" ref="Q147:R147" si="8">+Q146-H155</f>
        <v>-45</v>
      </c>
      <c r="R147" s="768">
        <f t="shared" si="8"/>
        <v>0</v>
      </c>
    </row>
    <row r="148" spans="1:20" ht="16.5" customHeight="1" x14ac:dyDescent="0.25">
      <c r="A148" s="448"/>
      <c r="B148" s="452"/>
      <c r="C148" s="449"/>
      <c r="D148" s="972" t="s">
        <v>76</v>
      </c>
      <c r="E148" s="106" t="s">
        <v>107</v>
      </c>
      <c r="F148" s="758" t="s">
        <v>224</v>
      </c>
      <c r="G148" s="762">
        <f>323.9-33.9-50</f>
        <v>240</v>
      </c>
      <c r="H148" s="759">
        <f>340.1-50</f>
        <v>290.10000000000002</v>
      </c>
      <c r="I148" s="774">
        <f>360-50</f>
        <v>310</v>
      </c>
      <c r="J148" s="658" t="s">
        <v>152</v>
      </c>
      <c r="K148" s="91">
        <v>0.3</v>
      </c>
      <c r="L148" s="307">
        <v>0.3</v>
      </c>
      <c r="M148" s="67">
        <v>0.4</v>
      </c>
    </row>
    <row r="149" spans="1:20" ht="16.5" customHeight="1" x14ac:dyDescent="0.25">
      <c r="A149" s="508"/>
      <c r="B149" s="510"/>
      <c r="C149" s="509"/>
      <c r="D149" s="973"/>
      <c r="E149" s="101"/>
      <c r="F149" s="745" t="s">
        <v>223</v>
      </c>
      <c r="G149" s="746">
        <v>33.9</v>
      </c>
      <c r="H149" s="747"/>
      <c r="I149" s="748"/>
      <c r="J149" s="507"/>
      <c r="K149" s="296"/>
      <c r="L149" s="374"/>
      <c r="M149" s="297"/>
    </row>
    <row r="150" spans="1:20" ht="26.25" customHeight="1" x14ac:dyDescent="0.25">
      <c r="A150" s="448"/>
      <c r="B150" s="452"/>
      <c r="C150" s="449"/>
      <c r="D150" s="973"/>
      <c r="E150" s="461" t="s">
        <v>136</v>
      </c>
      <c r="F150" s="745" t="s">
        <v>224</v>
      </c>
      <c r="G150" s="746">
        <v>150.69999999999999</v>
      </c>
      <c r="H150" s="747">
        <v>152</v>
      </c>
      <c r="I150" s="748">
        <v>155</v>
      </c>
      <c r="J150" s="152" t="s">
        <v>99</v>
      </c>
      <c r="K150" s="204">
        <v>1461</v>
      </c>
      <c r="L150" s="204">
        <f>+K150+100</f>
        <v>1561</v>
      </c>
      <c r="M150" s="57">
        <f>+L150+100</f>
        <v>1661</v>
      </c>
    </row>
    <row r="151" spans="1:20" ht="41.25" customHeight="1" x14ac:dyDescent="0.25">
      <c r="A151" s="448"/>
      <c r="B151" s="453"/>
      <c r="C151" s="449"/>
      <c r="D151" s="973"/>
      <c r="E151" s="30"/>
      <c r="F151" s="745"/>
      <c r="G151" s="765"/>
      <c r="H151" s="740"/>
      <c r="I151" s="761"/>
      <c r="J151" s="155" t="s">
        <v>100</v>
      </c>
      <c r="K151" s="198">
        <v>24</v>
      </c>
      <c r="L151" s="256">
        <v>25</v>
      </c>
      <c r="M151" s="261">
        <v>26</v>
      </c>
    </row>
    <row r="152" spans="1:20" ht="14.25" customHeight="1" x14ac:dyDescent="0.25">
      <c r="A152" s="14"/>
      <c r="B152" s="452"/>
      <c r="C152" s="37"/>
      <c r="D152" s="972" t="s">
        <v>186</v>
      </c>
      <c r="E152" s="460" t="s">
        <v>136</v>
      </c>
      <c r="F152" s="758" t="s">
        <v>224</v>
      </c>
      <c r="G152" s="746">
        <v>203.1</v>
      </c>
      <c r="H152" s="759">
        <v>189</v>
      </c>
      <c r="I152" s="748">
        <v>242</v>
      </c>
      <c r="J152" s="499" t="s">
        <v>89</v>
      </c>
      <c r="K152" s="194">
        <f>9+9</f>
        <v>18</v>
      </c>
      <c r="L152" s="175"/>
      <c r="M152" s="76"/>
    </row>
    <row r="153" spans="1:20" ht="30" customHeight="1" x14ac:dyDescent="0.25">
      <c r="A153" s="14"/>
      <c r="B153" s="452"/>
      <c r="C153" s="37"/>
      <c r="D153" s="973"/>
      <c r="E153" s="101" t="s">
        <v>107</v>
      </c>
      <c r="F153" s="745"/>
      <c r="G153" s="746"/>
      <c r="H153" s="747"/>
      <c r="I153" s="748"/>
      <c r="J153" s="517" t="s">
        <v>178</v>
      </c>
      <c r="K153" s="208">
        <v>7</v>
      </c>
      <c r="L153" s="212">
        <v>5</v>
      </c>
      <c r="M153" s="162">
        <v>5</v>
      </c>
    </row>
    <row r="154" spans="1:20" ht="28.5" customHeight="1" x14ac:dyDescent="0.25">
      <c r="A154" s="14"/>
      <c r="B154" s="452"/>
      <c r="C154" s="37"/>
      <c r="D154" s="523" t="s">
        <v>161</v>
      </c>
      <c r="E154" s="686" t="s">
        <v>207</v>
      </c>
      <c r="F154" s="739" t="s">
        <v>224</v>
      </c>
      <c r="G154" s="743">
        <v>55</v>
      </c>
      <c r="H154" s="744"/>
      <c r="I154" s="742"/>
      <c r="J154" s="519" t="s">
        <v>87</v>
      </c>
      <c r="K154" s="251">
        <v>100</v>
      </c>
      <c r="L154" s="178"/>
      <c r="M154" s="266"/>
    </row>
    <row r="155" spans="1:20" ht="15" customHeight="1" thickBot="1" x14ac:dyDescent="0.3">
      <c r="A155" s="15"/>
      <c r="B155" s="50"/>
      <c r="C155" s="36"/>
      <c r="D155" s="97"/>
      <c r="E155" s="99"/>
      <c r="F155" s="75" t="s">
        <v>4</v>
      </c>
      <c r="G155" s="117">
        <f>+G144+G145</f>
        <v>4062.8</v>
      </c>
      <c r="H155" s="412">
        <f t="shared" ref="H155:I155" si="9">+H144+H145</f>
        <v>4810.6000000000004</v>
      </c>
      <c r="I155" s="133">
        <f t="shared" si="9"/>
        <v>5123.2</v>
      </c>
      <c r="J155" s="158"/>
      <c r="K155" s="207"/>
      <c r="L155" s="139"/>
      <c r="M155" s="98"/>
    </row>
    <row r="156" spans="1:20" ht="15" customHeight="1" thickBot="1" x14ac:dyDescent="0.3">
      <c r="A156" s="16" t="s">
        <v>3</v>
      </c>
      <c r="B156" s="23" t="s">
        <v>3</v>
      </c>
      <c r="C156" s="1015" t="s">
        <v>6</v>
      </c>
      <c r="D156" s="1016"/>
      <c r="E156" s="1016"/>
      <c r="F156" s="1016"/>
      <c r="G156" s="136">
        <f>G155+G143</f>
        <v>15610</v>
      </c>
      <c r="H156" s="406">
        <f>H155+H143</f>
        <v>20184.400000000001</v>
      </c>
      <c r="I156" s="142">
        <f>I155+I143</f>
        <v>22573.599999999999</v>
      </c>
      <c r="J156" s="642"/>
      <c r="K156" s="409"/>
      <c r="L156" s="355"/>
      <c r="M156" s="356"/>
      <c r="N156" s="323"/>
    </row>
    <row r="157" spans="1:20" ht="15" customHeight="1" thickBot="1" x14ac:dyDescent="0.3">
      <c r="A157" s="16" t="s">
        <v>3</v>
      </c>
      <c r="B157" s="23" t="s">
        <v>5</v>
      </c>
      <c r="C157" s="1025" t="s">
        <v>30</v>
      </c>
      <c r="D157" s="1026"/>
      <c r="E157" s="1026"/>
      <c r="F157" s="1026"/>
      <c r="G157" s="1026"/>
      <c r="H157" s="1026"/>
      <c r="I157" s="1026"/>
      <c r="J157" s="1026"/>
      <c r="K157" s="353"/>
      <c r="L157" s="352"/>
      <c r="M157" s="602"/>
      <c r="N157" s="839"/>
      <c r="S157" s="840"/>
      <c r="T157" s="840"/>
    </row>
    <row r="158" spans="1:20" ht="15.75" customHeight="1" x14ac:dyDescent="0.25">
      <c r="A158" s="24" t="s">
        <v>3</v>
      </c>
      <c r="B158" s="28" t="s">
        <v>5</v>
      </c>
      <c r="C158" s="37" t="s">
        <v>3</v>
      </c>
      <c r="D158" s="1115" t="s">
        <v>47</v>
      </c>
      <c r="E158" s="687"/>
      <c r="F158" s="22" t="s">
        <v>19</v>
      </c>
      <c r="G158" s="305">
        <f>705.4-30-70</f>
        <v>605.4</v>
      </c>
      <c r="H158" s="306">
        <f>702.1-20</f>
        <v>682.1</v>
      </c>
      <c r="I158" s="270">
        <f>603.4-20</f>
        <v>583.4</v>
      </c>
      <c r="J158" s="543"/>
      <c r="K158" s="689"/>
      <c r="L158" s="410"/>
      <c r="M158" s="690"/>
      <c r="N158" s="840"/>
      <c r="O158" s="770" t="s">
        <v>19</v>
      </c>
      <c r="P158" s="768">
        <f>+G161+G162+G163+G164</f>
        <v>705.4</v>
      </c>
      <c r="Q158" s="768">
        <f t="shared" ref="Q158:R158" si="10">+H161+H162+H163+H164</f>
        <v>702.1</v>
      </c>
      <c r="R158" s="768">
        <f t="shared" si="10"/>
        <v>603.4</v>
      </c>
      <c r="S158" s="840"/>
      <c r="T158" s="840"/>
    </row>
    <row r="159" spans="1:20" ht="15.75" customHeight="1" x14ac:dyDescent="0.25">
      <c r="A159" s="25"/>
      <c r="B159" s="32"/>
      <c r="C159" s="37"/>
      <c r="D159" s="979"/>
      <c r="E159" s="924"/>
      <c r="F159" s="252" t="s">
        <v>38</v>
      </c>
      <c r="G159" s="131">
        <v>54.5</v>
      </c>
      <c r="H159" s="264"/>
      <c r="I159" s="265"/>
      <c r="J159" s="543"/>
      <c r="K159" s="691"/>
      <c r="L159" s="692"/>
      <c r="M159" s="614"/>
      <c r="N159" s="840"/>
      <c r="O159" s="770" t="s">
        <v>222</v>
      </c>
      <c r="P159" s="768">
        <f>+G165</f>
        <v>54.5</v>
      </c>
      <c r="Q159" s="768">
        <f t="shared" ref="Q159:R159" si="11">+H165</f>
        <v>0</v>
      </c>
      <c r="R159" s="768">
        <f t="shared" si="11"/>
        <v>0</v>
      </c>
      <c r="S159" s="840"/>
      <c r="T159" s="840"/>
    </row>
    <row r="160" spans="1:20" ht="15.75" customHeight="1" x14ac:dyDescent="0.25">
      <c r="A160" s="25"/>
      <c r="B160" s="32"/>
      <c r="C160" s="37"/>
      <c r="D160" s="1043"/>
      <c r="E160" s="688"/>
      <c r="F160" s="248" t="s">
        <v>113</v>
      </c>
      <c r="G160" s="305">
        <v>1</v>
      </c>
      <c r="H160" s="125"/>
      <c r="I160" s="281"/>
      <c r="J160" s="543"/>
      <c r="K160" s="691"/>
      <c r="L160" s="692"/>
      <c r="M160" s="922"/>
      <c r="N160" s="840"/>
      <c r="P160" s="768"/>
      <c r="Q160" s="768"/>
      <c r="R160" s="768"/>
      <c r="S160" s="840"/>
      <c r="T160" s="840"/>
    </row>
    <row r="161" spans="1:20" ht="18.600000000000001" customHeight="1" x14ac:dyDescent="0.25">
      <c r="A161" s="25"/>
      <c r="B161" s="32"/>
      <c r="C161" s="37"/>
      <c r="D161" s="990" t="s">
        <v>34</v>
      </c>
      <c r="E161" s="923" t="s">
        <v>136</v>
      </c>
      <c r="F161" s="772" t="s">
        <v>224</v>
      </c>
      <c r="G161" s="762">
        <v>1.7</v>
      </c>
      <c r="H161" s="759">
        <v>1.7</v>
      </c>
      <c r="I161" s="774">
        <v>1.7</v>
      </c>
      <c r="J161" s="455" t="s">
        <v>65</v>
      </c>
      <c r="K161" s="199">
        <v>260</v>
      </c>
      <c r="L161" s="205">
        <v>311</v>
      </c>
      <c r="M161" s="160">
        <v>311</v>
      </c>
      <c r="N161" s="841"/>
      <c r="P161" s="768">
        <f>SUM(P158:P159)</f>
        <v>759.9</v>
      </c>
      <c r="Q161" s="768">
        <f t="shared" ref="Q161:R161" si="12">SUM(Q158:Q159)</f>
        <v>702.1</v>
      </c>
      <c r="R161" s="768">
        <f t="shared" si="12"/>
        <v>603.4</v>
      </c>
      <c r="S161" s="840"/>
      <c r="T161" s="840"/>
    </row>
    <row r="162" spans="1:20" ht="30" customHeight="1" x14ac:dyDescent="0.25">
      <c r="A162" s="25"/>
      <c r="B162" s="32"/>
      <c r="C162" s="37"/>
      <c r="D162" s="991"/>
      <c r="E162" s="529"/>
      <c r="F162" s="771" t="s">
        <v>224</v>
      </c>
      <c r="G162" s="746">
        <v>30.4</v>
      </c>
      <c r="H162" s="747">
        <v>30.4</v>
      </c>
      <c r="I162" s="748">
        <v>30.4</v>
      </c>
      <c r="J162" s="459" t="s">
        <v>195</v>
      </c>
      <c r="K162" s="219">
        <v>6</v>
      </c>
      <c r="L162" s="542">
        <v>12</v>
      </c>
      <c r="M162" s="100">
        <v>12</v>
      </c>
      <c r="N162" s="840"/>
      <c r="S162" s="840"/>
      <c r="T162" s="840"/>
    </row>
    <row r="163" spans="1:20" ht="30.6" customHeight="1" x14ac:dyDescent="0.25">
      <c r="A163" s="25"/>
      <c r="B163" s="32"/>
      <c r="C163" s="449"/>
      <c r="D163" s="1001"/>
      <c r="E163" s="291"/>
      <c r="F163" s="755" t="s">
        <v>224</v>
      </c>
      <c r="G163" s="765">
        <v>13.3</v>
      </c>
      <c r="H163" s="779">
        <v>13.3</v>
      </c>
      <c r="I163" s="761">
        <v>13.3</v>
      </c>
      <c r="J163" s="399" t="s">
        <v>48</v>
      </c>
      <c r="K163" s="200">
        <v>13</v>
      </c>
      <c r="L163" s="206">
        <v>47</v>
      </c>
      <c r="M163" s="161">
        <v>47</v>
      </c>
      <c r="N163" s="840"/>
      <c r="S163" s="840"/>
      <c r="T163" s="840"/>
    </row>
    <row r="164" spans="1:20" ht="15.6" customHeight="1" x14ac:dyDescent="0.25">
      <c r="A164" s="25"/>
      <c r="B164" s="32"/>
      <c r="C164" s="37"/>
      <c r="D164" s="990" t="s">
        <v>108</v>
      </c>
      <c r="E164" s="101" t="s">
        <v>107</v>
      </c>
      <c r="F164" s="772" t="s">
        <v>224</v>
      </c>
      <c r="G164" s="762">
        <f>660</f>
        <v>660</v>
      </c>
      <c r="H164" s="759">
        <f>583.9+72.8</f>
        <v>656.7</v>
      </c>
      <c r="I164" s="774">
        <v>558</v>
      </c>
      <c r="J164" s="1027" t="s">
        <v>58</v>
      </c>
      <c r="K164" s="209">
        <v>18</v>
      </c>
      <c r="L164" s="364">
        <v>18</v>
      </c>
      <c r="M164" s="165">
        <v>18</v>
      </c>
      <c r="N164" s="290"/>
    </row>
    <row r="165" spans="1:20" ht="15.6" customHeight="1" x14ac:dyDescent="0.25">
      <c r="A165" s="25"/>
      <c r="B165" s="32"/>
      <c r="C165" s="37"/>
      <c r="D165" s="987"/>
      <c r="E165" s="101" t="s">
        <v>136</v>
      </c>
      <c r="F165" s="771" t="s">
        <v>223</v>
      </c>
      <c r="G165" s="746">
        <f>111+16.3-72.8</f>
        <v>54.5</v>
      </c>
      <c r="H165" s="747"/>
      <c r="I165" s="748"/>
      <c r="J165" s="1028"/>
      <c r="K165" s="210"/>
      <c r="L165" s="365"/>
      <c r="M165" s="164"/>
    </row>
    <row r="166" spans="1:20" ht="15" customHeight="1" x14ac:dyDescent="0.25">
      <c r="A166" s="25"/>
      <c r="B166" s="32"/>
      <c r="C166" s="37"/>
      <c r="D166" s="987"/>
      <c r="E166" s="451"/>
      <c r="F166" s="771"/>
      <c r="G166" s="895"/>
      <c r="H166" s="890"/>
      <c r="I166" s="778"/>
      <c r="J166" s="982" t="s">
        <v>88</v>
      </c>
      <c r="K166" s="211">
        <v>100</v>
      </c>
      <c r="L166" s="366"/>
      <c r="M166" s="163"/>
    </row>
    <row r="167" spans="1:20" ht="15" customHeight="1" x14ac:dyDescent="0.25">
      <c r="A167" s="25"/>
      <c r="B167" s="32"/>
      <c r="C167" s="37"/>
      <c r="D167" s="987"/>
      <c r="E167" s="451"/>
      <c r="F167" s="13"/>
      <c r="G167" s="351"/>
      <c r="H167" s="513"/>
      <c r="I167" s="515"/>
      <c r="J167" s="1029"/>
      <c r="K167" s="210"/>
      <c r="L167" s="365"/>
      <c r="M167" s="164"/>
    </row>
    <row r="168" spans="1:20" ht="15.6" customHeight="1" x14ac:dyDescent="0.25">
      <c r="A168" s="25"/>
      <c r="B168" s="32"/>
      <c r="C168" s="37"/>
      <c r="D168" s="450"/>
      <c r="E168" s="451"/>
      <c r="F168" s="13"/>
      <c r="G168" s="408"/>
      <c r="H168" s="514"/>
      <c r="I168" s="516"/>
      <c r="J168" s="996" t="s">
        <v>190</v>
      </c>
      <c r="K168" s="215">
        <v>3</v>
      </c>
      <c r="L168" s="215">
        <v>3</v>
      </c>
      <c r="M168" s="163">
        <v>3</v>
      </c>
      <c r="O168" s="847"/>
    </row>
    <row r="169" spans="1:20" ht="15.6" customHeight="1" x14ac:dyDescent="0.25">
      <c r="A169" s="25"/>
      <c r="B169" s="32"/>
      <c r="C169" s="37"/>
      <c r="D169" s="450"/>
      <c r="E169" s="451"/>
      <c r="F169" s="13"/>
      <c r="G169" s="305"/>
      <c r="H169" s="125"/>
      <c r="I169" s="281"/>
      <c r="J169" s="997"/>
      <c r="K169" s="210"/>
      <c r="L169" s="365"/>
      <c r="M169" s="164"/>
    </row>
    <row r="170" spans="1:20" ht="28.35" customHeight="1" x14ac:dyDescent="0.25">
      <c r="A170" s="25"/>
      <c r="B170" s="32"/>
      <c r="C170" s="37"/>
      <c r="D170" s="450"/>
      <c r="E170" s="451"/>
      <c r="F170" s="13"/>
      <c r="G170" s="305"/>
      <c r="H170" s="125"/>
      <c r="I170" s="281"/>
      <c r="J170" s="152" t="s">
        <v>234</v>
      </c>
      <c r="K170" s="208">
        <v>1</v>
      </c>
      <c r="L170" s="267"/>
      <c r="M170" s="162"/>
    </row>
    <row r="171" spans="1:20" ht="41.4" customHeight="1" x14ac:dyDescent="0.25">
      <c r="A171" s="25"/>
      <c r="B171" s="32"/>
      <c r="C171" s="37"/>
      <c r="D171" s="450"/>
      <c r="E171" s="451"/>
      <c r="F171" s="13"/>
      <c r="G171" s="305"/>
      <c r="H171" s="125"/>
      <c r="I171" s="281"/>
      <c r="J171" s="327" t="s">
        <v>235</v>
      </c>
      <c r="K171" s="208"/>
      <c r="L171" s="267">
        <v>100</v>
      </c>
      <c r="M171" s="162"/>
    </row>
    <row r="172" spans="1:20" ht="30" customHeight="1" x14ac:dyDescent="0.25">
      <c r="A172" s="25"/>
      <c r="B172" s="32"/>
      <c r="C172" s="37"/>
      <c r="D172" s="450"/>
      <c r="E172" s="451"/>
      <c r="F172" s="13"/>
      <c r="G172" s="305"/>
      <c r="H172" s="125"/>
      <c r="I172" s="281"/>
      <c r="J172" s="459" t="s">
        <v>208</v>
      </c>
      <c r="K172" s="208">
        <v>860</v>
      </c>
      <c r="L172" s="267"/>
      <c r="M172" s="162"/>
    </row>
    <row r="173" spans="1:20" ht="25.5" customHeight="1" x14ac:dyDescent="0.25">
      <c r="A173" s="25"/>
      <c r="B173" s="32"/>
      <c r="C173" s="37"/>
      <c r="D173" s="528"/>
      <c r="E173" s="529"/>
      <c r="F173" s="13"/>
      <c r="G173" s="305"/>
      <c r="H173" s="125"/>
      <c r="I173" s="281"/>
      <c r="J173" s="459" t="s">
        <v>196</v>
      </c>
      <c r="K173" s="211">
        <v>10</v>
      </c>
      <c r="L173" s="212"/>
      <c r="M173" s="247"/>
    </row>
    <row r="174" spans="1:20" ht="17.850000000000001" customHeight="1" x14ac:dyDescent="0.25">
      <c r="A174" s="25"/>
      <c r="B174" s="32"/>
      <c r="C174" s="37"/>
      <c r="D174" s="528"/>
      <c r="E174" s="291"/>
      <c r="F174" s="92"/>
      <c r="G174" s="122"/>
      <c r="H174" s="125"/>
      <c r="I174" s="532"/>
      <c r="J174" s="679" t="s">
        <v>194</v>
      </c>
      <c r="K174" s="544">
        <v>5</v>
      </c>
      <c r="L174" s="213">
        <v>5</v>
      </c>
      <c r="M174" s="109"/>
    </row>
    <row r="175" spans="1:20" s="3" customFormat="1" ht="15" customHeight="1" x14ac:dyDescent="0.25">
      <c r="A175" s="25"/>
      <c r="B175" s="32"/>
      <c r="C175" s="37"/>
      <c r="D175" s="1020" t="s">
        <v>134</v>
      </c>
      <c r="E175" s="86" t="s">
        <v>107</v>
      </c>
      <c r="F175" s="304"/>
      <c r="G175" s="533"/>
      <c r="H175" s="410"/>
      <c r="I175" s="214"/>
      <c r="J175" s="522" t="s">
        <v>206</v>
      </c>
      <c r="K175" s="199"/>
      <c r="L175" s="530"/>
      <c r="M175" s="531"/>
      <c r="N175" s="2"/>
      <c r="O175" s="842"/>
      <c r="P175" s="842"/>
      <c r="Q175" s="842"/>
      <c r="R175" s="842"/>
    </row>
    <row r="176" spans="1:20" s="3" customFormat="1" ht="15" customHeight="1" x14ac:dyDescent="0.25">
      <c r="A176" s="25"/>
      <c r="B176" s="32"/>
      <c r="C176" s="37"/>
      <c r="D176" s="1021"/>
      <c r="E176" s="86" t="s">
        <v>136</v>
      </c>
      <c r="F176" s="85"/>
      <c r="G176" s="332"/>
      <c r="H176" s="411"/>
      <c r="I176" s="249"/>
      <c r="J176" s="521" t="s">
        <v>156</v>
      </c>
      <c r="K176" s="1023"/>
      <c r="L176" s="468"/>
      <c r="M176" s="603"/>
      <c r="N176" s="323"/>
      <c r="O176" s="842"/>
      <c r="P176" s="842"/>
      <c r="Q176" s="842"/>
      <c r="R176" s="842"/>
    </row>
    <row r="177" spans="1:18" s="3" customFormat="1" ht="15" customHeight="1" x14ac:dyDescent="0.25">
      <c r="A177" s="25"/>
      <c r="B177" s="32"/>
      <c r="C177" s="37"/>
      <c r="D177" s="1022"/>
      <c r="E177" s="86"/>
      <c r="F177" s="27"/>
      <c r="G177" s="328"/>
      <c r="H177" s="388"/>
      <c r="I177" s="250"/>
      <c r="J177" s="80"/>
      <c r="K177" s="1024"/>
      <c r="L177" s="469"/>
      <c r="M177" s="604"/>
      <c r="N177" s="323"/>
      <c r="O177" s="842"/>
      <c r="P177" s="842"/>
      <c r="Q177" s="842"/>
      <c r="R177" s="842"/>
    </row>
    <row r="178" spans="1:18" ht="16.350000000000001" customHeight="1" thickBot="1" x14ac:dyDescent="0.3">
      <c r="A178" s="15"/>
      <c r="B178" s="50"/>
      <c r="C178" s="36"/>
      <c r="D178" s="97"/>
      <c r="E178" s="99"/>
      <c r="F178" s="84" t="s">
        <v>4</v>
      </c>
      <c r="G178" s="117">
        <f>+G158+G159+G160</f>
        <v>660.9</v>
      </c>
      <c r="H178" s="412">
        <f>+H158+H159</f>
        <v>682.1</v>
      </c>
      <c r="I178" s="133">
        <f>+I158+I159</f>
        <v>583.4</v>
      </c>
      <c r="J178" s="158"/>
      <c r="K178" s="192"/>
      <c r="L178" s="207"/>
      <c r="M178" s="98"/>
    </row>
    <row r="179" spans="1:18" ht="15" customHeight="1" thickBot="1" x14ac:dyDescent="0.3">
      <c r="A179" s="17" t="s">
        <v>3</v>
      </c>
      <c r="B179" s="4" t="s">
        <v>5</v>
      </c>
      <c r="C179" s="1015" t="s">
        <v>6</v>
      </c>
      <c r="D179" s="1016"/>
      <c r="E179" s="1016"/>
      <c r="F179" s="1016"/>
      <c r="G179" s="136">
        <f t="shared" ref="G179:I179" si="13">G178</f>
        <v>660.9</v>
      </c>
      <c r="H179" s="138">
        <f t="shared" si="13"/>
        <v>682.1</v>
      </c>
      <c r="I179" s="134">
        <f t="shared" si="13"/>
        <v>583.4</v>
      </c>
      <c r="J179" s="642"/>
      <c r="K179" s="1017"/>
      <c r="L179" s="1017"/>
      <c r="M179" s="356"/>
      <c r="N179" s="323"/>
    </row>
    <row r="180" spans="1:18" ht="15" customHeight="1" thickBot="1" x14ac:dyDescent="0.3">
      <c r="A180" s="16" t="s">
        <v>3</v>
      </c>
      <c r="B180" s="4" t="s">
        <v>21</v>
      </c>
      <c r="C180" s="1030" t="s">
        <v>67</v>
      </c>
      <c r="D180" s="1031"/>
      <c r="E180" s="1031"/>
      <c r="F180" s="1031"/>
      <c r="G180" s="1031"/>
      <c r="H180" s="1031"/>
      <c r="I180" s="1031"/>
      <c r="J180" s="1031"/>
      <c r="K180" s="355"/>
      <c r="L180" s="353"/>
      <c r="M180" s="339"/>
      <c r="N180" s="323"/>
    </row>
    <row r="181" spans="1:18" ht="15" customHeight="1" x14ac:dyDescent="0.25">
      <c r="A181" s="35" t="s">
        <v>3</v>
      </c>
      <c r="B181" s="33" t="s">
        <v>21</v>
      </c>
      <c r="C181" s="458" t="s">
        <v>3</v>
      </c>
      <c r="D181" s="1112" t="s">
        <v>106</v>
      </c>
      <c r="E181" s="693"/>
      <c r="F181" s="284" t="s">
        <v>19</v>
      </c>
      <c r="G181" s="135">
        <f>263.5+18.3</f>
        <v>281.8</v>
      </c>
      <c r="H181" s="137">
        <f>3883.6+240+75</f>
        <v>4198.6000000000004</v>
      </c>
      <c r="I181" s="557">
        <f>5133.4-143</f>
        <v>4990.3999999999996</v>
      </c>
      <c r="J181" s="695"/>
      <c r="K181" s="135"/>
      <c r="L181" s="137"/>
      <c r="M181" s="696"/>
      <c r="O181" s="767" t="s">
        <v>19</v>
      </c>
      <c r="P181" s="768">
        <f>+G194+G206+G207+G209+G211+G213+G215+G216+G217</f>
        <v>263.5</v>
      </c>
      <c r="Q181" s="768">
        <f t="shared" ref="Q181:R181" si="14">+H194+H206+H207+H209+H211+H213+H215+H216+H217</f>
        <v>3883.6</v>
      </c>
      <c r="R181" s="768">
        <f t="shared" si="14"/>
        <v>5133.3999999999996</v>
      </c>
    </row>
    <row r="182" spans="1:18" ht="15" customHeight="1" x14ac:dyDescent="0.25">
      <c r="A182" s="35"/>
      <c r="B182" s="33"/>
      <c r="C182" s="639"/>
      <c r="D182" s="1113"/>
      <c r="E182" s="694"/>
      <c r="F182" s="252" t="s">
        <v>159</v>
      </c>
      <c r="G182" s="269">
        <f>652.4+64.4</f>
        <v>716.8</v>
      </c>
      <c r="H182" s="130">
        <v>400</v>
      </c>
      <c r="I182" s="265">
        <v>400</v>
      </c>
      <c r="J182" s="668"/>
      <c r="K182" s="305"/>
      <c r="L182" s="125"/>
      <c r="M182" s="281"/>
      <c r="O182" s="769" t="s">
        <v>159</v>
      </c>
      <c r="P182" s="768">
        <f>+G193</f>
        <v>652.4</v>
      </c>
      <c r="Q182" s="768">
        <f t="shared" ref="Q182:R182" si="15">+H193</f>
        <v>400</v>
      </c>
      <c r="R182" s="768">
        <f t="shared" si="15"/>
        <v>400</v>
      </c>
    </row>
    <row r="183" spans="1:18" ht="15" customHeight="1" x14ac:dyDescent="0.25">
      <c r="A183" s="35"/>
      <c r="B183" s="33"/>
      <c r="C183" s="856"/>
      <c r="D183" s="1113"/>
      <c r="E183" s="864"/>
      <c r="F183" s="262" t="s">
        <v>127</v>
      </c>
      <c r="G183" s="269">
        <v>162.5</v>
      </c>
      <c r="H183" s="130">
        <v>760</v>
      </c>
      <c r="I183" s="120">
        <v>1143</v>
      </c>
      <c r="J183" s="588"/>
      <c r="K183" s="305"/>
      <c r="L183" s="125"/>
      <c r="M183" s="120"/>
      <c r="O183" s="769"/>
      <c r="P183" s="768"/>
      <c r="Q183" s="768"/>
      <c r="R183" s="768"/>
    </row>
    <row r="184" spans="1:18" ht="15" customHeight="1" x14ac:dyDescent="0.25">
      <c r="A184" s="35"/>
      <c r="B184" s="33"/>
      <c r="C184" s="639"/>
      <c r="D184" s="1113"/>
      <c r="E184" s="693"/>
      <c r="F184" s="262" t="s">
        <v>92</v>
      </c>
      <c r="G184" s="131">
        <v>44.2</v>
      </c>
      <c r="H184" s="264"/>
      <c r="I184" s="265"/>
      <c r="J184" s="588"/>
      <c r="K184" s="305"/>
      <c r="L184" s="125"/>
      <c r="M184" s="120"/>
      <c r="O184" s="767" t="s">
        <v>92</v>
      </c>
      <c r="P184" s="768">
        <f>+G219</f>
        <v>44.2</v>
      </c>
      <c r="Q184" s="768">
        <f>+H219</f>
        <v>0</v>
      </c>
      <c r="R184" s="768">
        <f>+I219</f>
        <v>0</v>
      </c>
    </row>
    <row r="185" spans="1:18" ht="15" customHeight="1" x14ac:dyDescent="0.25">
      <c r="A185" s="35"/>
      <c r="B185" s="33"/>
      <c r="C185" s="639"/>
      <c r="D185" s="1113"/>
      <c r="E185" s="693"/>
      <c r="F185" s="263" t="s">
        <v>93</v>
      </c>
      <c r="G185" s="305">
        <v>501</v>
      </c>
      <c r="H185" s="125"/>
      <c r="I185" s="257"/>
      <c r="J185" s="588"/>
      <c r="K185" s="305"/>
      <c r="L185" s="125"/>
      <c r="M185" s="120"/>
      <c r="O185" s="767" t="s">
        <v>93</v>
      </c>
      <c r="P185" s="768">
        <f>+G220</f>
        <v>501</v>
      </c>
      <c r="Q185" s="768">
        <f t="shared" ref="Q185:R185" si="16">+H220</f>
        <v>0</v>
      </c>
      <c r="R185" s="768">
        <f t="shared" si="16"/>
        <v>0</v>
      </c>
    </row>
    <row r="186" spans="1:18" ht="15" customHeight="1" x14ac:dyDescent="0.25">
      <c r="A186" s="35"/>
      <c r="B186" s="33"/>
      <c r="C186" s="639"/>
      <c r="D186" s="1113"/>
      <c r="E186" s="693"/>
      <c r="F186" s="29" t="s">
        <v>38</v>
      </c>
      <c r="G186" s="269">
        <f>1795.7+237.5-37.5</f>
        <v>1995.7</v>
      </c>
      <c r="H186" s="264"/>
      <c r="I186" s="257"/>
      <c r="J186" s="588"/>
      <c r="K186" s="305"/>
      <c r="L186" s="125"/>
      <c r="M186" s="120"/>
      <c r="O186" s="767" t="s">
        <v>38</v>
      </c>
      <c r="P186" s="768">
        <f>+G192+G205+G218</f>
        <v>1795.7</v>
      </c>
      <c r="Q186" s="768">
        <f t="shared" ref="Q186:R186" si="17">+H192+H205+H218</f>
        <v>0</v>
      </c>
      <c r="R186" s="768">
        <f t="shared" si="17"/>
        <v>0</v>
      </c>
    </row>
    <row r="187" spans="1:18" ht="15" customHeight="1" x14ac:dyDescent="0.25">
      <c r="A187" s="35"/>
      <c r="B187" s="33"/>
      <c r="C187" s="837"/>
      <c r="D187" s="1113"/>
      <c r="E187" s="693"/>
      <c r="F187" s="262" t="s">
        <v>114</v>
      </c>
      <c r="G187" s="852">
        <v>0.2</v>
      </c>
      <c r="H187" s="125"/>
      <c r="I187" s="257"/>
      <c r="J187" s="588"/>
      <c r="K187" s="305"/>
      <c r="L187" s="125"/>
      <c r="M187" s="120"/>
      <c r="O187" s="767"/>
      <c r="P187" s="768"/>
      <c r="Q187" s="768"/>
      <c r="R187" s="768"/>
    </row>
    <row r="188" spans="1:18" ht="15" customHeight="1" x14ac:dyDescent="0.25">
      <c r="A188" s="35"/>
      <c r="B188" s="33"/>
      <c r="C188" s="837"/>
      <c r="D188" s="1113"/>
      <c r="E188" s="693"/>
      <c r="F188" s="263" t="s">
        <v>115</v>
      </c>
      <c r="G188" s="130">
        <v>2.6</v>
      </c>
      <c r="H188" s="264"/>
      <c r="I188" s="257"/>
      <c r="J188" s="588"/>
      <c r="K188" s="305"/>
      <c r="L188" s="125"/>
      <c r="M188" s="120"/>
      <c r="O188" s="767"/>
      <c r="P188" s="768"/>
      <c r="Q188" s="768"/>
      <c r="R188" s="768"/>
    </row>
    <row r="189" spans="1:18" ht="15" customHeight="1" x14ac:dyDescent="0.25">
      <c r="A189" s="35"/>
      <c r="B189" s="33"/>
      <c r="C189" s="837"/>
      <c r="D189" s="1113"/>
      <c r="E189" s="693"/>
      <c r="F189" s="89" t="s">
        <v>247</v>
      </c>
      <c r="G189" s="264">
        <v>168</v>
      </c>
      <c r="H189" s="264"/>
      <c r="I189" s="257"/>
      <c r="J189" s="588"/>
      <c r="K189" s="305"/>
      <c r="L189" s="125"/>
      <c r="M189" s="120"/>
      <c r="O189" s="767"/>
      <c r="P189" s="768"/>
      <c r="Q189" s="768"/>
      <c r="R189" s="768"/>
    </row>
    <row r="190" spans="1:18" ht="15" customHeight="1" x14ac:dyDescent="0.25">
      <c r="A190" s="35"/>
      <c r="B190" s="33"/>
      <c r="C190" s="639"/>
      <c r="D190" s="1114"/>
      <c r="E190" s="693"/>
      <c r="F190" s="263" t="s">
        <v>113</v>
      </c>
      <c r="G190" s="274">
        <v>1.5</v>
      </c>
      <c r="H190" s="125">
        <v>30</v>
      </c>
      <c r="I190" s="275">
        <v>30</v>
      </c>
      <c r="J190" s="146"/>
      <c r="K190" s="122"/>
      <c r="L190" s="125"/>
      <c r="M190" s="120"/>
      <c r="O190" s="767" t="s">
        <v>113</v>
      </c>
      <c r="P190" s="768">
        <f>+G208+G210</f>
        <v>1.5</v>
      </c>
      <c r="Q190" s="768">
        <f t="shared" ref="Q190:R190" si="18">+H208+H210</f>
        <v>30</v>
      </c>
      <c r="R190" s="768">
        <f t="shared" si="18"/>
        <v>30</v>
      </c>
    </row>
    <row r="191" spans="1:18" ht="27.75" customHeight="1" x14ac:dyDescent="0.25">
      <c r="A191" s="35"/>
      <c r="B191" s="33"/>
      <c r="C191" s="458"/>
      <c r="D191" s="650" t="s">
        <v>91</v>
      </c>
      <c r="E191" s="524"/>
      <c r="F191" s="40"/>
      <c r="G191" s="121"/>
      <c r="H191" s="124"/>
      <c r="I191" s="246"/>
      <c r="J191" s="647"/>
      <c r="K191" s="637"/>
      <c r="L191" s="407"/>
      <c r="M191" s="241"/>
      <c r="P191" s="768">
        <f>SUM(P181:P190)</f>
        <v>3258.3</v>
      </c>
      <c r="Q191" s="768">
        <f t="shared" ref="Q191:R191" si="19">SUM(Q181:Q190)</f>
        <v>4313.6000000000004</v>
      </c>
      <c r="R191" s="768">
        <f t="shared" si="19"/>
        <v>5563.4</v>
      </c>
    </row>
    <row r="192" spans="1:18" ht="20.25" customHeight="1" x14ac:dyDescent="0.25">
      <c r="A192" s="35"/>
      <c r="B192" s="33"/>
      <c r="C192" s="496"/>
      <c r="D192" s="989" t="s">
        <v>97</v>
      </c>
      <c r="E192" s="461" t="s">
        <v>104</v>
      </c>
      <c r="F192" s="745" t="s">
        <v>223</v>
      </c>
      <c r="G192" s="746">
        <f>1498.5-200</f>
        <v>1298.5</v>
      </c>
      <c r="H192" s="747"/>
      <c r="I192" s="748"/>
      <c r="J192" s="629" t="s">
        <v>176</v>
      </c>
      <c r="K192" s="501">
        <v>7</v>
      </c>
      <c r="L192" s="288"/>
      <c r="M192" s="500"/>
      <c r="P192" s="768">
        <f>+P191-G222</f>
        <v>-616</v>
      </c>
      <c r="Q192" s="768">
        <f t="shared" ref="Q192:R192" si="20">+Q191-H222</f>
        <v>-1075</v>
      </c>
      <c r="R192" s="768">
        <f t="shared" si="20"/>
        <v>-1000</v>
      </c>
    </row>
    <row r="193" spans="1:18" s="112" customFormat="1" ht="26.85" customHeight="1" x14ac:dyDescent="0.25">
      <c r="A193" s="35"/>
      <c r="B193" s="33"/>
      <c r="C193" s="496"/>
      <c r="D193" s="973"/>
      <c r="E193" s="461" t="s">
        <v>107</v>
      </c>
      <c r="F193" s="771" t="s">
        <v>230</v>
      </c>
      <c r="G193" s="746">
        <v>652.4</v>
      </c>
      <c r="H193" s="747">
        <v>400</v>
      </c>
      <c r="I193" s="748">
        <v>400</v>
      </c>
      <c r="J193" s="996" t="s">
        <v>191</v>
      </c>
      <c r="K193" s="589">
        <v>100</v>
      </c>
      <c r="L193" s="589"/>
      <c r="M193" s="590"/>
      <c r="N193" s="2"/>
      <c r="O193" s="848"/>
      <c r="P193" s="848"/>
      <c r="Q193" s="848"/>
      <c r="R193" s="848"/>
    </row>
    <row r="194" spans="1:18" s="112" customFormat="1" ht="27" customHeight="1" x14ac:dyDescent="0.25">
      <c r="A194" s="35"/>
      <c r="B194" s="33"/>
      <c r="C194" s="496"/>
      <c r="D194" s="493"/>
      <c r="E194" s="461" t="s">
        <v>136</v>
      </c>
      <c r="F194" s="745" t="s">
        <v>224</v>
      </c>
      <c r="G194" s="746"/>
      <c r="H194" s="747">
        <f>2078.7+200</f>
        <v>2278.6999999999998</v>
      </c>
      <c r="I194" s="748">
        <v>3680.1</v>
      </c>
      <c r="J194" s="997"/>
      <c r="K194" s="597"/>
      <c r="L194" s="597"/>
      <c r="M194" s="598"/>
      <c r="O194" s="848"/>
      <c r="P194" s="848"/>
      <c r="Q194" s="848"/>
      <c r="R194" s="848"/>
    </row>
    <row r="195" spans="1:18" s="112" customFormat="1" ht="16.5" customHeight="1" x14ac:dyDescent="0.25">
      <c r="A195" s="35"/>
      <c r="B195" s="33"/>
      <c r="C195" s="496"/>
      <c r="D195" s="493"/>
      <c r="E195" s="495"/>
      <c r="F195" s="745"/>
      <c r="G195" s="746"/>
      <c r="H195" s="747"/>
      <c r="I195" s="748"/>
      <c r="J195" s="996" t="s">
        <v>210</v>
      </c>
      <c r="K195" s="589">
        <v>100</v>
      </c>
      <c r="L195" s="589"/>
      <c r="M195" s="590"/>
      <c r="O195" s="848"/>
      <c r="P195" s="848"/>
      <c r="Q195" s="848"/>
      <c r="R195" s="848"/>
    </row>
    <row r="196" spans="1:18" s="112" customFormat="1" ht="24" customHeight="1" x14ac:dyDescent="0.25">
      <c r="A196" s="35"/>
      <c r="B196" s="33"/>
      <c r="C196" s="496"/>
      <c r="D196" s="493"/>
      <c r="E196" s="495"/>
      <c r="F196" s="745"/>
      <c r="G196" s="746"/>
      <c r="H196" s="747"/>
      <c r="I196" s="749"/>
      <c r="J196" s="1032"/>
      <c r="K196" s="591"/>
      <c r="L196" s="591"/>
      <c r="M196" s="592"/>
      <c r="O196" s="848"/>
      <c r="P196" s="848"/>
      <c r="Q196" s="848"/>
      <c r="R196" s="848"/>
    </row>
    <row r="197" spans="1:18" s="112" customFormat="1" ht="18" customHeight="1" x14ac:dyDescent="0.25">
      <c r="A197" s="35"/>
      <c r="B197" s="33"/>
      <c r="C197" s="496"/>
      <c r="D197" s="493"/>
      <c r="E197" s="495"/>
      <c r="F197" s="745"/>
      <c r="G197" s="746"/>
      <c r="H197" s="747"/>
      <c r="I197" s="748"/>
      <c r="J197" s="996" t="s">
        <v>211</v>
      </c>
      <c r="K197" s="589">
        <v>5</v>
      </c>
      <c r="L197" s="589">
        <v>100</v>
      </c>
      <c r="M197" s="590"/>
      <c r="O197" s="848"/>
      <c r="P197" s="848"/>
      <c r="Q197" s="848"/>
      <c r="R197" s="848"/>
    </row>
    <row r="198" spans="1:18" s="112" customFormat="1" ht="13.5" customHeight="1" x14ac:dyDescent="0.25">
      <c r="A198" s="35"/>
      <c r="B198" s="33"/>
      <c r="C198" s="496"/>
      <c r="D198" s="493"/>
      <c r="E198" s="495"/>
      <c r="F198" s="745"/>
      <c r="G198" s="746"/>
      <c r="H198" s="747"/>
      <c r="I198" s="749"/>
      <c r="J198" s="1032"/>
      <c r="K198" s="591"/>
      <c r="L198" s="591"/>
      <c r="M198" s="592"/>
      <c r="O198" s="848"/>
      <c r="P198" s="848"/>
      <c r="Q198" s="848"/>
      <c r="R198" s="848"/>
    </row>
    <row r="199" spans="1:18" s="112" customFormat="1" ht="18" customHeight="1" x14ac:dyDescent="0.25">
      <c r="A199" s="35"/>
      <c r="B199" s="33"/>
      <c r="C199" s="496"/>
      <c r="D199" s="493"/>
      <c r="E199" s="495"/>
      <c r="F199" s="745"/>
      <c r="G199" s="746"/>
      <c r="H199" s="747"/>
      <c r="I199" s="748"/>
      <c r="J199" s="996" t="s">
        <v>212</v>
      </c>
      <c r="K199" s="589">
        <v>5</v>
      </c>
      <c r="L199" s="589">
        <v>100</v>
      </c>
      <c r="M199" s="590"/>
      <c r="O199" s="848"/>
      <c r="P199" s="848"/>
      <c r="Q199" s="848"/>
      <c r="R199" s="848"/>
    </row>
    <row r="200" spans="1:18" s="112" customFormat="1" ht="12.75" customHeight="1" x14ac:dyDescent="0.25">
      <c r="A200" s="35"/>
      <c r="B200" s="33"/>
      <c r="C200" s="496"/>
      <c r="D200" s="493"/>
      <c r="E200" s="495"/>
      <c r="F200" s="745"/>
      <c r="G200" s="746"/>
      <c r="H200" s="747"/>
      <c r="I200" s="748"/>
      <c r="J200" s="1032"/>
      <c r="K200" s="593"/>
      <c r="L200" s="591"/>
      <c r="M200" s="592"/>
      <c r="O200" s="848"/>
      <c r="P200" s="848"/>
      <c r="Q200" s="848"/>
      <c r="R200" s="848"/>
    </row>
    <row r="201" spans="1:18" s="112" customFormat="1" ht="28.35" customHeight="1" x14ac:dyDescent="0.25">
      <c r="A201" s="35"/>
      <c r="B201" s="33"/>
      <c r="C201" s="496"/>
      <c r="D201" s="493"/>
      <c r="E201" s="495"/>
      <c r="F201" s="745"/>
      <c r="G201" s="746"/>
      <c r="H201" s="747"/>
      <c r="I201" s="749"/>
      <c r="J201" s="621" t="s">
        <v>213</v>
      </c>
      <c r="K201" s="594"/>
      <c r="L201" s="589">
        <v>5</v>
      </c>
      <c r="M201" s="590">
        <v>100</v>
      </c>
      <c r="O201" s="848"/>
      <c r="P201" s="848"/>
      <c r="Q201" s="848"/>
      <c r="R201" s="848"/>
    </row>
    <row r="202" spans="1:18" s="112" customFormat="1" ht="28.35" customHeight="1" x14ac:dyDescent="0.25">
      <c r="A202" s="35"/>
      <c r="B202" s="33"/>
      <c r="C202" s="496"/>
      <c r="D202" s="493"/>
      <c r="E202" s="495"/>
      <c r="F202" s="745"/>
      <c r="G202" s="746"/>
      <c r="H202" s="747"/>
      <c r="I202" s="748"/>
      <c r="J202" s="621" t="s">
        <v>214</v>
      </c>
      <c r="K202" s="594"/>
      <c r="L202" s="589"/>
      <c r="M202" s="590">
        <v>100</v>
      </c>
      <c r="O202" s="848"/>
      <c r="P202" s="848"/>
      <c r="Q202" s="848"/>
      <c r="R202" s="848"/>
    </row>
    <row r="203" spans="1:18" s="112" customFormat="1" ht="28.35" customHeight="1" x14ac:dyDescent="0.25">
      <c r="A203" s="35"/>
      <c r="B203" s="33"/>
      <c r="C203" s="856"/>
      <c r="D203" s="854"/>
      <c r="E203" s="857"/>
      <c r="F203" s="745"/>
      <c r="G203" s="746"/>
      <c r="H203" s="747"/>
      <c r="I203" s="748"/>
      <c r="J203" s="855" t="s">
        <v>254</v>
      </c>
      <c r="K203" s="594"/>
      <c r="L203" s="589"/>
      <c r="M203" s="590">
        <v>100</v>
      </c>
      <c r="O203" s="848"/>
      <c r="P203" s="848"/>
      <c r="Q203" s="848"/>
      <c r="R203" s="848"/>
    </row>
    <row r="204" spans="1:18" s="112" customFormat="1" ht="28.35" customHeight="1" x14ac:dyDescent="0.25">
      <c r="A204" s="35"/>
      <c r="B204" s="33"/>
      <c r="C204" s="856"/>
      <c r="D204" s="854"/>
      <c r="E204" s="857"/>
      <c r="F204" s="745"/>
      <c r="G204" s="746"/>
      <c r="H204" s="747"/>
      <c r="I204" s="748"/>
      <c r="J204" s="855" t="s">
        <v>255</v>
      </c>
      <c r="K204" s="594"/>
      <c r="L204" s="589"/>
      <c r="M204" s="590">
        <v>100</v>
      </c>
      <c r="O204" s="848"/>
      <c r="P204" s="848"/>
      <c r="Q204" s="848"/>
      <c r="R204" s="848"/>
    </row>
    <row r="205" spans="1:18" ht="20.25" customHeight="1" x14ac:dyDescent="0.25">
      <c r="A205" s="35"/>
      <c r="B205" s="33"/>
      <c r="C205" s="496"/>
      <c r="D205" s="989" t="s">
        <v>90</v>
      </c>
      <c r="E205" s="495"/>
      <c r="F205" s="739" t="s">
        <v>223</v>
      </c>
      <c r="G205" s="752">
        <v>215</v>
      </c>
      <c r="H205" s="753"/>
      <c r="I205" s="754"/>
      <c r="J205" s="152" t="s">
        <v>201</v>
      </c>
      <c r="K205" s="501">
        <v>1</v>
      </c>
      <c r="L205" s="595">
        <v>16</v>
      </c>
      <c r="M205" s="596">
        <v>12</v>
      </c>
    </row>
    <row r="206" spans="1:18" ht="18.75" customHeight="1" x14ac:dyDescent="0.25">
      <c r="A206" s="35"/>
      <c r="B206" s="33"/>
      <c r="C206" s="458"/>
      <c r="D206" s="974"/>
      <c r="E206" s="457"/>
      <c r="F206" s="755" t="s">
        <v>224</v>
      </c>
      <c r="G206" s="765"/>
      <c r="H206" s="897">
        <v>1040</v>
      </c>
      <c r="I206" s="896">
        <v>881</v>
      </c>
      <c r="J206" s="599" t="s">
        <v>175</v>
      </c>
      <c r="K206" s="182"/>
      <c r="L206" s="186"/>
      <c r="M206" s="80">
        <v>7</v>
      </c>
    </row>
    <row r="207" spans="1:18" ht="15" customHeight="1" x14ac:dyDescent="0.25">
      <c r="A207" s="487"/>
      <c r="B207" s="490"/>
      <c r="C207" s="488"/>
      <c r="D207" s="972" t="s">
        <v>177</v>
      </c>
      <c r="E207" s="535" t="s">
        <v>107</v>
      </c>
      <c r="F207" s="763" t="s">
        <v>224</v>
      </c>
      <c r="G207" s="762">
        <v>13.5</v>
      </c>
      <c r="H207" s="759">
        <v>180</v>
      </c>
      <c r="I207" s="899"/>
      <c r="J207" s="402" t="s">
        <v>142</v>
      </c>
      <c r="K207" s="502">
        <v>1</v>
      </c>
      <c r="L207" s="503"/>
      <c r="M207" s="526"/>
    </row>
    <row r="208" spans="1:18" ht="15" customHeight="1" x14ac:dyDescent="0.25">
      <c r="A208" s="622"/>
      <c r="B208" s="624"/>
      <c r="C208" s="623"/>
      <c r="D208" s="973"/>
      <c r="E208" s="625"/>
      <c r="F208" s="763" t="s">
        <v>231</v>
      </c>
      <c r="G208" s="746">
        <v>1.5</v>
      </c>
      <c r="H208" s="747">
        <v>20</v>
      </c>
      <c r="I208" s="898"/>
      <c r="J208" s="152" t="s">
        <v>151</v>
      </c>
      <c r="K208" s="292"/>
      <c r="L208" s="363">
        <v>100</v>
      </c>
      <c r="M208" s="362"/>
    </row>
    <row r="209" spans="1:13" ht="15" customHeight="1" x14ac:dyDescent="0.25">
      <c r="A209" s="534"/>
      <c r="B209" s="537"/>
      <c r="C209" s="538"/>
      <c r="D209" s="973"/>
      <c r="E209" s="536" t="s">
        <v>104</v>
      </c>
      <c r="F209" s="763" t="s">
        <v>224</v>
      </c>
      <c r="G209" s="746"/>
      <c r="H209" s="747">
        <v>90</v>
      </c>
      <c r="I209" s="748">
        <v>270</v>
      </c>
      <c r="J209" s="152" t="s">
        <v>142</v>
      </c>
      <c r="K209" s="292"/>
      <c r="L209" s="626">
        <v>1</v>
      </c>
      <c r="M209" s="628"/>
    </row>
    <row r="210" spans="1:13" ht="15" customHeight="1" x14ac:dyDescent="0.25">
      <c r="A210" s="487"/>
      <c r="B210" s="490"/>
      <c r="C210" s="488"/>
      <c r="D210" s="974"/>
      <c r="E210" s="539" t="s">
        <v>140</v>
      </c>
      <c r="F210" s="756" t="s">
        <v>231</v>
      </c>
      <c r="G210" s="757"/>
      <c r="H210" s="897">
        <v>10</v>
      </c>
      <c r="I210" s="761">
        <v>30</v>
      </c>
      <c r="J210" s="108" t="s">
        <v>151</v>
      </c>
      <c r="K210" s="525"/>
      <c r="L210" s="253">
        <v>30</v>
      </c>
      <c r="M210" s="627">
        <v>100</v>
      </c>
    </row>
    <row r="211" spans="1:13" ht="24.75" customHeight="1" x14ac:dyDescent="0.25">
      <c r="A211" s="983"/>
      <c r="B211" s="986"/>
      <c r="C211" s="1033"/>
      <c r="D211" s="1034" t="s">
        <v>69</v>
      </c>
      <c r="E211" s="1036" t="s">
        <v>136</v>
      </c>
      <c r="F211" s="758" t="s">
        <v>224</v>
      </c>
      <c r="G211" s="746">
        <v>2</v>
      </c>
      <c r="H211" s="759">
        <v>2</v>
      </c>
      <c r="I211" s="749">
        <v>2</v>
      </c>
      <c r="J211" s="474" t="s">
        <v>72</v>
      </c>
      <c r="K211" s="179">
        <v>1</v>
      </c>
      <c r="L211" s="183">
        <v>1</v>
      </c>
      <c r="M211" s="48">
        <v>1</v>
      </c>
    </row>
    <row r="212" spans="1:13" ht="16.5" customHeight="1" x14ac:dyDescent="0.25">
      <c r="A212" s="983"/>
      <c r="B212" s="986"/>
      <c r="C212" s="1033"/>
      <c r="D212" s="1035"/>
      <c r="E212" s="1037"/>
      <c r="F212" s="760"/>
      <c r="G212" s="746"/>
      <c r="H212" s="747"/>
      <c r="I212" s="761"/>
      <c r="J212" s="474"/>
      <c r="K212" s="180"/>
      <c r="L212" s="184"/>
      <c r="M212" s="51"/>
    </row>
    <row r="213" spans="1:13" ht="14.85" customHeight="1" x14ac:dyDescent="0.25">
      <c r="A213" s="448"/>
      <c r="B213" s="453"/>
      <c r="C213" s="37"/>
      <c r="D213" s="972" t="s">
        <v>187</v>
      </c>
      <c r="E213" s="460" t="s">
        <v>136</v>
      </c>
      <c r="F213" s="739" t="s">
        <v>224</v>
      </c>
      <c r="G213" s="762">
        <f>135-24</f>
        <v>111</v>
      </c>
      <c r="H213" s="759">
        <v>120.9</v>
      </c>
      <c r="I213" s="741">
        <v>128.30000000000001</v>
      </c>
      <c r="J213" s="1100" t="s">
        <v>243</v>
      </c>
      <c r="K213" s="216">
        <v>45</v>
      </c>
      <c r="L213" s="220">
        <v>49</v>
      </c>
      <c r="M213" s="166">
        <v>52</v>
      </c>
    </row>
    <row r="214" spans="1:13" ht="16.5" customHeight="1" x14ac:dyDescent="0.25">
      <c r="A214" s="448"/>
      <c r="B214" s="453"/>
      <c r="C214" s="37"/>
      <c r="D214" s="973"/>
      <c r="E214" s="86" t="s">
        <v>107</v>
      </c>
      <c r="F214" s="771"/>
      <c r="G214" s="797"/>
      <c r="H214" s="798"/>
      <c r="I214" s="900"/>
      <c r="J214" s="997"/>
      <c r="K214" s="210"/>
      <c r="L214" s="221"/>
      <c r="M214" s="167"/>
    </row>
    <row r="215" spans="1:13" ht="17.850000000000001" customHeight="1" x14ac:dyDescent="0.25">
      <c r="A215" s="448"/>
      <c r="B215" s="453"/>
      <c r="C215" s="37"/>
      <c r="D215" s="973"/>
      <c r="E215" s="451"/>
      <c r="F215" s="771" t="s">
        <v>224</v>
      </c>
      <c r="G215" s="746">
        <v>7</v>
      </c>
      <c r="H215" s="747">
        <v>7</v>
      </c>
      <c r="I215" s="748">
        <v>7</v>
      </c>
      <c r="J215" s="475" t="s">
        <v>153</v>
      </c>
      <c r="K215" s="217">
        <v>100</v>
      </c>
      <c r="L215" s="222">
        <v>100</v>
      </c>
      <c r="M215" s="58">
        <v>100</v>
      </c>
    </row>
    <row r="216" spans="1:13" ht="25.5" customHeight="1" x14ac:dyDescent="0.25">
      <c r="A216" s="14"/>
      <c r="B216" s="452"/>
      <c r="C216" s="37"/>
      <c r="D216" s="973"/>
      <c r="E216" s="88"/>
      <c r="F216" s="745" t="s">
        <v>224</v>
      </c>
      <c r="G216" s="746">
        <f>135-35</f>
        <v>100</v>
      </c>
      <c r="H216" s="747">
        <v>135</v>
      </c>
      <c r="I216" s="748">
        <v>135</v>
      </c>
      <c r="J216" s="472" t="s">
        <v>244</v>
      </c>
      <c r="K216" s="196">
        <v>2</v>
      </c>
      <c r="L216" s="197">
        <v>3</v>
      </c>
      <c r="M216" s="57">
        <v>3</v>
      </c>
    </row>
    <row r="217" spans="1:13" ht="42" customHeight="1" x14ac:dyDescent="0.25">
      <c r="A217" s="14"/>
      <c r="B217" s="452"/>
      <c r="C217" s="37"/>
      <c r="D217" s="973"/>
      <c r="E217" s="88"/>
      <c r="F217" s="760" t="s">
        <v>224</v>
      </c>
      <c r="G217" s="765">
        <v>30</v>
      </c>
      <c r="H217" s="779">
        <v>30</v>
      </c>
      <c r="I217" s="748">
        <v>30</v>
      </c>
      <c r="J217" s="472" t="s">
        <v>154</v>
      </c>
      <c r="K217" s="636">
        <v>6</v>
      </c>
      <c r="L217" s="223">
        <v>2</v>
      </c>
      <c r="M217" s="59">
        <v>2</v>
      </c>
    </row>
    <row r="218" spans="1:13" ht="13.5" customHeight="1" x14ac:dyDescent="0.25">
      <c r="A218" s="566"/>
      <c r="B218" s="569"/>
      <c r="C218" s="567"/>
      <c r="D218" s="1039" t="s">
        <v>74</v>
      </c>
      <c r="E218" s="570" t="s">
        <v>33</v>
      </c>
      <c r="F218" s="763" t="s">
        <v>223</v>
      </c>
      <c r="G218" s="762">
        <v>282.2</v>
      </c>
      <c r="H218" s="747"/>
      <c r="I218" s="774"/>
      <c r="J218" s="473" t="s">
        <v>148</v>
      </c>
      <c r="K218" s="179">
        <v>100</v>
      </c>
      <c r="L218" s="173"/>
      <c r="M218" s="52"/>
    </row>
    <row r="219" spans="1:13" ht="15.75" customHeight="1" x14ac:dyDescent="0.25">
      <c r="A219" s="566"/>
      <c r="B219" s="569"/>
      <c r="C219" s="567"/>
      <c r="D219" s="1040"/>
      <c r="E219" s="571" t="s">
        <v>107</v>
      </c>
      <c r="F219" s="763" t="s">
        <v>228</v>
      </c>
      <c r="G219" s="746">
        <v>44.2</v>
      </c>
      <c r="H219" s="890"/>
      <c r="I219" s="778"/>
      <c r="J219" s="664"/>
      <c r="K219" s="662"/>
      <c r="L219" s="660"/>
      <c r="M219" s="680"/>
    </row>
    <row r="220" spans="1:13" ht="15" customHeight="1" x14ac:dyDescent="0.25">
      <c r="A220" s="566"/>
      <c r="B220" s="569"/>
      <c r="C220" s="567"/>
      <c r="D220" s="1041"/>
      <c r="E220" s="571" t="s">
        <v>104</v>
      </c>
      <c r="F220" s="763" t="s">
        <v>232</v>
      </c>
      <c r="G220" s="746">
        <v>501</v>
      </c>
      <c r="H220" s="890"/>
      <c r="I220" s="778"/>
      <c r="J220" s="1032"/>
      <c r="K220" s="293"/>
      <c r="L220" s="363"/>
      <c r="M220" s="362"/>
    </row>
    <row r="221" spans="1:13" ht="15" customHeight="1" x14ac:dyDescent="0.25">
      <c r="A221" s="566"/>
      <c r="B221" s="569"/>
      <c r="C221" s="567"/>
      <c r="D221" s="564"/>
      <c r="E221" s="571" t="s">
        <v>136</v>
      </c>
      <c r="F221" s="764"/>
      <c r="G221" s="765"/>
      <c r="H221" s="766"/>
      <c r="I221" s="761"/>
      <c r="J221" s="1101"/>
      <c r="K221" s="172"/>
      <c r="L221" s="174"/>
      <c r="M221" s="53"/>
    </row>
    <row r="222" spans="1:13" ht="15.75" customHeight="1" thickBot="1" x14ac:dyDescent="0.3">
      <c r="A222" s="15"/>
      <c r="B222" s="50"/>
      <c r="C222" s="36"/>
      <c r="D222" s="97"/>
      <c r="E222" s="99"/>
      <c r="F222" s="12" t="s">
        <v>4</v>
      </c>
      <c r="G222" s="132">
        <f>+G181+G182+G184+G185+G186+G190+G187+G188+G189+G183</f>
        <v>3874.3</v>
      </c>
      <c r="H222" s="141">
        <f t="shared" ref="H222:I222" si="21">+H181+H182+H184+H185+H186+H190+H187+H188+H189+H183</f>
        <v>5388.6</v>
      </c>
      <c r="I222" s="133">
        <f t="shared" si="21"/>
        <v>6563.4</v>
      </c>
      <c r="J222" s="158"/>
      <c r="K222" s="320"/>
      <c r="L222" s="139"/>
      <c r="M222" s="573"/>
    </row>
    <row r="223" spans="1:13" ht="33" customHeight="1" x14ac:dyDescent="0.25">
      <c r="A223" s="18" t="s">
        <v>3</v>
      </c>
      <c r="B223" s="31" t="s">
        <v>21</v>
      </c>
      <c r="C223" s="39" t="s">
        <v>5</v>
      </c>
      <c r="D223" s="556" t="s">
        <v>219</v>
      </c>
      <c r="E223" s="456" t="s">
        <v>207</v>
      </c>
      <c r="F223" s="94" t="s">
        <v>19</v>
      </c>
      <c r="G223" s="135">
        <f>63.7-15.2</f>
        <v>48.5</v>
      </c>
      <c r="H223" s="125">
        <f>51.5+15.2-6</f>
        <v>60.7</v>
      </c>
      <c r="I223" s="557">
        <v>39.5</v>
      </c>
      <c r="J223" s="565" t="s">
        <v>204</v>
      </c>
      <c r="K223" s="226">
        <v>7</v>
      </c>
      <c r="L223" s="635">
        <v>9</v>
      </c>
      <c r="M223" s="69">
        <v>4</v>
      </c>
    </row>
    <row r="224" spans="1:13" ht="16.5" customHeight="1" thickBot="1" x14ac:dyDescent="0.3">
      <c r="A224" s="49"/>
      <c r="B224" s="34"/>
      <c r="C224" s="96"/>
      <c r="D224" s="97"/>
      <c r="E224" s="301"/>
      <c r="F224" s="84" t="s">
        <v>4</v>
      </c>
      <c r="G224" s="132">
        <f>SUM(G223:G223)</f>
        <v>48.5</v>
      </c>
      <c r="H224" s="141">
        <f>SUM(H223:H223)</f>
        <v>60.7</v>
      </c>
      <c r="I224" s="133">
        <f>SUM(I223:I223)</f>
        <v>39.5</v>
      </c>
      <c r="J224" s="401"/>
      <c r="K224" s="192"/>
      <c r="L224" s="207"/>
      <c r="M224" s="98"/>
    </row>
    <row r="225" spans="1:18" ht="15.6" customHeight="1" thickBot="1" x14ac:dyDescent="0.3">
      <c r="A225" s="16" t="s">
        <v>3</v>
      </c>
      <c r="B225" s="4" t="s">
        <v>21</v>
      </c>
      <c r="C225" s="1015" t="s">
        <v>6</v>
      </c>
      <c r="D225" s="1016"/>
      <c r="E225" s="1016"/>
      <c r="F225" s="1038"/>
      <c r="G225" s="110">
        <f>G224+G222</f>
        <v>3922.8</v>
      </c>
      <c r="H225" s="142">
        <f>H224+H222</f>
        <v>5449.3</v>
      </c>
      <c r="I225" s="140">
        <f>I224+I222</f>
        <v>6602.9</v>
      </c>
      <c r="J225" s="642"/>
      <c r="K225" s="355"/>
      <c r="L225" s="355"/>
      <c r="M225" s="356"/>
      <c r="N225" s="323"/>
    </row>
    <row r="226" spans="1:18" ht="15.6" customHeight="1" thickBot="1" x14ac:dyDescent="0.3">
      <c r="A226" s="16" t="s">
        <v>3</v>
      </c>
      <c r="B226" s="4" t="s">
        <v>24</v>
      </c>
      <c r="C226" s="1030" t="s">
        <v>31</v>
      </c>
      <c r="D226" s="1031"/>
      <c r="E226" s="1031"/>
      <c r="F226" s="1031"/>
      <c r="G226" s="1116"/>
      <c r="H226" s="400"/>
      <c r="I226" s="418"/>
      <c r="J226" s="638"/>
      <c r="K226" s="355"/>
      <c r="L226" s="355"/>
      <c r="M226" s="339"/>
    </row>
    <row r="227" spans="1:18" ht="15" customHeight="1" x14ac:dyDescent="0.25">
      <c r="A227" s="18" t="s">
        <v>3</v>
      </c>
      <c r="B227" s="31" t="s">
        <v>24</v>
      </c>
      <c r="C227" s="39" t="s">
        <v>3</v>
      </c>
      <c r="D227" s="1042" t="s">
        <v>105</v>
      </c>
      <c r="E227" s="456"/>
      <c r="F227" s="289" t="s">
        <v>19</v>
      </c>
      <c r="G227" s="305">
        <v>8</v>
      </c>
      <c r="H227" s="125">
        <f>1004.9+2000</f>
        <v>3004.9</v>
      </c>
      <c r="I227" s="557">
        <v>1238</v>
      </c>
      <c r="J227" s="463"/>
      <c r="K227" s="226"/>
      <c r="L227" s="229"/>
      <c r="M227" s="69"/>
      <c r="O227" s="734" t="s">
        <v>19</v>
      </c>
      <c r="P227" s="735">
        <f>+G231+G233+G235+G240</f>
        <v>8</v>
      </c>
      <c r="Q227" s="735">
        <f t="shared" ref="Q227:R227" si="22">+H231+H233+H235+H240</f>
        <v>1004.9</v>
      </c>
      <c r="R227" s="735">
        <f t="shared" si="22"/>
        <v>1238</v>
      </c>
    </row>
    <row r="228" spans="1:18" ht="15.75" customHeight="1" x14ac:dyDescent="0.25">
      <c r="A228" s="42"/>
      <c r="B228" s="33"/>
      <c r="C228" s="43"/>
      <c r="D228" s="979"/>
      <c r="E228" s="640"/>
      <c r="F228" s="268" t="s">
        <v>118</v>
      </c>
      <c r="G228" s="131">
        <v>700</v>
      </c>
      <c r="H228" s="264">
        <v>700</v>
      </c>
      <c r="I228" s="286">
        <v>700</v>
      </c>
      <c r="J228" s="652"/>
      <c r="K228" s="181"/>
      <c r="L228" s="185"/>
      <c r="M228" s="46"/>
      <c r="O228" s="736" t="s">
        <v>118</v>
      </c>
      <c r="P228" s="737">
        <f>+G238</f>
        <v>700</v>
      </c>
      <c r="Q228" s="737">
        <f t="shared" ref="Q228:R228" si="23">+H238</f>
        <v>700</v>
      </c>
      <c r="R228" s="737">
        <f t="shared" si="23"/>
        <v>700</v>
      </c>
    </row>
    <row r="229" spans="1:18" ht="15.75" customHeight="1" x14ac:dyDescent="0.25">
      <c r="A229" s="42"/>
      <c r="B229" s="33"/>
      <c r="C229" s="43"/>
      <c r="D229" s="979"/>
      <c r="E229" s="920"/>
      <c r="F229" s="925" t="s">
        <v>92</v>
      </c>
      <c r="G229" s="269">
        <v>35.299999999999997</v>
      </c>
      <c r="H229" s="125">
        <v>23.6</v>
      </c>
      <c r="I229" s="281"/>
      <c r="J229" s="915"/>
      <c r="K229" s="181"/>
      <c r="L229" s="185"/>
      <c r="M229" s="46"/>
      <c r="O229" s="736"/>
      <c r="P229" s="737"/>
      <c r="Q229" s="737"/>
      <c r="R229" s="737"/>
    </row>
    <row r="230" spans="1:18" ht="15" customHeight="1" x14ac:dyDescent="0.25">
      <c r="A230" s="42"/>
      <c r="B230" s="33"/>
      <c r="C230" s="43"/>
      <c r="D230" s="1043"/>
      <c r="E230" s="457"/>
      <c r="F230" s="79" t="s">
        <v>38</v>
      </c>
      <c r="G230" s="274">
        <f>1206+101.4</f>
        <v>1307.4000000000001</v>
      </c>
      <c r="H230" s="254"/>
      <c r="I230" s="275"/>
      <c r="J230" s="445"/>
      <c r="K230" s="180"/>
      <c r="L230" s="184"/>
      <c r="M230" s="51"/>
      <c r="O230" s="736" t="s">
        <v>38</v>
      </c>
      <c r="P230" s="737">
        <f>+G232+G239</f>
        <v>1206</v>
      </c>
      <c r="Q230" s="737">
        <f t="shared" ref="Q230:R230" si="24">+H232+H239</f>
        <v>0</v>
      </c>
      <c r="R230" s="737">
        <f t="shared" si="24"/>
        <v>0</v>
      </c>
    </row>
    <row r="231" spans="1:18" s="21" customFormat="1" ht="20.85" customHeight="1" x14ac:dyDescent="0.25">
      <c r="A231" s="1044"/>
      <c r="B231" s="1046"/>
      <c r="C231" s="1048"/>
      <c r="D231" s="1050" t="s">
        <v>82</v>
      </c>
      <c r="E231" s="115" t="s">
        <v>136</v>
      </c>
      <c r="F231" s="710" t="s">
        <v>224</v>
      </c>
      <c r="G231" s="711"/>
      <c r="H231" s="712">
        <v>300</v>
      </c>
      <c r="I231" s="715">
        <v>300</v>
      </c>
      <c r="J231" s="1052" t="s">
        <v>81</v>
      </c>
      <c r="K231" s="302">
        <v>285</v>
      </c>
      <c r="L231" s="310">
        <v>300</v>
      </c>
      <c r="M231" s="82">
        <v>300</v>
      </c>
      <c r="O231" s="738"/>
      <c r="P231" s="735">
        <f>SUM(P227:P230)</f>
        <v>1914</v>
      </c>
      <c r="Q231" s="735">
        <f t="shared" ref="Q231:R231" si="25">SUM(Q227:Q230)</f>
        <v>1704.9</v>
      </c>
      <c r="R231" s="735">
        <f t="shared" si="25"/>
        <v>1938</v>
      </c>
    </row>
    <row r="232" spans="1:18" s="21" customFormat="1" ht="19.350000000000001" customHeight="1" x14ac:dyDescent="0.25">
      <c r="A232" s="1045"/>
      <c r="B232" s="1047"/>
      <c r="C232" s="1049"/>
      <c r="D232" s="1051"/>
      <c r="E232" s="457" t="s">
        <v>107</v>
      </c>
      <c r="F232" s="716" t="s">
        <v>223</v>
      </c>
      <c r="G232" s="901">
        <f>786-190</f>
        <v>596</v>
      </c>
      <c r="H232" s="902"/>
      <c r="I232" s="903"/>
      <c r="J232" s="1053"/>
      <c r="K232" s="227"/>
      <c r="L232" s="230"/>
      <c r="M232" s="168"/>
      <c r="O232" s="738"/>
      <c r="P232" s="735">
        <f>+P231-G244</f>
        <v>-136.69999999999999</v>
      </c>
      <c r="Q232" s="735">
        <f t="shared" ref="Q232:R232" si="26">+Q231-H244</f>
        <v>-2023.6</v>
      </c>
      <c r="R232" s="735">
        <f t="shared" si="26"/>
        <v>0</v>
      </c>
    </row>
    <row r="233" spans="1:18" ht="17.25" customHeight="1" x14ac:dyDescent="0.25">
      <c r="A233" s="448"/>
      <c r="B233" s="453"/>
      <c r="C233" s="37"/>
      <c r="D233" s="990" t="s">
        <v>162</v>
      </c>
      <c r="E233" s="460" t="s">
        <v>136</v>
      </c>
      <c r="F233" s="713" t="s">
        <v>224</v>
      </c>
      <c r="G233" s="714">
        <v>8</v>
      </c>
      <c r="H233" s="712">
        <v>8</v>
      </c>
      <c r="I233" s="715">
        <v>8</v>
      </c>
      <c r="J233" s="1060" t="s">
        <v>102</v>
      </c>
      <c r="K233" s="228">
        <v>8</v>
      </c>
      <c r="L233" s="231">
        <v>8</v>
      </c>
      <c r="M233" s="70">
        <v>8</v>
      </c>
    </row>
    <row r="234" spans="1:18" ht="37.5" customHeight="1" x14ac:dyDescent="0.25">
      <c r="A234" s="14"/>
      <c r="B234" s="453"/>
      <c r="C234" s="38"/>
      <c r="D234" s="1001"/>
      <c r="E234" s="457" t="s">
        <v>107</v>
      </c>
      <c r="F234" s="716"/>
      <c r="G234" s="717"/>
      <c r="H234" s="718"/>
      <c r="I234" s="719"/>
      <c r="J234" s="1061"/>
      <c r="K234" s="227"/>
      <c r="L234" s="230"/>
      <c r="M234" s="168"/>
    </row>
    <row r="235" spans="1:18" ht="15" customHeight="1" x14ac:dyDescent="0.25">
      <c r="A235" s="448"/>
      <c r="B235" s="453"/>
      <c r="C235" s="37"/>
      <c r="D235" s="991" t="s">
        <v>66</v>
      </c>
      <c r="E235" s="461" t="s">
        <v>107</v>
      </c>
      <c r="F235" s="720" t="s">
        <v>224</v>
      </c>
      <c r="G235" s="721"/>
      <c r="H235" s="722">
        <v>25.9</v>
      </c>
      <c r="I235" s="723">
        <v>200</v>
      </c>
      <c r="J235" s="455" t="s">
        <v>55</v>
      </c>
      <c r="K235" s="179"/>
      <c r="L235" s="183">
        <v>1</v>
      </c>
      <c r="M235" s="241"/>
    </row>
    <row r="236" spans="1:18" ht="15" customHeight="1" x14ac:dyDescent="0.25">
      <c r="A236" s="14"/>
      <c r="B236" s="453"/>
      <c r="C236" s="38"/>
      <c r="D236" s="991"/>
      <c r="E236" s="461" t="s">
        <v>33</v>
      </c>
      <c r="F236" s="724"/>
      <c r="G236" s="714"/>
      <c r="H236" s="725"/>
      <c r="I236" s="726"/>
      <c r="J236" s="459" t="s">
        <v>150</v>
      </c>
      <c r="K236" s="218"/>
      <c r="L236" s="223"/>
      <c r="M236" s="46">
        <v>15</v>
      </c>
    </row>
    <row r="237" spans="1:18" ht="15.6" customHeight="1" x14ac:dyDescent="0.25">
      <c r="A237" s="14"/>
      <c r="B237" s="453"/>
      <c r="C237" s="38"/>
      <c r="D237" s="991"/>
      <c r="E237" s="681" t="s">
        <v>136</v>
      </c>
      <c r="F237" s="727"/>
      <c r="G237" s="728"/>
      <c r="H237" s="729"/>
      <c r="I237" s="730"/>
      <c r="J237" s="108"/>
      <c r="K237" s="541"/>
      <c r="L237" s="540"/>
      <c r="M237" s="545"/>
    </row>
    <row r="238" spans="1:18" ht="67.5" customHeight="1" x14ac:dyDescent="0.25">
      <c r="A238" s="448"/>
      <c r="B238" s="453"/>
      <c r="C238" s="37"/>
      <c r="D238" s="650" t="s">
        <v>119</v>
      </c>
      <c r="E238" s="460" t="s">
        <v>136</v>
      </c>
      <c r="F238" s="713" t="s">
        <v>233</v>
      </c>
      <c r="G238" s="731">
        <v>700</v>
      </c>
      <c r="H238" s="732">
        <v>700</v>
      </c>
      <c r="I238" s="733">
        <v>700</v>
      </c>
      <c r="J238" s="641" t="s">
        <v>120</v>
      </c>
      <c r="K238" s="179">
        <v>100</v>
      </c>
      <c r="L238" s="225">
        <v>100</v>
      </c>
      <c r="M238" s="309">
        <v>100</v>
      </c>
    </row>
    <row r="239" spans="1:18" ht="15.6" customHeight="1" x14ac:dyDescent="0.25">
      <c r="A239" s="14"/>
      <c r="B239" s="453"/>
      <c r="C239" s="449"/>
      <c r="D239" s="972" t="s">
        <v>166</v>
      </c>
      <c r="E239" s="670" t="s">
        <v>136</v>
      </c>
      <c r="F239" s="713" t="s">
        <v>223</v>
      </c>
      <c r="G239" s="905">
        <v>610</v>
      </c>
      <c r="H239" s="906"/>
      <c r="I239" s="907"/>
      <c r="J239" s="999" t="s">
        <v>165</v>
      </c>
      <c r="K239" s="179">
        <v>570</v>
      </c>
      <c r="L239" s="185">
        <v>630</v>
      </c>
      <c r="M239" s="46">
        <v>700</v>
      </c>
    </row>
    <row r="240" spans="1:18" ht="15.6" customHeight="1" x14ac:dyDescent="0.25">
      <c r="A240" s="14"/>
      <c r="B240" s="453"/>
      <c r="C240" s="335"/>
      <c r="D240" s="974"/>
      <c r="E240" s="334"/>
      <c r="F240" s="904" t="s">
        <v>224</v>
      </c>
      <c r="G240" s="714"/>
      <c r="H240" s="902">
        <v>671</v>
      </c>
      <c r="I240" s="903">
        <v>730</v>
      </c>
      <c r="J240" s="981"/>
      <c r="K240" s="180"/>
      <c r="L240" s="184"/>
      <c r="M240" s="51"/>
    </row>
    <row r="241" spans="1:37" ht="24.6" customHeight="1" x14ac:dyDescent="0.25">
      <c r="A241" s="14"/>
      <c r="B241" s="853"/>
      <c r="C241" s="37"/>
      <c r="D241" s="972" t="s">
        <v>256</v>
      </c>
      <c r="E241" s="670" t="s">
        <v>140</v>
      </c>
      <c r="F241" s="858"/>
      <c r="G241" s="711"/>
      <c r="H241" s="725"/>
      <c r="I241" s="859"/>
      <c r="J241" s="861" t="s">
        <v>150</v>
      </c>
      <c r="K241" s="865"/>
      <c r="L241" s="866">
        <v>100</v>
      </c>
      <c r="M241" s="676"/>
    </row>
    <row r="242" spans="1:37" ht="24.6" customHeight="1" x14ac:dyDescent="0.25">
      <c r="A242" s="14"/>
      <c r="B242" s="853"/>
      <c r="C242" s="37"/>
      <c r="D242" s="974"/>
      <c r="E242" s="681"/>
      <c r="F242" s="904"/>
      <c r="G242" s="714"/>
      <c r="H242" s="725"/>
      <c r="I242" s="859"/>
      <c r="J242" s="860"/>
      <c r="K242" s="180"/>
      <c r="L242" s="867"/>
      <c r="M242" s="283"/>
    </row>
    <row r="243" spans="1:37" ht="48" customHeight="1" x14ac:dyDescent="0.25">
      <c r="A243" s="14"/>
      <c r="B243" s="918"/>
      <c r="C243" s="37"/>
      <c r="D243" s="474" t="s">
        <v>258</v>
      </c>
      <c r="E243" s="930" t="s">
        <v>140</v>
      </c>
      <c r="F243" s="858"/>
      <c r="G243" s="926"/>
      <c r="H243" s="927"/>
      <c r="I243" s="928"/>
      <c r="J243" s="931" t="s">
        <v>259</v>
      </c>
      <c r="K243" s="865"/>
      <c r="L243" s="929">
        <v>205</v>
      </c>
      <c r="M243" s="309"/>
    </row>
    <row r="244" spans="1:37" ht="15" customHeight="1" thickBot="1" x14ac:dyDescent="0.3">
      <c r="A244" s="49" t="s">
        <v>3</v>
      </c>
      <c r="B244" s="441" t="s">
        <v>24</v>
      </c>
      <c r="C244" s="1054" t="s">
        <v>6</v>
      </c>
      <c r="D244" s="1055"/>
      <c r="E244" s="1055"/>
      <c r="F244" s="1056"/>
      <c r="G244" s="143">
        <f>+G227+G228+G230+G229</f>
        <v>2050.6999999999998</v>
      </c>
      <c r="H244" s="709">
        <f>+H227+H228+H230+H229</f>
        <v>3728.5</v>
      </c>
      <c r="I244" s="708">
        <f t="shared" ref="I244" si="27">+I227+I228+I230</f>
        <v>1938</v>
      </c>
      <c r="J244" s="651"/>
      <c r="K244" s="343"/>
      <c r="L244" s="343"/>
      <c r="M244" s="357"/>
    </row>
    <row r="245" spans="1:37" ht="15" customHeight="1" thickBot="1" x14ac:dyDescent="0.3">
      <c r="A245" s="17" t="s">
        <v>3</v>
      </c>
      <c r="B245" s="1057" t="s">
        <v>7</v>
      </c>
      <c r="C245" s="1058"/>
      <c r="D245" s="1058"/>
      <c r="E245" s="1058"/>
      <c r="F245" s="1059"/>
      <c r="G245" s="413">
        <f>G244+G225+G179+G156</f>
        <v>22244.400000000001</v>
      </c>
      <c r="H245" s="144">
        <f>H244+H225+H179+H156</f>
        <v>30044.3</v>
      </c>
      <c r="I245" s="414">
        <f>I244+I225+I179+I156</f>
        <v>31697.9</v>
      </c>
      <c r="J245" s="648"/>
      <c r="K245" s="417"/>
      <c r="L245" s="358"/>
      <c r="M245" s="605"/>
      <c r="N245" s="323"/>
    </row>
    <row r="246" spans="1:37" ht="15" customHeight="1" thickBot="1" x14ac:dyDescent="0.3">
      <c r="A246" s="11" t="s">
        <v>25</v>
      </c>
      <c r="B246" s="1075" t="s">
        <v>36</v>
      </c>
      <c r="C246" s="1076"/>
      <c r="D246" s="1076"/>
      <c r="E246" s="1076"/>
      <c r="F246" s="1077"/>
      <c r="G246" s="416">
        <f t="shared" ref="G246:I246" si="28">SUM(G245)</f>
        <v>22244.400000000001</v>
      </c>
      <c r="H246" s="145">
        <f t="shared" si="28"/>
        <v>30044.3</v>
      </c>
      <c r="I246" s="415">
        <f t="shared" si="28"/>
        <v>31697.9</v>
      </c>
      <c r="J246" s="649"/>
      <c r="K246" s="359"/>
      <c r="L246" s="359"/>
      <c r="M246" s="360"/>
      <c r="N246" s="323"/>
    </row>
    <row r="247" spans="1:37" s="6" customFormat="1" ht="17.25" customHeight="1" x14ac:dyDescent="0.25">
      <c r="A247" s="1082" t="s">
        <v>245</v>
      </c>
      <c r="B247" s="1082"/>
      <c r="C247" s="1082"/>
      <c r="D247" s="1082"/>
      <c r="E247" s="1082"/>
      <c r="F247" s="1082"/>
      <c r="G247" s="1082"/>
      <c r="H247" s="1082"/>
      <c r="I247" s="1082"/>
      <c r="J247" s="1082"/>
      <c r="K247" s="2"/>
      <c r="L247" s="2"/>
      <c r="M247" s="2"/>
      <c r="N247" s="2"/>
      <c r="O247" s="770"/>
      <c r="P247" s="770"/>
      <c r="Q247" s="770"/>
      <c r="R247" s="770"/>
      <c r="S247" s="2"/>
      <c r="T247" s="2"/>
      <c r="U247" s="2"/>
      <c r="V247" s="2"/>
      <c r="W247" s="2"/>
      <c r="X247" s="2"/>
      <c r="Y247" s="2"/>
      <c r="Z247" s="2"/>
      <c r="AA247" s="2"/>
      <c r="AB247" s="2"/>
      <c r="AC247" s="2"/>
      <c r="AD247" s="2"/>
      <c r="AE247" s="2"/>
      <c r="AF247" s="2"/>
      <c r="AG247" s="2"/>
      <c r="AH247" s="2"/>
      <c r="AI247" s="2"/>
      <c r="AJ247" s="2"/>
      <c r="AK247" s="2"/>
    </row>
    <row r="248" spans="1:37" s="5" customFormat="1" ht="14.85" customHeight="1" x14ac:dyDescent="0.25">
      <c r="A248" s="462"/>
      <c r="B248" s="41"/>
      <c r="C248" s="41"/>
      <c r="D248" s="41"/>
      <c r="E248" s="41"/>
      <c r="F248" s="41"/>
      <c r="G248" s="68"/>
      <c r="H248" s="68"/>
      <c r="I248" s="68"/>
      <c r="J248" s="68"/>
      <c r="K248" s="2"/>
      <c r="L248" s="2"/>
      <c r="M248" s="2"/>
      <c r="N248" s="2"/>
      <c r="O248" s="770"/>
      <c r="P248" s="770"/>
      <c r="Q248" s="770"/>
      <c r="R248" s="770"/>
      <c r="S248" s="2"/>
      <c r="T248" s="2"/>
      <c r="U248" s="2"/>
      <c r="V248" s="2"/>
      <c r="W248" s="2"/>
      <c r="X248" s="2"/>
    </row>
    <row r="249" spans="1:37" s="6" customFormat="1" ht="16.350000000000001" customHeight="1" thickBot="1" x14ac:dyDescent="0.3">
      <c r="A249" s="1078" t="s">
        <v>11</v>
      </c>
      <c r="B249" s="1078"/>
      <c r="C249" s="1078"/>
      <c r="D249" s="1078"/>
      <c r="E249" s="1078"/>
      <c r="F249" s="1078"/>
      <c r="G249" s="71"/>
      <c r="H249" s="71"/>
      <c r="I249" s="71"/>
      <c r="J249" s="71"/>
      <c r="K249" s="2"/>
      <c r="L249" s="2"/>
      <c r="M249" s="2"/>
      <c r="N249" s="2"/>
      <c r="O249" s="770"/>
      <c r="P249" s="770"/>
      <c r="Q249" s="770"/>
      <c r="R249" s="770"/>
      <c r="S249" s="2"/>
      <c r="T249" s="2"/>
      <c r="U249" s="2"/>
      <c r="V249" s="2"/>
      <c r="W249" s="2"/>
      <c r="X249" s="2"/>
    </row>
    <row r="250" spans="1:37" ht="90.75" customHeight="1" thickBot="1" x14ac:dyDescent="0.3">
      <c r="A250" s="1079" t="s">
        <v>8</v>
      </c>
      <c r="B250" s="1080"/>
      <c r="C250" s="1080"/>
      <c r="D250" s="1080"/>
      <c r="E250" s="1080"/>
      <c r="F250" s="1081"/>
      <c r="G250" s="234" t="s">
        <v>237</v>
      </c>
      <c r="H250" s="235" t="s">
        <v>129</v>
      </c>
      <c r="I250" s="236" t="s">
        <v>168</v>
      </c>
      <c r="J250" s="1"/>
      <c r="K250" s="2"/>
      <c r="L250" s="2"/>
      <c r="M250" s="2"/>
    </row>
    <row r="251" spans="1:37" ht="14.25" customHeight="1" x14ac:dyDescent="0.25">
      <c r="A251" s="1062" t="s">
        <v>12</v>
      </c>
      <c r="B251" s="1063"/>
      <c r="C251" s="1063"/>
      <c r="D251" s="1063"/>
      <c r="E251" s="1063"/>
      <c r="F251" s="1064"/>
      <c r="G251" s="421">
        <f>G252+G265+G264+G263+G262+G261</f>
        <v>22239.5</v>
      </c>
      <c r="H251" s="438">
        <f t="shared" ref="H251:I251" si="29">H252+H265+H264+H263+H262+H261</f>
        <v>30014.3</v>
      </c>
      <c r="I251" s="422">
        <f t="shared" si="29"/>
        <v>31434.5</v>
      </c>
      <c r="J251" s="546"/>
      <c r="K251" s="2"/>
      <c r="L251" s="2"/>
      <c r="M251" s="2"/>
    </row>
    <row r="252" spans="1:37" ht="14.25" customHeight="1" x14ac:dyDescent="0.25">
      <c r="A252" s="1065" t="s">
        <v>51</v>
      </c>
      <c r="B252" s="1066"/>
      <c r="C252" s="1066"/>
      <c r="D252" s="1066"/>
      <c r="E252" s="1066"/>
      <c r="F252" s="1067"/>
      <c r="G252" s="419">
        <f t="shared" ref="G252:I252" si="30">SUM(G253:G260)</f>
        <v>14696.2</v>
      </c>
      <c r="H252" s="437">
        <f t="shared" si="30"/>
        <v>30014.3</v>
      </c>
      <c r="I252" s="420">
        <f t="shared" si="30"/>
        <v>31434.5</v>
      </c>
      <c r="J252" s="10"/>
      <c r="K252" s="2"/>
      <c r="L252" s="2"/>
      <c r="M252" s="2"/>
    </row>
    <row r="253" spans="1:37" ht="14.25" customHeight="1" x14ac:dyDescent="0.25">
      <c r="A253" s="1000" t="s">
        <v>16</v>
      </c>
      <c r="B253" s="998"/>
      <c r="C253" s="998"/>
      <c r="D253" s="998"/>
      <c r="E253" s="998"/>
      <c r="F253" s="1068"/>
      <c r="G253" s="423">
        <f>SUMIF(F16:F246,"SB",G16:G246)</f>
        <v>12476.2</v>
      </c>
      <c r="H253" s="349">
        <f>SUMIF(F16:F246,"SB",H16:H246)</f>
        <v>27432.400000000001</v>
      </c>
      <c r="I253" s="242">
        <f>SUMIF(F16:F246,"SB",I16:I246)</f>
        <v>25190.9</v>
      </c>
      <c r="J253" s="81"/>
      <c r="K253" s="2"/>
      <c r="L253" s="2"/>
      <c r="M253" s="2"/>
    </row>
    <row r="254" spans="1:37" ht="14.25" customHeight="1" x14ac:dyDescent="0.25">
      <c r="A254" s="1069" t="s">
        <v>199</v>
      </c>
      <c r="B254" s="1070"/>
      <c r="C254" s="1070"/>
      <c r="D254" s="1070"/>
      <c r="E254" s="1070"/>
      <c r="F254" s="1071"/>
      <c r="G254" s="424">
        <f>SUMIF(F16:F246,"SB(P)",G16:G246)</f>
        <v>0</v>
      </c>
      <c r="H254" s="436">
        <f>SUMIF(F16:F246,"SB(P)",H16:H246)</f>
        <v>0</v>
      </c>
      <c r="I254" s="425">
        <f>SUMIF(F16:F246,"SB(P)",I16:I246)</f>
        <v>2964.9</v>
      </c>
      <c r="J254" s="81"/>
      <c r="K254" s="2"/>
      <c r="L254" s="2"/>
      <c r="M254" s="2"/>
    </row>
    <row r="255" spans="1:37" ht="14.25" customHeight="1" x14ac:dyDescent="0.25">
      <c r="A255" s="1069" t="s">
        <v>43</v>
      </c>
      <c r="B255" s="1070"/>
      <c r="C255" s="1070"/>
      <c r="D255" s="1070"/>
      <c r="E255" s="1070"/>
      <c r="F255" s="1071"/>
      <c r="G255" s="424">
        <f>SUMIF(F16:F246,"SB(VR)",G16:G246)</f>
        <v>162.5</v>
      </c>
      <c r="H255" s="436">
        <f>SUMIF(F16:F246,"SB(VR)",H16:H246)</f>
        <v>1422.6</v>
      </c>
      <c r="I255" s="425">
        <f>SUMIF(F16:F246,"SB(VR)",I16:I246)</f>
        <v>2143</v>
      </c>
      <c r="J255" s="81"/>
      <c r="K255" s="2"/>
      <c r="L255" s="2"/>
      <c r="M255" s="2"/>
    </row>
    <row r="256" spans="1:37" ht="27.6" customHeight="1" x14ac:dyDescent="0.25">
      <c r="A256" s="1072" t="s">
        <v>17</v>
      </c>
      <c r="B256" s="1073"/>
      <c r="C256" s="1073"/>
      <c r="D256" s="1073"/>
      <c r="E256" s="1073"/>
      <c r="F256" s="1074"/>
      <c r="G256" s="424">
        <f>SUMIF(F16:F246,"SB(SP)",G16:G246)</f>
        <v>35.700000000000003</v>
      </c>
      <c r="H256" s="436">
        <f>SUMIF(F16:F246,"SB(SP)",H16:H246)</f>
        <v>35.700000000000003</v>
      </c>
      <c r="I256" s="425">
        <f>SUMIF(F16:F246,"SB(SP)",I16:I246)</f>
        <v>35.700000000000003</v>
      </c>
      <c r="J256" s="10"/>
      <c r="K256" s="2"/>
      <c r="L256" s="2"/>
      <c r="M256" s="2"/>
    </row>
    <row r="257" spans="1:13" ht="14.25" customHeight="1" x14ac:dyDescent="0.25">
      <c r="A257" s="1069" t="s">
        <v>121</v>
      </c>
      <c r="B257" s="1070"/>
      <c r="C257" s="1070"/>
      <c r="D257" s="1070"/>
      <c r="E257" s="1070"/>
      <c r="F257" s="1071"/>
      <c r="G257" s="423">
        <f>SUMIF(F16:F246,"SB(SPI)",G16:G246)</f>
        <v>700</v>
      </c>
      <c r="H257" s="349">
        <f>SUMIF(F16:F246,"SB(SPI)",H16:H246)</f>
        <v>700</v>
      </c>
      <c r="I257" s="242">
        <f>SUMIF(F16:F246,"SB(SPI)",I16:I246)</f>
        <v>700</v>
      </c>
      <c r="J257" s="10"/>
      <c r="K257" s="2"/>
      <c r="L257" s="2"/>
      <c r="M257" s="2"/>
    </row>
    <row r="258" spans="1:13" x14ac:dyDescent="0.25">
      <c r="A258" s="1072" t="s">
        <v>53</v>
      </c>
      <c r="B258" s="1073"/>
      <c r="C258" s="1073"/>
      <c r="D258" s="1073"/>
      <c r="E258" s="1073"/>
      <c r="F258" s="1074"/>
      <c r="G258" s="424">
        <f>SUMIF(F16:F246,"SB(VB)",G16:G246)</f>
        <v>104</v>
      </c>
      <c r="H258" s="435">
        <f>SUMIF(F16:F246,"SB(VB)",H16:H246)</f>
        <v>23.6</v>
      </c>
      <c r="I258" s="237">
        <f>SUMIF(F16:F246,"SB(VB)",I16:I246)</f>
        <v>0</v>
      </c>
      <c r="J258" s="10"/>
      <c r="K258" s="2"/>
      <c r="L258" s="2"/>
      <c r="M258" s="2"/>
    </row>
    <row r="259" spans="1:13" x14ac:dyDescent="0.25">
      <c r="A259" s="1069" t="s">
        <v>77</v>
      </c>
      <c r="B259" s="1070"/>
      <c r="C259" s="1070"/>
      <c r="D259" s="1070"/>
      <c r="E259" s="1070"/>
      <c r="F259" s="1071"/>
      <c r="G259" s="426">
        <f>SUMIF(F16:F246,"SB(KPP)",G16:G246)</f>
        <v>716.8</v>
      </c>
      <c r="H259" s="433">
        <f>SUMIF(F16:F246,"SB(KPP)",H16:H246)</f>
        <v>400</v>
      </c>
      <c r="I259" s="425">
        <f>SUMIF(F16:F246,"SB(KPP)",I16:I246)</f>
        <v>400</v>
      </c>
      <c r="J259" s="72"/>
      <c r="K259" s="2"/>
      <c r="L259" s="2"/>
      <c r="M259" s="2"/>
    </row>
    <row r="260" spans="1:13" ht="26.4" customHeight="1" x14ac:dyDescent="0.25">
      <c r="A260" s="1095" t="s">
        <v>116</v>
      </c>
      <c r="B260" s="1096"/>
      <c r="C260" s="1096"/>
      <c r="D260" s="1096"/>
      <c r="E260" s="1096"/>
      <c r="F260" s="1097"/>
      <c r="G260" s="426">
        <f>SUMIF(F16:F246,"SB(ES)",G16:G246)</f>
        <v>501</v>
      </c>
      <c r="H260" s="435">
        <f>SUMIF(F16:F246,"SB(ES)",H16:H246)</f>
        <v>0</v>
      </c>
      <c r="I260" s="237">
        <f>SUMIF(F16:F246,"SB(ES)",I16:I246)</f>
        <v>0</v>
      </c>
      <c r="J260" s="10"/>
      <c r="K260" s="2"/>
      <c r="L260" s="2"/>
      <c r="M260" s="2"/>
    </row>
    <row r="261" spans="1:13" ht="26.4" customHeight="1" x14ac:dyDescent="0.25">
      <c r="A261" s="1086" t="s">
        <v>248</v>
      </c>
      <c r="B261" s="1087"/>
      <c r="C261" s="1087"/>
      <c r="D261" s="1087"/>
      <c r="E261" s="1087"/>
      <c r="F261" s="1088"/>
      <c r="G261" s="427">
        <f>SUMIF(F16:F246,"SB(VBL)",G16:G246)</f>
        <v>7.1</v>
      </c>
      <c r="H261" s="397">
        <f>SUMIF(F16:F246,"SB(VBL)",H16:H246)</f>
        <v>0</v>
      </c>
      <c r="I261" s="238">
        <f>SUMIF(F16:F246,"SB(VBL)",I16:I246)</f>
        <v>0</v>
      </c>
      <c r="J261" s="10"/>
      <c r="K261" s="2"/>
      <c r="L261" s="2"/>
      <c r="M261" s="2"/>
    </row>
    <row r="262" spans="1:13" ht="15.75" customHeight="1" x14ac:dyDescent="0.25">
      <c r="A262" s="1086" t="s">
        <v>249</v>
      </c>
      <c r="B262" s="1087"/>
      <c r="C262" s="1087"/>
      <c r="D262" s="1087"/>
      <c r="E262" s="1087"/>
      <c r="F262" s="1088"/>
      <c r="G262" s="427">
        <f>SUMIF(F16:F246,"SB(ESL)",G16:G246)</f>
        <v>80.599999999999994</v>
      </c>
      <c r="H262" s="397">
        <f>SUMIF(F16:F246,"SB(ESL)",H16:H246)</f>
        <v>0</v>
      </c>
      <c r="I262" s="238">
        <f>SUMIF(F16:F246,"SB(ESL)",I16:I246)</f>
        <v>0</v>
      </c>
      <c r="J262" s="10"/>
      <c r="K262" s="2"/>
      <c r="L262" s="2"/>
      <c r="M262" s="2"/>
    </row>
    <row r="263" spans="1:13" ht="15" customHeight="1" x14ac:dyDescent="0.25">
      <c r="A263" s="1086" t="s">
        <v>52</v>
      </c>
      <c r="B263" s="1087"/>
      <c r="C263" s="1087"/>
      <c r="D263" s="1087"/>
      <c r="E263" s="1087"/>
      <c r="F263" s="1088"/>
      <c r="G263" s="427">
        <f>SUMIF(F16:F246,"SB(SPL)",G16:G246)</f>
        <v>22.2</v>
      </c>
      <c r="H263" s="397">
        <f>SUMIF(F16:F246,"SB(SPL)",H16:H246)</f>
        <v>0</v>
      </c>
      <c r="I263" s="238">
        <f>SUMIF(F16:F246,"SB(SPL)",I16:I246)</f>
        <v>0</v>
      </c>
      <c r="J263" s="10"/>
      <c r="K263" s="2"/>
      <c r="L263" s="2"/>
      <c r="M263" s="2"/>
    </row>
    <row r="264" spans="1:13" ht="14.25" customHeight="1" x14ac:dyDescent="0.25">
      <c r="A264" s="1086" t="s">
        <v>250</v>
      </c>
      <c r="B264" s="1087"/>
      <c r="C264" s="1087"/>
      <c r="D264" s="1087"/>
      <c r="E264" s="1087"/>
      <c r="F264" s="1088"/>
      <c r="G264" s="427">
        <f>SUMIF(F16:F246,"SB(VRL)",G16:G246)</f>
        <v>168</v>
      </c>
      <c r="H264" s="397">
        <f>SUMIF(F16:F246,"SB(VRL)",H16:H246)</f>
        <v>0</v>
      </c>
      <c r="I264" s="238">
        <f>SUMIF(F16:F246,"SB(VRL)",I16:I246)</f>
        <v>0</v>
      </c>
      <c r="J264" s="10"/>
      <c r="K264" s="2"/>
      <c r="L264" s="2"/>
      <c r="M264" s="2"/>
    </row>
    <row r="265" spans="1:13" ht="14.25" customHeight="1" x14ac:dyDescent="0.25">
      <c r="A265" s="1086" t="s">
        <v>39</v>
      </c>
      <c r="B265" s="1087"/>
      <c r="C265" s="1087"/>
      <c r="D265" s="1087"/>
      <c r="E265" s="1087"/>
      <c r="F265" s="1088"/>
      <c r="G265" s="427">
        <f>SUMIF(F16:F246,"SB(L)",G16:G246)</f>
        <v>7265.4</v>
      </c>
      <c r="H265" s="397">
        <f>SUMIF(F16:F246,"SB(L)",H16:H246)</f>
        <v>0</v>
      </c>
      <c r="I265" s="238">
        <f>SUMIF(F16:F246,"SB(L)",I16:I246)</f>
        <v>0</v>
      </c>
      <c r="J265" s="10"/>
      <c r="K265" s="2"/>
      <c r="L265" s="2"/>
      <c r="M265" s="2"/>
    </row>
    <row r="266" spans="1:13" x14ac:dyDescent="0.25">
      <c r="A266" s="1089" t="s">
        <v>13</v>
      </c>
      <c r="B266" s="1090"/>
      <c r="C266" s="1090"/>
      <c r="D266" s="1090"/>
      <c r="E266" s="1090"/>
      <c r="F266" s="1091"/>
      <c r="G266" s="428">
        <f>SUM(G267:G268)</f>
        <v>4.9000000000000004</v>
      </c>
      <c r="H266" s="434">
        <f>SUM(H267:H268)</f>
        <v>30</v>
      </c>
      <c r="I266" s="429">
        <f>SUM(I267:I268)</f>
        <v>263.39999999999998</v>
      </c>
      <c r="J266" s="10"/>
      <c r="K266" s="2"/>
      <c r="L266" s="2"/>
      <c r="M266" s="2"/>
    </row>
    <row r="267" spans="1:13" ht="15.75" customHeight="1" x14ac:dyDescent="0.25">
      <c r="A267" s="1092" t="s">
        <v>198</v>
      </c>
      <c r="B267" s="1093"/>
      <c r="C267" s="1093"/>
      <c r="D267" s="1093"/>
      <c r="E267" s="1093"/>
      <c r="F267" s="1094"/>
      <c r="G267" s="426">
        <f>SUMIF(F16:F246,"ES",G16:G246)</f>
        <v>0</v>
      </c>
      <c r="H267" s="433">
        <f>SUMIF(F16:F246,"ES",H16:H246)</f>
        <v>0</v>
      </c>
      <c r="I267" s="425">
        <f>SUMIF(F16:F246,"ES",I16:I246)</f>
        <v>233.4</v>
      </c>
      <c r="J267" s="10"/>
      <c r="K267" s="2"/>
      <c r="L267" s="2"/>
      <c r="M267" s="2"/>
    </row>
    <row r="268" spans="1:13" ht="15.75" customHeight="1" x14ac:dyDescent="0.25">
      <c r="A268" s="1072" t="s">
        <v>18</v>
      </c>
      <c r="B268" s="1073"/>
      <c r="C268" s="1073"/>
      <c r="D268" s="1073"/>
      <c r="E268" s="1073"/>
      <c r="F268" s="1074"/>
      <c r="G268" s="426">
        <f>SUMIF(F16:F246,"Kt",G16:G246)</f>
        <v>4.9000000000000004</v>
      </c>
      <c r="H268" s="433">
        <f>SUMIF(F16:F246,"Kt",H16:H246)</f>
        <v>30</v>
      </c>
      <c r="I268" s="425">
        <f>SUMIF(F16:F246,"Kt",I16:I246)</f>
        <v>30</v>
      </c>
      <c r="J268" s="10"/>
      <c r="K268" s="2"/>
      <c r="L268" s="2"/>
      <c r="M268" s="2"/>
    </row>
    <row r="269" spans="1:13" ht="15" customHeight="1" thickBot="1" x14ac:dyDescent="0.3">
      <c r="A269" s="1083" t="s">
        <v>14</v>
      </c>
      <c r="B269" s="1084"/>
      <c r="C269" s="1084"/>
      <c r="D269" s="1084"/>
      <c r="E269" s="1084"/>
      <c r="F269" s="1085"/>
      <c r="G269" s="430">
        <f>SUM(G251,G266)</f>
        <v>22244.400000000001</v>
      </c>
      <c r="H269" s="432">
        <f>SUM(H251,H266)</f>
        <v>30044.3</v>
      </c>
      <c r="I269" s="431">
        <f>SUM(I251,I266)</f>
        <v>31697.9</v>
      </c>
      <c r="J269" s="73"/>
      <c r="K269" s="2"/>
      <c r="L269" s="2"/>
      <c r="M269" s="2"/>
    </row>
    <row r="270" spans="1:13" x14ac:dyDescent="0.25">
      <c r="F270" s="111"/>
      <c r="G270" s="683"/>
      <c r="H270" s="683"/>
      <c r="I270" s="682"/>
      <c r="J270" s="1"/>
      <c r="K270" s="2"/>
      <c r="L270" s="2"/>
      <c r="M270" s="2"/>
    </row>
    <row r="271" spans="1:13" x14ac:dyDescent="0.25">
      <c r="G271" s="498"/>
      <c r="H271" s="74"/>
      <c r="I271" s="684"/>
      <c r="J271" s="547"/>
      <c r="K271" s="2"/>
      <c r="L271" s="2"/>
      <c r="M271" s="2"/>
    </row>
    <row r="272" spans="1:13" x14ac:dyDescent="0.25">
      <c r="G272" s="10"/>
      <c r="H272" s="10"/>
      <c r="I272" s="10"/>
      <c r="J272" s="527"/>
      <c r="K272" s="506"/>
      <c r="L272" s="506"/>
      <c r="M272" s="2"/>
    </row>
    <row r="273" spans="1:44" x14ac:dyDescent="0.25">
      <c r="G273" s="9"/>
      <c r="H273" s="9"/>
      <c r="I273" s="9"/>
      <c r="J273" s="527"/>
      <c r="K273" s="2"/>
      <c r="L273" s="2"/>
      <c r="M273" s="2"/>
    </row>
    <row r="274" spans="1:44" s="10" customFormat="1" x14ac:dyDescent="0.25">
      <c r="A274" s="3"/>
      <c r="B274" s="3"/>
      <c r="C274" s="3"/>
      <c r="D274" s="3"/>
      <c r="E274" s="8"/>
      <c r="G274" s="9"/>
      <c r="H274" s="9"/>
      <c r="I274" s="9"/>
      <c r="K274" s="505"/>
      <c r="L274" s="505"/>
      <c r="M274" s="2"/>
      <c r="N274" s="2"/>
      <c r="O274" s="770"/>
      <c r="P274" s="770"/>
      <c r="Q274" s="770"/>
      <c r="R274" s="770"/>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row>
    <row r="275" spans="1:44" s="10" customFormat="1" x14ac:dyDescent="0.25">
      <c r="A275" s="3"/>
      <c r="B275" s="3"/>
      <c r="C275" s="3"/>
      <c r="D275" s="3"/>
      <c r="E275" s="8"/>
      <c r="G275" s="9"/>
      <c r="H275" s="9"/>
      <c r="I275" s="9"/>
      <c r="K275" s="2"/>
      <c r="L275" s="2"/>
      <c r="M275" s="2"/>
      <c r="N275" s="2"/>
      <c r="O275" s="770"/>
      <c r="P275" s="770"/>
      <c r="Q275" s="770"/>
      <c r="R275" s="770"/>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row>
    <row r="276" spans="1:44" s="10" customFormat="1" x14ac:dyDescent="0.25">
      <c r="A276" s="3"/>
      <c r="B276" s="3"/>
      <c r="C276" s="3"/>
      <c r="D276" s="3"/>
      <c r="E276" s="8"/>
      <c r="G276" s="9"/>
      <c r="H276" s="9"/>
      <c r="I276" s="9"/>
      <c r="J276" s="527"/>
      <c r="K276" s="505"/>
      <c r="L276" s="2"/>
      <c r="M276" s="2"/>
      <c r="N276" s="2"/>
      <c r="O276" s="770"/>
      <c r="P276" s="770"/>
      <c r="Q276" s="770"/>
      <c r="R276" s="770"/>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row>
    <row r="277" spans="1:44" x14ac:dyDescent="0.25">
      <c r="G277" s="512"/>
      <c r="H277" s="512"/>
      <c r="I277" s="512"/>
      <c r="J277" s="10"/>
      <c r="K277" s="2"/>
      <c r="L277" s="2"/>
      <c r="M277" s="2"/>
    </row>
    <row r="278" spans="1:44" x14ac:dyDescent="0.25">
      <c r="G278" s="10"/>
      <c r="H278" s="10"/>
      <c r="I278" s="10"/>
      <c r="J278" s="10"/>
      <c r="K278" s="2"/>
      <c r="L278" s="2"/>
      <c r="M278" s="2"/>
    </row>
    <row r="279" spans="1:44" x14ac:dyDescent="0.25">
      <c r="G279" s="10"/>
      <c r="H279" s="10"/>
      <c r="I279" s="10"/>
      <c r="J279" s="10"/>
      <c r="K279" s="2"/>
      <c r="L279" s="2"/>
      <c r="M279" s="2"/>
    </row>
    <row r="280" spans="1:44" x14ac:dyDescent="0.25">
      <c r="G280" s="10"/>
      <c r="H280" s="10"/>
      <c r="I280" s="10"/>
      <c r="J280" s="10"/>
      <c r="K280" s="2"/>
      <c r="L280" s="2"/>
      <c r="M280" s="2"/>
    </row>
    <row r="281" spans="1:44" x14ac:dyDescent="0.25">
      <c r="G281" s="10"/>
      <c r="H281" s="10"/>
      <c r="I281" s="10"/>
      <c r="J281" s="10"/>
      <c r="K281" s="2"/>
      <c r="L281" s="2"/>
      <c r="M281" s="2"/>
    </row>
    <row r="282" spans="1:44" x14ac:dyDescent="0.25">
      <c r="G282" s="10"/>
      <c r="H282" s="10"/>
      <c r="I282" s="10"/>
      <c r="J282" s="10"/>
      <c r="K282" s="2"/>
      <c r="L282" s="2"/>
      <c r="M282" s="2"/>
    </row>
    <row r="283" spans="1:44" x14ac:dyDescent="0.25">
      <c r="G283" s="10"/>
      <c r="H283" s="10"/>
      <c r="I283" s="10"/>
      <c r="J283" s="10"/>
      <c r="K283" s="2"/>
      <c r="L283" s="2"/>
      <c r="M283" s="2"/>
    </row>
    <row r="284" spans="1:44" x14ac:dyDescent="0.25">
      <c r="G284" s="10"/>
      <c r="H284" s="10"/>
      <c r="I284" s="10"/>
      <c r="J284" s="10"/>
      <c r="K284" s="2"/>
      <c r="L284" s="2"/>
      <c r="M284" s="2"/>
    </row>
    <row r="285" spans="1:44" x14ac:dyDescent="0.25">
      <c r="G285" s="10"/>
      <c r="H285" s="10"/>
      <c r="I285" s="10"/>
      <c r="J285" s="10"/>
      <c r="K285" s="2"/>
      <c r="L285" s="2"/>
      <c r="M285" s="2"/>
    </row>
    <row r="286" spans="1:44" x14ac:dyDescent="0.25">
      <c r="G286" s="10"/>
      <c r="H286" s="10"/>
      <c r="I286" s="10"/>
      <c r="J286" s="10"/>
      <c r="K286" s="2"/>
      <c r="L286" s="2"/>
      <c r="M286" s="2"/>
    </row>
    <row r="287" spans="1:44" x14ac:dyDescent="0.25">
      <c r="G287" s="10"/>
      <c r="H287" s="10"/>
      <c r="I287" s="10"/>
      <c r="J287" s="10"/>
      <c r="K287" s="2"/>
      <c r="L287" s="2"/>
      <c r="M287" s="2"/>
    </row>
    <row r="288" spans="1:44" x14ac:dyDescent="0.25">
      <c r="G288" s="2"/>
      <c r="H288" s="2"/>
      <c r="I288" s="2"/>
    </row>
    <row r="289" spans="7:9" x14ac:dyDescent="0.25">
      <c r="G289" s="439"/>
      <c r="H289" s="439"/>
      <c r="I289" s="439"/>
    </row>
    <row r="290" spans="7:9" x14ac:dyDescent="0.25">
      <c r="G290" s="9"/>
      <c r="H290" s="9"/>
      <c r="I290" s="9"/>
    </row>
    <row r="291" spans="7:9" x14ac:dyDescent="0.25">
      <c r="G291" s="9"/>
      <c r="H291" s="9"/>
      <c r="I291" s="9"/>
    </row>
    <row r="292" spans="7:9" x14ac:dyDescent="0.25">
      <c r="G292" s="9"/>
      <c r="H292" s="9"/>
      <c r="I292" s="9"/>
    </row>
    <row r="294" spans="7:9" x14ac:dyDescent="0.25">
      <c r="G294" s="9"/>
      <c r="H294" s="9"/>
      <c r="I294" s="9"/>
    </row>
  </sheetData>
  <mergeCells count="172">
    <mergeCell ref="K52:K53"/>
    <mergeCell ref="L52:L53"/>
    <mergeCell ref="M52:M53"/>
    <mergeCell ref="A247:J247"/>
    <mergeCell ref="J231:J232"/>
    <mergeCell ref="B231:B232"/>
    <mergeCell ref="C231:C232"/>
    <mergeCell ref="A253:F253"/>
    <mergeCell ref="A249:F249"/>
    <mergeCell ref="A250:F250"/>
    <mergeCell ref="A251:F251"/>
    <mergeCell ref="C211:C212"/>
    <mergeCell ref="D211:D212"/>
    <mergeCell ref="E211:E212"/>
    <mergeCell ref="D231:D232"/>
    <mergeCell ref="A231:A232"/>
    <mergeCell ref="C225:F225"/>
    <mergeCell ref="D207:D210"/>
    <mergeCell ref="J199:J200"/>
    <mergeCell ref="D213:D217"/>
    <mergeCell ref="J213:J214"/>
    <mergeCell ref="A211:A212"/>
    <mergeCell ref="D205:D206"/>
    <mergeCell ref="J195:J196"/>
    <mergeCell ref="C226:G226"/>
    <mergeCell ref="B211:B212"/>
    <mergeCell ref="D218:D220"/>
    <mergeCell ref="J220:J221"/>
    <mergeCell ref="A269:F269"/>
    <mergeCell ref="B245:F245"/>
    <mergeCell ref="B246:F246"/>
    <mergeCell ref="D233:D234"/>
    <mergeCell ref="J233:J234"/>
    <mergeCell ref="D235:D237"/>
    <mergeCell ref="A267:F267"/>
    <mergeCell ref="J239:J240"/>
    <mergeCell ref="D239:D240"/>
    <mergeCell ref="A266:F266"/>
    <mergeCell ref="A258:F258"/>
    <mergeCell ref="A259:F259"/>
    <mergeCell ref="C244:F244"/>
    <mergeCell ref="A268:F268"/>
    <mergeCell ref="A260:F260"/>
    <mergeCell ref="A265:F265"/>
    <mergeCell ref="A256:F256"/>
    <mergeCell ref="A257:F257"/>
    <mergeCell ref="A254:F254"/>
    <mergeCell ref="D241:D242"/>
    <mergeCell ref="A252:F252"/>
    <mergeCell ref="A118:A120"/>
    <mergeCell ref="B118:B120"/>
    <mergeCell ref="C118:C120"/>
    <mergeCell ref="D118:D120"/>
    <mergeCell ref="D164:D167"/>
    <mergeCell ref="J164:J165"/>
    <mergeCell ref="J166:J167"/>
    <mergeCell ref="C156:F156"/>
    <mergeCell ref="C157:J157"/>
    <mergeCell ref="D161:D163"/>
    <mergeCell ref="D131:D132"/>
    <mergeCell ref="D133:D134"/>
    <mergeCell ref="D135:D137"/>
    <mergeCell ref="A144:A145"/>
    <mergeCell ref="B144:B145"/>
    <mergeCell ref="C144:C145"/>
    <mergeCell ref="D144:D145"/>
    <mergeCell ref="A146:A147"/>
    <mergeCell ref="B146:B147"/>
    <mergeCell ref="C146:C147"/>
    <mergeCell ref="D146:D147"/>
    <mergeCell ref="J197:J198"/>
    <mergeCell ref="D227:D230"/>
    <mergeCell ref="K144:K145"/>
    <mergeCell ref="L144:L145"/>
    <mergeCell ref="J138:J142"/>
    <mergeCell ref="D175:D177"/>
    <mergeCell ref="D192:D193"/>
    <mergeCell ref="D181:D190"/>
    <mergeCell ref="D152:D153"/>
    <mergeCell ref="D86:D87"/>
    <mergeCell ref="D114:D116"/>
    <mergeCell ref="D110:D111"/>
    <mergeCell ref="D112:D113"/>
    <mergeCell ref="D105:D107"/>
    <mergeCell ref="D108:D109"/>
    <mergeCell ref="J118:J119"/>
    <mergeCell ref="D158:D160"/>
    <mergeCell ref="A52:A54"/>
    <mergeCell ref="B52:B54"/>
    <mergeCell ref="C52:C54"/>
    <mergeCell ref="D52:D54"/>
    <mergeCell ref="J27:J28"/>
    <mergeCell ref="J29:J30"/>
    <mergeCell ref="B14:J14"/>
    <mergeCell ref="C15:J15"/>
    <mergeCell ref="D16:D26"/>
    <mergeCell ref="J16:J26"/>
    <mergeCell ref="D27:D31"/>
    <mergeCell ref="D32:D36"/>
    <mergeCell ref="J41:J44"/>
    <mergeCell ref="D45:D46"/>
    <mergeCell ref="D49:D51"/>
    <mergeCell ref="D37:D40"/>
    <mergeCell ref="J34:J36"/>
    <mergeCell ref="J52:J53"/>
    <mergeCell ref="M144:M145"/>
    <mergeCell ref="K179:L179"/>
    <mergeCell ref="K176:K177"/>
    <mergeCell ref="D129:D130"/>
    <mergeCell ref="J168:J169"/>
    <mergeCell ref="C179:F179"/>
    <mergeCell ref="J144:J145"/>
    <mergeCell ref="D148:D151"/>
    <mergeCell ref="A12:J12"/>
    <mergeCell ref="D64:D66"/>
    <mergeCell ref="A60:A63"/>
    <mergeCell ref="A55:A57"/>
    <mergeCell ref="B60:B63"/>
    <mergeCell ref="C60:C63"/>
    <mergeCell ref="D60:D63"/>
    <mergeCell ref="B55:B57"/>
    <mergeCell ref="C55:C57"/>
    <mergeCell ref="D55:D57"/>
    <mergeCell ref="D88:D89"/>
    <mergeCell ref="D101:D104"/>
    <mergeCell ref="A81:A85"/>
    <mergeCell ref="B81:B85"/>
    <mergeCell ref="C81:C85"/>
    <mergeCell ref="A13:J13"/>
    <mergeCell ref="J1:M1"/>
    <mergeCell ref="A4:M4"/>
    <mergeCell ref="A5:M5"/>
    <mergeCell ref="A6:M6"/>
    <mergeCell ref="J9:M9"/>
    <mergeCell ref="K10:M10"/>
    <mergeCell ref="G9:G11"/>
    <mergeCell ref="H9:H11"/>
    <mergeCell ref="I9:I11"/>
    <mergeCell ref="J8:M8"/>
    <mergeCell ref="A7:J7"/>
    <mergeCell ref="A9:A11"/>
    <mergeCell ref="C9:C11"/>
    <mergeCell ref="D9:D11"/>
    <mergeCell ref="E9:E11"/>
    <mergeCell ref="F9:F11"/>
    <mergeCell ref="J10:J11"/>
    <mergeCell ref="J2:M2"/>
    <mergeCell ref="B9:B11"/>
    <mergeCell ref="A261:F261"/>
    <mergeCell ref="A262:F262"/>
    <mergeCell ref="A263:F263"/>
    <mergeCell ref="A264:F264"/>
    <mergeCell ref="J88:J89"/>
    <mergeCell ref="D90:D95"/>
    <mergeCell ref="J95:J96"/>
    <mergeCell ref="D77:D80"/>
    <mergeCell ref="D58:D59"/>
    <mergeCell ref="D138:D142"/>
    <mergeCell ref="J193:J194"/>
    <mergeCell ref="J133:J134"/>
    <mergeCell ref="C180:J180"/>
    <mergeCell ref="E144:E145"/>
    <mergeCell ref="A72:A76"/>
    <mergeCell ref="B72:B76"/>
    <mergeCell ref="C72:C76"/>
    <mergeCell ref="D72:D76"/>
    <mergeCell ref="A114:A116"/>
    <mergeCell ref="B114:B116"/>
    <mergeCell ref="C114:C116"/>
    <mergeCell ref="A105:A107"/>
    <mergeCell ref="B105:B107"/>
    <mergeCell ref="A255:F255"/>
  </mergeCells>
  <printOptions horizontalCentered="1"/>
  <pageMargins left="0.78740157480314965" right="0.39370078740157483" top="0.39370078740157483" bottom="0.39370078740157483" header="0" footer="0"/>
  <pageSetup paperSize="9" scale="63" fitToHeight="0" orientation="portrait" r:id="rId1"/>
  <rowBreaks count="4" manualBreakCount="4">
    <brk id="63" max="12" man="1"/>
    <brk id="113" max="12" man="1"/>
    <brk id="163" max="12" man="1"/>
    <brk id="217" max="12" man="1"/>
  </rowBreaks>
  <ignoredErrors>
    <ignoredError sqref="K66:M6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7 programa </vt:lpstr>
      <vt:lpstr>'7 programa '!Print_Area</vt:lpstr>
      <vt:lpstr>'7 programa '!Print_Titles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2023-10-26T05:54:29Z</cp:lastPrinted>
  <dcterms:created xsi:type="dcterms:W3CDTF">2007-07-27T10:32:34Z</dcterms:created>
  <dcterms:modified xsi:type="dcterms:W3CDTF">2023-10-26T05:54:35Z</dcterms:modified>
</cp:coreProperties>
</file>