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KEITIMAI\2023-2025 SVP keitimas\2023-2025 SVP keitimas (spalis)\Sprendimas\"/>
    </mc:Choice>
  </mc:AlternateContent>
  <xr:revisionPtr revIDLastSave="0" documentId="13_ncr:1_{1F90D351-9419-4971-9BE0-81CDD8EEBED0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IP sarasas" sheetId="11" r:id="rId1"/>
  </sheets>
  <definedNames>
    <definedName name="_xlnm.Print_Area" localSheetId="0">'IP sarasas'!$A$1:$K$140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3" i="11" l="1"/>
  <c r="G112" i="11"/>
  <c r="H22" i="11"/>
  <c r="G20" i="11"/>
  <c r="G18" i="11"/>
  <c r="G22" i="11" s="1"/>
  <c r="H112" i="11"/>
  <c r="F21" i="11"/>
  <c r="G90" i="11" l="1"/>
  <c r="I90" i="11"/>
  <c r="H90" i="11"/>
  <c r="G132" i="11" l="1"/>
  <c r="H130" i="11"/>
  <c r="G130" i="11"/>
  <c r="H111" i="11"/>
  <c r="G111" i="11"/>
  <c r="G96" i="11"/>
  <c r="G19" i="11"/>
  <c r="H17" i="11"/>
  <c r="G17" i="11"/>
  <c r="G86" i="11"/>
  <c r="G82" i="11"/>
  <c r="K77" i="11"/>
  <c r="F76" i="11"/>
  <c r="G75" i="11"/>
  <c r="G72" i="11"/>
  <c r="G64" i="11"/>
  <c r="G59" i="11"/>
  <c r="G58" i="11"/>
  <c r="J57" i="11"/>
  <c r="G57" i="11"/>
  <c r="J53" i="11"/>
  <c r="G53" i="11"/>
  <c r="H47" i="11"/>
  <c r="G47" i="11"/>
  <c r="G46" i="11"/>
  <c r="G27" i="11"/>
  <c r="F27" i="11" s="1"/>
  <c r="G85" i="11"/>
  <c r="H131" i="11" l="1"/>
  <c r="G117" i="11"/>
  <c r="G119" i="11"/>
  <c r="I106" i="11"/>
  <c r="H106" i="11"/>
  <c r="G106" i="11"/>
  <c r="G40" i="11"/>
  <c r="K93" i="11"/>
  <c r="J93" i="11"/>
  <c r="I93" i="11"/>
  <c r="H93" i="11"/>
  <c r="F92" i="11"/>
  <c r="G87" i="11"/>
  <c r="I66" i="11"/>
  <c r="I65" i="11"/>
  <c r="G65" i="11"/>
  <c r="G56" i="11"/>
  <c r="H54" i="11"/>
  <c r="H46" i="11"/>
  <c r="H77" i="11" s="1"/>
  <c r="J45" i="11"/>
  <c r="I45" i="11"/>
  <c r="G45" i="11"/>
  <c r="G41" i="11"/>
  <c r="I77" i="11" l="1"/>
  <c r="G109" i="11"/>
  <c r="G107" i="11" l="1"/>
  <c r="F89" i="11" l="1"/>
  <c r="F88" i="11"/>
  <c r="G137" i="11"/>
  <c r="I127" i="11"/>
  <c r="G127" i="11"/>
  <c r="G101" i="11"/>
  <c r="K22" i="11"/>
  <c r="F20" i="11"/>
  <c r="F17" i="11"/>
  <c r="F18" i="11"/>
  <c r="K101" i="11"/>
  <c r="I120" i="11"/>
  <c r="F136" i="11"/>
  <c r="F108" i="11"/>
  <c r="F103" i="11"/>
  <c r="F104" i="11" s="1"/>
  <c r="F135" i="11"/>
  <c r="F126" i="11"/>
  <c r="F119" i="11"/>
  <c r="F118" i="11"/>
  <c r="K104" i="11"/>
  <c r="J104" i="11"/>
  <c r="I104" i="11"/>
  <c r="H104" i="11"/>
  <c r="G104" i="11"/>
  <c r="F96" i="11"/>
  <c r="F97" i="11"/>
  <c r="F100" i="11"/>
  <c r="F74" i="11"/>
  <c r="F73" i="11"/>
  <c r="F72" i="11"/>
  <c r="F71" i="11"/>
  <c r="F70" i="11"/>
  <c r="F69" i="11"/>
  <c r="F63" i="11"/>
  <c r="F58" i="11"/>
  <c r="F52" i="11"/>
  <c r="F51" i="11"/>
  <c r="G68" i="11"/>
  <c r="F68" i="11" s="1"/>
  <c r="F66" i="11"/>
  <c r="F65" i="11"/>
  <c r="J49" i="11"/>
  <c r="J77" i="11" s="1"/>
  <c r="H43" i="11"/>
  <c r="K43" i="11"/>
  <c r="J43" i="11"/>
  <c r="I43" i="11"/>
  <c r="F42" i="11"/>
  <c r="F39" i="11"/>
  <c r="F38" i="11"/>
  <c r="F37" i="11"/>
  <c r="F36" i="11"/>
  <c r="F35" i="11"/>
  <c r="F34" i="11"/>
  <c r="F33" i="11"/>
  <c r="F32" i="11"/>
  <c r="F31" i="11"/>
  <c r="K9" i="11"/>
  <c r="J9" i="11"/>
  <c r="I9" i="11"/>
  <c r="H9" i="11"/>
  <c r="G9" i="11"/>
  <c r="F8" i="11"/>
  <c r="F9" i="11" s="1"/>
  <c r="F109" i="11"/>
  <c r="G91" i="11"/>
  <c r="F91" i="11" s="1"/>
  <c r="F86" i="11"/>
  <c r="G84" i="11"/>
  <c r="G54" i="11"/>
  <c r="G43" i="11"/>
  <c r="H11" i="11"/>
  <c r="H15" i="11" s="1"/>
  <c r="G11" i="11"/>
  <c r="G15" i="11" s="1"/>
  <c r="H113" i="11"/>
  <c r="H120" i="11" s="1"/>
  <c r="H137" i="11"/>
  <c r="G120" i="11"/>
  <c r="I22" i="11"/>
  <c r="G80" i="11"/>
  <c r="F80" i="11" s="1"/>
  <c r="G55" i="11"/>
  <c r="F55" i="11" s="1"/>
  <c r="F41" i="11"/>
  <c r="H95" i="11"/>
  <c r="H101" i="11" s="1"/>
  <c r="A138" i="11"/>
  <c r="K137" i="11"/>
  <c r="J137" i="11"/>
  <c r="I137" i="11"/>
  <c r="F134" i="11"/>
  <c r="F133" i="11"/>
  <c r="F132" i="11"/>
  <c r="F131" i="11"/>
  <c r="F130" i="11"/>
  <c r="F129" i="11"/>
  <c r="K127" i="11"/>
  <c r="J127" i="11"/>
  <c r="H127" i="11"/>
  <c r="F125" i="11"/>
  <c r="F124" i="11"/>
  <c r="F123" i="11"/>
  <c r="F122" i="11"/>
  <c r="K120" i="11"/>
  <c r="J120" i="11"/>
  <c r="F117" i="11"/>
  <c r="F116" i="11"/>
  <c r="F115" i="11"/>
  <c r="F114" i="11"/>
  <c r="F112" i="11"/>
  <c r="F110" i="11"/>
  <c r="F107" i="11"/>
  <c r="F106" i="11"/>
  <c r="J101" i="11"/>
  <c r="I101" i="11"/>
  <c r="F99" i="11"/>
  <c r="F98" i="11"/>
  <c r="F90" i="11"/>
  <c r="F87" i="11"/>
  <c r="F85" i="11"/>
  <c r="F84" i="11"/>
  <c r="F83" i="11"/>
  <c r="F82" i="11"/>
  <c r="F81" i="11"/>
  <c r="F79" i="11"/>
  <c r="F75" i="11"/>
  <c r="F67" i="11"/>
  <c r="F64" i="11"/>
  <c r="F62" i="11"/>
  <c r="F61" i="11"/>
  <c r="F60" i="11"/>
  <c r="F59" i="11"/>
  <c r="F57" i="11"/>
  <c r="F56" i="11"/>
  <c r="F53" i="11"/>
  <c r="F50" i="11"/>
  <c r="F49" i="11"/>
  <c r="F47" i="11"/>
  <c r="F45" i="11"/>
  <c r="F40" i="11"/>
  <c r="F30" i="11"/>
  <c r="F29" i="11"/>
  <c r="F28" i="11"/>
  <c r="F26" i="11"/>
  <c r="F25" i="11"/>
  <c r="F24" i="11"/>
  <c r="J22" i="11"/>
  <c r="F19" i="11"/>
  <c r="K15" i="11"/>
  <c r="K138" i="11" s="1"/>
  <c r="J15" i="11"/>
  <c r="I15" i="11"/>
  <c r="F14" i="11"/>
  <c r="F13" i="11"/>
  <c r="F12" i="11"/>
  <c r="F95" i="11"/>
  <c r="I138" i="11"/>
  <c r="F48" i="11"/>
  <c r="F111" i="11"/>
  <c r="F46" i="11"/>
  <c r="J138" i="11"/>
  <c r="F11" i="11"/>
  <c r="F15" i="11" s="1"/>
  <c r="F22" i="11" l="1"/>
  <c r="F93" i="11"/>
  <c r="F127" i="11"/>
  <c r="F54" i="11"/>
  <c r="G77" i="11"/>
  <c r="F77" i="11"/>
  <c r="F101" i="11"/>
  <c r="F113" i="11"/>
  <c r="F120" i="11" s="1"/>
  <c r="F138" i="11" s="1"/>
  <c r="F137" i="11"/>
  <c r="G93" i="11"/>
  <c r="H138" i="11"/>
  <c r="G138" i="11"/>
  <c r="F43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Inga Mikalauskienė</author>
    <author>Snieguole Kacerauskaite</author>
    <author>Audra Cepiene</author>
    <author>Saulina Paulauskiene</author>
    <author>Rima Ališauskė</author>
  </authors>
  <commentList>
    <comment ref="B12" authorId="0" shapeId="0" xr:uid="{00000000-0006-0000-0100-000001000000}">
      <text>
        <r>
          <rPr>
            <sz val="9"/>
            <color indexed="81"/>
            <rFont val="Tahoma"/>
            <family val="2"/>
            <charset val="186"/>
          </rPr>
          <t>Įtrauktas į sąrašą projektų, kurie finansuojami iš 2021-2027 m. laikotarpio  ES lėšų, skirtų Klaipėdos regionui</t>
        </r>
      </text>
    </comment>
    <comment ref="B13" authorId="1" shapeId="0" xr:uid="{00000000-0006-0000-0100-000002000000}">
      <text>
        <r>
          <rPr>
            <sz val="9"/>
            <color indexed="81"/>
            <rFont val="Tahoma"/>
            <family val="2"/>
            <charset val="186"/>
          </rPr>
          <t xml:space="preserve">Bus rengiamas projektas ir atliekami rangos darbai (rekonstrukcija)
</t>
        </r>
      </text>
    </comment>
    <comment ref="B25" authorId="2" shapeId="0" xr:uid="{00000000-0006-0000-0100-000003000000}">
      <text>
        <r>
          <rPr>
            <sz val="9"/>
            <color indexed="81"/>
            <rFont val="Tahoma"/>
            <family val="2"/>
            <charset val="186"/>
          </rPr>
          <t>Techninis projektas parengtas 2019 m., Parengimo kaina neįtraukta į projekto vertę</t>
        </r>
      </text>
    </comment>
    <comment ref="B36" authorId="0" shapeId="0" xr:uid="{00000000-0006-0000-0100-000004000000}">
      <text>
        <r>
          <rPr>
            <sz val="9"/>
            <color indexed="81"/>
            <rFont val="Tahoma"/>
            <family val="2"/>
            <charset val="186"/>
          </rPr>
          <t xml:space="preserve">Įtrauktas į sąrašą projektų, kurie finansuojami iš 2021-2027 m. laikotarpio  ES lėšų, skirtų Klaipėdos regionui
</t>
        </r>
      </text>
    </comment>
    <comment ref="B37" authorId="0" shapeId="0" xr:uid="{00000000-0006-0000-0100-000005000000}">
      <text>
        <r>
          <rPr>
            <sz val="9"/>
            <color indexed="81"/>
            <rFont val="Tahoma"/>
            <family val="2"/>
            <charset val="186"/>
          </rPr>
          <t xml:space="preserve">Įtrauktas į sąrašą projektų, kurie finansuojami iš 2021-2027 m. laikotarpio  ES lėšų, skirtų Klaipėdos regionui
</t>
        </r>
      </text>
    </comment>
    <comment ref="B38" authorId="0" shapeId="0" xr:uid="{00000000-0006-0000-0100-000006000000}">
      <text>
        <r>
          <rPr>
            <sz val="9"/>
            <color indexed="81"/>
            <rFont val="Tahoma"/>
            <family val="2"/>
            <charset val="186"/>
          </rPr>
          <t>Įtrauktas į sąrašą projektų, kurie finansuojami iš 2021-2027 m. laikotarpio  ES lėšų, skirtų Klaipėdos regionui</t>
        </r>
      </text>
    </comment>
    <comment ref="B39" authorId="0" shapeId="0" xr:uid="{00000000-0006-0000-0100-000007000000}">
      <text>
        <r>
          <rPr>
            <sz val="9"/>
            <color indexed="81"/>
            <rFont val="Tahoma"/>
            <family val="2"/>
            <charset val="186"/>
          </rPr>
          <t>Įtrauktas į sąrašą projektų, kurie finansuojami iš 2021-2027 m. laikotarpio  ES lėšų, skirtų Klaipėdos regionui</t>
        </r>
      </text>
    </comment>
    <comment ref="B42" authorId="0" shapeId="0" xr:uid="{00000000-0006-0000-0100-000008000000}">
      <text>
        <r>
          <rPr>
            <sz val="9"/>
            <color indexed="81"/>
            <rFont val="Tahoma"/>
            <family val="2"/>
            <charset val="186"/>
          </rPr>
          <t>Architektūriniam konkursui</t>
        </r>
      </text>
    </comment>
    <comment ref="B74" authorId="0" shapeId="0" xr:uid="{00000000-0006-0000-0100-00000A000000}">
      <text>
        <r>
          <rPr>
            <sz val="9"/>
            <color indexed="81"/>
            <rFont val="Tahoma"/>
            <family val="2"/>
            <charset val="186"/>
          </rPr>
          <t>Įtrauktas į sąrašą projektų, kurie finansuojami iš 2021-2027 m. laikotarpio  ES lėšų, skirtų Klaipėdos regionui</t>
        </r>
      </text>
    </comment>
    <comment ref="B75" authorId="0" shapeId="0" xr:uid="{DC7CD182-26D3-4B4E-ABA4-42DF0AD96482}">
      <text>
        <r>
          <rPr>
            <sz val="9"/>
            <color indexed="81"/>
            <rFont val="Tahoma"/>
            <family val="2"/>
            <charset val="186"/>
          </rPr>
          <t>Įtrauktas į sąrašą projektų, kurie finansuojami iš 2021-2027 m. laikotarpio  ES lėšų, skirtų Klaipėdos regionui</t>
        </r>
      </text>
    </comment>
    <comment ref="B86" authorId="2" shapeId="0" xr:uid="{00000000-0006-0000-0100-00000C000000}">
      <text>
        <r>
          <rPr>
            <sz val="9"/>
            <color indexed="81"/>
            <rFont val="Tahoma"/>
            <family val="2"/>
            <charset val="186"/>
          </rPr>
          <t xml:space="preserve">Techninis projektas parengtas 2019 m., Parengimo kaina neįtraukta prie projekto vertės
</t>
        </r>
      </text>
    </comment>
    <comment ref="G87" authorId="3" shapeId="0" xr:uid="{00000000-0006-0000-0100-00000D000000}">
      <text>
        <r>
          <rPr>
            <sz val="9"/>
            <color indexed="81"/>
            <rFont val="Tahoma"/>
            <family val="2"/>
            <charset val="186"/>
          </rPr>
          <t>Projektas 14,5 tūkst. Eur parengtas 2020 m.</t>
        </r>
      </text>
    </comment>
    <comment ref="B88" authorId="4" shapeId="0" xr:uid="{00000000-0006-0000-0100-00000E000000}">
      <text>
        <r>
          <rPr>
            <sz val="9"/>
            <color indexed="81"/>
            <rFont val="Tahoma"/>
            <family val="2"/>
            <charset val="186"/>
          </rPr>
          <t>Architektūriniam konkursui</t>
        </r>
      </text>
    </comment>
    <comment ref="B89" authorId="0" shapeId="0" xr:uid="{00000000-0006-0000-0100-00000F000000}">
      <text>
        <r>
          <rPr>
            <sz val="9"/>
            <color indexed="81"/>
            <rFont val="Tahoma"/>
            <family val="2"/>
            <charset val="186"/>
          </rPr>
          <t>Įtrauktas į sąrašą projektų, kurie finansuojami iš 2021-2027 m. laikotarpio  ES lėšų, skirtų Klaipėdos regionui</t>
        </r>
      </text>
    </comment>
  </commentList>
</comments>
</file>

<file path=xl/sharedStrings.xml><?xml version="1.0" encoding="utf-8"?>
<sst xmlns="http://schemas.openxmlformats.org/spreadsheetml/2006/main" count="409" uniqueCount="204">
  <si>
    <t>INVESTICIJŲ  PROJEKTŲ SĄRAŠAS</t>
  </si>
  <si>
    <t>tūkst. Eur</t>
  </si>
  <si>
    <t>Eil. Nr.</t>
  </si>
  <si>
    <t>Investicijų projekto pavadinimas</t>
  </si>
  <si>
    <t>Atsakingas asmuo</t>
  </si>
  <si>
    <t>Įgyvendinimo terminai</t>
  </si>
  <si>
    <t>Bendra projekto vertė</t>
  </si>
  <si>
    <t>Savivaldybės biudžeto lėšų poreikis</t>
  </si>
  <si>
    <t>Europos Sąjungos ir kita tarptautinė finansinė parama</t>
  </si>
  <si>
    <t>Lietuvos Respublikos valstybės biudžeto lėšų poreikis</t>
  </si>
  <si>
    <t>Kelių priežiūros ir plėtros programos lėšos</t>
  </si>
  <si>
    <t>Kitos lėšos</t>
  </si>
  <si>
    <t>pradžia</t>
  </si>
  <si>
    <t>pabaiga</t>
  </si>
  <si>
    <t>Iš viso:</t>
  </si>
  <si>
    <t>SB</t>
  </si>
  <si>
    <t>ES</t>
  </si>
  <si>
    <t xml:space="preserve">VB </t>
  </si>
  <si>
    <t>KPPP</t>
  </si>
  <si>
    <t>Kt</t>
  </si>
  <si>
    <t>01 programa. Miesto urbanistinio planavimo programa</t>
  </si>
  <si>
    <t>1</t>
  </si>
  <si>
    <t>R. Zulcas</t>
  </si>
  <si>
    <t>2022</t>
  </si>
  <si>
    <t>projektas</t>
  </si>
  <si>
    <t>02 programa. Ekonominės plėtros programa</t>
  </si>
  <si>
    <t>J. Jasilionienė</t>
  </si>
  <si>
    <t>2018</t>
  </si>
  <si>
    <t>Klaipėdos pilies ir bastionų komplekso restauravimas ir atgaivinimas (II etapas – pilies didžiojo bokšto atkūrimas)</t>
  </si>
  <si>
    <t>D. Stankevičienė</t>
  </si>
  <si>
    <t>2019</t>
  </si>
  <si>
    <t>2026</t>
  </si>
  <si>
    <t>Klaipėdos pilies ir bastionų komplekso restauravimas ir atgaivinimas III etapas – vakarinės kurtinos atkūrimas ir įveiklinimas</t>
  </si>
  <si>
    <t>2023</t>
  </si>
  <si>
    <t>Istorinių krantinių sutvarkymas</t>
  </si>
  <si>
    <t>Ekologinio kempingo įrengimas Smiltynėje</t>
  </si>
  <si>
    <t>2025</t>
  </si>
  <si>
    <t>projektai</t>
  </si>
  <si>
    <t>04 programa. Sveikatos apsaugos programa</t>
  </si>
  <si>
    <t>D. Šakinienė</t>
  </si>
  <si>
    <t>2</t>
  </si>
  <si>
    <t>3</t>
  </si>
  <si>
    <t xml:space="preserve">VšĮ Jūrininkų sveikatos priežiūros centro infrastruktūros plėtra (naujo pastato statyba) </t>
  </si>
  <si>
    <t>I. Gustaitienė</t>
  </si>
  <si>
    <t>2024</t>
  </si>
  <si>
    <t>2020</t>
  </si>
  <si>
    <t>R. Perminienė</t>
  </si>
  <si>
    <t>2021</t>
  </si>
  <si>
    <t>05 programa. Aplinkos apsaugos programa</t>
  </si>
  <si>
    <t>Komunalinių atliekų tvarkymo infrastruktūros plėtra Klaipėdos miesto, Skuodo ir Kretingos rajonų bei Neringos savivaldybėse</t>
  </si>
  <si>
    <t>Sakurų parko įrengimas teritorijoje tarp Žvejų rūmų, Taikos pr., Naikupės g. ir įvažiuojamojo kelio į Žvejų rūmus</t>
  </si>
  <si>
    <t>M. Enciūtė</t>
  </si>
  <si>
    <t>Melnragės parko rytinės dalies įrengimas (techninio projekto korektūra)</t>
  </si>
  <si>
    <t>V. Varnaitė</t>
  </si>
  <si>
    <t>2016</t>
  </si>
  <si>
    <t>Malūno parko teritorijos sutvarkymas, gerinant gamtinę aplinką ir skatinant lankytojų srautus (I ir II etapai)</t>
  </si>
  <si>
    <t>I. Kubilienė</t>
  </si>
  <si>
    <t xml:space="preserve">Dviračių ir pėsčiųjų tako Danės upės slėnio teritorijoje nuo Klaipėdos g. tilto iki miesto ribos įrengimas </t>
  </si>
  <si>
    <t>G. Dovidaitis</t>
  </si>
  <si>
    <t>L. Karalienė
I. Rakauskienė</t>
  </si>
  <si>
    <t>Dviračių ir pėsčiųjų tako įrengimas nuo Sausio 15-osios g. ir Tilžės g. sankryžos iki Taikos pr. ir Sausio 15-osios sankryžos (techninis projektas)</t>
  </si>
  <si>
    <t>L. Karalienė</t>
  </si>
  <si>
    <t>Dviračių ir pėsčiųjų tako įrengimas Giruliuose (Stoties g., Turistų g., Šlaito g.) (techninis projektas)</t>
  </si>
  <si>
    <t>J. Liubinskienė</t>
  </si>
  <si>
    <t>Dviračių ir pėsčiųjų takų remontas Prano Lideikio g. nuo Liepojos g. iki Molo g.</t>
  </si>
  <si>
    <t>Dviračių ir pėsčiųjų takų remontas H. Manto g. ties Dariaus ir Girėno g. viaduku</t>
  </si>
  <si>
    <t>Triukšmo mažinimo priemonių geležinkeliuose įrengimas Klaipėdos miesto savivaldybėje. II etapas (projektą įgyvendina AB „Lietuvos geležinkeliai“)</t>
  </si>
  <si>
    <t>E. Čerbienė</t>
  </si>
  <si>
    <t>Lietaus nuotekų tinklų įrengimas Turistų gatvėje</t>
  </si>
  <si>
    <t>I. Anoškinė</t>
  </si>
  <si>
    <t>projektų</t>
  </si>
  <si>
    <t>06 programa. Susisiekimo sistemos priežiūros ir plėtros programa</t>
  </si>
  <si>
    <t xml:space="preserve">Baltijos pr. ir Šilutės pl. žiedinės sankryžos rekonstravimas             </t>
  </si>
  <si>
    <t>V. Švedas
V. Tkačik</t>
  </si>
  <si>
    <t>Darnaus judumo priemonių diegimas Klaipėdos mieste (sujungti „Senamiesčio g. rekonstravimas“ ir „Keleivinio transporto stotelių su įvažomis Klaipėdos miesto gatvėse projektavimas ir įrengimas“)</t>
  </si>
  <si>
    <t>I. Dulkytė</t>
  </si>
  <si>
    <t>Teatro ir Sukilėlių g. rekonstravimas</t>
  </si>
  <si>
    <t>Pajūrio g. rekonstravimas</t>
  </si>
  <si>
    <t>V. Švedas</t>
  </si>
  <si>
    <t>2013</t>
  </si>
  <si>
    <t xml:space="preserve">Tauralaukio gyvenvietės gatvių rekonstravimas </t>
  </si>
  <si>
    <t>E. Gudavičius</t>
  </si>
  <si>
    <t>2015</t>
  </si>
  <si>
    <t>Danės g. rekonstravimas</t>
  </si>
  <si>
    <t>2027</t>
  </si>
  <si>
    <t xml:space="preserve">Klemiškės g. rekonstravimas                       </t>
  </si>
  <si>
    <t>Žvejybos produktų iškrovimo vietos prie jūros Klaipėdos miesto teritorijoje įrengimas</t>
  </si>
  <si>
    <t xml:space="preserve">E. Čerbienė 
</t>
  </si>
  <si>
    <t>Žvejybos produktų iškrovimo vietos prie Pilies tilto Klaipėdoje įrengimas</t>
  </si>
  <si>
    <t>BĮ Klaipėdos paplūdimiai</t>
  </si>
  <si>
    <t>K. Šakarnis</t>
  </si>
  <si>
    <t xml:space="preserve">Transporto (eismo) valdymo sistemos diegimas </t>
  </si>
  <si>
    <t>V. Paliakas
E. Jurkevičienė
I. Rakauskienė</t>
  </si>
  <si>
    <t>2017</t>
  </si>
  <si>
    <t>Dubliuojančios gatvės nuo Šiltnamių g. iki Klaipėdos g. su pėsčiųjų ir dviračių taku ir įvažomis į Liepojos g. įrengimas</t>
  </si>
  <si>
    <t>Mokyklos g. ir Laukų g. žiedinės sankryžos įrengimas</t>
  </si>
  <si>
    <t>Aukštosios g. rekonstrukcija</t>
  </si>
  <si>
    <t>V. Tkačik</t>
  </si>
  <si>
    <t>Jaunystės g. ir privažiuojamojo kelio sankryžos, Rūko g. kapitalinis remontas</t>
  </si>
  <si>
    <t xml:space="preserve">Pastato Pilies g. 2A nugriovimas ir automobilių stovėjimo aikštelės įrengimas </t>
  </si>
  <si>
    <t>R. Stasiulis</t>
  </si>
  <si>
    <t>A. Orentienė</t>
  </si>
  <si>
    <t>Smiltynės g. ir krantinės rekonstravimas nuo Jūrų muziejaus iki Senosios Smiltynės perkėlos</t>
  </si>
  <si>
    <t>Klaipėdos miesto viešojo transporto priemonių parko atnaujinimas (naujų autobusų įsigijimas)</t>
  </si>
  <si>
    <t>V. Paliakas</t>
  </si>
  <si>
    <t>07 programa. Miesto infrastruktūros objektų priežiūros ir modernizavimo programa</t>
  </si>
  <si>
    <t xml:space="preserve">Atgimimo aikštės sutvarkymas, didinant patrauklumą investicijoms, skatinant lankytojų srautus </t>
  </si>
  <si>
    <t>M. Lygnugarienė
K. Macijauskas</t>
  </si>
  <si>
    <t>Danės upės krantinių rekonstrukcija ir prieigų (Danės skveras su fontanais) sutvarkymas</t>
  </si>
  <si>
    <t>M. Lygnugarienė
G. Dovidaitis</t>
  </si>
  <si>
    <t>Turgaus aikštės su prieigomis sutvarkymas, pritaikant verslo, bendruomenės poreikiams (I , II ir III etapai)</t>
  </si>
  <si>
    <t xml:space="preserve">Laivų nuleidimo prieplaukos ir saugojimo aikštelės sklype šalia Liepų g. tilto įrengimas </t>
  </si>
  <si>
    <t>47,4 ha Medelyno gyvenamojo rajono infrastruktūros išvystymas. I etapas</t>
  </si>
  <si>
    <t xml:space="preserve">Muzikinio teatro pastato Danės g. 19 aplinkos tvarkybos darbai už sklypo ribos </t>
  </si>
  <si>
    <t xml:space="preserve">Vingio mikrorajono aikštės atnaujinimas </t>
  </si>
  <si>
    <t xml:space="preserve">Skulptūrų parko sutvarkymas </t>
  </si>
  <si>
    <t>N. Vedeikienė
V. Švedas</t>
  </si>
  <si>
    <t xml:space="preserve">Skvero ties prekybos centru „Maxima“  (Šilutės pl. 40A) ir pėsčiųjų ir dviračių tako nuo Šilutės pl. iki Taikos pr. atnaujinimas </t>
  </si>
  <si>
    <t>Kompleksinis tikslinės teritorijos daugiabučių namų kiemų tvarkymas</t>
  </si>
  <si>
    <t>M. Lygnugarienė</t>
  </si>
  <si>
    <t xml:space="preserve">08 programa. Kultūros plėtros programa </t>
  </si>
  <si>
    <t>Projekto „Klaipėdos miesto savivaldybės viešosios bibliotekos „Kauno atžalyno“ filialas – naujos galimybės mažiems ir dideliems“ įgyvendinimas</t>
  </si>
  <si>
    <t xml:space="preserve">D. Šakinienė          V. Tkačik </t>
  </si>
  <si>
    <t>Bendruomenės centro-bibliotekos (Molo g. 60) pastato kapitalinis remontas</t>
  </si>
  <si>
    <t xml:space="preserve">Modernaus bendruomenės centro-bibliotekos statyba pietinėje miesto dalyje  </t>
  </si>
  <si>
    <t>Lifto įrengimas Klaipėdos miesto Mažosios Lietuvos istorijos muziejuje</t>
  </si>
  <si>
    <t>Vasaros koncertų estrados modernizavimas</t>
  </si>
  <si>
    <t>R. Zulcas               V. Varnaitė</t>
  </si>
  <si>
    <t>10 programa. Ugdymo proceso užtikrinimo programa</t>
  </si>
  <si>
    <t xml:space="preserve">Modernių ugdymosi erdvių sukūrimas Klaipėdos miesto progimnazijose ir gimnazijose („Smeltės“, Liudviko Stulpino, Sendvario, Gedminų, „Verdenės“ progimnazijose ir  „Vėtrungės“, „Varpo“ gimnazijose) </t>
  </si>
  <si>
    <t>Bendrojo ugdymo mokyklos pastato statyba šiaurinėje miesto dalyje</t>
  </si>
  <si>
    <t>D. Gerasimovienė</t>
  </si>
  <si>
    <t xml:space="preserve">Klaipėdos „Saulėtekio“ progimnazijos pastato inžinerinių sistemų, vidaus patalpų ir pastato išorės remontas </t>
  </si>
  <si>
    <t>„Gilijos“ pradinės mokyklos (Taikos pr. 68) pastato energinio efektyvumo didinimas</t>
  </si>
  <si>
    <t xml:space="preserve">Klaipėdos „Ąžuolyno“ gimnazijos modernizavimas </t>
  </si>
  <si>
    <t>Klaipėdos Tauralaukio progimnazijos pastato (Klaipėdos g. 31) rekonstravimas į ikimokyklinio ir priešmokyklinio ugdymo įstaigą</t>
  </si>
  <si>
    <t>Ikimokyklinio ir priešmokyklinio prieinamumo didinimas Klaipėdos mieste (lopšelio-darželio „Svirpliukas“ modernizavimas)</t>
  </si>
  <si>
    <t>Klaipėdos lopšelio-darželio „Žiogelis“ pastato Kauno g. 27 modernizavimas</t>
  </si>
  <si>
    <t>Projektų skyrius, Statybos ir infrastruktūros plėtros skyrius</t>
  </si>
  <si>
    <t>Klaipėdos „Pajūrio“ progimnazijos fasado apšiltinimo darbai</t>
  </si>
  <si>
    <t>Projektų skyrius</t>
  </si>
  <si>
    <t>Klaipėdos Hermano Zudermano gimmnazijos pastato rekonstrukcija</t>
  </si>
  <si>
    <t>V. Švedas           D. Šakinienė</t>
  </si>
  <si>
    <t>11 programa. Kūno kultūros ir sporto plėtros programa</t>
  </si>
  <si>
    <t>Naujos sporto salės statyba (Kretingos g. / Šviesos g.)</t>
  </si>
  <si>
    <t>Klaipėdos sunkiosios atletikos centro statyba</t>
  </si>
  <si>
    <t xml:space="preserve">BĮ Klaipėdos lengvosios atletikos mokyklos pastato (maniežo) renovacija </t>
  </si>
  <si>
    <t>Dengto futbolo maniežo statyba</t>
  </si>
  <si>
    <t>12 programa. Socialinės atskirties mažinimo programa</t>
  </si>
  <si>
    <t xml:space="preserve">Senyvo amžiaus asmenų globos paslaugų plėtra rekonstruojant pastatą, esantį Melnragės gyvenamajame rajone, Vaivos g. 23 </t>
  </si>
  <si>
    <t>L. Katinienė</t>
  </si>
  <si>
    <t>L. Katinienė      V. Švedas</t>
  </si>
  <si>
    <t xml:space="preserve">Klaipėdos vaikų globos namų „Smiltelė“ patalpų ir infrastruktūros pritaikymas vaikų dienos centro veiklai </t>
  </si>
  <si>
    <t>Projekto „Bendruomeninių vaikų globos namų steigimas Klaipėdos mieste“ įgyvendinimas</t>
  </si>
  <si>
    <t>Socialinių būstų pirkimas</t>
  </si>
  <si>
    <t>E. Simokaitis</t>
  </si>
  <si>
    <t>__________________________________</t>
  </si>
  <si>
    <t xml:space="preserve">Klaipėdos miesto savivaldybės 2023–2025 metų 
strateginio veiklos plano
1 priedas
</t>
  </si>
  <si>
    <t>Smiltynės gelbėjimo stoties rekonstrukcija ir prieigų sutvarkymas</t>
  </si>
  <si>
    <t>Antrojo pasaulinio karo Sovietų Sąjungos karių palaidojimo vietos, esančios S. Daukanto gatvėje, pertvarkymas</t>
  </si>
  <si>
    <r>
      <t xml:space="preserve"> Miško parko įrengimas Smiltynėje  </t>
    </r>
    <r>
      <rPr>
        <strike/>
        <sz val="10"/>
        <rFont val="Times New Roman"/>
        <family val="1"/>
        <charset val="186"/>
      </rPr>
      <t xml:space="preserve"> </t>
    </r>
  </si>
  <si>
    <t>Atliekų tvarkymo sistemos plėtra Klaipėdos miesto savivaldybės teritorijoje</t>
  </si>
  <si>
    <t>Taršos matavimo, mažinimo ir prevencijos priemonių diegimas</t>
  </si>
  <si>
    <t>Žaliosios miesto erdvės urbanizuotoje teritorijoje palei Šilutės pl. nuo Smiltelės g. iki Jūrininkų pr. sutvarkymas, įrengiant parką</t>
  </si>
  <si>
    <t>Dviračių ir pėsčiųjų tako įrengimas Smiltelės g. nuo Šilutės pl. iki Minijos g.</t>
  </si>
  <si>
    <t>Dviračių ir pėsčiųjų tilto per Danės upę, jungiančio naująją mokyklą šiaurinėje miesto dalyje su Tauralaukio kvartalu, statyba</t>
  </si>
  <si>
    <t>Mėgėjų sodų teritorijoje savivaldybių institucijų valdomų kelių remontas</t>
  </si>
  <si>
    <t>Privažiuojamojo kelio prie pastato Debreceno g. 48  įrengimas ir pastato aplinkos sutvarkymas</t>
  </si>
  <si>
    <t>Klaipėdos miesto žvyruotų gatvių remontas</t>
  </si>
  <si>
    <t>Keleivinio transporto stotelių su įvažomis Klaipėdos miesto gatvėse projektavimas ir įrengimas</t>
  </si>
  <si>
    <t>Savanorių g. rekonstrukcija</t>
  </si>
  <si>
    <t>Geležinkelio pervažos Giruliuose rekonstravimas</t>
  </si>
  <si>
    <t>Joniškės g. saugumo pagerinimo priemonių, autobusų sustojimo įvažos, pėsčiųjų ir dviračio tako jungties su Žemaičių g. įrengimas</t>
  </si>
  <si>
    <t xml:space="preserve"> Koordinuotos šviesoforų valdymo sistemos  diegimas Šilutės pl.  </t>
  </si>
  <si>
    <t>2028</t>
  </si>
  <si>
    <t>9 programa. Jaunimo ir bendruomenių politikos plėtros programa</t>
  </si>
  <si>
    <t>Atvirų jaunimo erdvių, skirtų mažiau galimybių turintiems jaunuoliams, steigimas (šiaurinėje miesto dalyje)</t>
  </si>
  <si>
    <t>Socialinio būsto plėtra Klaipėdos miesto savivaldybėje</t>
  </si>
  <si>
    <t>Grupinio gyvenimo namų steigimas Klaipėdos mieste</t>
  </si>
  <si>
    <t>Globos namų paslaugų plėtra, teikiant laikino atokvėpio paslaugą (Debreceno g. 48)</t>
  </si>
  <si>
    <t>Ugdymo paslaugų prieinamumo didinimas, modernizuojant Klaipėdos lopšelio-darželio „Traukinukas“ skyriaus „Boružėlė“ pastatą</t>
  </si>
  <si>
    <t>Kultūros centro Žvejų rūmų modernizavimas</t>
  </si>
  <si>
    <t>Regioninio futbolo stadiono statyba</t>
  </si>
  <si>
    <t>Paryžiaus Komunos g. kapitalinis remontas (nuo Šilutės pl. iki Taikos pr.)</t>
  </si>
  <si>
    <t xml:space="preserve">AB „Klaipėdos energija“ teritorijos Danės g. 8, Klaipėdoje, konversija             </t>
  </si>
  <si>
    <t>Sporto aikštynų atnaujinimas (modernizavimas) (2023 m. – „Gilijos“ pradinės mokyklos ir M. Gorkio progimnazijos, 2024 m. – „Gilijos“ pradinės mokyklos, „Aukuro“ gimnazijos ir „Saulėtekio“ progimnazijos, 2025 m. – „Pajūrio“ ir Sendvario progimnazijų, Baltijos gimnazijos)</t>
  </si>
  <si>
    <t>Pėsčiųjų ir dviračių takų ties Baltijos pr., Šilutės pl., Varpų g., Dubysos g., Liubeko g., Naująja Uosto g. kapitalinis remontas, siekiant didinti rišlumą</t>
  </si>
  <si>
    <t>Pėsčiųjų ir dviračių takų Minijos g. nuo Baltijos pr. iki Priešpilio g.  kapitalinis remontas</t>
  </si>
  <si>
    <t>Melioracijos statinių rekonstravimas žemės sklype, adresu: Verslo g. 10, 12, 14, Klaipėdoje (Klaipėdos LEZ teritorija)</t>
  </si>
  <si>
    <t>Žaliosios energijos infrastruktūros įrengimas žemės sklype, adresu: Pramonės g. 31, Klaipėdoje</t>
  </si>
  <si>
    <t>Šilutės pl. ruožo (nuo Rimkų geležinkelio iki Smiltelės g.) Klaipėdoje ir aikštelės ties Jūrininkų pr. kapitalinis remontas</t>
  </si>
  <si>
    <t xml:space="preserve">Danės teritorijos prieigų sutvarkymas Šiauriniame rage  </t>
  </si>
  <si>
    <t>Klaipėdos Jeronimo Kačinsko muzikos mokyklos (Statybininkų pr. 5) pastato energinio efektyvumo didinimas</t>
  </si>
  <si>
    <t>Savarankiško gyvenimo namų ir apsaugoto būsto įkūrimas Klaipėdos mieste</t>
  </si>
  <si>
    <t>Klaipėdos miesto gatvių rekonstravimas bendromis savivaldybės ir privačių asmenų lėšomis</t>
  </si>
  <si>
    <t>Energinio efektyvumo didinimas ikimokyklinio ugdymo įstaigose:   mokyklos-darželio „Saulutė“, lopšelių-darželių „Vėrinėlis“, „Pingvinukas“, „Putinėlis“, „Kregždutė“ ir „Radastėlė“ pastatų atnaujinimas</t>
  </si>
  <si>
    <t>L. Damalakienė</t>
  </si>
  <si>
    <t>Lietaus nuotekų tinklų įrengimas teritorijoje tarp Tilžės g. ir Vilniaus pl. (A1 magistralinis kelias)</t>
  </si>
  <si>
    <t>Eismo valdymo sistemos modernizavimo Smiltelės g., Taikos pr., Tiltų g., Herkaus Manto g., Liepojos g. techninio darbo projekto parengimas ir įgyvendinimas</t>
  </si>
  <si>
    <t>VšĮ Klaipėdos miesto poliklinikos pastato (Taikos pr. 76, Klaipėda) modernizavimas, gerinant sveikatos centro teikiamų sveikatos priežiūros paslaugų prieinamumą ir kokybę</t>
  </si>
  <si>
    <t>Dalininko įnašo perdavimas VšĮ Klaipėdos vaikų ligoninei Priėmimo skubiosios pagalbos skyriaus kapitaliniam remontui atlikti</t>
  </si>
  <si>
    <t>Dalininko įnašo perdavimas VšĮ Klaipėdos vaikų ligoninei pastato (K. Donelaičio g. 7) šlaitinio stogo konstrukcijų  kapitaliniam remontui atlikti</t>
  </si>
  <si>
    <t>Projekto „Paslaugų vaikams su negalia ir jų šeimoms plėtra Klaipėdos regione“ įgyvendinimas (I etapas)</t>
  </si>
  <si>
    <t>Klaipėdos miesto Lypkių g. tiesimas nuo Lypkių g. ir Kretainio g. sankryžos iki Šilutės pl. ir Statybininkų pr. sankryžos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</si>
</sst>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9"/>
      <color indexed="81"/>
      <name val="Tahoma"/>
      <family val="2"/>
      <charset val="186"/>
    </font>
    <font>
      <b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1"/>
      <charset val="186"/>
    </font>
    <font>
      <strike/>
      <sz val="10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49" fontId="1" fillId="0" borderId="4" xfId="0" applyNumberFormat="1" applyFont="1" applyBorder="1" applyAlignment="1">
      <alignment horizontal="center" vertical="top" wrapText="1"/>
    </xf>
    <xf numFmtId="49" fontId="1" fillId="2" borderId="2" xfId="0" applyNumberFormat="1" applyFont="1" applyFill="1" applyBorder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top"/>
    </xf>
    <xf numFmtId="49" fontId="1" fillId="2" borderId="5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2" borderId="5" xfId="0" applyNumberFormat="1" applyFont="1" applyFill="1" applyBorder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top" wrapText="1"/>
    </xf>
    <xf numFmtId="49" fontId="1" fillId="2" borderId="6" xfId="0" applyNumberFormat="1" applyFont="1" applyFill="1" applyBorder="1" applyAlignment="1">
      <alignment horizontal="center" vertical="top" wrapText="1"/>
    </xf>
    <xf numFmtId="49" fontId="1" fillId="2" borderId="4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top" wrapText="1" readingOrder="1"/>
    </xf>
    <xf numFmtId="49" fontId="1" fillId="2" borderId="3" xfId="0" applyNumberFormat="1" applyFont="1" applyFill="1" applyBorder="1" applyAlignment="1">
      <alignment horizontal="center" vertical="top" wrapText="1" readingOrder="1"/>
    </xf>
    <xf numFmtId="49" fontId="1" fillId="2" borderId="7" xfId="0" applyNumberFormat="1" applyFont="1" applyFill="1" applyBorder="1" applyAlignment="1">
      <alignment horizontal="center" vertical="top" wrapText="1"/>
    </xf>
    <xf numFmtId="49" fontId="1" fillId="2" borderId="0" xfId="0" applyNumberFormat="1" applyFont="1" applyFill="1" applyAlignment="1">
      <alignment horizontal="center" vertical="top" wrapText="1"/>
    </xf>
    <xf numFmtId="49" fontId="1" fillId="0" borderId="0" xfId="0" applyNumberFormat="1" applyFont="1"/>
    <xf numFmtId="49" fontId="1" fillId="2" borderId="2" xfId="0" applyNumberFormat="1" applyFont="1" applyFill="1" applyBorder="1" applyAlignment="1">
      <alignment horizontal="center" vertical="top" wrapText="1"/>
    </xf>
    <xf numFmtId="164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2" borderId="6" xfId="0" applyNumberFormat="1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Border="1" applyAlignment="1">
      <alignment vertical="top" wrapText="1"/>
    </xf>
    <xf numFmtId="164" fontId="1" fillId="0" borderId="6" xfId="0" applyNumberFormat="1" applyFont="1" applyBorder="1" applyAlignment="1">
      <alignment vertical="top" wrapText="1"/>
    </xf>
    <xf numFmtId="164" fontId="1" fillId="0" borderId="5" xfId="0" applyNumberFormat="1" applyFont="1" applyBorder="1" applyAlignment="1">
      <alignment vertical="top" wrapText="1"/>
    </xf>
    <xf numFmtId="164" fontId="1" fillId="2" borderId="5" xfId="0" applyNumberFormat="1" applyFont="1" applyFill="1" applyBorder="1" applyAlignment="1">
      <alignment horizontal="center" vertical="top"/>
    </xf>
    <xf numFmtId="164" fontId="1" fillId="2" borderId="3" xfId="0" applyNumberFormat="1" applyFont="1" applyFill="1" applyBorder="1" applyAlignment="1">
      <alignment horizontal="center" vertical="top"/>
    </xf>
    <xf numFmtId="164" fontId="1" fillId="2" borderId="1" xfId="0" applyNumberFormat="1" applyFont="1" applyFill="1" applyBorder="1" applyAlignment="1">
      <alignment vertical="top" wrapText="1"/>
    </xf>
    <xf numFmtId="164" fontId="4" fillId="0" borderId="0" xfId="0" applyNumberFormat="1" applyFont="1" applyAlignment="1">
      <alignment vertical="top"/>
    </xf>
    <xf numFmtId="164" fontId="1" fillId="2" borderId="1" xfId="0" applyNumberFormat="1" applyFont="1" applyFill="1" applyBorder="1" applyAlignment="1">
      <alignment horizontal="center" vertical="top" wrapText="1" readingOrder="1"/>
    </xf>
    <xf numFmtId="164" fontId="1" fillId="0" borderId="2" xfId="0" applyNumberFormat="1" applyFont="1" applyBorder="1" applyAlignment="1">
      <alignment horizontal="left" vertical="top" wrapText="1"/>
    </xf>
    <xf numFmtId="164" fontId="1" fillId="2" borderId="3" xfId="0" applyNumberFormat="1" applyFont="1" applyFill="1" applyBorder="1" applyAlignment="1">
      <alignment horizontal="center" vertical="top" wrapText="1"/>
    </xf>
    <xf numFmtId="164" fontId="1" fillId="2" borderId="4" xfId="0" applyNumberFormat="1" applyFont="1" applyFill="1" applyBorder="1" applyAlignment="1">
      <alignment horizontal="center" vertical="top"/>
    </xf>
    <xf numFmtId="164" fontId="1" fillId="0" borderId="0" xfId="0" applyNumberFormat="1" applyFont="1" applyAlignment="1">
      <alignment horizontal="right"/>
    </xf>
    <xf numFmtId="49" fontId="1" fillId="0" borderId="1" xfId="0" applyNumberFormat="1" applyFont="1" applyBorder="1" applyAlignment="1">
      <alignment horizontal="center" vertical="top"/>
    </xf>
    <xf numFmtId="49" fontId="1" fillId="0" borderId="5" xfId="0" applyNumberFormat="1" applyFont="1" applyBorder="1" applyAlignment="1">
      <alignment horizontal="center" vertical="top"/>
    </xf>
    <xf numFmtId="49" fontId="1" fillId="2" borderId="4" xfId="0" applyNumberFormat="1" applyFont="1" applyFill="1" applyBorder="1" applyAlignment="1">
      <alignment horizontal="center" vertical="top"/>
    </xf>
    <xf numFmtId="164" fontId="1" fillId="2" borderId="4" xfId="0" applyNumberFormat="1" applyFont="1" applyFill="1" applyBorder="1" applyAlignment="1">
      <alignment vertical="top" wrapText="1"/>
    </xf>
    <xf numFmtId="164" fontId="1" fillId="2" borderId="5" xfId="0" applyNumberFormat="1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left" vertical="top" wrapText="1"/>
    </xf>
    <xf numFmtId="164" fontId="1" fillId="2" borderId="9" xfId="0" applyNumberFormat="1" applyFont="1" applyFill="1" applyBorder="1" applyAlignment="1">
      <alignment horizontal="center" vertical="top"/>
    </xf>
    <xf numFmtId="164" fontId="1" fillId="2" borderId="2" xfId="0" applyNumberFormat="1" applyFont="1" applyFill="1" applyBorder="1" applyAlignment="1">
      <alignment horizontal="center"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6" fillId="6" borderId="3" xfId="0" applyNumberFormat="1" applyFont="1" applyFill="1" applyBorder="1" applyAlignment="1">
      <alignment horizontal="right" vertical="top" wrapText="1"/>
    </xf>
    <xf numFmtId="164" fontId="6" fillId="6" borderId="1" xfId="0" applyNumberFormat="1" applyFont="1" applyFill="1" applyBorder="1" applyAlignment="1">
      <alignment horizontal="center" vertical="center" wrapText="1"/>
    </xf>
    <xf numFmtId="164" fontId="6" fillId="6" borderId="1" xfId="0" applyNumberFormat="1" applyFont="1" applyFill="1" applyBorder="1" applyAlignment="1">
      <alignment horizontal="center" vertical="top" wrapText="1"/>
    </xf>
    <xf numFmtId="1" fontId="1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2" borderId="1" xfId="0" applyNumberFormat="1" applyFont="1" applyFill="1" applyBorder="1" applyAlignment="1">
      <alignment horizontal="center" vertical="top" wrapText="1"/>
    </xf>
    <xf numFmtId="164" fontId="3" fillId="2" borderId="5" xfId="0" applyNumberFormat="1" applyFont="1" applyFill="1" applyBorder="1" applyAlignment="1">
      <alignment horizontal="center" vertical="top" wrapText="1"/>
    </xf>
    <xf numFmtId="164" fontId="3" fillId="0" borderId="5" xfId="0" applyNumberFormat="1" applyFont="1" applyBorder="1" applyAlignment="1">
      <alignment horizontal="center" vertical="top" wrapText="1"/>
    </xf>
    <xf numFmtId="164" fontId="3" fillId="2" borderId="4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  <xf numFmtId="1" fontId="6" fillId="6" borderId="9" xfId="0" applyNumberFormat="1" applyFont="1" applyFill="1" applyBorder="1" applyAlignment="1">
      <alignment horizontal="center" vertical="top" wrapText="1"/>
    </xf>
    <xf numFmtId="1" fontId="1" fillId="2" borderId="11" xfId="0" applyNumberFormat="1" applyFont="1" applyFill="1" applyBorder="1" applyAlignment="1">
      <alignment horizontal="center" vertical="top" wrapText="1"/>
    </xf>
    <xf numFmtId="1" fontId="1" fillId="2" borderId="9" xfId="0" applyNumberFormat="1" applyFont="1" applyFill="1" applyBorder="1" applyAlignment="1">
      <alignment horizontal="center" vertical="top" wrapText="1"/>
    </xf>
    <xf numFmtId="164" fontId="6" fillId="3" borderId="5" xfId="0" applyNumberFormat="1" applyFont="1" applyFill="1" applyBorder="1" applyAlignment="1">
      <alignment horizontal="center" vertical="center" wrapText="1"/>
    </xf>
    <xf numFmtId="1" fontId="6" fillId="3" borderId="10" xfId="0" applyNumberFormat="1" applyFont="1" applyFill="1" applyBorder="1" applyAlignment="1">
      <alignment horizontal="center" vertical="top"/>
    </xf>
    <xf numFmtId="1" fontId="1" fillId="2" borderId="5" xfId="0" applyNumberFormat="1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top" wrapText="1"/>
    </xf>
    <xf numFmtId="164" fontId="3" fillId="2" borderId="7" xfId="0" applyNumberFormat="1" applyFont="1" applyFill="1" applyBorder="1" applyAlignment="1">
      <alignment horizontal="center" vertical="top" wrapText="1"/>
    </xf>
    <xf numFmtId="1" fontId="1" fillId="2" borderId="10" xfId="0" applyNumberFormat="1" applyFont="1" applyFill="1" applyBorder="1" applyAlignment="1">
      <alignment horizontal="center" vertical="top" wrapText="1"/>
    </xf>
    <xf numFmtId="164" fontId="3" fillId="2" borderId="6" xfId="0" applyNumberFormat="1" applyFont="1" applyFill="1" applyBorder="1" applyAlignment="1">
      <alignment horizontal="center" vertical="top" wrapText="1"/>
    </xf>
    <xf numFmtId="164" fontId="3" fillId="2" borderId="3" xfId="0" applyNumberFormat="1" applyFont="1" applyFill="1" applyBorder="1" applyAlignment="1">
      <alignment horizontal="center" vertical="top" wrapText="1"/>
    </xf>
    <xf numFmtId="164" fontId="6" fillId="6" borderId="12" xfId="0" applyNumberFormat="1" applyFont="1" applyFill="1" applyBorder="1" applyAlignment="1">
      <alignment horizontal="left" vertical="top" wrapText="1"/>
    </xf>
    <xf numFmtId="49" fontId="6" fillId="6" borderId="8" xfId="0" applyNumberFormat="1" applyFont="1" applyFill="1" applyBorder="1" applyAlignment="1">
      <alignment horizontal="right" vertical="top" wrapText="1"/>
    </xf>
    <xf numFmtId="49" fontId="6" fillId="6" borderId="12" xfId="0" applyNumberFormat="1" applyFont="1" applyFill="1" applyBorder="1" applyAlignment="1">
      <alignment horizontal="right" vertical="top" wrapText="1"/>
    </xf>
    <xf numFmtId="0" fontId="1" fillId="0" borderId="1" xfId="0" applyFont="1" applyBorder="1" applyAlignment="1">
      <alignment horizontal="center" vertical="top" wrapText="1"/>
    </xf>
    <xf numFmtId="164" fontId="6" fillId="7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49" fontId="1" fillId="2" borderId="14" xfId="0" applyNumberFormat="1" applyFont="1" applyFill="1" applyBorder="1" applyAlignment="1">
      <alignment horizontal="center" vertical="top" wrapText="1"/>
    </xf>
    <xf numFmtId="164" fontId="1" fillId="2" borderId="14" xfId="0" applyNumberFormat="1" applyFont="1" applyFill="1" applyBorder="1" applyAlignment="1">
      <alignment horizontal="center" vertical="top" wrapText="1"/>
    </xf>
    <xf numFmtId="164" fontId="1" fillId="2" borderId="1" xfId="0" applyNumberFormat="1" applyFont="1" applyFill="1" applyBorder="1"/>
    <xf numFmtId="164" fontId="1" fillId="0" borderId="9" xfId="0" applyNumberFormat="1" applyFont="1" applyBorder="1" applyAlignment="1">
      <alignment horizontal="left" vertical="top" wrapText="1"/>
    </xf>
    <xf numFmtId="164" fontId="6" fillId="6" borderId="3" xfId="0" applyNumberFormat="1" applyFont="1" applyFill="1" applyBorder="1" applyAlignment="1">
      <alignment horizontal="left" vertical="top" wrapText="1"/>
    </xf>
    <xf numFmtId="164" fontId="1" fillId="2" borderId="5" xfId="0" applyNumberFormat="1" applyFont="1" applyFill="1" applyBorder="1" applyAlignment="1">
      <alignment horizontal="left" vertical="top" wrapText="1"/>
    </xf>
    <xf numFmtId="164" fontId="6" fillId="5" borderId="13" xfId="0" applyNumberFormat="1" applyFont="1" applyFill="1" applyBorder="1" applyAlignment="1">
      <alignment horizontal="left" vertical="center" wrapText="1"/>
    </xf>
    <xf numFmtId="164" fontId="6" fillId="5" borderId="13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49" fontId="1" fillId="2" borderId="12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/>
    </xf>
    <xf numFmtId="164" fontId="3" fillId="2" borderId="14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164" fontId="1" fillId="2" borderId="0" xfId="0" applyNumberFormat="1" applyFont="1" applyFill="1"/>
    <xf numFmtId="164" fontId="1" fillId="2" borderId="4" xfId="0" applyNumberFormat="1" applyFont="1" applyFill="1" applyBorder="1" applyAlignment="1">
      <alignment horizontal="center" vertical="top" wrapText="1"/>
    </xf>
    <xf numFmtId="164" fontId="1" fillId="2" borderId="7" xfId="0" applyNumberFormat="1" applyFont="1" applyFill="1" applyBorder="1" applyAlignment="1">
      <alignment horizontal="center" vertical="top" wrapText="1"/>
    </xf>
    <xf numFmtId="164" fontId="1" fillId="2" borderId="5" xfId="0" applyNumberFormat="1" applyFont="1" applyFill="1" applyBorder="1" applyAlignment="1">
      <alignment horizontal="center" vertical="top" wrapText="1"/>
    </xf>
    <xf numFmtId="164" fontId="3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1" fillId="2" borderId="2" xfId="0" applyNumberFormat="1" applyFont="1" applyFill="1" applyBorder="1" applyAlignment="1">
      <alignment horizontal="left" vertical="top" wrapText="1"/>
    </xf>
    <xf numFmtId="164" fontId="1" fillId="2" borderId="8" xfId="0" applyNumberFormat="1" applyFont="1" applyFill="1" applyBorder="1" applyAlignment="1">
      <alignment horizontal="center" vertical="top" wrapText="1"/>
    </xf>
    <xf numFmtId="164" fontId="4" fillId="6" borderId="2" xfId="0" applyNumberFormat="1" applyFont="1" applyFill="1" applyBorder="1" applyAlignment="1">
      <alignment horizontal="right" vertical="top" wrapText="1"/>
    </xf>
    <xf numFmtId="164" fontId="4" fillId="6" borderId="1" xfId="0" applyNumberFormat="1" applyFont="1" applyFill="1" applyBorder="1" applyAlignment="1">
      <alignment horizontal="right" vertical="top" wrapText="1"/>
    </xf>
    <xf numFmtId="49" fontId="6" fillId="6" borderId="1" xfId="0" applyNumberFormat="1" applyFont="1" applyFill="1" applyBorder="1" applyAlignment="1">
      <alignment horizontal="right" vertical="top" wrapText="1"/>
    </xf>
    <xf numFmtId="49" fontId="6" fillId="6" borderId="1" xfId="0" applyNumberFormat="1" applyFont="1" applyFill="1" applyBorder="1" applyAlignment="1">
      <alignment horizontal="center" vertical="top" wrapText="1"/>
    </xf>
    <xf numFmtId="165" fontId="6" fillId="6" borderId="1" xfId="0" applyNumberFormat="1" applyFont="1" applyFill="1" applyBorder="1" applyAlignment="1">
      <alignment horizontal="center" vertical="top" wrapText="1"/>
    </xf>
    <xf numFmtId="1" fontId="3" fillId="6" borderId="9" xfId="0" applyNumberFormat="1" applyFont="1" applyFill="1" applyBorder="1" applyAlignment="1">
      <alignment horizontal="center" vertical="top" wrapText="1"/>
    </xf>
    <xf numFmtId="49" fontId="6" fillId="6" borderId="9" xfId="0" applyNumberFormat="1" applyFont="1" applyFill="1" applyBorder="1" applyAlignment="1">
      <alignment horizontal="right" vertical="top" wrapText="1"/>
    </xf>
    <xf numFmtId="1" fontId="6" fillId="6" borderId="10" xfId="0" applyNumberFormat="1" applyFont="1" applyFill="1" applyBorder="1" applyAlignment="1">
      <alignment horizontal="center" vertical="top" wrapText="1"/>
    </xf>
    <xf numFmtId="164" fontId="6" fillId="5" borderId="13" xfId="0" applyNumberFormat="1" applyFont="1" applyFill="1" applyBorder="1" applyAlignment="1">
      <alignment horizontal="left" vertical="top"/>
    </xf>
    <xf numFmtId="0" fontId="1" fillId="0" borderId="12" xfId="0" applyFont="1" applyBorder="1" applyAlignment="1">
      <alignment horizontal="center" vertical="top" wrapText="1"/>
    </xf>
    <xf numFmtId="49" fontId="1" fillId="2" borderId="9" xfId="0" applyNumberFormat="1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center" vertical="top" wrapText="1"/>
    </xf>
    <xf numFmtId="164" fontId="1" fillId="2" borderId="10" xfId="0" applyNumberFormat="1" applyFont="1" applyFill="1" applyBorder="1" applyAlignment="1">
      <alignment horizontal="center" vertical="top" wrapText="1"/>
    </xf>
    <xf numFmtId="164" fontId="3" fillId="2" borderId="10" xfId="0" applyNumberFormat="1" applyFont="1" applyFill="1" applyBorder="1" applyAlignment="1">
      <alignment horizontal="center" vertical="top" wrapText="1"/>
    </xf>
    <xf numFmtId="164" fontId="1" fillId="2" borderId="12" xfId="0" applyNumberFormat="1" applyFont="1" applyFill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left" vertical="top" wrapText="1"/>
    </xf>
    <xf numFmtId="1" fontId="1" fillId="2" borderId="4" xfId="0" applyNumberFormat="1" applyFont="1" applyFill="1" applyBorder="1" applyAlignment="1">
      <alignment horizontal="center" vertical="top" wrapText="1"/>
    </xf>
    <xf numFmtId="1" fontId="1" fillId="2" borderId="7" xfId="0" applyNumberFormat="1" applyFont="1" applyFill="1" applyBorder="1" applyAlignment="1">
      <alignment horizontal="center" vertical="top" wrapText="1"/>
    </xf>
    <xf numFmtId="1" fontId="1" fillId="2" borderId="5" xfId="0" applyNumberFormat="1" applyFont="1" applyFill="1" applyBorder="1" applyAlignment="1">
      <alignment horizontal="center" vertical="top" wrapText="1"/>
    </xf>
    <xf numFmtId="164" fontId="6" fillId="6" borderId="1" xfId="0" applyNumberFormat="1" applyFont="1" applyFill="1" applyBorder="1" applyAlignment="1">
      <alignment horizontal="left" vertical="center" wrapText="1"/>
    </xf>
    <xf numFmtId="1" fontId="1" fillId="2" borderId="15" xfId="0" applyNumberFormat="1" applyFont="1" applyFill="1" applyBorder="1" applyAlignment="1">
      <alignment horizontal="center" vertical="top" wrapText="1"/>
    </xf>
    <xf numFmtId="49" fontId="1" fillId="2" borderId="3" xfId="0" applyNumberFormat="1" applyFont="1" applyFill="1" applyBorder="1" applyAlignment="1">
      <alignment horizontal="center" vertical="top"/>
    </xf>
    <xf numFmtId="164" fontId="7" fillId="0" borderId="0" xfId="0" applyNumberFormat="1" applyFont="1" applyAlignment="1">
      <alignment wrapText="1"/>
    </xf>
    <xf numFmtId="164" fontId="7" fillId="0" borderId="0" xfId="0" applyNumberFormat="1" applyFont="1"/>
    <xf numFmtId="0" fontId="1" fillId="0" borderId="3" xfId="0" applyFont="1" applyBorder="1" applyAlignment="1">
      <alignment vertical="top" wrapText="1"/>
    </xf>
    <xf numFmtId="0" fontId="9" fillId="0" borderId="0" xfId="0" applyFont="1" applyAlignment="1">
      <alignment wrapText="1"/>
    </xf>
    <xf numFmtId="164" fontId="1" fillId="0" borderId="0" xfId="0" applyNumberFormat="1" applyFont="1" applyAlignment="1">
      <alignment vertical="top"/>
    </xf>
    <xf numFmtId="164" fontId="1" fillId="0" borderId="0" xfId="0" applyNumberFormat="1" applyFont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1" fillId="4" borderId="3" xfId="0" applyFont="1" applyFill="1" applyBorder="1" applyAlignment="1">
      <alignment horizontal="center" vertical="top" wrapText="1"/>
    </xf>
    <xf numFmtId="0" fontId="1" fillId="4" borderId="12" xfId="0" applyFont="1" applyFill="1" applyBorder="1" applyAlignment="1">
      <alignment horizontal="center" vertical="top" wrapText="1"/>
    </xf>
    <xf numFmtId="164" fontId="11" fillId="0" borderId="0" xfId="0" applyNumberFormat="1" applyFont="1" applyAlignment="1">
      <alignment wrapText="1"/>
    </xf>
    <xf numFmtId="164" fontId="1" fillId="2" borderId="2" xfId="0" applyNumberFormat="1" applyFont="1" applyFill="1" applyBorder="1" applyAlignment="1">
      <alignment horizontal="center" vertical="top" wrapText="1" readingOrder="1"/>
    </xf>
    <xf numFmtId="49" fontId="1" fillId="2" borderId="9" xfId="0" applyNumberFormat="1" applyFont="1" applyFill="1" applyBorder="1" applyAlignment="1">
      <alignment horizontal="center" vertical="top" wrapText="1" readingOrder="1"/>
    </xf>
    <xf numFmtId="0" fontId="1" fillId="0" borderId="9" xfId="0" applyFont="1" applyBorder="1" applyAlignment="1">
      <alignment vertical="top" wrapText="1"/>
    </xf>
    <xf numFmtId="164" fontId="6" fillId="6" borderId="2" xfId="0" applyNumberFormat="1" applyFont="1" applyFill="1" applyBorder="1" applyAlignment="1">
      <alignment horizontal="left" vertical="top" wrapText="1"/>
    </xf>
    <xf numFmtId="1" fontId="1" fillId="2" borderId="0" xfId="0" applyNumberFormat="1" applyFont="1" applyFill="1" applyBorder="1" applyAlignment="1">
      <alignment horizontal="center" vertical="top" wrapText="1"/>
    </xf>
    <xf numFmtId="0" fontId="10" fillId="0" borderId="10" xfId="0" applyFont="1" applyBorder="1" applyAlignment="1">
      <alignment vertical="top" wrapText="1"/>
    </xf>
    <xf numFmtId="0" fontId="10" fillId="0" borderId="10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165" fontId="12" fillId="0" borderId="5" xfId="0" applyNumberFormat="1" applyFont="1" applyBorder="1" applyAlignment="1">
      <alignment horizontal="center" vertical="top"/>
    </xf>
    <xf numFmtId="164" fontId="11" fillId="0" borderId="0" xfId="0" applyNumberFormat="1" applyFont="1" applyAlignment="1">
      <alignment vertical="top" wrapText="1"/>
    </xf>
    <xf numFmtId="164" fontId="1" fillId="0" borderId="1" xfId="0" applyNumberFormat="1" applyFont="1" applyFill="1" applyBorder="1" applyAlignment="1">
      <alignment vertical="top" wrapText="1"/>
    </xf>
    <xf numFmtId="164" fontId="1" fillId="0" borderId="1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1" fontId="1" fillId="2" borderId="16" xfId="0" applyNumberFormat="1" applyFont="1" applyFill="1" applyBorder="1" applyAlignment="1">
      <alignment horizontal="center" vertical="top" wrapText="1"/>
    </xf>
    <xf numFmtId="164" fontId="3" fillId="2" borderId="2" xfId="0" applyNumberFormat="1" applyFont="1" applyFill="1" applyBorder="1" applyAlignment="1">
      <alignment horizontal="center" vertical="top" wrapText="1"/>
    </xf>
    <xf numFmtId="164" fontId="1" fillId="2" borderId="17" xfId="0" applyNumberFormat="1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6" fillId="5" borderId="9" xfId="0" applyNumberFormat="1" applyFont="1" applyFill="1" applyBorder="1" applyAlignment="1">
      <alignment horizontal="left" vertical="top" wrapText="1"/>
    </xf>
    <xf numFmtId="164" fontId="6" fillId="5" borderId="2" xfId="0" applyNumberFormat="1" applyFont="1" applyFill="1" applyBorder="1" applyAlignment="1">
      <alignment horizontal="left" vertical="top" wrapText="1"/>
    </xf>
    <xf numFmtId="164" fontId="6" fillId="3" borderId="10" xfId="0" applyNumberFormat="1" applyFont="1" applyFill="1" applyBorder="1" applyAlignment="1">
      <alignment vertical="top" wrapText="1"/>
    </xf>
    <xf numFmtId="164" fontId="6" fillId="3" borderId="8" xfId="0" applyNumberFormat="1" applyFont="1" applyFill="1" applyBorder="1" applyAlignment="1">
      <alignment vertical="top" wrapText="1"/>
    </xf>
    <xf numFmtId="164" fontId="6" fillId="3" borderId="12" xfId="0" applyNumberFormat="1" applyFont="1" applyFill="1" applyBorder="1" applyAlignment="1">
      <alignment vertical="top" wrapText="1"/>
    </xf>
    <xf numFmtId="1" fontId="1" fillId="0" borderId="0" xfId="0" applyNumberFormat="1" applyFont="1" applyAlignment="1">
      <alignment horizontal="center"/>
    </xf>
    <xf numFmtId="164" fontId="6" fillId="5" borderId="9" xfId="0" applyNumberFormat="1" applyFont="1" applyFill="1" applyBorder="1" applyAlignment="1">
      <alignment horizontal="left" vertical="center" wrapText="1"/>
    </xf>
    <xf numFmtId="164" fontId="6" fillId="5" borderId="2" xfId="0" applyNumberFormat="1" applyFont="1" applyFill="1" applyBorder="1" applyAlignment="1">
      <alignment horizontal="left" vertical="center" wrapText="1"/>
    </xf>
    <xf numFmtId="164" fontId="6" fillId="5" borderId="3" xfId="0" applyNumberFormat="1" applyFont="1" applyFill="1" applyBorder="1" applyAlignment="1">
      <alignment horizontal="left" vertical="center" wrapText="1"/>
    </xf>
    <xf numFmtId="164" fontId="6" fillId="5" borderId="9" xfId="0" applyNumberFormat="1" applyFont="1" applyFill="1" applyBorder="1" applyAlignment="1">
      <alignment horizontal="left" vertical="top"/>
    </xf>
    <xf numFmtId="164" fontId="6" fillId="5" borderId="2" xfId="0" applyNumberFormat="1" applyFont="1" applyFill="1" applyBorder="1" applyAlignment="1">
      <alignment horizontal="left" vertical="top"/>
    </xf>
    <xf numFmtId="164" fontId="6" fillId="5" borderId="10" xfId="0" applyNumberFormat="1" applyFont="1" applyFill="1" applyBorder="1" applyAlignment="1">
      <alignment horizontal="left" vertical="top" wrapText="1"/>
    </xf>
    <xf numFmtId="164" fontId="6" fillId="5" borderId="8" xfId="0" applyNumberFormat="1" applyFont="1" applyFill="1" applyBorder="1" applyAlignment="1">
      <alignment horizontal="left" vertical="top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7" xfId="0" applyNumberFormat="1" applyFont="1" applyFill="1" applyBorder="1" applyAlignment="1">
      <alignment horizontal="center" vertical="center" wrapText="1"/>
    </xf>
    <xf numFmtId="1" fontId="6" fillId="5" borderId="9" xfId="0" applyNumberFormat="1" applyFont="1" applyFill="1" applyBorder="1" applyAlignment="1">
      <alignment horizontal="left" vertical="top" wrapText="1"/>
    </xf>
    <xf numFmtId="1" fontId="6" fillId="5" borderId="2" xfId="0" applyNumberFormat="1" applyFont="1" applyFill="1" applyBorder="1" applyAlignment="1">
      <alignment horizontal="left" vertical="top" wrapText="1"/>
    </xf>
    <xf numFmtId="1" fontId="6" fillId="5" borderId="3" xfId="0" applyNumberFormat="1" applyFont="1" applyFill="1" applyBorder="1" applyAlignment="1">
      <alignment horizontal="left" vertical="top" wrapText="1"/>
    </xf>
    <xf numFmtId="164" fontId="4" fillId="0" borderId="0" xfId="0" applyNumberFormat="1" applyFont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89"/>
  <sheetViews>
    <sheetView tabSelected="1" zoomScaleNormal="100" zoomScaleSheetLayoutView="100" workbookViewId="0">
      <selection activeCell="Q75" sqref="Q75"/>
    </sheetView>
  </sheetViews>
  <sheetFormatPr defaultColWidth="9.109375" defaultRowHeight="13.2" x14ac:dyDescent="0.25"/>
  <cols>
    <col min="1" max="1" width="4.44140625" style="47" customWidth="1"/>
    <col min="2" max="2" width="32.44140625" style="16" customWidth="1"/>
    <col min="3" max="3" width="13.5546875" style="88" hidden="1" customWidth="1"/>
    <col min="4" max="5" width="8.44140625" style="14" customWidth="1"/>
    <col min="6" max="6" width="11.44140625" style="92" customWidth="1"/>
    <col min="7" max="11" width="11.44140625" style="93" customWidth="1"/>
    <col min="12" max="12" width="16.109375" style="16" customWidth="1"/>
    <col min="13" max="16384" width="9.109375" style="16"/>
  </cols>
  <sheetData>
    <row r="1" spans="1:12" ht="55.5" customHeight="1" x14ac:dyDescent="0.25">
      <c r="F1" s="48"/>
      <c r="G1" s="17"/>
      <c r="H1" s="174" t="s">
        <v>157</v>
      </c>
      <c r="I1" s="174"/>
      <c r="J1" s="174"/>
      <c r="K1" s="174"/>
    </row>
    <row r="2" spans="1:12" ht="21" customHeight="1" x14ac:dyDescent="0.25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</row>
    <row r="3" spans="1:12" ht="12" customHeight="1" x14ac:dyDescent="0.25">
      <c r="E3" s="16"/>
      <c r="F3" s="14"/>
      <c r="G3" s="16"/>
      <c r="H3" s="14"/>
      <c r="I3" s="16"/>
      <c r="J3" s="14"/>
      <c r="K3" s="33" t="s">
        <v>1</v>
      </c>
    </row>
    <row r="4" spans="1:12" ht="44.1" customHeight="1" x14ac:dyDescent="0.25">
      <c r="A4" s="169" t="s">
        <v>2</v>
      </c>
      <c r="B4" s="148" t="s">
        <v>3</v>
      </c>
      <c r="C4" s="148" t="s">
        <v>4</v>
      </c>
      <c r="D4" s="151" t="s">
        <v>5</v>
      </c>
      <c r="E4" s="151"/>
      <c r="F4" s="152" t="s">
        <v>6</v>
      </c>
      <c r="G4" s="147" t="s">
        <v>7</v>
      </c>
      <c r="H4" s="147" t="s">
        <v>8</v>
      </c>
      <c r="I4" s="147" t="s">
        <v>9</v>
      </c>
      <c r="J4" s="147" t="s">
        <v>10</v>
      </c>
      <c r="K4" s="147" t="s">
        <v>11</v>
      </c>
    </row>
    <row r="5" spans="1:12" ht="35.85" customHeight="1" x14ac:dyDescent="0.25">
      <c r="A5" s="170"/>
      <c r="B5" s="149"/>
      <c r="C5" s="149"/>
      <c r="D5" s="166" t="s">
        <v>12</v>
      </c>
      <c r="E5" s="166" t="s">
        <v>13</v>
      </c>
      <c r="F5" s="152"/>
      <c r="G5" s="147"/>
      <c r="H5" s="147"/>
      <c r="I5" s="147"/>
      <c r="J5" s="147"/>
      <c r="K5" s="147"/>
    </row>
    <row r="6" spans="1:12" ht="15.75" customHeight="1" x14ac:dyDescent="0.25">
      <c r="A6" s="60"/>
      <c r="B6" s="150"/>
      <c r="C6" s="150"/>
      <c r="D6" s="167"/>
      <c r="E6" s="167"/>
      <c r="F6" s="112" t="s">
        <v>14</v>
      </c>
      <c r="G6" s="112" t="s">
        <v>15</v>
      </c>
      <c r="H6" s="112" t="s">
        <v>16</v>
      </c>
      <c r="I6" s="112" t="s">
        <v>17</v>
      </c>
      <c r="J6" s="112" t="s">
        <v>18</v>
      </c>
      <c r="K6" s="112" t="s">
        <v>19</v>
      </c>
    </row>
    <row r="7" spans="1:12" ht="17.100000000000001" customHeight="1" x14ac:dyDescent="0.25">
      <c r="A7" s="159" t="s">
        <v>20</v>
      </c>
      <c r="B7" s="160"/>
      <c r="C7" s="160"/>
      <c r="D7" s="160"/>
      <c r="E7" s="160"/>
      <c r="F7" s="160"/>
      <c r="G7" s="160"/>
      <c r="H7" s="160"/>
      <c r="I7" s="160"/>
      <c r="J7" s="160"/>
      <c r="K7" s="161"/>
    </row>
    <row r="8" spans="1:12" ht="53.25" customHeight="1" x14ac:dyDescent="0.25">
      <c r="A8" s="53">
        <v>1</v>
      </c>
      <c r="B8" s="22" t="s">
        <v>159</v>
      </c>
      <c r="C8" s="89" t="s">
        <v>22</v>
      </c>
      <c r="D8" s="7" t="s">
        <v>44</v>
      </c>
      <c r="E8" s="7" t="s">
        <v>36</v>
      </c>
      <c r="F8" s="64">
        <f>+G8+H8+I8+J8+K8</f>
        <v>505</v>
      </c>
      <c r="G8" s="18">
        <v>505</v>
      </c>
      <c r="H8" s="18"/>
      <c r="I8" s="18"/>
      <c r="J8" s="18"/>
      <c r="K8" s="18">
        <v>0</v>
      </c>
      <c r="L8" s="121"/>
    </row>
    <row r="9" spans="1:12" ht="16.350000000000001" customHeight="1" x14ac:dyDescent="0.25">
      <c r="A9" s="55">
        <v>1</v>
      </c>
      <c r="B9" s="66" t="s">
        <v>24</v>
      </c>
      <c r="C9" s="97"/>
      <c r="D9" s="67"/>
      <c r="E9" s="98" t="s">
        <v>14</v>
      </c>
      <c r="F9" s="100">
        <f t="shared" ref="F9:K9" si="0">SUM(F8:F8)</f>
        <v>505</v>
      </c>
      <c r="G9" s="100">
        <f t="shared" si="0"/>
        <v>505</v>
      </c>
      <c r="H9" s="100">
        <f t="shared" si="0"/>
        <v>0</v>
      </c>
      <c r="I9" s="100">
        <f t="shared" si="0"/>
        <v>0</v>
      </c>
      <c r="J9" s="100">
        <f t="shared" si="0"/>
        <v>0</v>
      </c>
      <c r="K9" s="100">
        <f t="shared" si="0"/>
        <v>0</v>
      </c>
    </row>
    <row r="10" spans="1:12" ht="17.850000000000001" customHeight="1" x14ac:dyDescent="0.25">
      <c r="A10" s="159" t="s">
        <v>25</v>
      </c>
      <c r="B10" s="160"/>
      <c r="C10" s="160"/>
      <c r="D10" s="160"/>
      <c r="E10" s="160"/>
      <c r="F10" s="160"/>
      <c r="G10" s="160"/>
      <c r="H10" s="160"/>
      <c r="I10" s="160"/>
      <c r="J10" s="160"/>
      <c r="K10" s="161"/>
    </row>
    <row r="11" spans="1:12" ht="42" customHeight="1" x14ac:dyDescent="0.25">
      <c r="A11" s="116">
        <v>1</v>
      </c>
      <c r="B11" s="23" t="s">
        <v>28</v>
      </c>
      <c r="C11" s="89" t="s">
        <v>29</v>
      </c>
      <c r="D11" s="12" t="s">
        <v>30</v>
      </c>
      <c r="E11" s="8" t="s">
        <v>44</v>
      </c>
      <c r="F11" s="52">
        <f>+G11+H11+I11+J11+K11</f>
        <v>3803.1000000000004</v>
      </c>
      <c r="G11" s="89">
        <f>1372.4-781.6+3212.3</f>
        <v>3803.1000000000004</v>
      </c>
      <c r="H11" s="89">
        <f>1815.8-1815.8</f>
        <v>0</v>
      </c>
      <c r="I11" s="18"/>
      <c r="J11" s="89"/>
      <c r="K11" s="18"/>
    </row>
    <row r="12" spans="1:12" ht="52.5" customHeight="1" x14ac:dyDescent="0.25">
      <c r="A12" s="117"/>
      <c r="B12" s="38" t="s">
        <v>32</v>
      </c>
      <c r="C12" s="74" t="s">
        <v>29</v>
      </c>
      <c r="D12" s="73" t="s">
        <v>33</v>
      </c>
      <c r="E12" s="82" t="s">
        <v>84</v>
      </c>
      <c r="F12" s="84">
        <f>+G12+H12+I12+J12+K12</f>
        <v>5200</v>
      </c>
      <c r="G12" s="74">
        <v>950</v>
      </c>
      <c r="H12" s="74">
        <v>4250</v>
      </c>
      <c r="I12" s="91"/>
      <c r="J12" s="74"/>
      <c r="K12" s="91"/>
    </row>
    <row r="13" spans="1:12" ht="17.25" customHeight="1" x14ac:dyDescent="0.25">
      <c r="A13" s="56">
        <v>2</v>
      </c>
      <c r="B13" s="38" t="s">
        <v>34</v>
      </c>
      <c r="C13" s="74" t="s">
        <v>29</v>
      </c>
      <c r="D13" s="4" t="s">
        <v>33</v>
      </c>
      <c r="E13" s="82" t="s">
        <v>84</v>
      </c>
      <c r="F13" s="62">
        <f>+G13+H13+I13+J13+K13</f>
        <v>688</v>
      </c>
      <c r="G13" s="91">
        <v>688</v>
      </c>
      <c r="H13" s="91"/>
      <c r="I13" s="90"/>
      <c r="J13" s="90"/>
      <c r="K13" s="90"/>
    </row>
    <row r="14" spans="1:12" ht="25.5" customHeight="1" x14ac:dyDescent="0.25">
      <c r="A14" s="57">
        <v>3</v>
      </c>
      <c r="B14" s="71" t="s">
        <v>35</v>
      </c>
      <c r="C14" s="85" t="s">
        <v>22</v>
      </c>
      <c r="D14" s="72">
        <v>2024</v>
      </c>
      <c r="E14" s="42" t="s">
        <v>84</v>
      </c>
      <c r="F14" s="52">
        <f>+G14+H14+I14+J14+K14</f>
        <v>1562</v>
      </c>
      <c r="G14" s="19">
        <v>372</v>
      </c>
      <c r="H14" s="19">
        <v>1190</v>
      </c>
      <c r="I14" s="89"/>
      <c r="J14" s="89"/>
      <c r="K14" s="89"/>
    </row>
    <row r="15" spans="1:12" ht="16.5" customHeight="1" x14ac:dyDescent="0.25">
      <c r="A15" s="55">
        <v>3</v>
      </c>
      <c r="B15" s="66" t="s">
        <v>37</v>
      </c>
      <c r="C15" s="97"/>
      <c r="D15" s="67"/>
      <c r="E15" s="98" t="s">
        <v>14</v>
      </c>
      <c r="F15" s="100">
        <f>SUM(F11:F14)</f>
        <v>11253.1</v>
      </c>
      <c r="G15" s="100">
        <f t="shared" ref="G15:K15" si="1">SUM(G11:G14)</f>
        <v>5813.1</v>
      </c>
      <c r="H15" s="99">
        <f t="shared" si="1"/>
        <v>5440</v>
      </c>
      <c r="I15" s="100">
        <f t="shared" si="1"/>
        <v>0</v>
      </c>
      <c r="J15" s="100">
        <f t="shared" si="1"/>
        <v>0</v>
      </c>
      <c r="K15" s="100">
        <f t="shared" si="1"/>
        <v>0</v>
      </c>
    </row>
    <row r="16" spans="1:12" s="28" customFormat="1" ht="16.5" customHeight="1" x14ac:dyDescent="0.3">
      <c r="A16" s="159" t="s">
        <v>38</v>
      </c>
      <c r="B16" s="160"/>
      <c r="C16" s="160"/>
      <c r="D16" s="160"/>
      <c r="E16" s="160"/>
      <c r="F16" s="160"/>
      <c r="G16" s="160"/>
      <c r="H16" s="160"/>
      <c r="I16" s="160"/>
      <c r="J16" s="160"/>
      <c r="K16" s="161"/>
    </row>
    <row r="17" spans="1:12" s="28" customFormat="1" ht="68.400000000000006" customHeight="1" x14ac:dyDescent="0.3">
      <c r="A17" s="53">
        <v>1</v>
      </c>
      <c r="B17" s="20" t="s">
        <v>199</v>
      </c>
      <c r="C17" s="19" t="s">
        <v>39</v>
      </c>
      <c r="D17" s="7">
        <v>2017</v>
      </c>
      <c r="E17" s="7" t="s">
        <v>84</v>
      </c>
      <c r="F17" s="49">
        <f>G17+H17++J17+I17+K17</f>
        <v>12496</v>
      </c>
      <c r="G17" s="21">
        <f>435.7+1863.2</f>
        <v>2298.9</v>
      </c>
      <c r="H17" s="21">
        <f>2465+7732.1</f>
        <v>10197.1</v>
      </c>
      <c r="I17" s="21"/>
      <c r="J17" s="21"/>
      <c r="K17" s="21"/>
    </row>
    <row r="18" spans="1:12" s="28" customFormat="1" ht="43.65" customHeight="1" x14ac:dyDescent="0.3">
      <c r="A18" s="53">
        <v>2</v>
      </c>
      <c r="B18" s="20" t="s">
        <v>42</v>
      </c>
      <c r="C18" s="19" t="s">
        <v>43</v>
      </c>
      <c r="D18" s="7">
        <v>2018</v>
      </c>
      <c r="E18" s="7"/>
      <c r="F18" s="52">
        <f>G18+H18+I18+J18+K18</f>
        <v>12380.1</v>
      </c>
      <c r="G18" s="32">
        <f>2536.9+9843.2</f>
        <v>12380.1</v>
      </c>
      <c r="H18" s="32"/>
      <c r="I18" s="32"/>
      <c r="J18" s="32"/>
      <c r="K18" s="32"/>
    </row>
    <row r="19" spans="1:12" s="28" customFormat="1" ht="43.35" customHeight="1" x14ac:dyDescent="0.3">
      <c r="A19" s="57">
        <v>3</v>
      </c>
      <c r="B19" s="39" t="s">
        <v>202</v>
      </c>
      <c r="C19" s="19" t="s">
        <v>46</v>
      </c>
      <c r="D19" s="7" t="s">
        <v>47</v>
      </c>
      <c r="E19" s="7"/>
      <c r="F19" s="52">
        <f t="shared" ref="F19" si="2">+G19+H19+I19+J19+K19</f>
        <v>1507.8999999999999</v>
      </c>
      <c r="G19" s="32">
        <f>1562.1-110.9</f>
        <v>1451.1999999999998</v>
      </c>
      <c r="H19" s="32"/>
      <c r="I19" s="32"/>
      <c r="J19" s="32"/>
      <c r="K19" s="32">
        <v>56.7</v>
      </c>
    </row>
    <row r="20" spans="1:12" s="28" customFormat="1" ht="54.6" customHeight="1" x14ac:dyDescent="0.3">
      <c r="A20" s="57">
        <v>4</v>
      </c>
      <c r="B20" s="39" t="s">
        <v>201</v>
      </c>
      <c r="C20" s="41"/>
      <c r="D20" s="106" t="s">
        <v>44</v>
      </c>
      <c r="E20" s="7" t="s">
        <v>44</v>
      </c>
      <c r="F20" s="52">
        <f>G20+H20+I20+J20+K20</f>
        <v>149</v>
      </c>
      <c r="G20" s="32">
        <f>249-100</f>
        <v>149</v>
      </c>
      <c r="H20" s="32"/>
      <c r="I20" s="32"/>
      <c r="J20" s="32"/>
      <c r="K20" s="32"/>
    </row>
    <row r="21" spans="1:12" s="28" customFormat="1" ht="54.6" customHeight="1" x14ac:dyDescent="0.3">
      <c r="A21" s="57">
        <v>5</v>
      </c>
      <c r="B21" s="39" t="s">
        <v>200</v>
      </c>
      <c r="C21" s="41"/>
      <c r="D21" s="106" t="s">
        <v>33</v>
      </c>
      <c r="E21" s="7" t="s">
        <v>33</v>
      </c>
      <c r="F21" s="52">
        <f>G21+H21+I21+J21+K21</f>
        <v>100</v>
      </c>
      <c r="G21" s="32">
        <v>100</v>
      </c>
      <c r="H21" s="32"/>
      <c r="I21" s="32"/>
      <c r="J21" s="32"/>
      <c r="K21" s="32"/>
    </row>
    <row r="22" spans="1:12" s="28" customFormat="1" ht="15" customHeight="1" x14ac:dyDescent="0.3">
      <c r="A22" s="101">
        <v>5</v>
      </c>
      <c r="B22" s="118" t="s">
        <v>37</v>
      </c>
      <c r="C22" s="96"/>
      <c r="D22" s="102"/>
      <c r="E22" s="98" t="s">
        <v>14</v>
      </c>
      <c r="F22" s="46">
        <f>SUM(F17:F21)</f>
        <v>26633</v>
      </c>
      <c r="G22" s="46">
        <f>SUM(G17:G21)</f>
        <v>16379.2</v>
      </c>
      <c r="H22" s="46">
        <f>SUM(H17:H21)</f>
        <v>10197.1</v>
      </c>
      <c r="I22" s="46">
        <f t="shared" ref="I22:J22" si="3">SUM(I17:I19)</f>
        <v>0</v>
      </c>
      <c r="J22" s="46">
        <f t="shared" si="3"/>
        <v>0</v>
      </c>
      <c r="K22" s="46">
        <f>SUM(K17:K20)</f>
        <v>56.7</v>
      </c>
    </row>
    <row r="23" spans="1:12" ht="17.25" customHeight="1" x14ac:dyDescent="0.25">
      <c r="A23" s="159" t="s">
        <v>48</v>
      </c>
      <c r="B23" s="160"/>
      <c r="C23" s="160"/>
      <c r="D23" s="160"/>
      <c r="E23" s="160"/>
      <c r="F23" s="160"/>
      <c r="G23" s="160"/>
      <c r="H23" s="160"/>
      <c r="I23" s="160"/>
      <c r="J23" s="160"/>
      <c r="K23" s="161"/>
    </row>
    <row r="24" spans="1:12" ht="54" customHeight="1" x14ac:dyDescent="0.25">
      <c r="A24" s="117" t="s">
        <v>21</v>
      </c>
      <c r="B24" s="114" t="s">
        <v>49</v>
      </c>
      <c r="C24" s="90" t="s">
        <v>29</v>
      </c>
      <c r="D24" s="4">
        <v>2016</v>
      </c>
      <c r="E24" s="4" t="s">
        <v>33</v>
      </c>
      <c r="F24" s="50">
        <f t="shared" ref="F24:F42" si="4">+G24+H24+I24+J24+K24</f>
        <v>1236.5999999999999</v>
      </c>
      <c r="G24" s="91">
        <v>1236.5999999999999</v>
      </c>
      <c r="H24" s="91"/>
      <c r="I24" s="91"/>
      <c r="J24" s="91"/>
      <c r="K24" s="91"/>
    </row>
    <row r="25" spans="1:12" ht="41.1" customHeight="1" x14ac:dyDescent="0.25">
      <c r="A25" s="53" t="s">
        <v>40</v>
      </c>
      <c r="B25" s="39" t="s">
        <v>50</v>
      </c>
      <c r="C25" s="19" t="s">
        <v>51</v>
      </c>
      <c r="D25" s="3" t="s">
        <v>45</v>
      </c>
      <c r="E25" s="3" t="s">
        <v>33</v>
      </c>
      <c r="F25" s="49">
        <f t="shared" si="4"/>
        <v>1318.6999999999998</v>
      </c>
      <c r="G25" s="21">
        <v>1142.0999999999999</v>
      </c>
      <c r="H25" s="21"/>
      <c r="I25" s="21"/>
      <c r="J25" s="21"/>
      <c r="K25" s="21">
        <v>176.6</v>
      </c>
    </row>
    <row r="26" spans="1:12" ht="27.75" customHeight="1" x14ac:dyDescent="0.25">
      <c r="A26" s="117">
        <v>3</v>
      </c>
      <c r="B26" s="114" t="s">
        <v>52</v>
      </c>
      <c r="C26" s="89" t="s">
        <v>29</v>
      </c>
      <c r="D26" s="7" t="s">
        <v>47</v>
      </c>
      <c r="E26" s="7" t="s">
        <v>44</v>
      </c>
      <c r="F26" s="50">
        <f t="shared" si="4"/>
        <v>308</v>
      </c>
      <c r="G26" s="91">
        <v>308</v>
      </c>
      <c r="H26" s="91"/>
      <c r="I26" s="91"/>
      <c r="J26" s="91"/>
      <c r="K26" s="91"/>
    </row>
    <row r="27" spans="1:12" ht="40.5" customHeight="1" x14ac:dyDescent="0.25">
      <c r="A27" s="117">
        <v>4</v>
      </c>
      <c r="B27" s="20" t="s">
        <v>55</v>
      </c>
      <c r="C27" s="19" t="s">
        <v>56</v>
      </c>
      <c r="D27" s="3" t="s">
        <v>54</v>
      </c>
      <c r="E27" s="3" t="s">
        <v>44</v>
      </c>
      <c r="F27" s="51">
        <f>+G27+H27+I27+J27+K27</f>
        <v>2967.5999999999995</v>
      </c>
      <c r="G27" s="21">
        <f>2035.1+58.1-25</f>
        <v>2068.1999999999998</v>
      </c>
      <c r="H27" s="83">
        <v>826.2</v>
      </c>
      <c r="I27" s="83">
        <v>73.2</v>
      </c>
      <c r="J27" s="21"/>
      <c r="K27" s="21"/>
    </row>
    <row r="28" spans="1:12" ht="41.1" customHeight="1" x14ac:dyDescent="0.25">
      <c r="A28" s="117">
        <v>5</v>
      </c>
      <c r="B28" s="20" t="s">
        <v>57</v>
      </c>
      <c r="C28" s="89" t="s">
        <v>58</v>
      </c>
      <c r="D28" s="7" t="s">
        <v>27</v>
      </c>
      <c r="E28" s="7" t="s">
        <v>84</v>
      </c>
      <c r="F28" s="50">
        <f t="shared" si="4"/>
        <v>1243.2</v>
      </c>
      <c r="G28" s="19">
        <v>1243.2</v>
      </c>
      <c r="H28" s="19"/>
      <c r="I28" s="19"/>
      <c r="J28" s="19"/>
      <c r="K28" s="19"/>
    </row>
    <row r="29" spans="1:12" ht="54.6" customHeight="1" x14ac:dyDescent="0.25">
      <c r="A29" s="117">
        <v>6</v>
      </c>
      <c r="B29" s="20" t="s">
        <v>186</v>
      </c>
      <c r="C29" s="89" t="s">
        <v>59</v>
      </c>
      <c r="D29" s="7" t="s">
        <v>54</v>
      </c>
      <c r="E29" s="7" t="s">
        <v>36</v>
      </c>
      <c r="F29" s="50">
        <f t="shared" si="4"/>
        <v>1600</v>
      </c>
      <c r="G29" s="21">
        <v>800</v>
      </c>
      <c r="H29" s="19"/>
      <c r="I29" s="19"/>
      <c r="J29" s="19">
        <v>800</v>
      </c>
      <c r="K29" s="19"/>
    </row>
    <row r="30" spans="1:12" ht="17.399999999999999" customHeight="1" x14ac:dyDescent="0.25">
      <c r="A30" s="117">
        <v>7</v>
      </c>
      <c r="B30" s="39" t="s">
        <v>160</v>
      </c>
      <c r="C30" s="89" t="s">
        <v>29</v>
      </c>
      <c r="D30" s="7" t="s">
        <v>45</v>
      </c>
      <c r="E30" s="7" t="s">
        <v>31</v>
      </c>
      <c r="F30" s="50">
        <f t="shared" si="4"/>
        <v>3936.1</v>
      </c>
      <c r="G30" s="19">
        <v>706.1</v>
      </c>
      <c r="H30" s="19">
        <v>3230</v>
      </c>
      <c r="I30" s="19"/>
      <c r="J30" s="19"/>
      <c r="K30" s="19"/>
    </row>
    <row r="31" spans="1:12" ht="56.1" customHeight="1" x14ac:dyDescent="0.25">
      <c r="A31" s="117">
        <v>8</v>
      </c>
      <c r="B31" s="39" t="s">
        <v>60</v>
      </c>
      <c r="C31" s="19" t="s">
        <v>61</v>
      </c>
      <c r="D31" s="7" t="s">
        <v>23</v>
      </c>
      <c r="E31" s="7" t="s">
        <v>44</v>
      </c>
      <c r="F31" s="51">
        <f t="shared" si="4"/>
        <v>536.9</v>
      </c>
      <c r="G31" s="91">
        <v>111.8</v>
      </c>
      <c r="H31" s="113">
        <v>425.1</v>
      </c>
      <c r="I31" s="19"/>
      <c r="J31" s="19"/>
      <c r="K31" s="19"/>
      <c r="L31" s="121"/>
    </row>
    <row r="32" spans="1:12" ht="42.9" customHeight="1" x14ac:dyDescent="0.25">
      <c r="A32" s="117">
        <v>9</v>
      </c>
      <c r="B32" s="39" t="s">
        <v>62</v>
      </c>
      <c r="C32" s="19" t="s">
        <v>63</v>
      </c>
      <c r="D32" s="7" t="s">
        <v>23</v>
      </c>
      <c r="E32" s="7" t="s">
        <v>31</v>
      </c>
      <c r="F32" s="51">
        <f t="shared" si="4"/>
        <v>688.9</v>
      </c>
      <c r="G32" s="91">
        <v>688.9</v>
      </c>
      <c r="H32" s="113"/>
      <c r="I32" s="19"/>
      <c r="J32" s="19"/>
      <c r="K32" s="19"/>
      <c r="L32" s="122"/>
    </row>
    <row r="33" spans="1:12" ht="31.35" customHeight="1" x14ac:dyDescent="0.25">
      <c r="A33" s="117">
        <v>10</v>
      </c>
      <c r="B33" s="39" t="s">
        <v>64</v>
      </c>
      <c r="C33" s="19" t="s">
        <v>63</v>
      </c>
      <c r="D33" s="7" t="s">
        <v>23</v>
      </c>
      <c r="E33" s="7" t="s">
        <v>31</v>
      </c>
      <c r="F33" s="51">
        <f t="shared" si="4"/>
        <v>790</v>
      </c>
      <c r="G33" s="91">
        <v>790</v>
      </c>
      <c r="H33" s="113"/>
      <c r="I33" s="19"/>
      <c r="J33" s="19"/>
      <c r="K33" s="19"/>
      <c r="L33" s="122"/>
    </row>
    <row r="34" spans="1:12" ht="28.5" customHeight="1" x14ac:dyDescent="0.25">
      <c r="A34" s="117">
        <v>11</v>
      </c>
      <c r="B34" s="39" t="s">
        <v>65</v>
      </c>
      <c r="C34" s="19" t="s">
        <v>63</v>
      </c>
      <c r="D34" s="7" t="s">
        <v>23</v>
      </c>
      <c r="E34" s="7" t="s">
        <v>36</v>
      </c>
      <c r="F34" s="51">
        <f t="shared" si="4"/>
        <v>363</v>
      </c>
      <c r="G34" s="91">
        <v>363</v>
      </c>
      <c r="H34" s="113"/>
      <c r="I34" s="19"/>
      <c r="J34" s="19"/>
      <c r="K34" s="19"/>
      <c r="L34" s="122"/>
    </row>
    <row r="35" spans="1:12" ht="41.25" customHeight="1" x14ac:dyDescent="0.25">
      <c r="A35" s="117">
        <v>12</v>
      </c>
      <c r="B35" s="123" t="s">
        <v>161</v>
      </c>
      <c r="C35" s="41"/>
      <c r="D35" s="7" t="s">
        <v>33</v>
      </c>
      <c r="E35" s="42" t="s">
        <v>31</v>
      </c>
      <c r="F35" s="50">
        <f t="shared" si="4"/>
        <v>1907.5</v>
      </c>
      <c r="G35" s="113">
        <v>307.5</v>
      </c>
      <c r="H35" s="91">
        <v>1600</v>
      </c>
      <c r="I35" s="19"/>
      <c r="J35" s="19"/>
      <c r="K35" s="19"/>
      <c r="L35" s="122"/>
    </row>
    <row r="36" spans="1:12" ht="46.65" customHeight="1" x14ac:dyDescent="0.25">
      <c r="A36" s="117">
        <v>13</v>
      </c>
      <c r="B36" s="123" t="s">
        <v>187</v>
      </c>
      <c r="C36" s="41"/>
      <c r="D36" s="7" t="s">
        <v>33</v>
      </c>
      <c r="E36" s="42" t="s">
        <v>36</v>
      </c>
      <c r="F36" s="50">
        <f t="shared" si="4"/>
        <v>2376.9</v>
      </c>
      <c r="G36" s="113">
        <v>455.8</v>
      </c>
      <c r="H36" s="91">
        <v>1921.1</v>
      </c>
      <c r="I36" s="19"/>
      <c r="J36" s="19"/>
      <c r="K36" s="19"/>
      <c r="L36" s="124"/>
    </row>
    <row r="37" spans="1:12" ht="30.75" customHeight="1" x14ac:dyDescent="0.25">
      <c r="A37" s="117">
        <v>14</v>
      </c>
      <c r="B37" s="123" t="s">
        <v>162</v>
      </c>
      <c r="C37" s="41"/>
      <c r="D37" s="7" t="s">
        <v>33</v>
      </c>
      <c r="E37" s="42" t="s">
        <v>44</v>
      </c>
      <c r="F37" s="50">
        <f t="shared" si="4"/>
        <v>367.7</v>
      </c>
      <c r="G37" s="113">
        <v>55.2</v>
      </c>
      <c r="H37" s="91">
        <v>312.5</v>
      </c>
      <c r="I37" s="19"/>
      <c r="J37" s="19"/>
      <c r="K37" s="19"/>
      <c r="L37" s="124"/>
    </row>
    <row r="38" spans="1:12" ht="57.6" customHeight="1" x14ac:dyDescent="0.25">
      <c r="A38" s="117">
        <v>15</v>
      </c>
      <c r="B38" s="123" t="s">
        <v>163</v>
      </c>
      <c r="C38" s="41"/>
      <c r="D38" s="7" t="s">
        <v>33</v>
      </c>
      <c r="E38" s="42" t="s">
        <v>36</v>
      </c>
      <c r="F38" s="50">
        <f t="shared" si="4"/>
        <v>2260</v>
      </c>
      <c r="G38" s="113">
        <v>305</v>
      </c>
      <c r="H38" s="91">
        <v>1955</v>
      </c>
      <c r="I38" s="19"/>
      <c r="J38" s="19"/>
      <c r="K38" s="19"/>
      <c r="L38" s="127"/>
    </row>
    <row r="39" spans="1:12" ht="37.5" customHeight="1" x14ac:dyDescent="0.25">
      <c r="A39" s="117">
        <v>16</v>
      </c>
      <c r="B39" s="123" t="s">
        <v>164</v>
      </c>
      <c r="C39" s="41"/>
      <c r="D39" s="7" t="s">
        <v>33</v>
      </c>
      <c r="E39" s="42" t="s">
        <v>84</v>
      </c>
      <c r="F39" s="50">
        <f t="shared" si="4"/>
        <v>2000.1</v>
      </c>
      <c r="G39" s="113">
        <v>300.10000000000002</v>
      </c>
      <c r="H39" s="91">
        <v>1700</v>
      </c>
      <c r="I39" s="19"/>
      <c r="J39" s="19"/>
      <c r="K39" s="19"/>
      <c r="L39" s="124"/>
    </row>
    <row r="40" spans="1:12" ht="54.6" customHeight="1" x14ac:dyDescent="0.25">
      <c r="A40" s="117">
        <v>17</v>
      </c>
      <c r="B40" s="142" t="s">
        <v>66</v>
      </c>
      <c r="C40" s="89" t="s">
        <v>67</v>
      </c>
      <c r="D40" s="7" t="s">
        <v>45</v>
      </c>
      <c r="E40" s="7" t="s">
        <v>33</v>
      </c>
      <c r="F40" s="50">
        <f t="shared" si="4"/>
        <v>727.3</v>
      </c>
      <c r="G40" s="91">
        <f>728.3-1</f>
        <v>727.3</v>
      </c>
      <c r="H40" s="91"/>
      <c r="I40" s="19"/>
      <c r="J40" s="19"/>
      <c r="K40" s="19"/>
      <c r="L40" s="125"/>
    </row>
    <row r="41" spans="1:12" ht="27.6" customHeight="1" x14ac:dyDescent="0.25">
      <c r="A41" s="117">
        <v>18</v>
      </c>
      <c r="B41" s="71" t="s">
        <v>68</v>
      </c>
      <c r="C41" s="19" t="s">
        <v>69</v>
      </c>
      <c r="D41" s="7" t="s">
        <v>47</v>
      </c>
      <c r="E41" s="7" t="s">
        <v>33</v>
      </c>
      <c r="F41" s="50">
        <f t="shared" si="4"/>
        <v>582.50000000000011</v>
      </c>
      <c r="G41" s="113">
        <f>320+141.6+123.2-2.3</f>
        <v>582.50000000000011</v>
      </c>
      <c r="H41" s="91"/>
      <c r="I41" s="19"/>
      <c r="J41" s="19"/>
      <c r="K41" s="19"/>
    </row>
    <row r="42" spans="1:12" ht="55.35" customHeight="1" x14ac:dyDescent="0.25">
      <c r="A42" s="63">
        <v>19</v>
      </c>
      <c r="B42" s="87" t="s">
        <v>165</v>
      </c>
      <c r="C42" s="41"/>
      <c r="D42" s="7" t="s">
        <v>44</v>
      </c>
      <c r="E42" s="42"/>
      <c r="F42" s="50">
        <f t="shared" si="4"/>
        <v>20</v>
      </c>
      <c r="G42" s="113">
        <v>20</v>
      </c>
      <c r="H42" s="91"/>
      <c r="I42" s="19"/>
      <c r="J42" s="19"/>
      <c r="K42" s="19"/>
      <c r="L42" s="126"/>
    </row>
    <row r="43" spans="1:12" ht="15.6" customHeight="1" x14ac:dyDescent="0.25">
      <c r="A43" s="55">
        <v>19</v>
      </c>
      <c r="B43" s="77" t="s">
        <v>70</v>
      </c>
      <c r="C43" s="96"/>
      <c r="D43" s="98"/>
      <c r="E43" s="44" t="s">
        <v>14</v>
      </c>
      <c r="F43" s="45">
        <f>SUM(F24:F42)</f>
        <v>25231</v>
      </c>
      <c r="G43" s="45">
        <f>SUM(G24:G42)</f>
        <v>12211.3</v>
      </c>
      <c r="H43" s="45">
        <f t="shared" ref="H43:K43" si="5">SUM(H24:H42)</f>
        <v>11969.9</v>
      </c>
      <c r="I43" s="45">
        <f t="shared" si="5"/>
        <v>73.2</v>
      </c>
      <c r="J43" s="45">
        <f t="shared" si="5"/>
        <v>800</v>
      </c>
      <c r="K43" s="45">
        <f t="shared" si="5"/>
        <v>176.6</v>
      </c>
    </row>
    <row r="44" spans="1:12" ht="16.5" customHeight="1" x14ac:dyDescent="0.25">
      <c r="A44" s="159" t="s">
        <v>71</v>
      </c>
      <c r="B44" s="160"/>
      <c r="C44" s="160"/>
      <c r="D44" s="160"/>
      <c r="E44" s="160"/>
      <c r="F44" s="160"/>
      <c r="G44" s="160"/>
      <c r="H44" s="160"/>
      <c r="I44" s="160"/>
      <c r="J44" s="160"/>
      <c r="K44" s="79"/>
    </row>
    <row r="45" spans="1:12" ht="29.25" customHeight="1" x14ac:dyDescent="0.25">
      <c r="A45" s="115" t="s">
        <v>21</v>
      </c>
      <c r="B45" s="37" t="s">
        <v>72</v>
      </c>
      <c r="C45" s="89" t="s">
        <v>73</v>
      </c>
      <c r="D45" s="36" t="s">
        <v>27</v>
      </c>
      <c r="E45" s="36" t="s">
        <v>36</v>
      </c>
      <c r="F45" s="52">
        <f t="shared" ref="F45:F76" si="6">+G45+H45+I45+J45+K45</f>
        <v>47009.500000000007</v>
      </c>
      <c r="G45" s="32">
        <f>5951.7+482.8</f>
        <v>6434.5</v>
      </c>
      <c r="H45" s="32"/>
      <c r="I45" s="32">
        <f>35528.9-1600-4125-482.8</f>
        <v>29321.100000000002</v>
      </c>
      <c r="J45" s="32">
        <f>6753.9</f>
        <v>6753.9</v>
      </c>
      <c r="K45" s="32">
        <v>4500</v>
      </c>
    </row>
    <row r="46" spans="1:12" ht="82.5" customHeight="1" x14ac:dyDescent="0.25">
      <c r="A46" s="53">
        <v>2</v>
      </c>
      <c r="B46" s="71" t="s">
        <v>74</v>
      </c>
      <c r="C46" s="19" t="s">
        <v>75</v>
      </c>
      <c r="D46" s="7" t="s">
        <v>27</v>
      </c>
      <c r="E46" s="7" t="s">
        <v>33</v>
      </c>
      <c r="F46" s="49">
        <f t="shared" si="6"/>
        <v>3937.1</v>
      </c>
      <c r="G46" s="19">
        <f>1530.2+10+11.5</f>
        <v>1551.7</v>
      </c>
      <c r="H46" s="19">
        <f>1359.1+60.4-69.5+9.3</f>
        <v>1359.3</v>
      </c>
      <c r="I46" s="19"/>
      <c r="J46" s="19">
        <v>1026.0999999999999</v>
      </c>
      <c r="K46" s="19"/>
    </row>
    <row r="47" spans="1:12" ht="15" customHeight="1" x14ac:dyDescent="0.25">
      <c r="A47" s="54">
        <v>3</v>
      </c>
      <c r="B47" s="24" t="s">
        <v>76</v>
      </c>
      <c r="C47" s="91" t="s">
        <v>56</v>
      </c>
      <c r="D47" s="43" t="s">
        <v>47</v>
      </c>
      <c r="E47" s="43" t="s">
        <v>33</v>
      </c>
      <c r="F47" s="50">
        <f t="shared" si="6"/>
        <v>1363.1999999999998</v>
      </c>
      <c r="G47" s="91">
        <f>864+118.5-10-111.2</f>
        <v>861.3</v>
      </c>
      <c r="H47" s="91">
        <f>500+1.9</f>
        <v>501.9</v>
      </c>
      <c r="I47" s="91"/>
      <c r="J47" s="91"/>
      <c r="K47" s="91"/>
    </row>
    <row r="48" spans="1:12" ht="15" customHeight="1" x14ac:dyDescent="0.25">
      <c r="A48" s="115">
        <v>4</v>
      </c>
      <c r="B48" s="141" t="s">
        <v>77</v>
      </c>
      <c r="C48" s="19" t="s">
        <v>78</v>
      </c>
      <c r="D48" s="7" t="s">
        <v>79</v>
      </c>
      <c r="E48" s="7" t="s">
        <v>33</v>
      </c>
      <c r="F48" s="49">
        <f t="shared" si="6"/>
        <v>2906.2000000000003</v>
      </c>
      <c r="G48" s="19">
        <v>2636.8</v>
      </c>
      <c r="H48" s="19"/>
      <c r="I48" s="19"/>
      <c r="J48" s="19">
        <v>269.39999999999998</v>
      </c>
      <c r="K48" s="19"/>
    </row>
    <row r="49" spans="1:12" ht="29.1" customHeight="1" x14ac:dyDescent="0.25">
      <c r="A49" s="53">
        <v>5</v>
      </c>
      <c r="B49" s="27" t="s">
        <v>80</v>
      </c>
      <c r="C49" s="19" t="s">
        <v>81</v>
      </c>
      <c r="D49" s="7" t="s">
        <v>82</v>
      </c>
      <c r="E49" s="7" t="s">
        <v>33</v>
      </c>
      <c r="F49" s="65">
        <f t="shared" si="6"/>
        <v>6551.6</v>
      </c>
      <c r="G49" s="26">
        <v>3049.5</v>
      </c>
      <c r="H49" s="19"/>
      <c r="I49" s="19"/>
      <c r="J49" s="19">
        <f>5349.6-1788.3-35.2-24</f>
        <v>3502.1000000000004</v>
      </c>
      <c r="K49" s="19"/>
    </row>
    <row r="50" spans="1:12" ht="15.75" customHeight="1" x14ac:dyDescent="0.25">
      <c r="A50" s="53">
        <v>6</v>
      </c>
      <c r="B50" s="27" t="s">
        <v>83</v>
      </c>
      <c r="C50" s="19" t="s">
        <v>43</v>
      </c>
      <c r="D50" s="7" t="s">
        <v>54</v>
      </c>
      <c r="E50" s="7" t="s">
        <v>84</v>
      </c>
      <c r="F50" s="49">
        <f t="shared" si="6"/>
        <v>4735</v>
      </c>
      <c r="G50" s="19">
        <v>2235</v>
      </c>
      <c r="H50" s="19"/>
      <c r="I50" s="19"/>
      <c r="J50" s="19">
        <v>2500</v>
      </c>
      <c r="K50" s="19"/>
    </row>
    <row r="51" spans="1:12" ht="29.1" customHeight="1" x14ac:dyDescent="0.25">
      <c r="A51" s="53">
        <v>7</v>
      </c>
      <c r="B51" s="27" t="s">
        <v>166</v>
      </c>
      <c r="C51" s="19"/>
      <c r="D51" s="7" t="s">
        <v>30</v>
      </c>
      <c r="E51" s="7" t="s">
        <v>84</v>
      </c>
      <c r="F51" s="65">
        <f>+G51+H51+I51+J51+K51</f>
        <v>4000.6000000000004</v>
      </c>
      <c r="G51" s="26">
        <v>2375.3000000000002</v>
      </c>
      <c r="H51" s="19">
        <v>0</v>
      </c>
      <c r="I51" s="19"/>
      <c r="J51" s="19">
        <v>1625.3</v>
      </c>
      <c r="K51" s="19"/>
      <c r="L51" s="130"/>
    </row>
    <row r="52" spans="1:12" ht="43.5" customHeight="1" x14ac:dyDescent="0.25">
      <c r="A52" s="53">
        <v>8</v>
      </c>
      <c r="B52" s="27" t="s">
        <v>194</v>
      </c>
      <c r="C52" s="19"/>
      <c r="D52" s="7" t="s">
        <v>45</v>
      </c>
      <c r="E52" s="7" t="s">
        <v>36</v>
      </c>
      <c r="F52" s="65">
        <f>+G52+H52+I52+J52+K52</f>
        <v>3100</v>
      </c>
      <c r="G52" s="26">
        <v>2475.1</v>
      </c>
      <c r="H52" s="19"/>
      <c r="I52" s="19"/>
      <c r="J52" s="19">
        <v>100</v>
      </c>
      <c r="K52" s="19">
        <v>524.9</v>
      </c>
      <c r="L52" s="130"/>
    </row>
    <row r="53" spans="1:12" ht="15.75" customHeight="1" x14ac:dyDescent="0.25">
      <c r="A53" s="53">
        <v>9</v>
      </c>
      <c r="B53" s="27" t="s">
        <v>85</v>
      </c>
      <c r="C53" s="19" t="s">
        <v>81</v>
      </c>
      <c r="D53" s="3" t="s">
        <v>45</v>
      </c>
      <c r="E53" s="3" t="s">
        <v>33</v>
      </c>
      <c r="F53" s="49">
        <f t="shared" si="6"/>
        <v>3782.8</v>
      </c>
      <c r="G53" s="21">
        <f>1476-267</f>
        <v>1209</v>
      </c>
      <c r="H53" s="21"/>
      <c r="I53" s="21"/>
      <c r="J53" s="21">
        <f>2624-50.2</f>
        <v>2573.8000000000002</v>
      </c>
      <c r="K53" s="21"/>
    </row>
    <row r="54" spans="1:12" ht="41.85" customHeight="1" x14ac:dyDescent="0.25">
      <c r="A54" s="115">
        <v>10</v>
      </c>
      <c r="B54" s="38" t="s">
        <v>86</v>
      </c>
      <c r="C54" s="91" t="s">
        <v>87</v>
      </c>
      <c r="D54" s="4" t="s">
        <v>30</v>
      </c>
      <c r="E54" s="4" t="s">
        <v>33</v>
      </c>
      <c r="F54" s="50">
        <f t="shared" si="6"/>
        <v>369.6</v>
      </c>
      <c r="G54" s="91">
        <f>68+72.9+70.3</f>
        <v>211.2</v>
      </c>
      <c r="H54" s="91">
        <f>158.4-39.6</f>
        <v>118.80000000000001</v>
      </c>
      <c r="I54" s="91">
        <v>39.6</v>
      </c>
      <c r="J54" s="91"/>
      <c r="K54" s="91"/>
    </row>
    <row r="55" spans="1:12" ht="28.5" customHeight="1" x14ac:dyDescent="0.25">
      <c r="A55" s="53">
        <v>11</v>
      </c>
      <c r="B55" s="38" t="s">
        <v>88</v>
      </c>
      <c r="C55" s="91" t="s">
        <v>89</v>
      </c>
      <c r="D55" s="4" t="s">
        <v>23</v>
      </c>
      <c r="E55" s="4" t="s">
        <v>33</v>
      </c>
      <c r="F55" s="50">
        <f t="shared" si="6"/>
        <v>167.7</v>
      </c>
      <c r="G55" s="91">
        <f>97.1-44.1</f>
        <v>52.999999999999993</v>
      </c>
      <c r="H55" s="91">
        <v>114.7</v>
      </c>
      <c r="I55" s="91"/>
      <c r="J55" s="91"/>
      <c r="K55" s="91"/>
    </row>
    <row r="56" spans="1:12" ht="27" customHeight="1" x14ac:dyDescent="0.25">
      <c r="A56" s="117">
        <v>12</v>
      </c>
      <c r="B56" s="38" t="s">
        <v>91</v>
      </c>
      <c r="C56" s="19" t="s">
        <v>92</v>
      </c>
      <c r="D56" s="6" t="s">
        <v>23</v>
      </c>
      <c r="E56" s="6" t="s">
        <v>33</v>
      </c>
      <c r="F56" s="62">
        <f t="shared" si="6"/>
        <v>5544.5999999999995</v>
      </c>
      <c r="G56" s="25">
        <f>768.4+2790.8+249.7+120+177</f>
        <v>4105.8999999999996</v>
      </c>
      <c r="H56" s="25"/>
      <c r="I56" s="25"/>
      <c r="J56" s="25">
        <v>1438.7</v>
      </c>
      <c r="K56" s="25"/>
    </row>
    <row r="57" spans="1:12" ht="42" customHeight="1" x14ac:dyDescent="0.25">
      <c r="A57" s="115">
        <v>13</v>
      </c>
      <c r="B57" s="37" t="s">
        <v>94</v>
      </c>
      <c r="C57" s="21" t="s">
        <v>43</v>
      </c>
      <c r="D57" s="36" t="s">
        <v>23</v>
      </c>
      <c r="E57" s="72">
        <v>2024</v>
      </c>
      <c r="F57" s="61">
        <f t="shared" si="6"/>
        <v>1400</v>
      </c>
      <c r="G57" s="40">
        <f>400+100</f>
        <v>500</v>
      </c>
      <c r="H57" s="75"/>
      <c r="I57" s="21"/>
      <c r="J57" s="21">
        <f>1000-100</f>
        <v>900</v>
      </c>
      <c r="K57" s="21"/>
    </row>
    <row r="58" spans="1:12" ht="42" customHeight="1" x14ac:dyDescent="0.25">
      <c r="A58" s="115">
        <v>14</v>
      </c>
      <c r="B58" s="37" t="s">
        <v>167</v>
      </c>
      <c r="C58" s="21"/>
      <c r="D58" s="36" t="s">
        <v>93</v>
      </c>
      <c r="E58" s="72">
        <v>2026</v>
      </c>
      <c r="F58" s="61">
        <f t="shared" si="6"/>
        <v>1695.5</v>
      </c>
      <c r="G58" s="40">
        <f>1700.1-4.6</f>
        <v>1695.5</v>
      </c>
      <c r="H58" s="75"/>
      <c r="I58" s="21"/>
      <c r="J58" s="21"/>
      <c r="K58" s="21"/>
      <c r="L58" s="122"/>
    </row>
    <row r="59" spans="1:12" ht="28.5" customHeight="1" x14ac:dyDescent="0.25">
      <c r="A59" s="115">
        <v>15</v>
      </c>
      <c r="B59" s="37" t="s">
        <v>95</v>
      </c>
      <c r="C59" s="19" t="s">
        <v>63</v>
      </c>
      <c r="D59" s="36" t="s">
        <v>23</v>
      </c>
      <c r="E59" s="72">
        <v>2024</v>
      </c>
      <c r="F59" s="61">
        <f t="shared" si="6"/>
        <v>386</v>
      </c>
      <c r="G59" s="40">
        <f>515-129</f>
        <v>386</v>
      </c>
      <c r="H59" s="75"/>
      <c r="I59" s="21"/>
      <c r="J59" s="21"/>
      <c r="K59" s="21"/>
    </row>
    <row r="60" spans="1:12" ht="16.5" customHeight="1" x14ac:dyDescent="0.25">
      <c r="A60" s="115">
        <v>16</v>
      </c>
      <c r="B60" s="37" t="s">
        <v>96</v>
      </c>
      <c r="C60" s="19" t="s">
        <v>56</v>
      </c>
      <c r="D60" s="36" t="s">
        <v>33</v>
      </c>
      <c r="E60" s="72">
        <v>2024</v>
      </c>
      <c r="F60" s="61">
        <f t="shared" si="6"/>
        <v>359</v>
      </c>
      <c r="G60" s="40">
        <v>359</v>
      </c>
      <c r="H60" s="75"/>
      <c r="I60" s="21"/>
      <c r="J60" s="21"/>
      <c r="K60" s="21"/>
    </row>
    <row r="61" spans="1:12" ht="30.6" customHeight="1" x14ac:dyDescent="0.25">
      <c r="A61" s="115">
        <v>17</v>
      </c>
      <c r="B61" s="37" t="s">
        <v>183</v>
      </c>
      <c r="C61" s="21" t="s">
        <v>97</v>
      </c>
      <c r="D61" s="36" t="s">
        <v>23</v>
      </c>
      <c r="E61" s="72">
        <v>2026</v>
      </c>
      <c r="F61" s="61">
        <f t="shared" si="6"/>
        <v>3200</v>
      </c>
      <c r="G61" s="40">
        <v>800</v>
      </c>
      <c r="H61" s="75"/>
      <c r="I61" s="21"/>
      <c r="J61" s="21">
        <v>2400</v>
      </c>
      <c r="K61" s="21"/>
    </row>
    <row r="62" spans="1:12" ht="28.5" customHeight="1" x14ac:dyDescent="0.25">
      <c r="A62" s="53">
        <v>18</v>
      </c>
      <c r="B62" s="71" t="s">
        <v>98</v>
      </c>
      <c r="C62" s="19" t="s">
        <v>69</v>
      </c>
      <c r="D62" s="72">
        <v>2021</v>
      </c>
      <c r="E62" s="72">
        <v>2025</v>
      </c>
      <c r="F62" s="61">
        <f t="shared" si="6"/>
        <v>1200.0999999999999</v>
      </c>
      <c r="G62" s="40">
        <v>300.10000000000002</v>
      </c>
      <c r="H62" s="75"/>
      <c r="I62" s="21"/>
      <c r="J62" s="21">
        <v>900</v>
      </c>
      <c r="K62" s="21"/>
    </row>
    <row r="63" spans="1:12" ht="28.5" customHeight="1" x14ac:dyDescent="0.25">
      <c r="A63" s="53">
        <v>19</v>
      </c>
      <c r="B63" s="107" t="s">
        <v>168</v>
      </c>
      <c r="C63" s="19"/>
      <c r="D63" s="128">
        <v>2021</v>
      </c>
      <c r="E63" s="129">
        <v>2025</v>
      </c>
      <c r="F63" s="61">
        <f t="shared" si="6"/>
        <v>4050.1</v>
      </c>
      <c r="G63" s="40">
        <v>2050.1</v>
      </c>
      <c r="H63" s="75"/>
      <c r="I63" s="21"/>
      <c r="J63" s="21">
        <v>2000</v>
      </c>
      <c r="K63" s="21"/>
      <c r="L63" s="140"/>
    </row>
    <row r="64" spans="1:12" ht="29.4" customHeight="1" x14ac:dyDescent="0.25">
      <c r="A64" s="53">
        <v>20</v>
      </c>
      <c r="B64" s="143" t="s">
        <v>99</v>
      </c>
      <c r="C64" s="19" t="s">
        <v>100</v>
      </c>
      <c r="D64" s="85">
        <v>2021</v>
      </c>
      <c r="E64" s="85">
        <v>2023</v>
      </c>
      <c r="F64" s="61">
        <f t="shared" si="6"/>
        <v>290.09999999999997</v>
      </c>
      <c r="G64" s="40">
        <f>360-28-38.1-3.8</f>
        <v>290.09999999999997</v>
      </c>
      <c r="H64" s="75"/>
      <c r="I64" s="21"/>
      <c r="J64" s="21"/>
      <c r="K64" s="21"/>
    </row>
    <row r="65" spans="1:12" ht="44.1" customHeight="1" x14ac:dyDescent="0.25">
      <c r="A65" s="53">
        <v>21</v>
      </c>
      <c r="B65" s="107" t="s">
        <v>188</v>
      </c>
      <c r="C65" s="19" t="s">
        <v>101</v>
      </c>
      <c r="D65" s="108">
        <v>2022</v>
      </c>
      <c r="E65" s="86">
        <v>2023</v>
      </c>
      <c r="F65" s="61">
        <f t="shared" si="6"/>
        <v>174.8</v>
      </c>
      <c r="G65" s="40">
        <f>0.9-0.1</f>
        <v>0.8</v>
      </c>
      <c r="H65" s="75"/>
      <c r="I65" s="21">
        <f>132.3+41.7</f>
        <v>174</v>
      </c>
      <c r="J65" s="21"/>
      <c r="K65" s="21"/>
    </row>
    <row r="66" spans="1:12" ht="42.6" customHeight="1" x14ac:dyDescent="0.25">
      <c r="A66" s="53">
        <v>22</v>
      </c>
      <c r="B66" s="107" t="s">
        <v>189</v>
      </c>
      <c r="C66" s="95" t="s">
        <v>101</v>
      </c>
      <c r="D66" s="85">
        <v>2022</v>
      </c>
      <c r="E66" s="86">
        <v>2023</v>
      </c>
      <c r="F66" s="61">
        <f t="shared" si="6"/>
        <v>2423.7999999999997</v>
      </c>
      <c r="G66" s="40">
        <v>2.2000000000000002</v>
      </c>
      <c r="H66" s="75"/>
      <c r="I66" s="21">
        <f>1779.3+642.3</f>
        <v>2421.6</v>
      </c>
      <c r="J66" s="21"/>
      <c r="K66" s="21"/>
    </row>
    <row r="67" spans="1:12" ht="42.6" customHeight="1" x14ac:dyDescent="0.25">
      <c r="A67" s="53">
        <v>23</v>
      </c>
      <c r="B67" s="107" t="s">
        <v>102</v>
      </c>
      <c r="C67" s="95" t="s">
        <v>69</v>
      </c>
      <c r="D67" s="85">
        <v>2022</v>
      </c>
      <c r="E67" s="86">
        <v>2025</v>
      </c>
      <c r="F67" s="61">
        <f t="shared" si="6"/>
        <v>6625.1</v>
      </c>
      <c r="G67" s="40">
        <v>6625.1</v>
      </c>
      <c r="H67" s="75"/>
      <c r="I67" s="21"/>
      <c r="J67" s="21"/>
      <c r="K67" s="21"/>
    </row>
    <row r="68" spans="1:12" ht="41.85" customHeight="1" x14ac:dyDescent="0.25">
      <c r="A68" s="53">
        <v>24</v>
      </c>
      <c r="B68" s="107" t="s">
        <v>103</v>
      </c>
      <c r="C68" s="95" t="s">
        <v>29</v>
      </c>
      <c r="D68" s="85">
        <v>2022</v>
      </c>
      <c r="E68" s="86">
        <v>2023</v>
      </c>
      <c r="F68" s="61">
        <f t="shared" si="6"/>
        <v>8916.3000000000011</v>
      </c>
      <c r="G68" s="40">
        <f>617.7+720</f>
        <v>1337.7</v>
      </c>
      <c r="H68" s="21">
        <v>7578.6</v>
      </c>
      <c r="I68" s="21"/>
      <c r="J68" s="21"/>
      <c r="K68" s="21"/>
    </row>
    <row r="69" spans="1:12" ht="41.85" customHeight="1" x14ac:dyDescent="0.25">
      <c r="A69" s="53">
        <v>25</v>
      </c>
      <c r="B69" s="107" t="s">
        <v>169</v>
      </c>
      <c r="C69" s="95"/>
      <c r="D69" s="85">
        <v>2022</v>
      </c>
      <c r="E69" s="86">
        <v>2026</v>
      </c>
      <c r="F69" s="61">
        <f t="shared" si="6"/>
        <v>530.1</v>
      </c>
      <c r="G69" s="40">
        <v>530.1</v>
      </c>
      <c r="H69" s="21"/>
      <c r="I69" s="21"/>
      <c r="J69" s="21"/>
      <c r="K69" s="21"/>
      <c r="L69" s="140"/>
    </row>
    <row r="70" spans="1:12" ht="21.75" customHeight="1" x14ac:dyDescent="0.25">
      <c r="A70" s="53">
        <v>26</v>
      </c>
      <c r="B70" s="87" t="s">
        <v>170</v>
      </c>
      <c r="C70" s="19"/>
      <c r="D70" s="85">
        <v>2024</v>
      </c>
      <c r="E70" s="85">
        <v>2026</v>
      </c>
      <c r="F70" s="61">
        <f t="shared" si="6"/>
        <v>1150.0999999999999</v>
      </c>
      <c r="G70" s="40">
        <v>569.9</v>
      </c>
      <c r="H70" s="75"/>
      <c r="I70" s="21"/>
      <c r="J70" s="21">
        <v>580.20000000000005</v>
      </c>
      <c r="K70" s="21"/>
      <c r="L70" s="122"/>
    </row>
    <row r="71" spans="1:12" ht="41.25" customHeight="1" x14ac:dyDescent="0.25">
      <c r="A71" s="53">
        <v>27</v>
      </c>
      <c r="B71" s="107" t="s">
        <v>190</v>
      </c>
      <c r="C71" s="19"/>
      <c r="D71" s="85">
        <v>2025</v>
      </c>
      <c r="E71" s="86">
        <v>2027</v>
      </c>
      <c r="F71" s="61">
        <f t="shared" si="6"/>
        <v>4200</v>
      </c>
      <c r="G71" s="40">
        <v>4200</v>
      </c>
      <c r="H71" s="75"/>
      <c r="I71" s="21"/>
      <c r="J71" s="21"/>
      <c r="K71" s="21"/>
      <c r="L71" s="122"/>
    </row>
    <row r="72" spans="1:12" ht="29.4" customHeight="1" x14ac:dyDescent="0.25">
      <c r="A72" s="53">
        <v>28</v>
      </c>
      <c r="B72" s="107" t="s">
        <v>171</v>
      </c>
      <c r="C72" s="19"/>
      <c r="D72" s="85">
        <v>2023</v>
      </c>
      <c r="E72" s="86">
        <v>2026</v>
      </c>
      <c r="F72" s="61">
        <f t="shared" si="6"/>
        <v>0</v>
      </c>
      <c r="G72" s="40">
        <f>1000-1000</f>
        <v>0</v>
      </c>
      <c r="H72" s="75"/>
      <c r="I72" s="21"/>
      <c r="J72" s="21"/>
      <c r="K72" s="21"/>
      <c r="L72" s="122"/>
    </row>
    <row r="73" spans="1:12" ht="57.75" customHeight="1" x14ac:dyDescent="0.25">
      <c r="A73" s="53">
        <v>29</v>
      </c>
      <c r="B73" s="107" t="s">
        <v>172</v>
      </c>
      <c r="C73" s="19"/>
      <c r="D73" s="85">
        <v>2024</v>
      </c>
      <c r="E73" s="86">
        <v>2025</v>
      </c>
      <c r="F73" s="61">
        <f t="shared" si="6"/>
        <v>240</v>
      </c>
      <c r="G73" s="40">
        <v>240</v>
      </c>
      <c r="H73" s="75"/>
      <c r="I73" s="21"/>
      <c r="J73" s="21"/>
      <c r="K73" s="21"/>
      <c r="L73" s="122"/>
    </row>
    <row r="74" spans="1:12" ht="32.4" customHeight="1" x14ac:dyDescent="0.25">
      <c r="A74" s="53">
        <v>30</v>
      </c>
      <c r="B74" s="107" t="s">
        <v>173</v>
      </c>
      <c r="C74" s="19"/>
      <c r="D74" s="85">
        <v>2022</v>
      </c>
      <c r="E74" s="86">
        <v>2028</v>
      </c>
      <c r="F74" s="61">
        <f t="shared" si="6"/>
        <v>5179.2000000000007</v>
      </c>
      <c r="G74" s="40">
        <v>929.1</v>
      </c>
      <c r="H74" s="21">
        <v>4250.1000000000004</v>
      </c>
      <c r="I74" s="21"/>
      <c r="J74" s="21"/>
      <c r="K74" s="21"/>
      <c r="L74" s="124"/>
    </row>
    <row r="75" spans="1:12" ht="64.5" customHeight="1" x14ac:dyDescent="0.25">
      <c r="A75" s="53">
        <v>31</v>
      </c>
      <c r="B75" s="87" t="s">
        <v>198</v>
      </c>
      <c r="C75" s="19" t="s">
        <v>104</v>
      </c>
      <c r="D75" s="85">
        <v>2022</v>
      </c>
      <c r="E75" s="85">
        <v>2027</v>
      </c>
      <c r="F75" s="61">
        <f t="shared" si="6"/>
        <v>16989.3</v>
      </c>
      <c r="G75" s="40">
        <f>260.1+2497.9+76.6</f>
        <v>2834.6</v>
      </c>
      <c r="H75" s="21">
        <v>14154.7</v>
      </c>
      <c r="I75" s="21"/>
      <c r="J75" s="21"/>
      <c r="K75" s="21"/>
      <c r="L75" s="125"/>
    </row>
    <row r="76" spans="1:12" ht="49.65" customHeight="1" x14ac:dyDescent="0.25">
      <c r="A76" s="144">
        <v>32</v>
      </c>
      <c r="B76" s="87" t="s">
        <v>203</v>
      </c>
      <c r="C76" s="146"/>
      <c r="D76" s="108">
        <v>2023</v>
      </c>
      <c r="E76" s="85">
        <v>2027</v>
      </c>
      <c r="F76" s="145">
        <f t="shared" si="6"/>
        <v>36000</v>
      </c>
      <c r="G76" s="40">
        <v>3731</v>
      </c>
      <c r="H76" s="21"/>
      <c r="I76" s="21">
        <v>29200</v>
      </c>
      <c r="J76" s="21">
        <v>69</v>
      </c>
      <c r="K76" s="21">
        <v>3000</v>
      </c>
      <c r="L76" s="125"/>
    </row>
    <row r="77" spans="1:12" ht="17.850000000000001" customHeight="1" x14ac:dyDescent="0.25">
      <c r="A77" s="103">
        <v>32</v>
      </c>
      <c r="B77" s="66" t="s">
        <v>37</v>
      </c>
      <c r="C77" s="97"/>
      <c r="D77" s="98"/>
      <c r="E77" s="68" t="s">
        <v>14</v>
      </c>
      <c r="F77" s="45">
        <f t="shared" ref="F77:K77" si="7">SUM(F45:F76)</f>
        <v>178477.40000000005</v>
      </c>
      <c r="G77" s="45">
        <f t="shared" si="7"/>
        <v>54579.599999999984</v>
      </c>
      <c r="H77" s="45">
        <f t="shared" si="7"/>
        <v>28078.1</v>
      </c>
      <c r="I77" s="45">
        <f t="shared" si="7"/>
        <v>61156.3</v>
      </c>
      <c r="J77" s="45">
        <f t="shared" si="7"/>
        <v>26638.5</v>
      </c>
      <c r="K77" s="45">
        <f t="shared" si="7"/>
        <v>8024.9</v>
      </c>
    </row>
    <row r="78" spans="1:12" ht="18" customHeight="1" x14ac:dyDescent="0.25">
      <c r="A78" s="162" t="s">
        <v>105</v>
      </c>
      <c r="B78" s="163"/>
      <c r="C78" s="163"/>
      <c r="D78" s="163"/>
      <c r="E78" s="163"/>
      <c r="F78" s="163"/>
      <c r="G78" s="163"/>
      <c r="H78" s="163"/>
      <c r="I78" s="163"/>
      <c r="J78" s="163"/>
      <c r="K78" s="104"/>
    </row>
    <row r="79" spans="1:12" ht="41.25" customHeight="1" x14ac:dyDescent="0.25">
      <c r="A79" s="115" t="s">
        <v>21</v>
      </c>
      <c r="B79" s="39" t="s">
        <v>106</v>
      </c>
      <c r="C79" s="19" t="s">
        <v>107</v>
      </c>
      <c r="D79" s="34" t="s">
        <v>93</v>
      </c>
      <c r="E79" s="3" t="s">
        <v>36</v>
      </c>
      <c r="F79" s="65">
        <f t="shared" ref="F79:F92" si="8">+G79+H79+I79+J79+K79</f>
        <v>16531.599999999999</v>
      </c>
      <c r="G79" s="26">
        <v>16531.599999999999</v>
      </c>
      <c r="H79" s="21"/>
      <c r="I79" s="21"/>
      <c r="J79" s="21"/>
      <c r="K79" s="21"/>
    </row>
    <row r="80" spans="1:12" ht="39.6" customHeight="1" x14ac:dyDescent="0.25">
      <c r="A80" s="115" t="s">
        <v>40</v>
      </c>
      <c r="B80" s="39" t="s">
        <v>108</v>
      </c>
      <c r="C80" s="19" t="s">
        <v>109</v>
      </c>
      <c r="D80" s="34" t="s">
        <v>27</v>
      </c>
      <c r="E80" s="3" t="s">
        <v>33</v>
      </c>
      <c r="F80" s="49">
        <f t="shared" si="8"/>
        <v>11271.100000000002</v>
      </c>
      <c r="G80" s="21">
        <f>4468.3+30</f>
        <v>4498.3</v>
      </c>
      <c r="H80" s="21">
        <v>6222.6</v>
      </c>
      <c r="I80" s="25">
        <v>550.20000000000005</v>
      </c>
      <c r="J80" s="25"/>
      <c r="K80" s="25"/>
    </row>
    <row r="81" spans="1:12" ht="52.5" customHeight="1" x14ac:dyDescent="0.25">
      <c r="A81" s="115">
        <v>3</v>
      </c>
      <c r="B81" s="78" t="s">
        <v>110</v>
      </c>
      <c r="C81" s="91" t="s">
        <v>56</v>
      </c>
      <c r="D81" s="35" t="s">
        <v>93</v>
      </c>
      <c r="E81" s="6" t="s">
        <v>84</v>
      </c>
      <c r="F81" s="50">
        <f t="shared" si="8"/>
        <v>6088.4</v>
      </c>
      <c r="G81" s="25">
        <v>6088.4</v>
      </c>
      <c r="H81" s="25"/>
      <c r="I81" s="25"/>
      <c r="J81" s="21"/>
      <c r="K81" s="21"/>
    </row>
    <row r="82" spans="1:12" ht="40.5" customHeight="1" x14ac:dyDescent="0.25">
      <c r="A82" s="115">
        <v>4</v>
      </c>
      <c r="B82" s="39" t="s">
        <v>111</v>
      </c>
      <c r="C82" s="19" t="s">
        <v>26</v>
      </c>
      <c r="D82" s="3" t="s">
        <v>30</v>
      </c>
      <c r="E82" s="3" t="s">
        <v>33</v>
      </c>
      <c r="F82" s="49">
        <f t="shared" si="8"/>
        <v>670.5</v>
      </c>
      <c r="G82" s="19">
        <f>436+92.8+117.2</f>
        <v>646</v>
      </c>
      <c r="H82" s="21"/>
      <c r="I82" s="21">
        <v>24.5</v>
      </c>
      <c r="J82" s="21"/>
      <c r="K82" s="21"/>
    </row>
    <row r="83" spans="1:12" ht="29.1" customHeight="1" x14ac:dyDescent="0.25">
      <c r="A83" s="115">
        <v>5</v>
      </c>
      <c r="B83" s="39" t="s">
        <v>112</v>
      </c>
      <c r="C83" s="19" t="s">
        <v>101</v>
      </c>
      <c r="D83" s="3" t="s">
        <v>27</v>
      </c>
      <c r="E83" s="3" t="s">
        <v>84</v>
      </c>
      <c r="F83" s="49">
        <f t="shared" si="8"/>
        <v>1458.8</v>
      </c>
      <c r="G83" s="21">
        <v>1458.8</v>
      </c>
      <c r="H83" s="21"/>
      <c r="I83" s="21"/>
      <c r="J83" s="21"/>
      <c r="K83" s="21"/>
    </row>
    <row r="84" spans="1:12" ht="30" customHeight="1" x14ac:dyDescent="0.25">
      <c r="A84" s="115">
        <v>6</v>
      </c>
      <c r="B84" s="39" t="s">
        <v>113</v>
      </c>
      <c r="C84" s="19" t="s">
        <v>78</v>
      </c>
      <c r="D84" s="3" t="s">
        <v>45</v>
      </c>
      <c r="E84" s="3" t="s">
        <v>44</v>
      </c>
      <c r="F84" s="49">
        <f t="shared" si="8"/>
        <v>181.8</v>
      </c>
      <c r="G84" s="21">
        <f>165+16.8</f>
        <v>181.8</v>
      </c>
      <c r="H84" s="21"/>
      <c r="I84" s="21"/>
      <c r="J84" s="21"/>
      <c r="K84" s="21"/>
    </row>
    <row r="85" spans="1:12" ht="17.850000000000001" customHeight="1" x14ac:dyDescent="0.25">
      <c r="A85" s="115">
        <v>7</v>
      </c>
      <c r="B85" s="39" t="s">
        <v>114</v>
      </c>
      <c r="C85" s="21" t="s">
        <v>90</v>
      </c>
      <c r="D85" s="3" t="s">
        <v>93</v>
      </c>
      <c r="E85" s="3" t="s">
        <v>44</v>
      </c>
      <c r="F85" s="49">
        <f t="shared" si="8"/>
        <v>1648.1000000000001</v>
      </c>
      <c r="G85" s="21">
        <f>1512+153.2-17.1</f>
        <v>1648.1000000000001</v>
      </c>
      <c r="H85" s="21"/>
      <c r="I85" s="21"/>
      <c r="J85" s="21"/>
      <c r="K85" s="21"/>
    </row>
    <row r="86" spans="1:12" ht="16.5" customHeight="1" x14ac:dyDescent="0.25">
      <c r="A86" s="115">
        <v>8</v>
      </c>
      <c r="B86" s="39" t="s">
        <v>115</v>
      </c>
      <c r="C86" s="19" t="s">
        <v>116</v>
      </c>
      <c r="D86" s="12" t="s">
        <v>47</v>
      </c>
      <c r="E86" s="13" t="s">
        <v>36</v>
      </c>
      <c r="F86" s="49">
        <f t="shared" si="8"/>
        <v>4178.3</v>
      </c>
      <c r="G86" s="19">
        <f>3178.3+231+440.7+246.8+34.8</f>
        <v>4131.6000000000004</v>
      </c>
      <c r="H86" s="19"/>
      <c r="I86" s="19"/>
      <c r="J86" s="19"/>
      <c r="K86" s="91">
        <v>46.7</v>
      </c>
    </row>
    <row r="87" spans="1:12" ht="52.5" customHeight="1" x14ac:dyDescent="0.25">
      <c r="A87" s="115">
        <v>9</v>
      </c>
      <c r="B87" s="78" t="s">
        <v>117</v>
      </c>
      <c r="C87" s="109" t="s">
        <v>196</v>
      </c>
      <c r="D87" s="7" t="s">
        <v>45</v>
      </c>
      <c r="E87" s="7" t="s">
        <v>44</v>
      </c>
      <c r="F87" s="110">
        <f t="shared" si="8"/>
        <v>2946.7000000000003</v>
      </c>
      <c r="G87" s="109">
        <f>14.5+2659.4+272.8</f>
        <v>2946.7000000000003</v>
      </c>
      <c r="H87" s="90"/>
      <c r="I87" s="111"/>
      <c r="J87" s="111"/>
      <c r="K87" s="91"/>
    </row>
    <row r="88" spans="1:12" ht="29.1" customHeight="1" x14ac:dyDescent="0.25">
      <c r="A88" s="115">
        <v>10</v>
      </c>
      <c r="B88" s="39" t="s">
        <v>184</v>
      </c>
      <c r="C88" s="19"/>
      <c r="D88" s="3" t="s">
        <v>33</v>
      </c>
      <c r="E88" s="2" t="s">
        <v>36</v>
      </c>
      <c r="F88" s="49">
        <f t="shared" si="8"/>
        <v>130</v>
      </c>
      <c r="G88" s="21">
        <v>130</v>
      </c>
      <c r="H88" s="21"/>
      <c r="I88" s="21"/>
      <c r="J88" s="21"/>
      <c r="K88" s="25"/>
      <c r="L88" s="122"/>
    </row>
    <row r="89" spans="1:12" ht="29.25" customHeight="1" x14ac:dyDescent="0.25">
      <c r="A89" s="115">
        <v>11</v>
      </c>
      <c r="B89" s="39" t="s">
        <v>191</v>
      </c>
      <c r="C89" s="19"/>
      <c r="D89" s="34" t="s">
        <v>33</v>
      </c>
      <c r="E89" s="3" t="s">
        <v>84</v>
      </c>
      <c r="F89" s="49">
        <f t="shared" si="8"/>
        <v>7000</v>
      </c>
      <c r="G89" s="21">
        <v>2800</v>
      </c>
      <c r="H89" s="21">
        <v>4200</v>
      </c>
      <c r="I89" s="21"/>
      <c r="J89" s="21"/>
      <c r="K89" s="21"/>
      <c r="L89" s="124"/>
    </row>
    <row r="90" spans="1:12" ht="28.35" customHeight="1" x14ac:dyDescent="0.25">
      <c r="A90" s="115">
        <v>12</v>
      </c>
      <c r="B90" s="39" t="s">
        <v>118</v>
      </c>
      <c r="C90" s="19" t="s">
        <v>119</v>
      </c>
      <c r="D90" s="34" t="s">
        <v>93</v>
      </c>
      <c r="E90" s="3" t="s">
        <v>33</v>
      </c>
      <c r="F90" s="49">
        <f t="shared" si="8"/>
        <v>6324.4000000000005</v>
      </c>
      <c r="G90" s="21">
        <f>1214</f>
        <v>1214</v>
      </c>
      <c r="H90" s="21">
        <f>4696.1</f>
        <v>4696.1000000000004</v>
      </c>
      <c r="I90" s="21">
        <f>414.3</f>
        <v>414.3</v>
      </c>
      <c r="J90" s="21"/>
      <c r="K90" s="21"/>
    </row>
    <row r="91" spans="1:12" ht="32.25" customHeight="1" x14ac:dyDescent="0.25">
      <c r="A91" s="119">
        <v>13</v>
      </c>
      <c r="B91" s="39" t="s">
        <v>158</v>
      </c>
      <c r="C91" s="41"/>
      <c r="D91" s="3" t="s">
        <v>33</v>
      </c>
      <c r="E91" s="120" t="s">
        <v>36</v>
      </c>
      <c r="F91" s="110">
        <f t="shared" si="8"/>
        <v>1040.2</v>
      </c>
      <c r="G91" s="21">
        <f>24.2+508+508</f>
        <v>1040.2</v>
      </c>
      <c r="H91" s="21"/>
      <c r="I91" s="21"/>
      <c r="J91" s="21"/>
      <c r="K91" s="21"/>
    </row>
    <row r="92" spans="1:12" ht="39.75" customHeight="1" x14ac:dyDescent="0.25">
      <c r="A92" s="119">
        <v>14</v>
      </c>
      <c r="B92" s="39" t="s">
        <v>197</v>
      </c>
      <c r="C92" s="41"/>
      <c r="D92" s="3" t="s">
        <v>44</v>
      </c>
      <c r="E92" s="120" t="s">
        <v>44</v>
      </c>
      <c r="F92" s="110">
        <f t="shared" si="8"/>
        <v>2000</v>
      </c>
      <c r="G92" s="21">
        <v>2000</v>
      </c>
      <c r="H92" s="21"/>
      <c r="I92" s="21"/>
      <c r="J92" s="21"/>
      <c r="K92" s="21"/>
    </row>
    <row r="93" spans="1:12" ht="15" customHeight="1" x14ac:dyDescent="0.25">
      <c r="A93" s="55">
        <v>14</v>
      </c>
      <c r="B93" s="66" t="s">
        <v>70</v>
      </c>
      <c r="C93" s="96"/>
      <c r="D93" s="98"/>
      <c r="E93" s="44" t="s">
        <v>14</v>
      </c>
      <c r="F93" s="45">
        <f t="shared" ref="F93:K93" si="9">SUM(F79:F92)</f>
        <v>61469.9</v>
      </c>
      <c r="G93" s="45">
        <f t="shared" si="9"/>
        <v>45315.499999999985</v>
      </c>
      <c r="H93" s="45">
        <f t="shared" si="9"/>
        <v>15118.7</v>
      </c>
      <c r="I93" s="45">
        <f t="shared" si="9"/>
        <v>989</v>
      </c>
      <c r="J93" s="45">
        <f t="shared" si="9"/>
        <v>0</v>
      </c>
      <c r="K93" s="45">
        <f t="shared" si="9"/>
        <v>46.7</v>
      </c>
    </row>
    <row r="94" spans="1:12" s="28" customFormat="1" ht="15" customHeight="1" x14ac:dyDescent="0.3">
      <c r="A94" s="164" t="s">
        <v>120</v>
      </c>
      <c r="B94" s="165"/>
      <c r="C94" s="165"/>
      <c r="D94" s="165"/>
      <c r="E94" s="165"/>
      <c r="F94" s="165"/>
      <c r="G94" s="165"/>
      <c r="H94" s="165"/>
      <c r="I94" s="165"/>
      <c r="J94" s="165"/>
      <c r="K94" s="80"/>
    </row>
    <row r="95" spans="1:12" s="28" customFormat="1" ht="57.6" customHeight="1" x14ac:dyDescent="0.3">
      <c r="A95" s="53" t="s">
        <v>21</v>
      </c>
      <c r="B95" s="76" t="s">
        <v>121</v>
      </c>
      <c r="C95" s="29" t="s">
        <v>122</v>
      </c>
      <c r="D95" s="10" t="s">
        <v>54</v>
      </c>
      <c r="E95" s="10" t="s">
        <v>33</v>
      </c>
      <c r="F95" s="49">
        <f>G95+H95+I95+J95+K95</f>
        <v>2020.8000000000002</v>
      </c>
      <c r="G95" s="19">
        <v>830.7</v>
      </c>
      <c r="H95" s="19">
        <f>1129.4+60.7</f>
        <v>1190.1000000000001</v>
      </c>
      <c r="I95" s="19"/>
      <c r="J95" s="19"/>
      <c r="K95" s="19"/>
    </row>
    <row r="96" spans="1:12" s="28" customFormat="1" ht="27.75" customHeight="1" x14ac:dyDescent="0.3">
      <c r="A96" s="53">
        <v>2</v>
      </c>
      <c r="B96" s="30" t="s">
        <v>123</v>
      </c>
      <c r="C96" s="29" t="s">
        <v>61</v>
      </c>
      <c r="D96" s="10" t="s">
        <v>27</v>
      </c>
      <c r="E96" s="11" t="s">
        <v>33</v>
      </c>
      <c r="F96" s="49">
        <f>G96+H96+I96+J96+K96</f>
        <v>1016.2</v>
      </c>
      <c r="G96" s="19">
        <f>1050-33.8</f>
        <v>1016.2</v>
      </c>
      <c r="H96" s="19"/>
      <c r="I96" s="19"/>
      <c r="J96" s="19"/>
      <c r="K96" s="19"/>
    </row>
    <row r="97" spans="1:11" s="28" customFormat="1" ht="44.25" customHeight="1" x14ac:dyDescent="0.3">
      <c r="A97" s="53">
        <v>3</v>
      </c>
      <c r="B97" s="94" t="s">
        <v>124</v>
      </c>
      <c r="C97" s="29" t="s">
        <v>75</v>
      </c>
      <c r="D97" s="10" t="s">
        <v>27</v>
      </c>
      <c r="E97" s="11" t="s">
        <v>84</v>
      </c>
      <c r="F97" s="49">
        <f>+G97+H97+I97+J97+K97</f>
        <v>8600</v>
      </c>
      <c r="G97" s="19">
        <v>8600</v>
      </c>
      <c r="H97" s="19"/>
      <c r="I97" s="19"/>
      <c r="J97" s="19"/>
      <c r="K97" s="19"/>
    </row>
    <row r="98" spans="1:11" s="28" customFormat="1" ht="30" customHeight="1" x14ac:dyDescent="0.3">
      <c r="A98" s="53">
        <v>4</v>
      </c>
      <c r="B98" s="76" t="s">
        <v>125</v>
      </c>
      <c r="C98" s="29" t="s">
        <v>43</v>
      </c>
      <c r="D98" s="10" t="s">
        <v>23</v>
      </c>
      <c r="E98" s="11" t="s">
        <v>31</v>
      </c>
      <c r="F98" s="49">
        <f t="shared" ref="F98:F100" si="10">+G98+H98+I98+J98+K98</f>
        <v>120</v>
      </c>
      <c r="G98" s="19">
        <v>120</v>
      </c>
      <c r="H98" s="19"/>
      <c r="I98" s="19"/>
      <c r="J98" s="19"/>
      <c r="K98" s="19"/>
    </row>
    <row r="99" spans="1:11" s="28" customFormat="1" ht="28.65" customHeight="1" x14ac:dyDescent="0.3">
      <c r="A99" s="53">
        <v>5</v>
      </c>
      <c r="B99" s="71" t="s">
        <v>126</v>
      </c>
      <c r="C99" s="29" t="s">
        <v>127</v>
      </c>
      <c r="D99" s="10" t="s">
        <v>30</v>
      </c>
      <c r="E99" s="10" t="s">
        <v>36</v>
      </c>
      <c r="F99" s="49">
        <f t="shared" si="10"/>
        <v>1636.9</v>
      </c>
      <c r="G99" s="19">
        <v>1636.9</v>
      </c>
      <c r="H99" s="19"/>
      <c r="I99" s="19"/>
      <c r="J99" s="19"/>
      <c r="K99" s="19"/>
    </row>
    <row r="100" spans="1:11" s="28" customFormat="1" ht="30" customHeight="1" x14ac:dyDescent="0.3">
      <c r="A100" s="57">
        <v>6</v>
      </c>
      <c r="B100" s="133" t="s">
        <v>181</v>
      </c>
      <c r="C100" s="131"/>
      <c r="D100" s="132" t="s">
        <v>33</v>
      </c>
      <c r="E100" s="10" t="s">
        <v>174</v>
      </c>
      <c r="F100" s="49">
        <f t="shared" si="10"/>
        <v>38459.1</v>
      </c>
      <c r="G100" s="19">
        <v>759.1</v>
      </c>
      <c r="H100" s="19"/>
      <c r="I100" s="19"/>
      <c r="J100" s="19"/>
      <c r="K100" s="19">
        <v>37700</v>
      </c>
    </row>
    <row r="101" spans="1:11" s="28" customFormat="1" ht="15.75" customHeight="1" x14ac:dyDescent="0.3">
      <c r="A101" s="55">
        <v>6</v>
      </c>
      <c r="B101" s="77" t="s">
        <v>37</v>
      </c>
      <c r="C101" s="96"/>
      <c r="D101" s="102"/>
      <c r="E101" s="98" t="s">
        <v>14</v>
      </c>
      <c r="F101" s="46">
        <f>SUM(F95:F100)</f>
        <v>51853</v>
      </c>
      <c r="G101" s="46">
        <f>SUM(G95:G100)</f>
        <v>12962.9</v>
      </c>
      <c r="H101" s="46">
        <f>SUM(H95:H100)</f>
        <v>1190.1000000000001</v>
      </c>
      <c r="I101" s="46">
        <f t="shared" ref="I101:J101" si="11">SUM(I95:I99)</f>
        <v>0</v>
      </c>
      <c r="J101" s="46">
        <f t="shared" si="11"/>
        <v>0</v>
      </c>
      <c r="K101" s="46">
        <f>SUM(K95:K100)</f>
        <v>37700</v>
      </c>
    </row>
    <row r="102" spans="1:11" s="28" customFormat="1" ht="15.75" customHeight="1" x14ac:dyDescent="0.3">
      <c r="A102" s="171" t="s">
        <v>175</v>
      </c>
      <c r="B102" s="172"/>
      <c r="C102" s="172"/>
      <c r="D102" s="172"/>
      <c r="E102" s="172"/>
      <c r="F102" s="172"/>
      <c r="G102" s="172"/>
      <c r="H102" s="172"/>
      <c r="I102" s="172"/>
      <c r="J102" s="172"/>
      <c r="K102" s="173"/>
    </row>
    <row r="103" spans="1:11" customFormat="1" ht="45.6" customHeight="1" x14ac:dyDescent="0.3">
      <c r="A103" s="135">
        <v>1</v>
      </c>
      <c r="B103" s="136" t="s">
        <v>176</v>
      </c>
      <c r="D103" s="137">
        <v>2024</v>
      </c>
      <c r="E103" s="138">
        <v>2025</v>
      </c>
      <c r="F103" s="139">
        <f>G103+H103+I103+J103+K103</f>
        <v>850</v>
      </c>
      <c r="G103" s="138">
        <v>127.5</v>
      </c>
      <c r="H103" s="138">
        <v>722.5</v>
      </c>
      <c r="I103" s="138"/>
      <c r="J103" s="138"/>
      <c r="K103" s="138"/>
    </row>
    <row r="104" spans="1:11" s="28" customFormat="1" ht="15.75" customHeight="1" x14ac:dyDescent="0.3">
      <c r="A104" s="55">
        <v>1</v>
      </c>
      <c r="B104" s="134" t="s">
        <v>24</v>
      </c>
      <c r="C104" s="96"/>
      <c r="D104" s="98"/>
      <c r="E104" s="98" t="s">
        <v>14</v>
      </c>
      <c r="F104" s="46">
        <f t="shared" ref="F104:K104" si="12">F103</f>
        <v>850</v>
      </c>
      <c r="G104" s="46">
        <f t="shared" si="12"/>
        <v>127.5</v>
      </c>
      <c r="H104" s="46">
        <f t="shared" si="12"/>
        <v>722.5</v>
      </c>
      <c r="I104" s="46">
        <f t="shared" si="12"/>
        <v>0</v>
      </c>
      <c r="J104" s="46">
        <f t="shared" si="12"/>
        <v>0</v>
      </c>
      <c r="K104" s="46">
        <f t="shared" si="12"/>
        <v>0</v>
      </c>
    </row>
    <row r="105" spans="1:11" s="28" customFormat="1" ht="18" customHeight="1" x14ac:dyDescent="0.3">
      <c r="A105" s="153" t="s">
        <v>128</v>
      </c>
      <c r="B105" s="154"/>
      <c r="C105" s="154"/>
      <c r="D105" s="154"/>
      <c r="E105" s="154"/>
      <c r="F105" s="154"/>
      <c r="G105" s="154"/>
      <c r="H105" s="154"/>
      <c r="I105" s="154"/>
      <c r="J105" s="154"/>
      <c r="K105" s="80"/>
    </row>
    <row r="106" spans="1:11" s="28" customFormat="1" ht="84" customHeight="1" x14ac:dyDescent="0.3">
      <c r="A106" s="53" t="s">
        <v>21</v>
      </c>
      <c r="B106" s="20" t="s">
        <v>129</v>
      </c>
      <c r="C106" s="29" t="s">
        <v>39</v>
      </c>
      <c r="D106" s="7">
        <v>2017</v>
      </c>
      <c r="E106" s="7" t="s">
        <v>33</v>
      </c>
      <c r="F106" s="49">
        <f t="shared" ref="F106:F119" si="13">+G106+H106+I106+J106+K106</f>
        <v>1260.8</v>
      </c>
      <c r="G106" s="19">
        <f>255.9-12.1</f>
        <v>243.8</v>
      </c>
      <c r="H106" s="19">
        <f>946.7-12.2</f>
        <v>934.5</v>
      </c>
      <c r="I106" s="19">
        <f>83.9-1.4</f>
        <v>82.5</v>
      </c>
      <c r="J106" s="19"/>
      <c r="K106" s="19"/>
    </row>
    <row r="107" spans="1:11" s="28" customFormat="1" ht="31.35" customHeight="1" x14ac:dyDescent="0.3">
      <c r="A107" s="53" t="s">
        <v>40</v>
      </c>
      <c r="B107" s="20" t="s">
        <v>130</v>
      </c>
      <c r="C107" s="19" t="s">
        <v>58</v>
      </c>
      <c r="D107" s="1">
        <v>2017</v>
      </c>
      <c r="E107" s="9" t="s">
        <v>33</v>
      </c>
      <c r="F107" s="49">
        <f t="shared" si="13"/>
        <v>19650.099999999999</v>
      </c>
      <c r="G107" s="89">
        <f>15900+1070+1900+200.1</f>
        <v>19070.099999999999</v>
      </c>
      <c r="H107" s="19"/>
      <c r="I107" s="19">
        <v>580</v>
      </c>
      <c r="J107" s="19"/>
      <c r="K107" s="19"/>
    </row>
    <row r="108" spans="1:11" s="28" customFormat="1" ht="109.65" customHeight="1" x14ac:dyDescent="0.3">
      <c r="A108" s="53" t="s">
        <v>41</v>
      </c>
      <c r="B108" s="39" t="s">
        <v>185</v>
      </c>
      <c r="C108" s="19" t="s">
        <v>131</v>
      </c>
      <c r="D108" s="7" t="s">
        <v>47</v>
      </c>
      <c r="E108" s="7" t="s">
        <v>36</v>
      </c>
      <c r="F108" s="49">
        <f>+G108+I108+K108</f>
        <v>4618.8999999999996</v>
      </c>
      <c r="G108" s="89">
        <v>4529</v>
      </c>
      <c r="H108" s="31"/>
      <c r="I108" s="19"/>
      <c r="J108" s="19"/>
      <c r="K108" s="19">
        <v>89.9</v>
      </c>
    </row>
    <row r="109" spans="1:11" s="28" customFormat="1" ht="42.6" customHeight="1" x14ac:dyDescent="0.3">
      <c r="A109" s="53">
        <v>4</v>
      </c>
      <c r="B109" s="39" t="s">
        <v>132</v>
      </c>
      <c r="C109" s="19" t="s">
        <v>131</v>
      </c>
      <c r="D109" s="4" t="s">
        <v>23</v>
      </c>
      <c r="E109" s="4" t="s">
        <v>44</v>
      </c>
      <c r="F109" s="50">
        <f>G109+H109+I109+J109+K109</f>
        <v>591.79999999999995</v>
      </c>
      <c r="G109" s="19">
        <f>41.8+400+150</f>
        <v>591.79999999999995</v>
      </c>
      <c r="H109" s="19"/>
      <c r="I109" s="19"/>
      <c r="J109" s="19"/>
      <c r="K109" s="19"/>
    </row>
    <row r="110" spans="1:11" s="28" customFormat="1" ht="42.75" customHeight="1" x14ac:dyDescent="0.3">
      <c r="A110" s="53">
        <v>5</v>
      </c>
      <c r="B110" s="39" t="s">
        <v>133</v>
      </c>
      <c r="C110" s="19" t="s">
        <v>39</v>
      </c>
      <c r="D110" s="4" t="s">
        <v>93</v>
      </c>
      <c r="E110" s="4" t="s">
        <v>44</v>
      </c>
      <c r="F110" s="50">
        <f>G110+H110+I110+J110+K110</f>
        <v>845.5</v>
      </c>
      <c r="G110" s="19">
        <v>2.5</v>
      </c>
      <c r="H110" s="19"/>
      <c r="I110" s="19">
        <v>843</v>
      </c>
      <c r="J110" s="19"/>
      <c r="K110" s="19"/>
    </row>
    <row r="111" spans="1:11" s="28" customFormat="1" ht="27.75" customHeight="1" x14ac:dyDescent="0.3">
      <c r="A111" s="53">
        <v>6</v>
      </c>
      <c r="B111" s="20" t="s">
        <v>134</v>
      </c>
      <c r="C111" s="19" t="s">
        <v>75</v>
      </c>
      <c r="D111" s="7">
        <v>2019</v>
      </c>
      <c r="E111" s="7" t="s">
        <v>36</v>
      </c>
      <c r="F111" s="49">
        <f t="shared" si="13"/>
        <v>4950.5999999999995</v>
      </c>
      <c r="G111" s="19">
        <f>452.4+4498.2</f>
        <v>4950.5999999999995</v>
      </c>
      <c r="H111" s="19">
        <f>2550-2550</f>
        <v>0</v>
      </c>
      <c r="I111" s="19"/>
      <c r="J111" s="19"/>
      <c r="K111" s="19"/>
    </row>
    <row r="112" spans="1:11" s="28" customFormat="1" ht="53.85" customHeight="1" x14ac:dyDescent="0.3">
      <c r="A112" s="53">
        <v>7</v>
      </c>
      <c r="B112" s="20" t="s">
        <v>135</v>
      </c>
      <c r="C112" s="29" t="s">
        <v>75</v>
      </c>
      <c r="D112" s="7">
        <v>2017</v>
      </c>
      <c r="E112" s="7" t="s">
        <v>36</v>
      </c>
      <c r="F112" s="49">
        <f t="shared" si="13"/>
        <v>7703.0999999999995</v>
      </c>
      <c r="G112" s="19">
        <f>947.2+6755.9</f>
        <v>7703.0999999999995</v>
      </c>
      <c r="H112" s="19">
        <f>3920-3920</f>
        <v>0</v>
      </c>
      <c r="I112" s="19"/>
      <c r="J112" s="19"/>
      <c r="K112" s="19"/>
    </row>
    <row r="113" spans="1:11" s="28" customFormat="1" ht="55.5" customHeight="1" x14ac:dyDescent="0.3">
      <c r="A113" s="53">
        <v>8</v>
      </c>
      <c r="B113" s="39" t="s">
        <v>136</v>
      </c>
      <c r="C113" s="19" t="s">
        <v>75</v>
      </c>
      <c r="D113" s="7">
        <v>2017</v>
      </c>
      <c r="E113" s="7" t="s">
        <v>33</v>
      </c>
      <c r="F113" s="49">
        <f t="shared" si="13"/>
        <v>3973.0000000000005</v>
      </c>
      <c r="G113" s="19">
        <f>3436.1-342.2</f>
        <v>3093.9</v>
      </c>
      <c r="H113" s="19">
        <f>879.1-71.3</f>
        <v>807.80000000000007</v>
      </c>
      <c r="I113" s="19">
        <v>71.3</v>
      </c>
      <c r="J113" s="19"/>
      <c r="K113" s="19"/>
    </row>
    <row r="114" spans="1:11" s="28" customFormat="1" ht="27.75" customHeight="1" x14ac:dyDescent="0.3">
      <c r="A114" s="53">
        <v>9</v>
      </c>
      <c r="B114" s="22" t="s">
        <v>137</v>
      </c>
      <c r="C114" s="19" t="s">
        <v>39</v>
      </c>
      <c r="D114" s="7">
        <v>2018</v>
      </c>
      <c r="E114" s="7" t="s">
        <v>44</v>
      </c>
      <c r="F114" s="49">
        <f t="shared" si="13"/>
        <v>1139.7</v>
      </c>
      <c r="G114" s="19">
        <v>1139.7</v>
      </c>
      <c r="H114" s="19"/>
      <c r="I114" s="19"/>
      <c r="J114" s="19"/>
      <c r="K114" s="19"/>
    </row>
    <row r="115" spans="1:11" s="28" customFormat="1" ht="83.4" customHeight="1" x14ac:dyDescent="0.3">
      <c r="A115" s="53">
        <v>10</v>
      </c>
      <c r="B115" s="22" t="s">
        <v>195</v>
      </c>
      <c r="C115" s="19" t="s">
        <v>138</v>
      </c>
      <c r="D115" s="7" t="s">
        <v>23</v>
      </c>
      <c r="E115" s="7" t="s">
        <v>31</v>
      </c>
      <c r="F115" s="49">
        <f t="shared" si="13"/>
        <v>6572.1</v>
      </c>
      <c r="G115" s="19">
        <v>6572.1</v>
      </c>
      <c r="H115" s="19"/>
      <c r="I115" s="19"/>
      <c r="J115" s="19"/>
      <c r="K115" s="19"/>
    </row>
    <row r="116" spans="1:11" s="28" customFormat="1" ht="27" customHeight="1" x14ac:dyDescent="0.3">
      <c r="A116" s="53">
        <v>11</v>
      </c>
      <c r="B116" s="22" t="s">
        <v>139</v>
      </c>
      <c r="C116" s="19" t="s">
        <v>140</v>
      </c>
      <c r="D116" s="7" t="s">
        <v>33</v>
      </c>
      <c r="E116" s="7" t="s">
        <v>36</v>
      </c>
      <c r="F116" s="49">
        <f t="shared" si="13"/>
        <v>358.6</v>
      </c>
      <c r="G116" s="19">
        <v>58.6</v>
      </c>
      <c r="H116" s="19"/>
      <c r="I116" s="19">
        <v>300</v>
      </c>
      <c r="J116" s="19"/>
      <c r="K116" s="19"/>
    </row>
    <row r="117" spans="1:11" s="28" customFormat="1" ht="29.25" customHeight="1" x14ac:dyDescent="0.3">
      <c r="A117" s="63">
        <v>12</v>
      </c>
      <c r="B117" s="39" t="s">
        <v>141</v>
      </c>
      <c r="C117" s="41" t="s">
        <v>142</v>
      </c>
      <c r="D117" s="7" t="s">
        <v>23</v>
      </c>
      <c r="E117" s="7" t="s">
        <v>84</v>
      </c>
      <c r="F117" s="49">
        <f t="shared" si="13"/>
        <v>2814</v>
      </c>
      <c r="G117" s="19">
        <f>2802.5+11.5</f>
        <v>2814</v>
      </c>
      <c r="H117" s="19"/>
      <c r="I117" s="19"/>
      <c r="J117" s="19"/>
      <c r="K117" s="19"/>
    </row>
    <row r="118" spans="1:11" s="28" customFormat="1" ht="42.6" customHeight="1" x14ac:dyDescent="0.3">
      <c r="A118" s="63">
        <v>13</v>
      </c>
      <c r="B118" s="39" t="s">
        <v>192</v>
      </c>
      <c r="C118" s="41"/>
      <c r="D118" s="106" t="s">
        <v>54</v>
      </c>
      <c r="E118" s="7" t="s">
        <v>31</v>
      </c>
      <c r="F118" s="49">
        <f t="shared" si="13"/>
        <v>1984.1</v>
      </c>
      <c r="G118" s="19">
        <v>1984.1</v>
      </c>
      <c r="H118" s="19"/>
      <c r="I118" s="19"/>
      <c r="J118" s="19"/>
      <c r="K118" s="19"/>
    </row>
    <row r="119" spans="1:11" s="28" customFormat="1" ht="57.75" customHeight="1" x14ac:dyDescent="0.3">
      <c r="A119" s="63">
        <v>14</v>
      </c>
      <c r="B119" s="39" t="s">
        <v>180</v>
      </c>
      <c r="C119" s="41"/>
      <c r="D119" s="106" t="s">
        <v>33</v>
      </c>
      <c r="E119" s="7" t="s">
        <v>31</v>
      </c>
      <c r="F119" s="49">
        <f t="shared" si="13"/>
        <v>8132.5</v>
      </c>
      <c r="G119" s="19">
        <f>1705+27.5</f>
        <v>1732.5</v>
      </c>
      <c r="H119" s="19">
        <v>6400</v>
      </c>
      <c r="I119" s="19"/>
      <c r="J119" s="19"/>
      <c r="K119" s="19"/>
    </row>
    <row r="120" spans="1:11" s="28" customFormat="1" ht="18" customHeight="1" x14ac:dyDescent="0.3">
      <c r="A120" s="55">
        <v>14</v>
      </c>
      <c r="B120" s="77" t="s">
        <v>70</v>
      </c>
      <c r="C120" s="96"/>
      <c r="D120" s="102"/>
      <c r="E120" s="98" t="s">
        <v>14</v>
      </c>
      <c r="F120" s="70">
        <f>SUM(F106:F119)</f>
        <v>64594.799999999988</v>
      </c>
      <c r="G120" s="70">
        <f>SUM(G106:G119)</f>
        <v>54485.799999999988</v>
      </c>
      <c r="H120" s="70">
        <f>SUM(H106:H119)</f>
        <v>8142.3</v>
      </c>
      <c r="I120" s="70">
        <f>SUM(I106:I119)</f>
        <v>1876.8</v>
      </c>
      <c r="J120" s="70">
        <f>SUM(J106:J117)</f>
        <v>0</v>
      </c>
      <c r="K120" s="70">
        <f>SUM(K106:K117)</f>
        <v>89.9</v>
      </c>
    </row>
    <row r="121" spans="1:11" s="28" customFormat="1" ht="16.5" customHeight="1" x14ac:dyDescent="0.3">
      <c r="A121" s="153" t="s">
        <v>143</v>
      </c>
      <c r="B121" s="154"/>
      <c r="C121" s="154"/>
      <c r="D121" s="154"/>
      <c r="E121" s="154"/>
      <c r="F121" s="154"/>
      <c r="G121" s="154"/>
      <c r="H121" s="154"/>
      <c r="I121" s="154"/>
      <c r="J121" s="154"/>
      <c r="K121" s="80"/>
    </row>
    <row r="122" spans="1:11" s="28" customFormat="1" ht="27" customHeight="1" x14ac:dyDescent="0.3">
      <c r="A122" s="53">
        <v>1</v>
      </c>
      <c r="B122" s="39" t="s">
        <v>144</v>
      </c>
      <c r="C122" s="21" t="s">
        <v>53</v>
      </c>
      <c r="D122" s="7">
        <v>2017</v>
      </c>
      <c r="E122" s="7" t="s">
        <v>31</v>
      </c>
      <c r="F122" s="49">
        <f t="shared" ref="F122:F124" si="14">+G122+H122+I122+J122+K122</f>
        <v>6300</v>
      </c>
      <c r="G122" s="19">
        <v>6300</v>
      </c>
      <c r="H122" s="19"/>
      <c r="I122" s="19"/>
      <c r="J122" s="19"/>
      <c r="K122" s="19"/>
    </row>
    <row r="123" spans="1:11" s="28" customFormat="1" ht="26.4" x14ac:dyDescent="0.3">
      <c r="A123" s="53">
        <v>2</v>
      </c>
      <c r="B123" s="20" t="s">
        <v>145</v>
      </c>
      <c r="C123" s="21" t="s">
        <v>53</v>
      </c>
      <c r="D123" s="15">
        <v>2020</v>
      </c>
      <c r="E123" s="7" t="s">
        <v>36</v>
      </c>
      <c r="F123" s="49">
        <f t="shared" si="14"/>
        <v>1924.1</v>
      </c>
      <c r="G123" s="19"/>
      <c r="H123" s="19"/>
      <c r="I123" s="19">
        <v>1924.1</v>
      </c>
      <c r="J123" s="19"/>
      <c r="K123" s="19"/>
    </row>
    <row r="124" spans="1:11" s="28" customFormat="1" ht="27.75" customHeight="1" x14ac:dyDescent="0.3">
      <c r="A124" s="115">
        <v>3</v>
      </c>
      <c r="B124" s="81" t="s">
        <v>146</v>
      </c>
      <c r="C124" s="89" t="s">
        <v>53</v>
      </c>
      <c r="D124" s="9" t="s">
        <v>33</v>
      </c>
      <c r="E124" s="9" t="s">
        <v>44</v>
      </c>
      <c r="F124" s="52">
        <f t="shared" si="14"/>
        <v>50</v>
      </c>
      <c r="G124" s="19">
        <v>50</v>
      </c>
      <c r="H124" s="19"/>
      <c r="I124" s="19"/>
      <c r="J124" s="19"/>
      <c r="K124" s="19"/>
    </row>
    <row r="125" spans="1:11" s="28" customFormat="1" ht="16.5" customHeight="1" x14ac:dyDescent="0.3">
      <c r="A125" s="57">
        <v>4</v>
      </c>
      <c r="B125" s="71" t="s">
        <v>147</v>
      </c>
      <c r="C125" s="19" t="s">
        <v>97</v>
      </c>
      <c r="D125" s="15" t="s">
        <v>23</v>
      </c>
      <c r="E125" s="7" t="s">
        <v>36</v>
      </c>
      <c r="F125" s="49">
        <f>+G125+H125+I125+J125+K125</f>
        <v>7500.1</v>
      </c>
      <c r="G125" s="19">
        <v>5500.1</v>
      </c>
      <c r="H125" s="19"/>
      <c r="I125" s="19">
        <v>2000</v>
      </c>
      <c r="J125" s="19"/>
      <c r="K125" s="19"/>
    </row>
    <row r="126" spans="1:11" s="28" customFormat="1" ht="16.5" customHeight="1" x14ac:dyDescent="0.3">
      <c r="A126" s="57">
        <v>5</v>
      </c>
      <c r="B126" s="87" t="s">
        <v>182</v>
      </c>
      <c r="C126" s="41"/>
      <c r="D126" s="15" t="s">
        <v>33</v>
      </c>
      <c r="E126" s="7" t="s">
        <v>31</v>
      </c>
      <c r="F126" s="49">
        <f>G126+H126+I126+J126+K126</f>
        <v>188</v>
      </c>
      <c r="G126" s="19">
        <v>188</v>
      </c>
      <c r="H126" s="19"/>
      <c r="I126" s="19"/>
      <c r="J126" s="19"/>
      <c r="K126" s="19"/>
    </row>
    <row r="127" spans="1:11" s="28" customFormat="1" ht="17.25" customHeight="1" x14ac:dyDescent="0.3">
      <c r="A127" s="55">
        <v>5</v>
      </c>
      <c r="B127" s="77" t="s">
        <v>37</v>
      </c>
      <c r="C127" s="96"/>
      <c r="D127" s="102"/>
      <c r="E127" s="98" t="s">
        <v>14</v>
      </c>
      <c r="F127" s="46">
        <f>SUM(F122:F126)</f>
        <v>15962.2</v>
      </c>
      <c r="G127" s="46">
        <f>SUM(G122:G126)</f>
        <v>12038.1</v>
      </c>
      <c r="H127" s="46">
        <f t="shared" ref="H127:K127" si="15">SUM(H122:H125)</f>
        <v>0</v>
      </c>
      <c r="I127" s="46">
        <f>SUM(I122:I126)</f>
        <v>3924.1</v>
      </c>
      <c r="J127" s="46">
        <f t="shared" si="15"/>
        <v>0</v>
      </c>
      <c r="K127" s="46">
        <f t="shared" si="15"/>
        <v>0</v>
      </c>
    </row>
    <row r="128" spans="1:11" s="28" customFormat="1" ht="19.350000000000001" customHeight="1" x14ac:dyDescent="0.3">
      <c r="A128" s="153" t="s">
        <v>148</v>
      </c>
      <c r="B128" s="154"/>
      <c r="C128" s="154"/>
      <c r="D128" s="154"/>
      <c r="E128" s="154"/>
      <c r="F128" s="154"/>
      <c r="G128" s="154"/>
      <c r="H128" s="154"/>
      <c r="I128" s="154"/>
      <c r="J128" s="154"/>
      <c r="K128" s="80"/>
    </row>
    <row r="129" spans="1:11" s="28" customFormat="1" ht="55.35" customHeight="1" x14ac:dyDescent="0.3">
      <c r="A129" s="53">
        <v>1</v>
      </c>
      <c r="B129" s="20" t="s">
        <v>149</v>
      </c>
      <c r="C129" s="19" t="s">
        <v>150</v>
      </c>
      <c r="D129" s="7" t="s">
        <v>30</v>
      </c>
      <c r="E129" s="7" t="s">
        <v>31</v>
      </c>
      <c r="F129" s="49">
        <f t="shared" ref="F129:F134" si="16">+G129+H129+I129+J129+K129</f>
        <v>9621</v>
      </c>
      <c r="G129" s="19">
        <v>1443.2</v>
      </c>
      <c r="H129" s="19">
        <v>8177.8</v>
      </c>
      <c r="I129" s="19"/>
      <c r="J129" s="19"/>
      <c r="K129" s="19"/>
    </row>
    <row r="130" spans="1:11" s="28" customFormat="1" ht="30" customHeight="1" x14ac:dyDescent="0.3">
      <c r="A130" s="53">
        <v>2</v>
      </c>
      <c r="B130" s="22" t="s">
        <v>177</v>
      </c>
      <c r="C130" s="19" t="s">
        <v>151</v>
      </c>
      <c r="D130" s="5" t="s">
        <v>45</v>
      </c>
      <c r="E130" s="5" t="s">
        <v>36</v>
      </c>
      <c r="F130" s="49">
        <f t="shared" si="16"/>
        <v>14777</v>
      </c>
      <c r="G130" s="19">
        <f>10777-4370.1</f>
        <v>6406.9</v>
      </c>
      <c r="H130" s="19">
        <f>4000+4370.1</f>
        <v>8370.1</v>
      </c>
      <c r="I130" s="19"/>
      <c r="J130" s="19"/>
      <c r="K130" s="19"/>
    </row>
    <row r="131" spans="1:11" s="28" customFormat="1" ht="41.4" customHeight="1" x14ac:dyDescent="0.3">
      <c r="A131" s="53">
        <v>3</v>
      </c>
      <c r="B131" s="22" t="s">
        <v>152</v>
      </c>
      <c r="C131" s="19" t="s">
        <v>26</v>
      </c>
      <c r="D131" s="1" t="s">
        <v>45</v>
      </c>
      <c r="E131" s="1" t="s">
        <v>33</v>
      </c>
      <c r="F131" s="49">
        <f t="shared" si="16"/>
        <v>489.1</v>
      </c>
      <c r="G131" s="19">
        <v>90.5</v>
      </c>
      <c r="H131" s="19">
        <f>367-5+36.6</f>
        <v>398.6</v>
      </c>
      <c r="I131" s="19"/>
      <c r="J131" s="19"/>
      <c r="K131" s="19"/>
    </row>
    <row r="132" spans="1:11" s="28" customFormat="1" ht="43.65" customHeight="1" x14ac:dyDescent="0.3">
      <c r="A132" s="53">
        <v>4</v>
      </c>
      <c r="B132" s="71" t="s">
        <v>153</v>
      </c>
      <c r="C132" s="19" t="s">
        <v>150</v>
      </c>
      <c r="D132" s="69">
        <v>2020</v>
      </c>
      <c r="E132" s="69">
        <v>2023</v>
      </c>
      <c r="F132" s="49">
        <f t="shared" si="16"/>
        <v>747.10000000000014</v>
      </c>
      <c r="G132" s="19">
        <f>566.7+80.5+23.7</f>
        <v>670.90000000000009</v>
      </c>
      <c r="H132" s="19">
        <v>76.2</v>
      </c>
      <c r="I132" s="19"/>
      <c r="J132" s="19"/>
      <c r="K132" s="19"/>
    </row>
    <row r="133" spans="1:11" s="28" customFormat="1" ht="28.5" customHeight="1" x14ac:dyDescent="0.3">
      <c r="A133" s="57">
        <v>5</v>
      </c>
      <c r="B133" s="87" t="s">
        <v>178</v>
      </c>
      <c r="C133" s="19" t="s">
        <v>78</v>
      </c>
      <c r="D133" s="69">
        <v>2023</v>
      </c>
      <c r="E133" s="105">
        <v>2025</v>
      </c>
      <c r="F133" s="49">
        <f t="shared" si="16"/>
        <v>852.4</v>
      </c>
      <c r="G133" s="19">
        <v>214.9</v>
      </c>
      <c r="H133" s="19">
        <v>637.5</v>
      </c>
      <c r="I133" s="19"/>
      <c r="J133" s="19"/>
      <c r="K133" s="19"/>
    </row>
    <row r="134" spans="1:11" s="28" customFormat="1" ht="38.25" customHeight="1" x14ac:dyDescent="0.3">
      <c r="A134" s="57">
        <v>6</v>
      </c>
      <c r="B134" s="87" t="s">
        <v>193</v>
      </c>
      <c r="C134" s="19" t="s">
        <v>155</v>
      </c>
      <c r="D134" s="69">
        <v>2024</v>
      </c>
      <c r="E134" s="105">
        <v>2025</v>
      </c>
      <c r="F134" s="49">
        <f t="shared" si="16"/>
        <v>1480.5</v>
      </c>
      <c r="G134" s="19">
        <v>222.1</v>
      </c>
      <c r="H134" s="19">
        <v>1258.4000000000001</v>
      </c>
      <c r="I134" s="19"/>
      <c r="J134" s="19"/>
      <c r="K134" s="19"/>
    </row>
    <row r="135" spans="1:11" s="28" customFormat="1" ht="43.65" customHeight="1" x14ac:dyDescent="0.3">
      <c r="A135" s="57">
        <v>7</v>
      </c>
      <c r="B135" s="87" t="s">
        <v>179</v>
      </c>
      <c r="C135" s="19"/>
      <c r="D135" s="69">
        <v>2024</v>
      </c>
      <c r="E135" s="105">
        <v>2026</v>
      </c>
      <c r="F135" s="49">
        <f>G135+H135+I135+J135+K135</f>
        <v>800</v>
      </c>
      <c r="G135" s="19">
        <v>120</v>
      </c>
      <c r="H135" s="19">
        <v>680</v>
      </c>
      <c r="I135" s="19"/>
      <c r="J135" s="19"/>
      <c r="K135" s="19"/>
    </row>
    <row r="136" spans="1:11" s="28" customFormat="1" ht="17.25" customHeight="1" x14ac:dyDescent="0.3">
      <c r="A136" s="57">
        <v>8</v>
      </c>
      <c r="B136" s="87" t="s">
        <v>154</v>
      </c>
      <c r="C136" s="19"/>
      <c r="D136" s="69">
        <v>2022</v>
      </c>
      <c r="E136" s="105">
        <v>2025</v>
      </c>
      <c r="F136" s="49">
        <f>G136+H136+I136+J136+K136</f>
        <v>1548</v>
      </c>
      <c r="G136" s="19">
        <v>1548</v>
      </c>
      <c r="H136" s="19"/>
      <c r="I136" s="19"/>
      <c r="J136" s="19"/>
      <c r="K136" s="19"/>
    </row>
    <row r="137" spans="1:11" s="28" customFormat="1" ht="18" customHeight="1" x14ac:dyDescent="0.3">
      <c r="A137" s="55">
        <v>8</v>
      </c>
      <c r="B137" s="77" t="s">
        <v>37</v>
      </c>
      <c r="C137" s="97"/>
      <c r="D137" s="98"/>
      <c r="E137" s="68" t="s">
        <v>14</v>
      </c>
      <c r="F137" s="46">
        <f>F129+F130+F131+F132+F133+F134+F135+F136</f>
        <v>30315.1</v>
      </c>
      <c r="G137" s="46">
        <f>G129+G130+G131+G132+G133+G134+G135+G136</f>
        <v>10716.5</v>
      </c>
      <c r="H137" s="46">
        <f>H129+H130+H131+H132+H133+H134+H135+H136</f>
        <v>19598.600000000002</v>
      </c>
      <c r="I137" s="46">
        <f>I129+I130+I131+I132+I133+I134</f>
        <v>0</v>
      </c>
      <c r="J137" s="46">
        <f>J129+J130+J131+J132+J133+J134</f>
        <v>0</v>
      </c>
      <c r="K137" s="46">
        <f>K129+K130+K131+K132+K133+K134</f>
        <v>0</v>
      </c>
    </row>
    <row r="138" spans="1:11" ht="18.75" customHeight="1" x14ac:dyDescent="0.25">
      <c r="A138" s="59">
        <f>A22+A137+A127+A120+A101+A93+A77+A43+A15</f>
        <v>106</v>
      </c>
      <c r="B138" s="155" t="s">
        <v>37</v>
      </c>
      <c r="C138" s="156"/>
      <c r="D138" s="156"/>
      <c r="E138" s="157"/>
      <c r="F138" s="58">
        <f>SUMIF(E8:E137,"Iš viso:",F8:F137)</f>
        <v>467144.50000000006</v>
      </c>
      <c r="G138" s="58">
        <f>SUMIF(E8:E137,"Iš viso:",G8:G137)</f>
        <v>225134.49999999994</v>
      </c>
      <c r="H138" s="58">
        <f>SUMIF(E8:E137,"Iš viso:",H8:H137)</f>
        <v>100457.30000000002</v>
      </c>
      <c r="I138" s="58">
        <f>SUMIF(E8:E137,"Iš viso:",I8:I137)</f>
        <v>68019.400000000009</v>
      </c>
      <c r="J138" s="58">
        <f>SUMIF(E8:E137,"Iš viso:",J8:J137)</f>
        <v>27438.5</v>
      </c>
      <c r="K138" s="58">
        <f>SUMIF(E8:E137,"Iš viso:",K8:K137)</f>
        <v>46094.8</v>
      </c>
    </row>
    <row r="139" spans="1:11" x14ac:dyDescent="0.25">
      <c r="E139" s="47"/>
      <c r="F139" s="14"/>
      <c r="G139" s="47"/>
      <c r="H139" s="14"/>
      <c r="I139" s="47"/>
      <c r="J139" s="14"/>
      <c r="K139" s="47"/>
    </row>
    <row r="140" spans="1:11" ht="13.5" customHeight="1" x14ac:dyDescent="0.25">
      <c r="E140" s="158" t="s">
        <v>156</v>
      </c>
      <c r="F140" s="158"/>
      <c r="G140" s="158"/>
      <c r="H140" s="14"/>
      <c r="I140" s="47"/>
      <c r="J140" s="14"/>
      <c r="K140" s="47"/>
    </row>
    <row r="141" spans="1:11" x14ac:dyDescent="0.25">
      <c r="E141" s="47"/>
      <c r="F141" s="14"/>
      <c r="G141" s="47"/>
      <c r="H141" s="14"/>
      <c r="I141" s="47"/>
      <c r="J141" s="14"/>
      <c r="K141" s="47"/>
    </row>
    <row r="142" spans="1:11" x14ac:dyDescent="0.25">
      <c r="E142" s="47"/>
      <c r="F142" s="14"/>
      <c r="G142" s="47"/>
      <c r="H142" s="14"/>
      <c r="I142" s="47"/>
      <c r="J142" s="14"/>
      <c r="K142" s="47"/>
    </row>
    <row r="143" spans="1:11" x14ac:dyDescent="0.25">
      <c r="E143" s="47"/>
      <c r="F143" s="14"/>
      <c r="G143" s="47"/>
      <c r="H143" s="14"/>
      <c r="I143" s="47"/>
      <c r="J143" s="14"/>
      <c r="K143" s="47"/>
    </row>
    <row r="144" spans="1:11" x14ac:dyDescent="0.25">
      <c r="E144" s="47"/>
      <c r="F144" s="14"/>
      <c r="G144" s="47"/>
      <c r="H144" s="14"/>
      <c r="I144" s="47"/>
      <c r="J144" s="14"/>
      <c r="K144" s="47"/>
    </row>
    <row r="145" spans="5:11" x14ac:dyDescent="0.25">
      <c r="E145" s="47"/>
      <c r="F145" s="14"/>
      <c r="G145" s="47"/>
      <c r="H145" s="14"/>
      <c r="I145" s="47"/>
      <c r="J145" s="14"/>
      <c r="K145" s="47"/>
    </row>
    <row r="146" spans="5:11" x14ac:dyDescent="0.25">
      <c r="E146" s="47"/>
      <c r="F146" s="14"/>
      <c r="G146" s="47"/>
      <c r="H146" s="14"/>
      <c r="I146" s="47"/>
      <c r="J146" s="14"/>
      <c r="K146" s="47"/>
    </row>
    <row r="147" spans="5:11" x14ac:dyDescent="0.25">
      <c r="E147" s="47"/>
      <c r="F147" s="14"/>
      <c r="G147" s="47"/>
      <c r="H147" s="14"/>
      <c r="I147" s="47"/>
      <c r="J147" s="14"/>
      <c r="K147" s="47"/>
    </row>
    <row r="148" spans="5:11" x14ac:dyDescent="0.25">
      <c r="E148" s="47"/>
      <c r="F148" s="14"/>
      <c r="G148" s="47"/>
      <c r="H148" s="14"/>
      <c r="I148" s="47"/>
      <c r="J148" s="14"/>
      <c r="K148" s="47"/>
    </row>
    <row r="149" spans="5:11" x14ac:dyDescent="0.25">
      <c r="E149" s="47"/>
      <c r="F149" s="14"/>
      <c r="G149" s="47"/>
      <c r="H149" s="14"/>
      <c r="I149" s="47"/>
      <c r="J149" s="14"/>
      <c r="K149" s="47"/>
    </row>
    <row r="150" spans="5:11" x14ac:dyDescent="0.25">
      <c r="E150" s="47"/>
      <c r="F150" s="14"/>
      <c r="G150" s="47"/>
      <c r="H150" s="14"/>
      <c r="I150" s="47"/>
      <c r="J150" s="14"/>
      <c r="K150" s="47"/>
    </row>
    <row r="151" spans="5:11" x14ac:dyDescent="0.25">
      <c r="E151" s="47"/>
      <c r="F151" s="14"/>
      <c r="G151" s="47"/>
      <c r="H151" s="14"/>
      <c r="I151" s="47"/>
      <c r="J151" s="14"/>
      <c r="K151" s="47"/>
    </row>
    <row r="152" spans="5:11" x14ac:dyDescent="0.25">
      <c r="E152" s="47"/>
      <c r="F152" s="14"/>
      <c r="G152" s="47"/>
      <c r="H152" s="14"/>
      <c r="I152" s="47"/>
      <c r="J152" s="14"/>
      <c r="K152" s="47"/>
    </row>
    <row r="153" spans="5:11" x14ac:dyDescent="0.25">
      <c r="E153" s="47"/>
      <c r="F153" s="14"/>
      <c r="G153" s="47"/>
      <c r="H153" s="14"/>
      <c r="I153" s="47"/>
      <c r="J153" s="14"/>
      <c r="K153" s="47"/>
    </row>
    <row r="154" spans="5:11" x14ac:dyDescent="0.25">
      <c r="E154" s="47"/>
      <c r="F154" s="14"/>
      <c r="G154" s="47"/>
      <c r="H154" s="14"/>
      <c r="I154" s="47"/>
      <c r="J154" s="14"/>
      <c r="K154" s="47"/>
    </row>
    <row r="155" spans="5:11" x14ac:dyDescent="0.25">
      <c r="E155" s="47"/>
      <c r="F155" s="14"/>
      <c r="G155" s="47"/>
      <c r="H155" s="14"/>
      <c r="I155" s="47"/>
      <c r="J155" s="14"/>
      <c r="K155" s="47"/>
    </row>
    <row r="156" spans="5:11" x14ac:dyDescent="0.25">
      <c r="E156" s="47"/>
      <c r="F156" s="14"/>
      <c r="G156" s="47"/>
      <c r="H156" s="14"/>
      <c r="I156" s="47"/>
      <c r="J156" s="14"/>
      <c r="K156" s="47"/>
    </row>
    <row r="157" spans="5:11" x14ac:dyDescent="0.25">
      <c r="E157" s="47"/>
      <c r="F157" s="14"/>
      <c r="G157" s="47"/>
      <c r="H157" s="14"/>
      <c r="I157" s="47"/>
      <c r="J157" s="14"/>
      <c r="K157" s="47"/>
    </row>
    <row r="158" spans="5:11" x14ac:dyDescent="0.25">
      <c r="E158" s="47"/>
      <c r="F158" s="14"/>
      <c r="G158" s="47"/>
      <c r="H158" s="14"/>
      <c r="I158" s="47"/>
      <c r="J158" s="14"/>
      <c r="K158" s="47"/>
    </row>
    <row r="159" spans="5:11" x14ac:dyDescent="0.25">
      <c r="E159" s="47"/>
      <c r="F159" s="14"/>
      <c r="G159" s="47"/>
      <c r="H159" s="14"/>
      <c r="I159" s="47"/>
      <c r="J159" s="14"/>
      <c r="K159" s="47"/>
    </row>
    <row r="160" spans="5:11" x14ac:dyDescent="0.25">
      <c r="E160" s="47"/>
      <c r="F160" s="14"/>
      <c r="G160" s="47"/>
      <c r="H160" s="14"/>
      <c r="I160" s="47"/>
      <c r="J160" s="14"/>
      <c r="K160" s="47"/>
    </row>
    <row r="161" spans="5:11" x14ac:dyDescent="0.25">
      <c r="E161" s="47"/>
      <c r="F161" s="14"/>
      <c r="G161" s="47"/>
      <c r="H161" s="14"/>
      <c r="I161" s="47"/>
      <c r="J161" s="14"/>
      <c r="K161" s="47"/>
    </row>
    <row r="162" spans="5:11" x14ac:dyDescent="0.25">
      <c r="E162" s="47"/>
      <c r="F162" s="14"/>
      <c r="G162" s="47"/>
      <c r="H162" s="14"/>
      <c r="I162" s="47"/>
      <c r="J162" s="14"/>
      <c r="K162" s="47"/>
    </row>
    <row r="163" spans="5:11" x14ac:dyDescent="0.25">
      <c r="E163" s="47"/>
      <c r="F163" s="14"/>
      <c r="G163" s="47"/>
      <c r="H163" s="14"/>
      <c r="I163" s="47"/>
      <c r="J163" s="14"/>
      <c r="K163" s="47"/>
    </row>
    <row r="164" spans="5:11" x14ac:dyDescent="0.25">
      <c r="E164" s="47"/>
      <c r="F164" s="14"/>
      <c r="G164" s="47"/>
      <c r="H164" s="14"/>
      <c r="I164" s="47"/>
      <c r="J164" s="14"/>
      <c r="K164" s="47"/>
    </row>
    <row r="165" spans="5:11" x14ac:dyDescent="0.25">
      <c r="E165" s="47"/>
      <c r="F165" s="14"/>
      <c r="G165" s="47"/>
      <c r="H165" s="14"/>
      <c r="I165" s="47"/>
      <c r="J165" s="14"/>
      <c r="K165" s="47"/>
    </row>
    <row r="166" spans="5:11" x14ac:dyDescent="0.25">
      <c r="E166" s="47"/>
      <c r="F166" s="14"/>
      <c r="G166" s="47"/>
      <c r="H166" s="14"/>
      <c r="I166" s="47"/>
      <c r="J166" s="14"/>
      <c r="K166" s="47"/>
    </row>
    <row r="167" spans="5:11" x14ac:dyDescent="0.25">
      <c r="E167" s="47"/>
      <c r="F167" s="14"/>
      <c r="G167" s="47"/>
      <c r="H167" s="14"/>
      <c r="I167" s="47"/>
      <c r="J167" s="14"/>
      <c r="K167" s="47"/>
    </row>
    <row r="168" spans="5:11" x14ac:dyDescent="0.25">
      <c r="E168" s="47"/>
      <c r="F168" s="14"/>
      <c r="G168" s="47"/>
      <c r="H168" s="14"/>
      <c r="I168" s="47"/>
      <c r="J168" s="14"/>
      <c r="K168" s="47"/>
    </row>
    <row r="169" spans="5:11" x14ac:dyDescent="0.25">
      <c r="E169" s="47"/>
      <c r="F169" s="14"/>
      <c r="G169" s="47"/>
      <c r="H169" s="14"/>
      <c r="I169" s="47"/>
      <c r="J169" s="14"/>
      <c r="K169" s="47"/>
    </row>
    <row r="170" spans="5:11" x14ac:dyDescent="0.25">
      <c r="E170" s="47"/>
      <c r="F170" s="14"/>
      <c r="G170" s="47"/>
      <c r="H170" s="14"/>
      <c r="I170" s="47"/>
      <c r="J170" s="14"/>
      <c r="K170" s="47"/>
    </row>
    <row r="171" spans="5:11" x14ac:dyDescent="0.25">
      <c r="E171" s="47"/>
      <c r="F171" s="14"/>
      <c r="G171" s="47"/>
      <c r="H171" s="14"/>
      <c r="I171" s="47"/>
      <c r="J171" s="14"/>
      <c r="K171" s="47"/>
    </row>
    <row r="172" spans="5:11" x14ac:dyDescent="0.25">
      <c r="E172" s="47"/>
      <c r="F172" s="14"/>
      <c r="G172" s="47"/>
      <c r="H172" s="14"/>
      <c r="I172" s="47"/>
      <c r="J172" s="14"/>
      <c r="K172" s="47"/>
    </row>
    <row r="173" spans="5:11" x14ac:dyDescent="0.25">
      <c r="E173" s="47"/>
      <c r="F173" s="14"/>
      <c r="G173" s="47"/>
      <c r="H173" s="14"/>
      <c r="I173" s="47"/>
      <c r="J173" s="14"/>
      <c r="K173" s="47"/>
    </row>
    <row r="174" spans="5:11" x14ac:dyDescent="0.25">
      <c r="E174" s="47"/>
      <c r="F174" s="14"/>
      <c r="G174" s="47"/>
      <c r="H174" s="14"/>
      <c r="I174" s="47"/>
      <c r="J174" s="14"/>
      <c r="K174" s="47"/>
    </row>
    <row r="175" spans="5:11" x14ac:dyDescent="0.25">
      <c r="E175" s="47"/>
      <c r="F175" s="14"/>
      <c r="G175" s="47"/>
      <c r="H175" s="14"/>
      <c r="I175" s="47"/>
      <c r="J175" s="14"/>
      <c r="K175" s="47"/>
    </row>
    <row r="176" spans="5:11" x14ac:dyDescent="0.25">
      <c r="E176" s="47"/>
      <c r="F176" s="14"/>
      <c r="G176" s="47"/>
      <c r="H176" s="14"/>
      <c r="I176" s="47"/>
      <c r="J176" s="14"/>
      <c r="K176" s="47"/>
    </row>
    <row r="177" spans="5:11" x14ac:dyDescent="0.25">
      <c r="E177" s="47"/>
      <c r="F177" s="14"/>
      <c r="G177" s="47"/>
      <c r="H177" s="14"/>
      <c r="I177" s="47"/>
      <c r="J177" s="14"/>
      <c r="K177" s="47"/>
    </row>
    <row r="178" spans="5:11" x14ac:dyDescent="0.25">
      <c r="E178" s="47"/>
      <c r="F178" s="14"/>
      <c r="G178" s="47"/>
      <c r="H178" s="14"/>
      <c r="I178" s="47"/>
      <c r="J178" s="14"/>
      <c r="K178" s="47"/>
    </row>
    <row r="179" spans="5:11" x14ac:dyDescent="0.25">
      <c r="E179" s="47"/>
      <c r="F179" s="14"/>
      <c r="G179" s="47"/>
      <c r="H179" s="14"/>
      <c r="I179" s="47"/>
      <c r="J179" s="14"/>
      <c r="K179" s="47"/>
    </row>
    <row r="180" spans="5:11" x14ac:dyDescent="0.25">
      <c r="E180" s="47"/>
      <c r="F180" s="14"/>
      <c r="G180" s="47"/>
      <c r="H180" s="14"/>
      <c r="I180" s="47"/>
      <c r="J180" s="14"/>
      <c r="K180" s="47"/>
    </row>
    <row r="181" spans="5:11" x14ac:dyDescent="0.25">
      <c r="E181" s="47"/>
      <c r="F181" s="14"/>
      <c r="G181" s="47"/>
      <c r="H181" s="14"/>
      <c r="I181" s="47"/>
      <c r="J181" s="14"/>
      <c r="K181" s="47"/>
    </row>
    <row r="182" spans="5:11" x14ac:dyDescent="0.25">
      <c r="E182" s="47"/>
      <c r="F182" s="14"/>
      <c r="G182" s="47"/>
      <c r="H182" s="14"/>
      <c r="I182" s="47"/>
      <c r="J182" s="14"/>
      <c r="K182" s="47"/>
    </row>
    <row r="183" spans="5:11" x14ac:dyDescent="0.25">
      <c r="E183" s="47"/>
      <c r="F183" s="14"/>
      <c r="G183" s="47"/>
      <c r="H183" s="14"/>
      <c r="I183" s="47"/>
      <c r="J183" s="14"/>
      <c r="K183" s="47"/>
    </row>
    <row r="184" spans="5:11" x14ac:dyDescent="0.25">
      <c r="E184" s="47"/>
      <c r="F184" s="14"/>
      <c r="G184" s="47"/>
      <c r="H184" s="14"/>
      <c r="I184" s="47"/>
      <c r="J184" s="14"/>
      <c r="K184" s="47"/>
    </row>
    <row r="185" spans="5:11" x14ac:dyDescent="0.25">
      <c r="E185" s="47"/>
      <c r="F185" s="14"/>
      <c r="G185" s="47"/>
      <c r="H185" s="14"/>
      <c r="I185" s="47"/>
      <c r="J185" s="14"/>
      <c r="K185" s="47"/>
    </row>
    <row r="186" spans="5:11" x14ac:dyDescent="0.25">
      <c r="E186" s="47"/>
      <c r="F186" s="14"/>
      <c r="G186" s="47"/>
      <c r="H186" s="14"/>
      <c r="I186" s="47"/>
      <c r="J186" s="14"/>
      <c r="K186" s="47"/>
    </row>
    <row r="187" spans="5:11" x14ac:dyDescent="0.25">
      <c r="E187" s="47"/>
      <c r="F187" s="14"/>
      <c r="G187" s="47"/>
      <c r="H187" s="14"/>
      <c r="I187" s="47"/>
      <c r="J187" s="14"/>
      <c r="K187" s="47"/>
    </row>
    <row r="188" spans="5:11" x14ac:dyDescent="0.25">
      <c r="E188" s="47"/>
      <c r="F188" s="14"/>
      <c r="G188" s="47"/>
      <c r="H188" s="14"/>
      <c r="I188" s="47"/>
      <c r="J188" s="14"/>
      <c r="K188" s="47"/>
    </row>
    <row r="189" spans="5:11" x14ac:dyDescent="0.25">
      <c r="E189" s="47"/>
      <c r="F189" s="14"/>
      <c r="G189" s="47"/>
      <c r="H189" s="14"/>
      <c r="I189" s="47"/>
      <c r="J189" s="14"/>
      <c r="K189" s="47"/>
    </row>
  </sheetData>
  <mergeCells count="27">
    <mergeCell ref="A10:K10"/>
    <mergeCell ref="H1:K1"/>
    <mergeCell ref="A2:K2"/>
    <mergeCell ref="A4:A5"/>
    <mergeCell ref="B4:B6"/>
    <mergeCell ref="C4:C6"/>
    <mergeCell ref="D4:E4"/>
    <mergeCell ref="F4:F5"/>
    <mergeCell ref="G4:G5"/>
    <mergeCell ref="H4:H5"/>
    <mergeCell ref="I4:I5"/>
    <mergeCell ref="J4:J5"/>
    <mergeCell ref="K4:K5"/>
    <mergeCell ref="D5:D6"/>
    <mergeCell ref="E5:E6"/>
    <mergeCell ref="A7:K7"/>
    <mergeCell ref="A16:K16"/>
    <mergeCell ref="A23:K23"/>
    <mergeCell ref="A44:J44"/>
    <mergeCell ref="A78:J78"/>
    <mergeCell ref="A94:J94"/>
    <mergeCell ref="A102:K102"/>
    <mergeCell ref="A121:J121"/>
    <mergeCell ref="A128:J128"/>
    <mergeCell ref="B138:E138"/>
    <mergeCell ref="E140:G140"/>
    <mergeCell ref="A105:J105"/>
  </mergeCells>
  <pageMargins left="0.70866141732283472" right="0.31496062992125984" top="0.74803149606299213" bottom="0.55118110236220474" header="0" footer="0"/>
  <pageSetup paperSize="9" scale="73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95447BD0C4151B458911E83D513C37A4" ma:contentTypeVersion="8" ma:contentTypeDescription="Kurkite naują dokumentą." ma:contentTypeScope="" ma:versionID="e6ed4b7294edba16c7645b08dc89f1fa">
  <xsd:schema xmlns:xsd="http://www.w3.org/2001/XMLSchema" xmlns:xs="http://www.w3.org/2001/XMLSchema" xmlns:p="http://schemas.microsoft.com/office/2006/metadata/properties" xmlns:ns3="a3e22a2e-b00b-43b4-b52b-2784bab9f462" xmlns:ns4="73c53f4f-28fb-4636-af27-2a313f14d7bb" targetNamespace="http://schemas.microsoft.com/office/2006/metadata/properties" ma:root="true" ma:fieldsID="bb823c5cbd43411eea7253d62a6af2c9" ns3:_="" ns4:_="">
    <xsd:import namespace="a3e22a2e-b00b-43b4-b52b-2784bab9f462"/>
    <xsd:import namespace="73c53f4f-28fb-4636-af27-2a313f14d7b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e22a2e-b00b-43b4-b52b-2784bab9f46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Bendrinimo užuominos maiš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53f4f-28fb-4636-af27-2a313f14d7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E28147-AEF5-416C-B84C-8A44625A56A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a3e22a2e-b00b-43b4-b52b-2784bab9f462"/>
    <ds:schemaRef ds:uri="http://purl.org/dc/elements/1.1/"/>
    <ds:schemaRef ds:uri="http://schemas.microsoft.com/office/2006/metadata/properties"/>
    <ds:schemaRef ds:uri="73c53f4f-28fb-4636-af27-2a313f14d7b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B67642B-AC76-4BD0-A1BC-59D55DB773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37A7A6-3BB9-47BD-993E-919F721F9C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e22a2e-b00b-43b4-b52b-2784bab9f462"/>
    <ds:schemaRef ds:uri="73c53f4f-28fb-4636-af27-2a313f14d7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IP sarasas</vt:lpstr>
      <vt:lpstr>'IP sarasas'!Print_Area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Audra Cepiene</dc:creator>
  <cp:keywords/>
  <dc:description/>
  <cp:lastModifiedBy>Inga Mikalauskienė</cp:lastModifiedBy>
  <cp:revision/>
  <cp:lastPrinted>2023-10-26T05:55:38Z</cp:lastPrinted>
  <dcterms:created xsi:type="dcterms:W3CDTF">2016-08-26T11:07:05Z</dcterms:created>
  <dcterms:modified xsi:type="dcterms:W3CDTF">2023-10-26T05:55:45Z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0x01010095447BD0C4151B458911E83D513C37A4</vt:lpwstr>
  </property>
</Properties>
</file>