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MVP PLANAI\2023 MVP\18. Keitimas (gruodis po biudžeto)\"/>
    </mc:Choice>
  </mc:AlternateContent>
  <xr:revisionPtr revIDLastSave="0" documentId="13_ncr:1_{0312E659-746A-4DED-90C3-CAE73E39BBEF}" xr6:coauthVersionLast="47" xr6:coauthVersionMax="47" xr10:uidLastSave="{00000000-0000-0000-0000-000000000000}"/>
  <bookViews>
    <workbookView xWindow="28680" yWindow="-120" windowWidth="38640" windowHeight="21120" tabRatio="723" xr2:uid="{00000000-000D-0000-FFFF-FFFF00000000}"/>
  </bookViews>
  <sheets>
    <sheet name="10 programa MVP" sheetId="57" r:id="rId1"/>
  </sheets>
  <definedNames>
    <definedName name="_xlnm.Print_Area" localSheetId="0">'10 programa MVP'!$A$1:$L$254</definedName>
    <definedName name="_xlnm.Print_Titles" localSheetId="0">'10 programa MVP'!$10:$12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3" i="57" l="1"/>
  <c r="J55" i="57"/>
  <c r="J42" i="57"/>
  <c r="J34" i="57"/>
  <c r="J30" i="57"/>
  <c r="J27" i="57"/>
  <c r="J24" i="57"/>
  <c r="J21" i="57"/>
  <c r="J206" i="57"/>
  <c r="J194" i="57"/>
  <c r="J193" i="57"/>
  <c r="J128" i="57"/>
  <c r="J115" i="57"/>
  <c r="J76" i="57"/>
  <c r="J43" i="57"/>
  <c r="J74" i="57"/>
  <c r="J54" i="57"/>
  <c r="J41" i="57"/>
  <c r="J32" i="57"/>
  <c r="J29" i="57"/>
  <c r="J26" i="57"/>
  <c r="J23" i="57"/>
  <c r="J20" i="57"/>
  <c r="J19" i="57"/>
  <c r="J175" i="57"/>
  <c r="J170" i="57"/>
  <c r="J77" i="57"/>
  <c r="J75" i="57"/>
  <c r="J72" i="57"/>
  <c r="J70" i="57"/>
  <c r="J50" i="57"/>
  <c r="J45" i="57"/>
  <c r="J31" i="57"/>
  <c r="J25" i="57"/>
  <c r="J18" i="57"/>
  <c r="J209" i="57"/>
  <c r="J205" i="57"/>
  <c r="J204" i="57"/>
  <c r="J200" i="57"/>
  <c r="J199" i="57"/>
  <c r="J225" i="57"/>
  <c r="J220" i="57"/>
  <c r="J215" i="57"/>
  <c r="J207" i="57"/>
  <c r="J197" i="57"/>
  <c r="J172" i="57" l="1"/>
  <c r="J124" i="57"/>
  <c r="J84" i="57"/>
  <c r="J80" i="57"/>
  <c r="J53" i="57"/>
  <c r="J47" i="57"/>
  <c r="J28" i="57"/>
  <c r="J22" i="57"/>
  <c r="J151" i="57"/>
  <c r="J130" i="57"/>
  <c r="J145" i="57"/>
  <c r="J188" i="57"/>
  <c r="J250" i="57"/>
  <c r="J251" i="57"/>
  <c r="J224" i="57"/>
  <c r="J201" i="57"/>
  <c r="J165" i="57"/>
  <c r="J159" i="57" l="1"/>
  <c r="J109" i="57"/>
  <c r="J57" i="57"/>
  <c r="J211" i="57" l="1"/>
  <c r="J210" i="57"/>
  <c r="J133" i="57" l="1"/>
  <c r="J155" i="57" l="1"/>
  <c r="J87" i="57" l="1"/>
  <c r="J17" i="57" l="1"/>
  <c r="J244" i="57" l="1"/>
  <c r="J140" i="57"/>
  <c r="J138" i="57"/>
  <c r="J153" i="57" s="1"/>
  <c r="J252" i="57" l="1"/>
  <c r="J119" i="57" l="1"/>
  <c r="J248" i="57" l="1"/>
  <c r="J49" i="57" l="1"/>
  <c r="J81" i="57" l="1"/>
  <c r="J229" i="57" l="1"/>
  <c r="J249" i="57" l="1"/>
  <c r="J176" i="57" l="1"/>
  <c r="J166" i="57" l="1"/>
  <c r="J246" i="57" l="1"/>
  <c r="J135" i="57"/>
  <c r="J156" i="57" s="1"/>
  <c r="J106" i="57"/>
  <c r="J89" i="57"/>
  <c r="J247" i="57" l="1"/>
  <c r="J245" i="57"/>
  <c r="J243" i="57"/>
  <c r="J242" i="57"/>
  <c r="J241" i="57"/>
  <c r="J240" i="57"/>
  <c r="J239" i="57"/>
  <c r="J238" i="57" l="1"/>
  <c r="J237" i="57" s="1"/>
  <c r="J253" i="57" l="1"/>
  <c r="J216" i="57"/>
  <c r="J214" i="57"/>
  <c r="J212" i="57"/>
  <c r="J99" i="57"/>
  <c r="J97" i="57"/>
  <c r="J95" i="57"/>
  <c r="J93" i="57"/>
  <c r="J100" i="57" l="1"/>
  <c r="J230" i="57"/>
  <c r="J167" i="57"/>
  <c r="J101" i="57" l="1"/>
  <c r="J189" i="57" l="1"/>
  <c r="J231" i="57" s="1"/>
  <c r="J232" i="5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Snieguole Kacerauskaite</author>
    <author>Asta Česnauskienė</author>
    <author>Ingrida Urbonaviciene</author>
    <author>Indrė Butenienė</author>
  </authors>
  <commentList>
    <comment ref="G1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5.1. Ikimokyklinio ir bendrojo ugdymo paslaugų prieinamumo ir kokybės gerinimas</t>
        </r>
        <r>
          <rPr>
            <sz val="9"/>
            <color indexed="81"/>
            <rFont val="Tahoma"/>
            <family val="2"/>
            <charset val="186"/>
          </rPr>
          <t xml:space="preserve">: 
5.1.3. Įrengta inovatyvių išmanių grupių ikimokyklinio ugdymo įstaigose, vnt. </t>
        </r>
      </text>
    </comment>
    <comment ref="G19" authorId="1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 xml:space="preserve">P-1.3.2.5
</t>
        </r>
      </text>
    </comment>
    <comment ref="L29" authorId="1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 xml:space="preserve">Laimingų vaikų pilis (Miško darželis) ir Vaikų ugdymo akademija
</t>
        </r>
      </text>
    </comment>
    <comment ref="L36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186"/>
          </rPr>
          <t>Ingrida Urbonaviciene:</t>
        </r>
        <r>
          <rPr>
            <sz val="9"/>
            <color indexed="81"/>
            <rFont val="Tahoma"/>
            <family val="2"/>
            <charset val="186"/>
          </rPr>
          <t xml:space="preserve">
„Gabijos“, Sendvario, Vitės, „Vyturio“ progimnazijos, „Varpo“ gimnazija</t>
        </r>
      </text>
    </comment>
    <comment ref="L39" authorId="1" shapeId="0" xr:uid="{00000000-0006-0000-0000-000005000000}">
      <text>
        <r>
          <rPr>
            <sz val="9"/>
            <color indexed="81"/>
            <rFont val="Tahoma"/>
            <family val="2"/>
            <charset val="186"/>
          </rPr>
          <t xml:space="preserve">„Aitvaro“, „Žaliakalnio“ gimnazijos, Liudviko Stulpino, „Santarvės“, „Smeltės“ ir „Saulėtekio“ progimnazijos
</t>
        </r>
      </text>
    </comment>
    <comment ref="H40" authorId="1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>dalyvavimo programoje koordinavimas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42" authorId="1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 xml:space="preserve">P-1.3.2.3
</t>
        </r>
      </text>
    </comment>
    <comment ref="G50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186"/>
          </rPr>
          <t>5.1. Ikimokyklinio ir bendrojo ugdymo paslaugų prieinamumo ir kokybės gerinimas</t>
        </r>
        <r>
          <rPr>
            <sz val="9"/>
            <color indexed="81"/>
            <rFont val="Tahoma"/>
            <family val="2"/>
            <charset val="186"/>
          </rPr>
          <t>: 
5.1.2. Padidintas psichologų, teikiančių paslaugas ikimokyklinio ugdymo įstaigoms, etatų skaičius BĮ Klaipėdos pedagoginė psichologinė tarnyba</t>
        </r>
      </text>
    </comment>
    <comment ref="G52" authorId="1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 xml:space="preserve">P-2.4.3.3.
</t>
        </r>
      </text>
    </comment>
    <comment ref="G54" authorId="1" shapeId="0" xr:uid="{00000000-0006-0000-0000-00000A000000}">
      <text>
        <r>
          <rPr>
            <sz val="9"/>
            <color indexed="81"/>
            <rFont val="Tahoma"/>
            <family val="2"/>
            <charset val="186"/>
          </rPr>
          <t xml:space="preserve">P-1.3.2.5
</t>
        </r>
      </text>
    </comment>
    <comment ref="G60" authorId="3" shapeId="0" xr:uid="{00000000-0006-0000-0000-00000B000000}">
      <text>
        <r>
          <rPr>
            <b/>
            <sz val="9"/>
            <color indexed="81"/>
            <rFont val="Tahoma"/>
            <family val="2"/>
            <charset val="186"/>
          </rPr>
          <t xml:space="preserve">KEPS 2.2.4. </t>
        </r>
        <r>
          <rPr>
            <sz val="9"/>
            <color indexed="81"/>
            <rFont val="Tahoma"/>
            <family val="2"/>
            <charset val="186"/>
          </rPr>
          <t xml:space="preserve"> Įsteigti gamtos mokslų, technologijų ir inžinerijos, matematikos ir menų (STEAM) centrą </t>
        </r>
      </text>
    </comment>
    <comment ref="G61" authorId="1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 xml:space="preserve">P-1.3.1.2
</t>
        </r>
      </text>
    </comment>
    <comment ref="G62" authorId="1" shapeId="0" xr:uid="{00000000-0006-0000-0000-00000D000000}">
      <text>
        <r>
          <rPr>
            <sz val="9"/>
            <color indexed="81"/>
            <rFont val="Tahoma"/>
            <family val="2"/>
            <charset val="186"/>
          </rPr>
          <t xml:space="preserve">P-1.3.2.1
</t>
        </r>
      </text>
    </comment>
    <comment ref="G63" authorId="1" shapeId="0" xr:uid="{00000000-0006-0000-0000-00000E000000}">
      <text>
        <r>
          <rPr>
            <sz val="9"/>
            <color indexed="81"/>
            <rFont val="Tahoma"/>
            <family val="2"/>
            <charset val="186"/>
          </rPr>
          <t xml:space="preserve">P-2.2.3.1
</t>
        </r>
      </text>
    </comment>
    <comment ref="L63" authorId="1" shapeId="0" xr:uid="{00000000-0006-0000-0000-00000F000000}">
      <text>
        <r>
          <rPr>
            <sz val="9"/>
            <color indexed="81"/>
            <rFont val="Tahoma"/>
            <family val="2"/>
            <charset val="186"/>
          </rPr>
          <t xml:space="preserve">"Aukuro" ir V. Didžiojo gimnazijos
</t>
        </r>
      </text>
    </comment>
    <comment ref="G67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186"/>
          </rPr>
          <t>5.2. Bendradarbiavimo su Klaipėdos miesto aukštosiomis mokyklomis stiprinimas</t>
        </r>
        <r>
          <rPr>
            <sz val="9"/>
            <color indexed="81"/>
            <rFont val="Tahoma"/>
            <family val="2"/>
            <charset val="186"/>
          </rPr>
          <t>:
5.2.1. Įgyvendintų bendrų projektų su aukštosiomis mokyklomis skaičius
5.2.2. Įsteigta universitetinių klasių, vnt.</t>
        </r>
      </text>
    </comment>
    <comment ref="G68" authorId="1" shapeId="0" xr:uid="{00000000-0006-0000-0000-000011000000}">
      <text>
        <r>
          <rPr>
            <sz val="9"/>
            <color indexed="81"/>
            <rFont val="Tahoma"/>
            <family val="2"/>
            <charset val="186"/>
          </rPr>
          <t>P-1.3.2.4
P-1.3.2.8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69" authorId="3" shapeId="0" xr:uid="{00000000-0006-0000-0000-000012000000}">
      <text>
        <r>
          <rPr>
            <b/>
            <sz val="9"/>
            <color indexed="81"/>
            <rFont val="Tahoma"/>
            <family val="2"/>
            <charset val="186"/>
          </rPr>
          <t>KEPS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  <r>
          <rPr>
            <b/>
            <sz val="9"/>
            <color indexed="81"/>
            <rFont val="Tahoma"/>
            <family val="2"/>
            <charset val="186"/>
          </rPr>
          <t>2.2.2</t>
        </r>
        <r>
          <rPr>
            <sz val="9"/>
            <color indexed="81"/>
            <rFont val="Tahoma"/>
            <family val="2"/>
            <charset val="186"/>
          </rPr>
          <t xml:space="preserve">. Įsteigti universitetinių klasių ir universitetinę ikimokyklinę įstaigą, gimnaziją ir progimnaziją, kurių ugdymo turinys būtų derinamas su Klaipėdos universitetu </t>
        </r>
      </text>
    </comment>
    <comment ref="G74" authorId="1" shapeId="0" xr:uid="{00000000-0006-0000-0000-000013000000}">
      <text>
        <r>
          <rPr>
            <sz val="9"/>
            <color indexed="81"/>
            <rFont val="Tahoma"/>
            <family val="2"/>
            <charset val="186"/>
          </rPr>
          <t xml:space="preserve">P-1.3.2.10
</t>
        </r>
      </text>
    </comment>
    <comment ref="G78" authorId="1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>P-1.1.2.1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84" authorId="0" shapeId="0" xr:uid="{00000000-0006-0000-0000-000016000000}">
      <text>
        <r>
          <rPr>
            <b/>
            <sz val="9"/>
            <color indexed="81"/>
            <rFont val="Tahoma"/>
            <family val="2"/>
            <charset val="186"/>
          </rPr>
          <t>5.1. Ikimokyklinio ir bendrojo ugdymo paslaugų prieinamumo ir kokybės gerinimas</t>
        </r>
        <r>
          <rPr>
            <sz val="9"/>
            <color indexed="81"/>
            <rFont val="Tahoma"/>
            <family val="2"/>
            <charset val="186"/>
          </rPr>
          <t>: 
5.1.11. Padidintas finansavimas vasaros poilsio stovykloms, proc.</t>
        </r>
      </text>
    </comment>
    <comment ref="G86" authorId="1" shapeId="0" xr:uid="{00000000-0006-0000-0000-000017000000}">
      <text>
        <r>
          <rPr>
            <sz val="9"/>
            <color indexed="81"/>
            <rFont val="Tahoma"/>
            <family val="2"/>
            <charset val="186"/>
          </rPr>
          <t xml:space="preserve">P-2.4.3.2
</t>
        </r>
      </text>
    </comment>
    <comment ref="G88" authorId="1" shapeId="0" xr:uid="{00000000-0006-0000-0000-000018000000}">
      <text>
        <r>
          <rPr>
            <sz val="9"/>
            <color indexed="81"/>
            <rFont val="Tahoma"/>
            <family val="2"/>
            <charset val="186"/>
          </rPr>
          <t xml:space="preserve">P-2.4.3.4
</t>
        </r>
      </text>
    </comment>
    <comment ref="G104" authorId="0" shapeId="0" xr:uid="{00000000-0006-0000-0000-000019000000}">
      <text>
        <r>
          <rPr>
            <b/>
            <sz val="9"/>
            <color indexed="81"/>
            <rFont val="Tahoma"/>
            <family val="2"/>
            <charset val="186"/>
          </rPr>
          <t xml:space="preserve">5.1. Ikimokyklinio ir bendrojo ugdymo paslaugų prieinamumo ir kokybės gerinimas: </t>
        </r>
        <r>
          <rPr>
            <sz val="9"/>
            <color indexed="81"/>
            <rFont val="Tahoma"/>
            <family val="2"/>
            <charset val="186"/>
          </rPr>
          <t xml:space="preserve">5.1.4. Įrengta naujų ikimokyklinio ugdymo vietų centrinėje ir šiaurinėje miesto dalyse 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09" authorId="0" shapeId="0" xr:uid="{00000000-0006-0000-0000-00001A000000}">
      <text>
        <r>
          <rPr>
            <b/>
            <sz val="9"/>
            <color indexed="81"/>
            <rFont val="Tahoma"/>
            <family val="2"/>
            <charset val="186"/>
          </rPr>
          <t>5.1. Ikimokyklinio ir bendrojo ugdymo paslaugų prieinamumo ir kokybės gerinimas:</t>
        </r>
        <r>
          <rPr>
            <sz val="9"/>
            <color indexed="81"/>
            <rFont val="Tahoma"/>
            <family val="2"/>
            <charset val="186"/>
          </rPr>
          <t xml:space="preserve">
5.1.9. Įrengta naujų bendrojo ugdymo vietų šiaurinėje miesto dalyje, vnt.
5.1.12. Įgyvendinta investicinių projektų bendrojo lavinimo ir neformalaus ugdymo srityje, vnt.</t>
        </r>
      </text>
    </comment>
    <comment ref="G111" authorId="1" shapeId="0" xr:uid="{00000000-0006-0000-0000-00001B000000}">
      <text>
        <r>
          <rPr>
            <sz val="9"/>
            <color indexed="81"/>
            <rFont val="Tahoma"/>
            <family val="2"/>
            <charset val="186"/>
          </rPr>
          <t xml:space="preserve">P-1.3.1.1.
</t>
        </r>
      </text>
    </comment>
    <comment ref="G115" authorId="1" shapeId="0" xr:uid="{00000000-0006-0000-0000-00001C000000}">
      <text>
        <r>
          <rPr>
            <sz val="9"/>
            <color indexed="81"/>
            <rFont val="Tahoma"/>
            <family val="2"/>
            <charset val="186"/>
          </rPr>
          <t xml:space="preserve">P-2.2.1.2
</t>
        </r>
      </text>
    </comment>
    <comment ref="L115" authorId="1" shapeId="0" xr:uid="{00000000-0006-0000-0000-00001D000000}">
      <text>
        <r>
          <rPr>
            <sz val="9"/>
            <color indexed="81"/>
            <rFont val="Tahoma"/>
            <family val="2"/>
            <charset val="186"/>
          </rPr>
          <t>Gilijos</t>
        </r>
      </text>
    </comment>
    <comment ref="J116" authorId="1" shapeId="0" xr:uid="{00000000-0006-0000-0000-00001E000000}">
      <text>
        <r>
          <rPr>
            <sz val="9"/>
            <color indexed="81"/>
            <rFont val="Tahoma"/>
            <family val="2"/>
            <charset val="186"/>
          </rPr>
          <t xml:space="preserve">Uostamiesčio stadiono tęstiniams darbams, tech. priežiūrai ir projekto vykdymo priežiūrai
</t>
        </r>
      </text>
    </comment>
    <comment ref="G119" authorId="0" shapeId="0" xr:uid="{00000000-0006-0000-0000-00001F000000}">
      <text>
        <r>
          <rPr>
            <b/>
            <sz val="9"/>
            <color indexed="81"/>
            <rFont val="Tahoma"/>
            <family val="2"/>
            <charset val="186"/>
          </rPr>
          <t>5.1. Ikimokyklinio ir bendrojo ugdymo paslaugų prieinamumo ir kokybės gerinimas</t>
        </r>
        <r>
          <rPr>
            <sz val="9"/>
            <color indexed="81"/>
            <rFont val="Tahoma"/>
            <family val="2"/>
            <charset val="186"/>
          </rPr>
          <t>:
5.1.12. Įgyvendinta investicinių projektų bendrojo lavinimo ir neformalaus ugdymo srityje, vnt.</t>
        </r>
      </text>
    </comment>
    <comment ref="L119" authorId="1" shapeId="0" xr:uid="{00000000-0006-0000-0000-000020000000}">
      <text>
        <r>
          <rPr>
            <sz val="9"/>
            <color indexed="81"/>
            <rFont val="Tahoma"/>
            <family val="2"/>
            <charset val="186"/>
          </rPr>
          <t xml:space="preserve">Planuojama nupirkti  sporto įrangą Verdenės, Smeltės, L. Stulpino progimnazijoms ir Varpo gimnazijai
</t>
        </r>
      </text>
    </comment>
    <comment ref="L124" authorId="1" shapeId="0" xr:uid="{00000000-0006-0000-0000-000021000000}">
      <text>
        <r>
          <rPr>
            <sz val="9"/>
            <color indexed="81"/>
            <rFont val="Tahoma"/>
            <family val="2"/>
            <charset val="186"/>
          </rPr>
          <t xml:space="preserve">1. Baltijos gimnazija (vykdytojas - Statinių administravimo skyrius); 
2. "Vyturio" progimnazija (vykdytojas - Švietimo skyrius, programos sąmatų tvirtintojas - Planavimo ir analizės skyrius)
</t>
        </r>
      </text>
    </comment>
    <comment ref="G131" authorId="1" shapeId="0" xr:uid="{00000000-0006-0000-0000-000022000000}">
      <text>
        <r>
          <rPr>
            <sz val="9"/>
            <color indexed="81"/>
            <rFont val="Tahoma"/>
            <family val="2"/>
            <charset val="186"/>
          </rPr>
          <t xml:space="preserve">P-1.3.1.1
</t>
        </r>
      </text>
    </comment>
    <comment ref="G134" authorId="1" shapeId="0" xr:uid="{00000000-0006-0000-0000-000023000000}">
      <text>
        <r>
          <rPr>
            <sz val="9"/>
            <color indexed="81"/>
            <rFont val="Tahoma"/>
            <family val="2"/>
            <charset val="186"/>
          </rPr>
          <t xml:space="preserve">P-1.3.1.1.
</t>
        </r>
      </text>
    </comment>
    <comment ref="G138" authorId="0" shapeId="0" xr:uid="{00000000-0006-0000-0000-000024000000}">
      <text>
        <r>
          <rPr>
            <b/>
            <sz val="9"/>
            <color indexed="81"/>
            <rFont val="Tahoma"/>
            <family val="2"/>
            <charset val="186"/>
          </rPr>
          <t>5.1. Ikimokyklinio ir bendrojo ugdymo paslaugų prieinamumo ir kokybės gerinimas</t>
        </r>
        <r>
          <rPr>
            <sz val="9"/>
            <color indexed="81"/>
            <rFont val="Tahoma"/>
            <family val="2"/>
            <charset val="186"/>
          </rPr>
          <t>:
5.1.4. Įrengta naujų ikimokyklinio ugdymo vietų centrinėje ir šiaurinėje miesto dalyse
5.1.5. Renovuota ikimokyklinio ugdymo įstaigų pastatų, vnt.
5.1.12. Įgyvendinta investicinių projektų bendrojo lavinimo ir neformalaus ugdymo srityje, vnt.</t>
        </r>
      </text>
    </comment>
    <comment ref="G139" authorId="1" shapeId="0" xr:uid="{00000000-0006-0000-0000-000025000000}">
      <text>
        <r>
          <rPr>
            <sz val="9"/>
            <color indexed="81"/>
            <rFont val="Tahoma"/>
            <family val="2"/>
            <charset val="186"/>
          </rPr>
          <t xml:space="preserve">P-1.3.1.1.
</t>
        </r>
      </text>
    </comment>
    <comment ref="F145" authorId="1" shapeId="0" xr:uid="{00000000-0006-0000-0000-000026000000}">
      <text>
        <r>
          <rPr>
            <b/>
            <sz val="9"/>
            <color indexed="81"/>
            <rFont val="Tahoma"/>
            <family val="2"/>
            <charset val="186"/>
          </rPr>
          <t xml:space="preserve">Rima Ališauskė:
</t>
        </r>
        <r>
          <rPr>
            <sz val="9"/>
            <color indexed="81"/>
            <rFont val="Tahoma"/>
            <family val="2"/>
            <charset val="186"/>
          </rPr>
          <t>2023 m.</t>
        </r>
        <r>
          <rPr>
            <b/>
            <sz val="9"/>
            <color indexed="81"/>
            <rFont val="Tahoma"/>
            <family val="2"/>
            <charset val="186"/>
          </rPr>
          <t xml:space="preserve"> </t>
        </r>
        <r>
          <rPr>
            <sz val="9"/>
            <color indexed="81"/>
            <rFont val="Tahoma"/>
            <family val="2"/>
            <charset val="186"/>
          </rPr>
          <t xml:space="preserve">rekonstruotas 1 pastatas l/d "Saulutės" 100 proc., 2024 m. parengti 2 tech. projektai, rekonstruotas 1 pastatas l/d "Vėtrungėlė" (l/d "Vėrinėlis" skyrius) 40 proc., 2025 m. parengti 2 tech. projektai, rekonstruotas 1 pastatas l/d "Vėtrungėlė" (l/d "Vėrinėlis" skyrius) 100 proc.; rekonstruotas l/d "Vėtrungėlė" (l/d "Pingvinukas"skyrius) 40 proc.
</t>
        </r>
      </text>
    </comment>
    <comment ref="G146" authorId="1" shapeId="0" xr:uid="{00000000-0006-0000-0000-000027000000}">
      <text>
        <r>
          <rPr>
            <sz val="9"/>
            <color indexed="81"/>
            <rFont val="Tahoma"/>
            <family val="2"/>
            <charset val="186"/>
          </rPr>
          <t xml:space="preserve">P-1.3.1.1.
</t>
        </r>
      </text>
    </comment>
    <comment ref="G149" authorId="1" shapeId="0" xr:uid="{00000000-0006-0000-0000-000028000000}">
      <text>
        <r>
          <rPr>
            <sz val="9"/>
            <color indexed="81"/>
            <rFont val="Tahoma"/>
            <family val="2"/>
            <charset val="186"/>
          </rPr>
          <t xml:space="preserve">P-1.3.1.1.
</t>
        </r>
      </text>
    </comment>
    <comment ref="G151" authorId="1" shapeId="0" xr:uid="{00000000-0006-0000-0000-000029000000}">
      <text>
        <r>
          <rPr>
            <sz val="9"/>
            <color indexed="81"/>
            <rFont val="Tahoma"/>
            <family val="2"/>
            <charset val="186"/>
          </rPr>
          <t xml:space="preserve">P-1.3.1.1.
</t>
        </r>
      </text>
    </comment>
    <comment ref="G160" authorId="1" shapeId="0" xr:uid="{00000000-0006-0000-0000-00002C000000}">
      <text>
        <r>
          <rPr>
            <sz val="9"/>
            <color indexed="81"/>
            <rFont val="Tahoma"/>
            <family val="2"/>
            <charset val="186"/>
          </rPr>
          <t xml:space="preserve">P-1.3.1.1
</t>
        </r>
      </text>
    </comment>
    <comment ref="G161" authorId="1" shapeId="0" xr:uid="{00000000-0006-0000-0000-00002D000000}">
      <text>
        <r>
          <rPr>
            <sz val="9"/>
            <color indexed="81"/>
            <rFont val="Tahoma"/>
            <family val="2"/>
            <charset val="186"/>
          </rPr>
          <t xml:space="preserve">P-1.3.1.1
</t>
        </r>
      </text>
    </comment>
    <comment ref="L161" authorId="1" shapeId="0" xr:uid="{00000000-0006-0000-0000-00002E000000}">
      <text>
        <r>
          <rPr>
            <sz val="9"/>
            <color indexed="81"/>
            <rFont val="Tahoma"/>
            <family val="2"/>
            <charset val="186"/>
          </rPr>
          <t xml:space="preserve">Vaikų laisvalaikio centro klubuose „Saulutė“ ir „Švyturys“ ir Pedagoginėje psichologinėje tarnyboje
</t>
        </r>
      </text>
    </comment>
    <comment ref="L164" authorId="1" shapeId="0" xr:uid="{00000000-0006-0000-0000-00002F000000}">
      <text>
        <r>
          <rPr>
            <sz val="9"/>
            <color indexed="81"/>
            <rFont val="Tahoma"/>
            <family val="2"/>
            <charset val="186"/>
          </rPr>
          <t>Varpo gimnazija
Jūrų kadetų mokykla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82" authorId="1" shapeId="0" xr:uid="{00000000-0006-0000-0000-000030000000}">
      <text>
        <r>
          <rPr>
            <sz val="9"/>
            <color indexed="81"/>
            <rFont val="Tahoma"/>
            <family val="2"/>
            <charset val="186"/>
          </rPr>
          <t xml:space="preserve">Adomo Brako dailės mokykla, 
Juozo Karoso muzikos mokykla,
Jeronimo Kačinsko muzikos mokykla,
Pedagoginė psichologinė tarnyba,
Pedagogų švietimo ir kultūros centras
</t>
        </r>
      </text>
    </comment>
    <comment ref="L199" authorId="1" shapeId="0" xr:uid="{00000000-0006-0000-0000-000032000000}">
      <text>
        <r>
          <rPr>
            <b/>
            <sz val="9"/>
            <color indexed="81"/>
            <rFont val="Tahoma"/>
            <family val="2"/>
            <charset val="186"/>
          </rPr>
          <t xml:space="preserve">Regina Intienė:
</t>
        </r>
        <r>
          <rPr>
            <sz val="9"/>
            <color indexed="81"/>
            <rFont val="Tahoma"/>
            <family val="2"/>
            <charset val="186"/>
          </rPr>
          <t xml:space="preserve">1. l/d Kregždutė
2. l/d Radastėlė
3. Versmės progimn.
4. l/d Pušaitė
</t>
        </r>
      </text>
    </comment>
    <comment ref="L204" authorId="1" shapeId="0" xr:uid="{00000000-0006-0000-0000-000034000000}">
      <text>
        <r>
          <rPr>
            <b/>
            <sz val="9"/>
            <color indexed="81"/>
            <rFont val="Tahoma"/>
            <family val="2"/>
            <charset val="186"/>
          </rPr>
          <t xml:space="preserve">Regina Intienė:
</t>
        </r>
        <r>
          <rPr>
            <sz val="9"/>
            <color indexed="81"/>
            <rFont val="Tahoma"/>
            <family val="2"/>
            <charset val="186"/>
          </rPr>
          <t xml:space="preserve">1. Žemynos gimn.
2. Vydūno gimn.
3. Kadetų mokykla
4. l/d Švyturėlis
5. M. Montesorri m/d
</t>
        </r>
      </text>
    </comment>
    <comment ref="L205" authorId="1" shapeId="0" xr:uid="{00000000-0006-0000-0000-000035000000}">
      <text>
        <r>
          <rPr>
            <b/>
            <sz val="9"/>
            <color indexed="81"/>
            <rFont val="Tahoma"/>
            <family val="2"/>
            <charset val="186"/>
          </rPr>
          <t xml:space="preserve">Regina Intienė:
</t>
        </r>
        <r>
          <rPr>
            <sz val="9"/>
            <color indexed="81"/>
            <rFont val="Tahoma"/>
            <family val="2"/>
            <charset val="186"/>
          </rPr>
          <t xml:space="preserve">1. l/d Žilvitis
2. Vyturio progim.
3. Gilijos pradinė
4. M. Mažvydo progimn.
5. Saulėtekio progimn.
6. ll/d Pušaitė
7. l/d Žemuogėlė
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06" authorId="1" shapeId="0" xr:uid="{00000000-0006-0000-0000-000036000000}">
      <text>
        <r>
          <rPr>
            <sz val="9"/>
            <color indexed="81"/>
            <rFont val="Tahoma"/>
            <family val="2"/>
            <charset val="186"/>
          </rPr>
          <t xml:space="preserve">lopšelių-darželių „Bangelė“, „Berželis“, lopšelių-darželių „Bangelė“, „Šaltinėlis“, „Berželis“, „Nykštukas“ ir „Ąžuoliukas“; „Smeltės“ ir Martyno Mažvydo progimnazijų; Suaugusiųjų, „Aitvaro“, „Varpo“, Vytauto Didžiojo ir "Vyturio" gimnazijų
</t>
        </r>
      </text>
    </comment>
    <comment ref="L208" authorId="1" shapeId="0" xr:uid="{EB7C99C4-F524-4FE5-A9F3-7E5EC66D29BF}">
      <text>
        <r>
          <rPr>
            <sz val="9"/>
            <color indexed="81"/>
            <rFont val="Tahoma"/>
            <family val="2"/>
            <charset val="186"/>
          </rPr>
          <t xml:space="preserve">Uostamiesčio progimnazijos ir l/d Šermukšnėlė
</t>
        </r>
      </text>
    </comment>
    <comment ref="L210" authorId="1" shapeId="0" xr:uid="{00000000-0006-0000-0000-000039000000}">
      <text>
        <r>
          <rPr>
            <b/>
            <sz val="9"/>
            <color indexed="81"/>
            <rFont val="Tahoma"/>
            <family val="2"/>
            <charset val="186"/>
          </rPr>
          <t xml:space="preserve">Regina Intienė:
</t>
        </r>
        <r>
          <rPr>
            <sz val="9"/>
            <color indexed="81"/>
            <rFont val="Tahoma"/>
            <family val="2"/>
            <charset val="186"/>
          </rPr>
          <t xml:space="preserve">1. Medeinės mokykla
VDG ir l/d Traukinukas - rengiami projektai
</t>
        </r>
      </text>
    </comment>
    <comment ref="G221" authorId="1" shapeId="0" xr:uid="{00000000-0006-0000-0000-00003A000000}">
      <text>
        <r>
          <rPr>
            <sz val="9"/>
            <color indexed="81"/>
            <rFont val="Tahoma"/>
            <family val="2"/>
            <charset val="186"/>
          </rPr>
          <t xml:space="preserve">P-3.3.2.3
</t>
        </r>
      </text>
    </comment>
    <comment ref="L221" authorId="1" shapeId="0" xr:uid="{00000000-0006-0000-0000-00003B000000}">
      <text>
        <r>
          <rPr>
            <sz val="9"/>
            <color indexed="81"/>
            <rFont val="Tahoma"/>
            <family val="2"/>
            <charset val="186"/>
          </rPr>
          <t>1. l/d Vyturėlis;
2. Gedminų prog.
3. S. Dacho progim.
4. Smeltės prog.
5. Vitės prog.</t>
        </r>
      </text>
    </comment>
    <comment ref="L223" authorId="2" shapeId="0" xr:uid="{00000000-0006-0000-0000-00003C000000}">
      <text>
        <r>
          <rPr>
            <b/>
            <sz val="9"/>
            <color indexed="81"/>
            <rFont val="Tahoma"/>
            <family val="2"/>
            <charset val="186"/>
          </rPr>
          <t>Ingrida Urbonaviciene:</t>
        </r>
        <r>
          <rPr>
            <sz val="9"/>
            <color indexed="81"/>
            <rFont val="Tahoma"/>
            <family val="2"/>
            <charset val="186"/>
          </rPr>
          <t xml:space="preserve">
Čiauškutė, Ąžuoliukas, S. Dacho prog., Vyturėlis, Žemyna, Verdenė, Gedminų prog.</t>
        </r>
      </text>
    </comment>
  </commentList>
</comments>
</file>

<file path=xl/sharedStrings.xml><?xml version="1.0" encoding="utf-8"?>
<sst xmlns="http://schemas.openxmlformats.org/spreadsheetml/2006/main" count="726" uniqueCount="283">
  <si>
    <t>Finansavimo šaltinių suvestinė</t>
  </si>
  <si>
    <t>Finansavimo šaltiniai</t>
  </si>
  <si>
    <t>I</t>
  </si>
  <si>
    <t>10</t>
  </si>
  <si>
    <t>Iš viso tikslui:</t>
  </si>
  <si>
    <t>Iš viso programai:</t>
  </si>
  <si>
    <t>Uždavinio kodas</t>
  </si>
  <si>
    <t>Priemonės kodas</t>
  </si>
  <si>
    <t>Finansavimo šaltinis</t>
  </si>
  <si>
    <t>01</t>
  </si>
  <si>
    <t>SB</t>
  </si>
  <si>
    <t>Iš viso:</t>
  </si>
  <si>
    <t>02</t>
  </si>
  <si>
    <t>SB(VB)</t>
  </si>
  <si>
    <t>03</t>
  </si>
  <si>
    <t>Iš viso uždaviniui:</t>
  </si>
  <si>
    <t>04</t>
  </si>
  <si>
    <t>05</t>
  </si>
  <si>
    <t>Pavadinimas</t>
  </si>
  <si>
    <t>KITI ŠALTINIAI, IŠ VISO:</t>
  </si>
  <si>
    <t>IŠ VISO:</t>
  </si>
  <si>
    <t>UGDYMO PROCESO UŽTIKRINIMO PROGRAMOS (NR. 10)</t>
  </si>
  <si>
    <t>10 Ugdymo proceso užtikrinimo programa</t>
  </si>
  <si>
    <t>Renovuoti ugdymo įstaigų pastatus ir patalpas</t>
  </si>
  <si>
    <t>Organizuoti materialinį, ūkinį ir techninį ugdymo įstaigų aptarnavimą</t>
  </si>
  <si>
    <t>Ugdymo įstaigų ūkinio aptarnavimo organizavimas:</t>
  </si>
  <si>
    <t>Užtikrinti kokybišką ugdymo proceso organizavimą</t>
  </si>
  <si>
    <t>Gerinti ugdymo sąlygas ir aplinką</t>
  </si>
  <si>
    <t>Ryšių kabelių kanalų nuoma</t>
  </si>
  <si>
    <t>Šilumos ir karšto vandens tiekimo sistemų renovacija ir remontas</t>
  </si>
  <si>
    <t>Švietimo įstaigų pastatų apsauga</t>
  </si>
  <si>
    <t>Priešgaisrinių reikalavimų vykdymas švietimo įstaigose</t>
  </si>
  <si>
    <t>Kabelio tinklo ilgis, km</t>
  </si>
  <si>
    <t>SB(SP)</t>
  </si>
  <si>
    <t>Veiklos organizavimo užtikrinimas švietimo įstaigose:</t>
  </si>
  <si>
    <t>Švietimo įstaigų sanitarinių patalpų remontas</t>
  </si>
  <si>
    <t>Iš viso priemonei:</t>
  </si>
  <si>
    <t xml:space="preserve"> TIKSLŲ, UŽDAVINIŲ, PRIEMONIŲ, PRIEMONIŲ IŠLAIDŲ IR PRODUKTO KRITERIJŲ SUVESTINĖ</t>
  </si>
  <si>
    <t>Vasaros poilsio organizavimas</t>
  </si>
  <si>
    <t xml:space="preserve">Brandos egzaminų administravimas </t>
  </si>
  <si>
    <t>SB(SPL)</t>
  </si>
  <si>
    <t xml:space="preserve">03 Strateginis tikslas. Užtikrinti gyventojams aukštą švietimo, kultūros, socialinių, sporto ir sveikatos apsaugos paslaugų kokybę ir prieinamumą </t>
  </si>
  <si>
    <t>Savivaldybės administracijos vaiko gerovės komisijos veiklos užtikrinimas</t>
  </si>
  <si>
    <r>
      <t xml:space="preserve">Pajamų imokų likutis </t>
    </r>
    <r>
      <rPr>
        <b/>
        <sz val="10"/>
        <rFont val="Times New Roman"/>
        <family val="1"/>
        <charset val="186"/>
      </rPr>
      <t>SB(SPL)</t>
    </r>
  </si>
  <si>
    <t>Sudaryti sąlygas ugdytis ir gerinti ugdymo proceso kokybę</t>
  </si>
  <si>
    <t xml:space="preserve">Aprūpinti švietimo įstaigas reikalingu inventoriumi  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</si>
  <si>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savivaldybės pradinėje mokykloje ir mokyklose-darželiuose</t>
    </r>
  </si>
  <si>
    <t>tūkst. Eur</t>
  </si>
  <si>
    <t>Neformaliojo vaikų švietimo programų įgyvendinimas ir neformaliojo vaikų švietimo paslaugų plėtra</t>
  </si>
  <si>
    <t>Švietimo įstaigų stogų remontas</t>
  </si>
  <si>
    <t xml:space="preserve">Ugdymo prieinamumo ir ugdymo formų įvairovės užtikrinimas </t>
  </si>
  <si>
    <t>Neformaliojo vaikų ir suaugusiųjų švietimo organizavimas:</t>
  </si>
  <si>
    <t xml:space="preserve">Baldų ir įrangos atnaujinimas:  </t>
  </si>
  <si>
    <t>Šilumos ir karšto vandens tiekimo sistemų priežiūra</t>
  </si>
  <si>
    <t>Švietimo įstaigų energinių išteklių efektyvinimas:</t>
  </si>
  <si>
    <t>Mokymosi aplinkos pritaikymas švietimo reikmėms:</t>
  </si>
  <si>
    <t>06</t>
  </si>
  <si>
    <t>07</t>
  </si>
  <si>
    <t>SB(L)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</si>
  <si>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</si>
  <si>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t>SB(ES)</t>
  </si>
  <si>
    <t>Maitinimo paslaugų kompensavimas</t>
  </si>
  <si>
    <t xml:space="preserve">Atlikta rangos darbų, proc.
</t>
  </si>
  <si>
    <t>Įstaigų skaičius, vnt.</t>
  </si>
  <si>
    <t>Vaikų skaičius, vnt.</t>
  </si>
  <si>
    <t>Mokinių skaičius, vnt.</t>
  </si>
  <si>
    <t>Kvalifikacijos pažymėjimų skaičius, vnt.</t>
  </si>
  <si>
    <t>Mokyklų skaičius, vnt.</t>
  </si>
  <si>
    <t>Egzaminų skaičius, vnt.</t>
  </si>
  <si>
    <t>Prevencinių renginių skaičius, vnt.</t>
  </si>
  <si>
    <t>Elektroninio mokinio pažymėjimo diegimas ir naudojimo užtikrinimas savivaldybės bendrojo ugdymo mokyklose, neformaliojo švietimo ir sporto įstaigose</t>
  </si>
  <si>
    <t xml:space="preserve">Miesto metodinių būrelių veiklos užtikrinimas 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</si>
  <si>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 xml:space="preserve">savivaldybės </t>
    </r>
    <r>
      <rPr>
        <sz val="10"/>
        <rFont val="Times New Roman"/>
        <family val="1"/>
        <charset val="186"/>
      </rPr>
      <t>ikimokyklinio ugdymo įstaigose</t>
    </r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</si>
  <si>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savivaldybės</t>
    </r>
    <r>
      <rPr>
        <sz val="10"/>
        <rFont val="Times New Roman"/>
        <family val="1"/>
        <charset val="186"/>
      </rPr>
      <t xml:space="preserve"> bendrojo ugdymo mokyklose </t>
    </r>
  </si>
  <si>
    <t>Švietimo įstaigų persikėlimo į kitas patalpas organizavimas</t>
  </si>
  <si>
    <t xml:space="preserve">Centralizuotas ugdymo įstaigų langų valymas </t>
  </si>
  <si>
    <t xml:space="preserve">Savivaldybės švietimo įstaigų civilinės atsakomybės draudimas  </t>
  </si>
  <si>
    <r>
      <t xml:space="preserve">BĮ Klaipėdos regos ugdymo centro </t>
    </r>
    <r>
      <rPr>
        <sz val="10"/>
        <rFont val="Times New Roman"/>
        <family val="1"/>
        <charset val="186"/>
      </rPr>
      <t>veiklos užtikrinimas</t>
    </r>
  </si>
  <si>
    <r>
      <t>BĮ Klaipėdos miesto pedagogų švietimo ir kultūros centro</t>
    </r>
    <r>
      <rPr>
        <sz val="10"/>
        <rFont val="Times New Roman"/>
        <family val="1"/>
        <charset val="186"/>
      </rPr>
      <t xml:space="preserve"> veiklos užtikrinimas</t>
    </r>
  </si>
  <si>
    <t>Vaikų, kuriems iš dalies kompensuojamas ugdymas nevalstybinėse įstaigose, skaičius, vnt.</t>
  </si>
  <si>
    <t>Programų skaičius, vnt.</t>
  </si>
  <si>
    <t>Metodinių būrelių skaičius, vnt.</t>
  </si>
  <si>
    <t>Savivaldybės bendrojo ugdymo mokyklų pastatų ir aplinkos modernizavimas bei plėtra:</t>
  </si>
  <si>
    <t>Ikimokyklinio ugdymo įstaigų pastatų modernizavimas ir plėtra:</t>
  </si>
  <si>
    <t>Saugomų pastatų, objektų skaičius, vnt.</t>
  </si>
  <si>
    <t>Parengta techninių projektų, vnt.</t>
  </si>
  <si>
    <t>Perkeltų įstaigų skaičius, vnt.</t>
  </si>
  <si>
    <t>Aptarnaujamų įstaigų skaičius, vnt.</t>
  </si>
  <si>
    <t>Suremontuotų įstaigų skaičius, vnt.</t>
  </si>
  <si>
    <t>________________________________________</t>
  </si>
  <si>
    <t>Mokytis plaukti vežiojamų vaikų skaičius, vnt.</t>
  </si>
  <si>
    <t>Pasirengimas Gamtos mokslų, technologijų, inžinerijos, matematikos mokslų ir kūrybiškumo ugdymo (STEAM) centro įveiklinimui</t>
  </si>
  <si>
    <t>Dėstytojų etatų skaičius, vnt.</t>
  </si>
  <si>
    <t>Švietimo įstaigų modulinių kompleksų įrengimas ir nuoma</t>
  </si>
  <si>
    <t>Kompiuterių mokyklose atnaujinimas</t>
  </si>
  <si>
    <t>08</t>
  </si>
  <si>
    <t>09</t>
  </si>
  <si>
    <t>11</t>
  </si>
  <si>
    <t>12</t>
  </si>
  <si>
    <t>13</t>
  </si>
  <si>
    <t>14</t>
  </si>
  <si>
    <t>15</t>
  </si>
  <si>
    <t>16</t>
  </si>
  <si>
    <t>17</t>
  </si>
  <si>
    <t xml:space="preserve">Klaipėdos miesto bendrojo ugdymo mokyklų antrųjų klasių mokinių vežimo paslaugos mokyti plaukti užtikrinimas  </t>
  </si>
  <si>
    <t>Papriemonės kodas</t>
  </si>
  <si>
    <t>Papariemonės kodas</t>
  </si>
  <si>
    <t>Klasių skaičius, vnt.</t>
  </si>
  <si>
    <t xml:space="preserve">iš jų mokinių skaičius, vnt. </t>
  </si>
  <si>
    <t>Pavėžėta mokinių, skaičius</t>
  </si>
  <si>
    <t>Įstaigų, kuriose įrengtos saulės (fotovoltinės) elektrinės, skaičius</t>
  </si>
  <si>
    <t>Ikimokyklinio ir priešmokyklinio ugdymo prieinamumo didinimas Klaipėdos mieste (lopšelio-darželio „Svirpliukas“ modernizavimas)</t>
  </si>
  <si>
    <t>Lauko žaidimų aikštelių ir įrenginių atnaujinimas ikimokyklinėse ugdymo įstaigose</t>
  </si>
  <si>
    <t>Patalpų atnaujinimas užtikrinant atitiktį higienos normoms</t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</si>
  <si>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</si>
  <si>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r>
      <t xml:space="preserve">Europos Sąjungos finansinės paramos lėšų likučio metų pradžioje lėšos </t>
    </r>
    <r>
      <rPr>
        <b/>
        <sz val="10"/>
        <rFont val="Times New Roman"/>
        <family val="1"/>
        <charset val="186"/>
      </rPr>
      <t>SB(ESL)</t>
    </r>
  </si>
  <si>
    <t>Savivaldybės biudžetas, iš jo:</t>
  </si>
  <si>
    <t>SB(ESL)</t>
  </si>
  <si>
    <t>Patalpų pritaikymas neįgalių vaikų ugdymui</t>
  </si>
  <si>
    <t>Sporto klasių veiklos užtikrinimas</t>
  </si>
  <si>
    <r>
      <t xml:space="preserve">Ugdymo proceso užtikrinimas </t>
    </r>
    <r>
      <rPr>
        <b/>
        <sz val="10"/>
        <rFont val="Times New Roman"/>
        <family val="1"/>
        <charset val="186"/>
      </rPr>
      <t>nevalstybinėse</t>
    </r>
    <r>
      <rPr>
        <sz val="10"/>
        <rFont val="Times New Roman"/>
        <family val="1"/>
        <charset val="186"/>
      </rPr>
      <t xml:space="preserve"> ikimokyklinio ugdymo įstaigose</t>
    </r>
  </si>
  <si>
    <t xml:space="preserve">Mokinių pavėžėjimo užtikrinimas </t>
  </si>
  <si>
    <t>Kompiuterių skaičius, vnt.</t>
  </si>
  <si>
    <t>Mokytojų padėjėjų skaičius, vnt.</t>
  </si>
  <si>
    <t>Klaipėdos jūrų kadetų mokyklos veiklos užtikrinimas:</t>
  </si>
  <si>
    <t>P1</t>
  </si>
  <si>
    <t>Įrengta papildomų darbo vietų, vnt.</t>
  </si>
  <si>
    <t>Mokytojų, įgijusių kompetencijas, skaičius</t>
  </si>
  <si>
    <t>P6</t>
  </si>
  <si>
    <t>Projektų skyrius</t>
  </si>
  <si>
    <t>Švietimo skyrius</t>
  </si>
  <si>
    <t>Savivaldybės ugdymo įstaigų pastatų ir aplinkos modernizavimas bei plėtra:</t>
  </si>
  <si>
    <t>Ugdymo proceso užtikrinimas nevalstybinėse mokyklose-darželiuose</t>
  </si>
  <si>
    <t xml:space="preserve">Švietimo įstaigų elektros instaliacijos remontas </t>
  </si>
  <si>
    <t>Mokinių maitinimo ir pavėžėjimo užtikrinimas</t>
  </si>
  <si>
    <t>Statinių administravimo skyrius</t>
  </si>
  <si>
    <t>Turto valdymo skyrius</t>
  </si>
  <si>
    <t>Informacinių technologijų skyrius</t>
  </si>
  <si>
    <t>18</t>
  </si>
  <si>
    <t>19</t>
  </si>
  <si>
    <t>20</t>
  </si>
  <si>
    <t>21</t>
  </si>
  <si>
    <t>23</t>
  </si>
  <si>
    <t>Tarpinstitucinio koordinavimo grupė</t>
  </si>
  <si>
    <t>Aptarnauta asmenų, skaičius</t>
  </si>
  <si>
    <t>Administruojama sistemų, vnt.</t>
  </si>
  <si>
    <t>Priėmimo į savivaldybės bendrojo ir ikimokyklinio ugdymo įstaigas informacinių sistemų priežiūra</t>
  </si>
  <si>
    <t>Energinio efektyvumo didinimas ikimokyklinio ugdymo įstaigose:</t>
  </si>
  <si>
    <t>Lovyčių skaičius, vnt.</t>
  </si>
  <si>
    <t>Neformaliojo švietimo ir pagalbos įstaigų aprūpinimas mobilia interaktyvia įranga</t>
  </si>
  <si>
    <t>Kvalifikacijos tobulinimo programų skaičius, val.</t>
  </si>
  <si>
    <t>Finansuojama tikslinių studijų su gretutinėmis pedagogikos studijomis vietų, skaičius</t>
  </si>
  <si>
    <t>Atnaujinta aikštynų, skaičius</t>
  </si>
  <si>
    <t>Parengtas techninis  projektas, vnt.</t>
  </si>
  <si>
    <t>SB(P)</t>
  </si>
  <si>
    <t xml:space="preserve">Klaipėdos „Ąžuolyno“ gimnazijos modernizavimas </t>
  </si>
  <si>
    <t>Atlikta rangos darbų, proc.</t>
  </si>
  <si>
    <t>Klaipėdos lopšelio-darželio „Žiogelis“ pastato Kauno g. 27 modernizavimas</t>
  </si>
  <si>
    <r>
      <t xml:space="preserve">Savivaldybės paskolų lėšos </t>
    </r>
    <r>
      <rPr>
        <b/>
        <sz val="10"/>
        <rFont val="Times New Roman"/>
        <family val="1"/>
        <charset val="186"/>
      </rPr>
      <t>SB(P)</t>
    </r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</si>
  <si>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savivaldybės neformaliojo vaikų švietimo įstaigose</t>
    </r>
  </si>
  <si>
    <r>
      <t xml:space="preserve">BĮ Klaipėdos pedagoginės psichologinės tarnybos </t>
    </r>
    <r>
      <rPr>
        <sz val="10"/>
        <rFont val="Times New Roman"/>
        <family val="1"/>
        <charset val="186"/>
      </rPr>
      <t>veiklos užtikrinimas</t>
    </r>
  </si>
  <si>
    <r>
      <rPr>
        <b/>
        <sz val="10"/>
        <rFont val="Times New Roman"/>
        <family val="1"/>
        <charset val="186"/>
      </rPr>
      <t>Bendrojo ugdymo mokyklos pastato statyba</t>
    </r>
    <r>
      <rPr>
        <sz val="10"/>
        <rFont val="Times New Roman"/>
        <family val="1"/>
        <charset val="186"/>
      </rPr>
      <t xml:space="preserve"> šiaurinėje miesto dalyje</t>
    </r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</si>
  <si>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</si>
  <si>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Pajamų įmokos už paslaugas </t>
    </r>
    <r>
      <rPr>
        <b/>
        <sz val="10"/>
        <rFont val="Times New Roman"/>
        <family val="1"/>
        <charset val="186"/>
      </rPr>
      <t>SB(SP)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</si>
  <si>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</si>
  <si>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Suorganizuota edukacinių ir kultūrinių renginių, skaičius</t>
  </si>
  <si>
    <t>Švietimo paslaugų modernizavimo  programos priemonių įgyvendinimas:</t>
  </si>
  <si>
    <t>P7</t>
  </si>
  <si>
    <t>planas</t>
  </si>
  <si>
    <t>Įsteigta etatų, skaičius</t>
  </si>
  <si>
    <t>Klaipėdos miesto pedagogų rengimo, kvalifikacijos plėtojimo, profesinių kompetencijų tobulinimo ir mokytojų pritraukimo į mokyklas 2020–2024 programos įgyvendinimas</t>
  </si>
  <si>
    <t>24</t>
  </si>
  <si>
    <t>Planavimo ir analizės skyrius –  programos sąmatų tvirtinimas</t>
  </si>
  <si>
    <t>Produkto kriterijaus</t>
  </si>
  <si>
    <t>Veiklos plano tikslo kodas</t>
  </si>
  <si>
    <t>Priemonės požymis*</t>
  </si>
  <si>
    <t>Vykdytojas (skyrius/asmuo)</t>
  </si>
  <si>
    <t>2023-ieji metai</t>
  </si>
  <si>
    <t>Įstaigų, kuriose atnaujintos sporto salės, skaičius</t>
  </si>
  <si>
    <t xml:space="preserve">P1 </t>
  </si>
  <si>
    <t>Statybos ir infrastruktūros plėtros skyrius</t>
  </si>
  <si>
    <t>T</t>
  </si>
  <si>
    <t>P</t>
  </si>
  <si>
    <t>ES</t>
  </si>
  <si>
    <t>N</t>
  </si>
  <si>
    <t>Neformaliojo ugdymo įstaigų inventoriaus atnaujinimas</t>
  </si>
  <si>
    <t>Įsigytas inventorius, vnt.</t>
  </si>
  <si>
    <t>Ikimokyklinių ugdymo įstaigų ir mokyklų darželių  informacinių technologijų aptarnavimas</t>
  </si>
  <si>
    <t>Klaipėdos miesto gimnazijų gamtamokslinių laboratorijų steigimo ir modernizavimo 2022–2026 metų programos įgyvendinimas</t>
  </si>
  <si>
    <t>Modernizuota laboratorijų, vnt.</t>
  </si>
  <si>
    <t>Įsigyta baldų ir įrangos, vnt.</t>
  </si>
  <si>
    <t>Ikimokyklinio ugdymo, neformaliojo vaikų švietimo ir švietimo pagalbos įstaigų aprūpinimas kompiuteriais</t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</si>
  <si>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</si>
  <si>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P1 T</t>
  </si>
  <si>
    <t>P6 T</t>
  </si>
  <si>
    <t>Įstaigų, kuriose vykdoma priežiūra, skaičius</t>
  </si>
  <si>
    <t>Papildomai įsteigta pedagogų etatų, skaičius</t>
  </si>
  <si>
    <t>Sumažinta auklėtojų padėjėjų etatų, skaičius</t>
  </si>
  <si>
    <t>Organizuota gerosios patirties sklaidos renginių, skaičius</t>
  </si>
  <si>
    <t>STEAM olimpiadose dalyvaujančių vaikų, skaičius</t>
  </si>
  <si>
    <t>Mokinių, aprūpintų elektroniniais pažymėjimais, skaičius</t>
  </si>
  <si>
    <t>Įrengta edukacinių erdvių, vnt.</t>
  </si>
  <si>
    <t>Atnaujinta mokomųjų kabinetų ir aplinkų, vnt.</t>
  </si>
  <si>
    <t>Programose dalyvaujančių vaikų skaičius, vnt.</t>
  </si>
  <si>
    <t>Įstaigų, kuriose įsigyta įrangos ir baldų, skaičius</t>
  </si>
  <si>
    <t>Įstaigų, kuriose atlikti remonto darbai, skaičius</t>
  </si>
  <si>
    <t>Įstaigų, kuriose likviduoti pažeidimai, skaičius</t>
  </si>
  <si>
    <t>Įstaigų, kuriose diegiamos šalto vandens valdymo sistemos, skaičius</t>
  </si>
  <si>
    <t>Suorganizuota mokymų, kvalifikacijos kėlimo renginių, vnt.</t>
  </si>
  <si>
    <t>Įstaigų, kurioms elektros energija įsigyjama centralizuotai, skaičius</t>
  </si>
  <si>
    <t>P   T</t>
  </si>
  <si>
    <t>P    T</t>
  </si>
  <si>
    <t>Išsinuomota modulinių pastatų, vnt.</t>
  </si>
  <si>
    <t>Statinių kasmetinės apžiūros</t>
  </si>
  <si>
    <r>
      <t xml:space="preserve">Ugdymo proceso užtikrinimas </t>
    </r>
    <r>
      <rPr>
        <b/>
        <sz val="10"/>
        <rFont val="Times New Roman"/>
        <family val="1"/>
        <charset val="186"/>
      </rPr>
      <t>s</t>
    </r>
    <r>
      <rPr>
        <sz val="10"/>
        <rFont val="Times New Roman"/>
        <family val="1"/>
        <charset val="186"/>
      </rPr>
      <t xml:space="preserve">porto mokyklose </t>
    </r>
  </si>
  <si>
    <t xml:space="preserve">Švietimo įstaigų paprastasis remontas </t>
  </si>
  <si>
    <t xml:space="preserve">Švietimo įstaigų lauko inžinerinių tinklų remontas </t>
  </si>
  <si>
    <t>Švietimo įstaigų teritorijų aptvėrimas</t>
  </si>
  <si>
    <t>Bendrojo ugdymo mokyklų tinklo pertvarkos 2021–2025 metų bendrojo plano priemonių įgyvendinimas:</t>
  </si>
  <si>
    <t>SAVIVALDYBĖS LĖŠOS, IŠ VISO:</t>
  </si>
  <si>
    <t>Įsigyta mokymo priemonių veikloms KU, vnt.</t>
  </si>
  <si>
    <t>Įsigyta įrenginių, vnt.</t>
  </si>
  <si>
    <t>Renovuota, suremontuota sistemų, skaičius</t>
  </si>
  <si>
    <t>Projekto „Mokinių ugdymosi pasiekimų gerinimas diegiant kokybės krepšelį“ įgyvendinimas</t>
  </si>
  <si>
    <t>Švietimo skyrius – priemonės vykdytojas, Planavimo ir analizės skyrius –  programos sąmatų tvirtinimas</t>
  </si>
  <si>
    <r>
      <rPr>
        <b/>
        <sz val="10"/>
        <rFont val="Times New Roman"/>
        <family val="1"/>
        <charset val="186"/>
      </rPr>
      <t>Modernių ugdymosi erdvių sukūrimas Klaipėdos miesto progimnazijose ir gimnazijose</t>
    </r>
    <r>
      <rPr>
        <sz val="10"/>
        <rFont val="Times New Roman"/>
        <family val="1"/>
        <charset val="186"/>
      </rPr>
      <t xml:space="preserve"> („Smeltės“, Liudviko Stulpino, Sendvario, Gedminų, „Verdenės“ progimnazijose ir  „Vėtrungės“, „Varpo“ gimnazijose)</t>
    </r>
  </si>
  <si>
    <r>
      <rPr>
        <b/>
        <sz val="10"/>
        <rFont val="Times New Roman"/>
        <family val="1"/>
        <charset val="186"/>
      </rPr>
      <t>Klaipėdos „Saulėtekio“ progimnazijos</t>
    </r>
    <r>
      <rPr>
        <sz val="10"/>
        <rFont val="Times New Roman"/>
        <family val="1"/>
        <charset val="186"/>
      </rPr>
      <t xml:space="preserve"> pastato inžinerinių sistemų, vidaus patalpų ir pastato išorės remontas </t>
    </r>
  </si>
  <si>
    <t xml:space="preserve">Klaipėdos vaikų laisvalaikio centro klubo „Želmenėlis“ patalpų ugdymo procesui pritaikymas </t>
  </si>
  <si>
    <t>Vaikiškų lovyčių įsigijimas savivaldybės ikimokyklinio ugdymo įstaigoms</t>
  </si>
  <si>
    <t xml:space="preserve">Įrenginių įsigijimas švietimo įstaigų maisto blokams </t>
  </si>
  <si>
    <t>Edukacinių erdvių įrengimas Klaipėdos miesto bendrojo ugdymo mokyklose (2023 m. – Gedminų progimnazijoje)</t>
  </si>
  <si>
    <t>22</t>
  </si>
  <si>
    <r>
      <rPr>
        <b/>
        <sz val="10"/>
        <rFont val="Times New Roman"/>
        <family val="1"/>
        <charset val="186"/>
      </rPr>
      <t xml:space="preserve">Universitetinių klasių veiklos organizavimas </t>
    </r>
    <r>
      <rPr>
        <sz val="10"/>
        <rFont val="Times New Roman"/>
        <family val="1"/>
        <charset val="186"/>
      </rPr>
      <t>(Baltijos, „Žemynos“, Vytauto Didžiojo ir „Vėtrungės“ gimnazijose)</t>
    </r>
  </si>
  <si>
    <t>Vyr. patarėja D. Dambrauskienė</t>
  </si>
  <si>
    <t>Bendrojo ugdymo mokyklos šiaurinėje miesto dalyje įrangos ir baldų įsigijimas</t>
  </si>
  <si>
    <t>Parengta techninė specifikacija, vnt.</t>
  </si>
  <si>
    <t xml:space="preserve">P1  </t>
  </si>
  <si>
    <t>Asmenų, kuriems kompensuojamos kelionės išlaidos, skaičius</t>
  </si>
  <si>
    <t>Tvarkoma paviršinių (lietaus) nuotekų, įstaigų skaičius</t>
  </si>
  <si>
    <t>Tvarkomas centralizuotas vandentiekis ir kanalizacija, įstaigų skaičius</t>
  </si>
  <si>
    <t>Įsteigtų etatų skaičius, vnt.</t>
  </si>
  <si>
    <t>P  T   I</t>
  </si>
  <si>
    <t>P1     T</t>
  </si>
  <si>
    <t>Šîldoma įstaigų, skaičius</t>
  </si>
  <si>
    <t>Interaktyvių ekranų skaičius, vnt.</t>
  </si>
  <si>
    <t>Automatizuotos šilumos punkto kontrolės ir valdymo sistemų aptarnavimas švietimo įstaigų pastatuose</t>
  </si>
  <si>
    <t>Ugdymo prieinamumo užtikrinimas VšĮ Tarptautinės Ukrainos mokyklos Klaipėdos padalinyje</t>
  </si>
  <si>
    <r>
      <t xml:space="preserve">Ugdymo proceso užtikrinimas </t>
    </r>
    <r>
      <rPr>
        <b/>
        <sz val="10"/>
        <rFont val="Times New Roman"/>
        <family val="1"/>
        <charset val="186"/>
      </rPr>
      <t xml:space="preserve">nevalstybinėse </t>
    </r>
    <r>
      <rPr>
        <sz val="10"/>
        <rFont val="Times New Roman"/>
        <family val="1"/>
        <charset val="186"/>
      </rPr>
      <t xml:space="preserve">bendrojo ugdymo mokyklose </t>
    </r>
  </si>
  <si>
    <t>Atsinaujinančių energijos išteklių (saulės) elektrinių įrengimas ir priežiūra</t>
  </si>
  <si>
    <t>SB(SPIL)</t>
  </si>
  <si>
    <r>
      <t xml:space="preserve">Pajamų įmokų infrastruktūros plėtrai lėšų likutis </t>
    </r>
    <r>
      <rPr>
        <b/>
        <sz val="10"/>
        <rFont val="Times New Roman"/>
        <family val="1"/>
        <charset val="186"/>
      </rPr>
      <t>SB(SPIL)</t>
    </r>
  </si>
  <si>
    <t>Komunalinių paslaugų įsigijimas</t>
  </si>
  <si>
    <t>Įrengta kabinetų, vnt.</t>
  </si>
  <si>
    <t>„Tūkstantmečio mokyklų“ programos įgyvendinimas</t>
  </si>
  <si>
    <t>2023 m. asignavimų planas**</t>
  </si>
  <si>
    <t>PATVIRTINTA
Klaipėdos miesto savivaldybės administracijos direktoriaus</t>
  </si>
  <si>
    <t>2023 M. KLAIPĖDOS MIESTO SAVIVALDYBĖS</t>
  </si>
  <si>
    <t>* N – nauja priemonė, T – tęstinė priemonė, I – investicijų projektas.</t>
  </si>
  <si>
    <t>Klaipėdos Hermano Zudermano gimnazijos pastato rekonstrukcija</t>
  </si>
  <si>
    <t xml:space="preserve"> - Klaipėdos mokyklos-darželio „Saulutė“, lopšelių-darželių „Vėrinėlis“, „Pingvinukas“,  „Putinėlis“, „Kregždutė“, „Radastėlė“ pastatų atnaujinimas</t>
  </si>
  <si>
    <t xml:space="preserve">Švietimo skyrius – priemonės vykdytojas, </t>
  </si>
  <si>
    <t xml:space="preserve"> Statybos ir infrastruktūros plėtros skyrius, vyr. patarėjas G. Dovidaitis</t>
  </si>
  <si>
    <t>2023 m. vasario 7 d. įsakymu Nr. AD1-184</t>
  </si>
  <si>
    <t xml:space="preserve"> - Klaipėdos lopšelių-darželių „Alksniukas“  ir „Želmenėlis“ pastatų atnaujinimas</t>
  </si>
  <si>
    <t>Atliktas galutinis apmokėjimas, proc.</t>
  </si>
  <si>
    <t>Kt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</si>
  <si>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</si>
  <si>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 xml:space="preserve">Švietimo skyrius – priemonės vykdytojas, Planavimo ir analizės skyrius –  programos sąmatų tvirtinimas </t>
  </si>
  <si>
    <t>SB(VBL)</t>
  </si>
  <si>
    <r>
      <t xml:space="preserve">Valstybės biudžeto specialiosios tikslinės dotacijos likučių lėšos </t>
    </r>
    <r>
      <rPr>
        <b/>
        <sz val="10"/>
        <rFont val="Times New Roman"/>
        <family val="1"/>
        <charset val="186"/>
      </rPr>
      <t>SB(VBL)</t>
    </r>
  </si>
  <si>
    <t>Ikimokyklinio, priešmokyklinio ir bendrojo ugdymo įstaigų infrastruktūros plėtros poreikio ir galimybių šiaurinėje Klaipėdos miesto dalyje analizės atlikimas</t>
  </si>
  <si>
    <t>Atlikta analizė, vnt.</t>
  </si>
  <si>
    <t>Karjeros specialistų etatų įvedimas / didinimas švietimo įstaigose</t>
  </si>
  <si>
    <t>LRVB</t>
  </si>
  <si>
    <t>Išmaniųjų klasių įrengimas</t>
  </si>
  <si>
    <t>Stotelių-saugyklų kompiuteriams skaičius, vnt.</t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</si>
  <si>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</si>
  <si>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>Sporto salių atnaujinimas (2023 m. –  „Vyturio“ progimnazija, Baltijos gimnazija)</t>
  </si>
  <si>
    <t>Švietimo skyrius - priemonės vykdytojas, Planavimo ir analizės skyrius –  programos sąmatų tvirtinimas</t>
  </si>
  <si>
    <r>
      <rPr>
        <b/>
        <sz val="10"/>
        <rFont val="Times New Roman"/>
        <family val="1"/>
        <charset val="186"/>
      </rPr>
      <t>Sporto aikštynų atnaujinimas</t>
    </r>
    <r>
      <rPr>
        <sz val="10"/>
        <rFont val="Times New Roman"/>
        <family val="1"/>
        <charset val="186"/>
      </rPr>
      <t xml:space="preserve"> (modernizavimas) (2023 m. – Uostamiesčio progimnazijos, 2024 m. – „Gilijos“ pradinės mokyklos, „Aukuro“ gimnazijos ir „Saulėtekio“ progimnazijos, 2025 m. – „Pajūrio“ ir Sendvario progimnazijų, Baltijos gimnazijos)</t>
    </r>
  </si>
  <si>
    <t xml:space="preserve">P    </t>
  </si>
  <si>
    <t>** Pagal Klaipėdos miesto savivaldybės tarybos sprendimus: 2023-01-26 Nr. T2-14, 2023-03-23 Nr. T2-16, 2023-05- Nr. T2-106, 2023-06-22 Nr. T2-144, 2023-10-26 Nr. T2-277, 2023-11-30 Nr. T2-304, 2023-12-21 Nr. T2-333.</t>
  </si>
  <si>
    <t xml:space="preserve">(Klaipėdos miesto savivaldybės administracijos direktoriaus 
2023 m. gruodžio 27 d. įsakymo Nr. AD1-1303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</si>
</sst>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[$-409]General"/>
    <numFmt numFmtId="167" formatCode="[$-409]#,##0"/>
    <numFmt numFmtId="168" formatCode="[$-409]0.00"/>
  </numFmts>
  <fonts count="20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i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i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theme="0"/>
      <name val="Times New Roman"/>
      <family val="1"/>
      <charset val="186"/>
    </font>
    <font>
      <sz val="8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DBDBDB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rgb="FFDBDBDB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6" fontId="10" fillId="0" borderId="0" applyBorder="0" applyProtection="0"/>
  </cellStyleXfs>
  <cellXfs count="789">
    <xf numFmtId="0" fontId="0" fillId="0" borderId="0" xfId="0"/>
    <xf numFmtId="3" fontId="2" fillId="4" borderId="25" xfId="0" applyNumberFormat="1" applyFont="1" applyFill="1" applyBorder="1" applyAlignment="1">
      <alignment horizontal="center" vertical="top" wrapText="1"/>
    </xf>
    <xf numFmtId="3" fontId="2" fillId="0" borderId="15" xfId="0" applyNumberFormat="1" applyFont="1" applyFill="1" applyBorder="1" applyAlignment="1">
      <alignment horizontal="center" vertical="top" wrapText="1"/>
    </xf>
    <xf numFmtId="3" fontId="2" fillId="4" borderId="15" xfId="0" applyNumberFormat="1" applyFont="1" applyFill="1" applyBorder="1" applyAlignment="1">
      <alignment horizontal="center" vertical="top" wrapText="1"/>
    </xf>
    <xf numFmtId="3" fontId="2" fillId="4" borderId="53" xfId="0" applyNumberFormat="1" applyFont="1" applyFill="1" applyBorder="1" applyAlignment="1">
      <alignment horizontal="center" vertical="top" wrapText="1"/>
    </xf>
    <xf numFmtId="3" fontId="3" fillId="5" borderId="39" xfId="0" applyNumberFormat="1" applyFont="1" applyFill="1" applyBorder="1" applyAlignment="1">
      <alignment horizontal="center" vertical="top" wrapText="1"/>
    </xf>
    <xf numFmtId="164" fontId="2" fillId="4" borderId="53" xfId="0" applyNumberFormat="1" applyFont="1" applyFill="1" applyBorder="1" applyAlignment="1">
      <alignment horizontal="center" vertical="top" wrapText="1"/>
    </xf>
    <xf numFmtId="3" fontId="2" fillId="4" borderId="50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3" fontId="2" fillId="4" borderId="3" xfId="0" applyNumberFormat="1" applyFont="1" applyFill="1" applyBorder="1" applyAlignment="1">
      <alignment horizontal="center" vertical="top" wrapText="1"/>
    </xf>
    <xf numFmtId="3" fontId="2" fillId="4" borderId="30" xfId="0" applyNumberFormat="1" applyFont="1" applyFill="1" applyBorder="1" applyAlignment="1">
      <alignment horizontal="center" vertical="top" wrapText="1"/>
    </xf>
    <xf numFmtId="3" fontId="2" fillId="4" borderId="0" xfId="0" applyNumberFormat="1" applyFont="1" applyFill="1" applyBorder="1" applyAlignment="1">
      <alignment vertical="top" wrapText="1"/>
    </xf>
    <xf numFmtId="3" fontId="2" fillId="0" borderId="0" xfId="0" applyNumberFormat="1" applyFont="1" applyAlignment="1">
      <alignment horizontal="center" vertical="top" wrapText="1"/>
    </xf>
    <xf numFmtId="3" fontId="6" fillId="0" borderId="0" xfId="0" applyNumberFormat="1" applyFont="1" applyBorder="1" applyAlignment="1">
      <alignment vertical="top" wrapText="1"/>
    </xf>
    <xf numFmtId="3" fontId="2" fillId="0" borderId="0" xfId="0" applyNumberFormat="1" applyFont="1" applyBorder="1" applyAlignment="1">
      <alignment vertical="top" wrapText="1"/>
    </xf>
    <xf numFmtId="3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3" fontId="2" fillId="0" borderId="36" xfId="0" applyNumberFormat="1" applyFont="1" applyBorder="1" applyAlignment="1">
      <alignment horizontal="right" vertical="top" wrapText="1"/>
    </xf>
    <xf numFmtId="49" fontId="2" fillId="3" borderId="52" xfId="0" applyNumberFormat="1" applyFont="1" applyFill="1" applyBorder="1" applyAlignment="1">
      <alignment horizontal="center" vertical="top" wrapText="1"/>
    </xf>
    <xf numFmtId="49" fontId="2" fillId="3" borderId="28" xfId="0" applyNumberFormat="1" applyFont="1" applyFill="1" applyBorder="1" applyAlignment="1">
      <alignment horizontal="center" vertical="top" wrapText="1"/>
    </xf>
    <xf numFmtId="49" fontId="2" fillId="3" borderId="56" xfId="0" applyNumberFormat="1" applyFont="1" applyFill="1" applyBorder="1" applyAlignment="1">
      <alignment horizontal="center" vertical="top" wrapText="1"/>
    </xf>
    <xf numFmtId="3" fontId="2" fillId="4" borderId="13" xfId="0" quotePrefix="1" applyNumberFormat="1" applyFont="1" applyFill="1" applyBorder="1" applyAlignment="1">
      <alignment horizontal="center" vertical="top" wrapText="1"/>
    </xf>
    <xf numFmtId="3" fontId="2" fillId="4" borderId="18" xfId="0" quotePrefix="1" applyNumberFormat="1" applyFont="1" applyFill="1" applyBorder="1" applyAlignment="1">
      <alignment horizontal="center" vertical="top" wrapText="1"/>
    </xf>
    <xf numFmtId="49" fontId="2" fillId="3" borderId="13" xfId="0" applyNumberFormat="1" applyFont="1" applyFill="1" applyBorder="1" applyAlignment="1">
      <alignment horizontal="center" vertical="top" wrapText="1"/>
    </xf>
    <xf numFmtId="49" fontId="2" fillId="3" borderId="28" xfId="0" applyNumberFormat="1" applyFont="1" applyFill="1" applyBorder="1" applyAlignment="1">
      <alignment horizontal="center" vertical="top"/>
    </xf>
    <xf numFmtId="49" fontId="2" fillId="0" borderId="28" xfId="0" applyNumberFormat="1" applyFont="1" applyBorder="1" applyAlignment="1">
      <alignment horizontal="center" vertical="top" wrapText="1"/>
    </xf>
    <xf numFmtId="49" fontId="2" fillId="3" borderId="54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3" borderId="29" xfId="0" applyNumberFormat="1" applyFont="1" applyFill="1" applyBorder="1" applyAlignment="1">
      <alignment horizontal="center" vertical="top" wrapText="1"/>
    </xf>
    <xf numFmtId="49" fontId="2" fillId="3" borderId="43" xfId="0" applyNumberFormat="1" applyFont="1" applyFill="1" applyBorder="1" applyAlignment="1">
      <alignment horizontal="center" vertical="top" wrapText="1"/>
    </xf>
    <xf numFmtId="49" fontId="2" fillId="3" borderId="18" xfId="0" applyNumberFormat="1" applyFont="1" applyFill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 wrapText="1"/>
    </xf>
    <xf numFmtId="164" fontId="3" fillId="5" borderId="39" xfId="0" applyNumberFormat="1" applyFont="1" applyFill="1" applyBorder="1" applyAlignment="1">
      <alignment horizontal="center" vertical="top" wrapText="1"/>
    </xf>
    <xf numFmtId="3" fontId="2" fillId="4" borderId="17" xfId="0" quotePrefix="1" applyNumberFormat="1" applyFont="1" applyFill="1" applyBorder="1" applyAlignment="1">
      <alignment horizontal="center" vertical="top" wrapText="1"/>
    </xf>
    <xf numFmtId="3" fontId="2" fillId="4" borderId="2" xfId="0" applyNumberFormat="1" applyFont="1" applyFill="1" applyBorder="1" applyAlignment="1">
      <alignment horizontal="center" vertical="top" wrapText="1"/>
    </xf>
    <xf numFmtId="49" fontId="2" fillId="3" borderId="13" xfId="0" applyNumberFormat="1" applyFont="1" applyFill="1" applyBorder="1" applyAlignment="1">
      <alignment horizontal="center" vertical="top"/>
    </xf>
    <xf numFmtId="3" fontId="2" fillId="4" borderId="54" xfId="0" applyNumberFormat="1" applyFont="1" applyFill="1" applyBorder="1" applyAlignment="1">
      <alignment vertical="top" wrapText="1"/>
    </xf>
    <xf numFmtId="3" fontId="3" fillId="4" borderId="13" xfId="0" applyNumberFormat="1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horizontal="center" vertical="top" wrapText="1"/>
    </xf>
    <xf numFmtId="49" fontId="2" fillId="3" borderId="52" xfId="0" applyNumberFormat="1" applyFont="1" applyFill="1" applyBorder="1" applyAlignment="1">
      <alignment horizontal="center" vertical="top"/>
    </xf>
    <xf numFmtId="3" fontId="3" fillId="4" borderId="0" xfId="0" applyNumberFormat="1" applyFont="1" applyFill="1" applyBorder="1" applyAlignment="1">
      <alignment horizontal="center" vertical="top" wrapText="1"/>
    </xf>
    <xf numFmtId="3" fontId="2" fillId="0" borderId="16" xfId="0" applyNumberFormat="1" applyFont="1" applyFill="1" applyBorder="1" applyAlignment="1">
      <alignment horizontal="center" vertical="top" wrapText="1"/>
    </xf>
    <xf numFmtId="3" fontId="2" fillId="4" borderId="50" xfId="0" applyNumberFormat="1" applyFont="1" applyFill="1" applyBorder="1" applyAlignment="1">
      <alignment horizontal="center" vertical="top"/>
    </xf>
    <xf numFmtId="3" fontId="2" fillId="0" borderId="15" xfId="0" applyNumberFormat="1" applyFont="1" applyBorder="1" applyAlignment="1">
      <alignment horizontal="center" vertical="top"/>
    </xf>
    <xf numFmtId="0" fontId="3" fillId="5" borderId="39" xfId="0" applyFont="1" applyFill="1" applyBorder="1" applyAlignment="1">
      <alignment horizontal="center" vertical="top" wrapText="1"/>
    </xf>
    <xf numFmtId="49" fontId="2" fillId="3" borderId="56" xfId="0" applyNumberFormat="1" applyFont="1" applyFill="1" applyBorder="1" applyAlignment="1">
      <alignment horizontal="center" vertical="top"/>
    </xf>
    <xf numFmtId="165" fontId="2" fillId="0" borderId="0" xfId="0" applyNumberFormat="1" applyFont="1" applyBorder="1" applyAlignment="1">
      <alignment horizontal="center" vertical="top" wrapText="1"/>
    </xf>
    <xf numFmtId="3" fontId="2" fillId="0" borderId="0" xfId="0" applyNumberFormat="1" applyFont="1" applyAlignment="1">
      <alignment vertical="top" wrapText="1"/>
    </xf>
    <xf numFmtId="165" fontId="3" fillId="4" borderId="0" xfId="0" applyNumberFormat="1" applyFont="1" applyFill="1" applyBorder="1" applyAlignment="1">
      <alignment horizontal="center" vertical="top" wrapText="1"/>
    </xf>
    <xf numFmtId="49" fontId="8" fillId="3" borderId="17" xfId="0" applyNumberFormat="1" applyFont="1" applyFill="1" applyBorder="1" applyAlignment="1">
      <alignment horizontal="center" vertical="top" wrapText="1"/>
    </xf>
    <xf numFmtId="3" fontId="8" fillId="0" borderId="0" xfId="0" applyNumberFormat="1" applyFont="1" applyBorder="1" applyAlignment="1">
      <alignment vertical="top" wrapText="1"/>
    </xf>
    <xf numFmtId="49" fontId="8" fillId="3" borderId="54" xfId="0" applyNumberFormat="1" applyFont="1" applyFill="1" applyBorder="1" applyAlignment="1">
      <alignment horizontal="center" vertical="top" wrapText="1"/>
    </xf>
    <xf numFmtId="3" fontId="11" fillId="4" borderId="54" xfId="0" applyNumberFormat="1" applyFont="1" applyFill="1" applyBorder="1" applyAlignment="1">
      <alignment vertical="top" wrapText="1"/>
    </xf>
    <xf numFmtId="49" fontId="11" fillId="3" borderId="49" xfId="0" applyNumberFormat="1" applyFont="1" applyFill="1" applyBorder="1" applyAlignment="1">
      <alignment horizontal="center" vertical="top" wrapText="1"/>
    </xf>
    <xf numFmtId="3" fontId="2" fillId="4" borderId="0" xfId="0" applyNumberFormat="1" applyFont="1" applyFill="1" applyBorder="1" applyAlignment="1">
      <alignment horizontal="center" vertical="top" wrapText="1"/>
    </xf>
    <xf numFmtId="3" fontId="3" fillId="5" borderId="25" xfId="0" applyNumberFormat="1" applyFont="1" applyFill="1" applyBorder="1" applyAlignment="1">
      <alignment horizontal="center" vertical="top" wrapText="1"/>
    </xf>
    <xf numFmtId="3" fontId="2" fillId="4" borderId="15" xfId="0" applyNumberFormat="1" applyFont="1" applyFill="1" applyBorder="1" applyAlignment="1">
      <alignment vertical="top" wrapText="1"/>
    </xf>
    <xf numFmtId="3" fontId="2" fillId="4" borderId="16" xfId="0" applyNumberFormat="1" applyFont="1" applyFill="1" applyBorder="1" applyAlignment="1">
      <alignment vertical="top" wrapText="1"/>
    </xf>
    <xf numFmtId="3" fontId="2" fillId="4" borderId="54" xfId="0" applyNumberFormat="1" applyFont="1" applyFill="1" applyBorder="1" applyAlignment="1">
      <alignment horizontal="left" vertical="top" wrapText="1"/>
    </xf>
    <xf numFmtId="165" fontId="2" fillId="4" borderId="0" xfId="0" applyNumberFormat="1" applyFont="1" applyFill="1" applyBorder="1" applyAlignment="1">
      <alignment horizontal="left" vertical="top" wrapText="1"/>
    </xf>
    <xf numFmtId="3" fontId="8" fillId="4" borderId="47" xfId="0" applyNumberFormat="1" applyFont="1" applyFill="1" applyBorder="1" applyAlignment="1">
      <alignment horizontal="center" vertical="top" wrapText="1"/>
    </xf>
    <xf numFmtId="49" fontId="2" fillId="4" borderId="47" xfId="2" applyNumberFormat="1" applyFont="1" applyFill="1" applyBorder="1" applyAlignment="1">
      <alignment horizontal="center" vertical="top"/>
    </xf>
    <xf numFmtId="3" fontId="2" fillId="4" borderId="53" xfId="0" applyNumberFormat="1" applyFont="1" applyFill="1" applyBorder="1" applyAlignment="1">
      <alignment vertical="top" wrapText="1"/>
    </xf>
    <xf numFmtId="3" fontId="2" fillId="4" borderId="46" xfId="0" applyNumberFormat="1" applyFont="1" applyFill="1" applyBorder="1" applyAlignment="1">
      <alignment vertical="top" wrapText="1"/>
    </xf>
    <xf numFmtId="49" fontId="3" fillId="3" borderId="13" xfId="0" applyNumberFormat="1" applyFont="1" applyFill="1" applyBorder="1" applyAlignment="1">
      <alignment horizontal="center" vertical="top" wrapText="1"/>
    </xf>
    <xf numFmtId="3" fontId="2" fillId="4" borderId="2" xfId="0" applyNumberFormat="1" applyFont="1" applyFill="1" applyBorder="1" applyAlignment="1">
      <alignment vertical="top" wrapText="1"/>
    </xf>
    <xf numFmtId="164" fontId="2" fillId="4" borderId="50" xfId="0" applyNumberFormat="1" applyFont="1" applyFill="1" applyBorder="1" applyAlignment="1">
      <alignment horizontal="center" vertical="top" wrapText="1"/>
    </xf>
    <xf numFmtId="3" fontId="2" fillId="4" borderId="6" xfId="0" applyNumberFormat="1" applyFont="1" applyFill="1" applyBorder="1" applyAlignment="1">
      <alignment vertical="top" wrapText="1"/>
    </xf>
    <xf numFmtId="3" fontId="2" fillId="4" borderId="60" xfId="0" applyNumberFormat="1" applyFont="1" applyFill="1" applyBorder="1" applyAlignment="1">
      <alignment horizontal="center" vertical="top" wrapText="1"/>
    </xf>
    <xf numFmtId="49" fontId="11" fillId="3" borderId="17" xfId="0" applyNumberFormat="1" applyFont="1" applyFill="1" applyBorder="1" applyAlignment="1">
      <alignment horizontal="center" vertical="top" wrapText="1"/>
    </xf>
    <xf numFmtId="49" fontId="2" fillId="3" borderId="17" xfId="0" applyNumberFormat="1" applyFont="1" applyFill="1" applyBorder="1" applyAlignment="1">
      <alignment vertical="top" wrapText="1"/>
    </xf>
    <xf numFmtId="3" fontId="2" fillId="4" borderId="59" xfId="0" applyNumberFormat="1" applyFont="1" applyFill="1" applyBorder="1" applyAlignment="1">
      <alignment horizontal="center" vertical="top" wrapText="1"/>
    </xf>
    <xf numFmtId="3" fontId="13" fillId="4" borderId="0" xfId="0" applyNumberFormat="1" applyFont="1" applyFill="1" applyBorder="1" applyAlignment="1">
      <alignment horizontal="center" vertical="top" wrapText="1"/>
    </xf>
    <xf numFmtId="3" fontId="13" fillId="4" borderId="0" xfId="0" applyNumberFormat="1" applyFont="1" applyFill="1" applyBorder="1" applyAlignment="1">
      <alignment horizontal="center" vertical="top" textRotation="180" wrapText="1"/>
    </xf>
    <xf numFmtId="3" fontId="13" fillId="4" borderId="3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Alignment="1">
      <alignment vertical="top" wrapText="1"/>
    </xf>
    <xf numFmtId="3" fontId="12" fillId="0" borderId="0" xfId="0" applyNumberFormat="1" applyFont="1" applyAlignment="1">
      <alignment horizontal="center" vertical="top" wrapText="1"/>
    </xf>
    <xf numFmtId="3" fontId="12" fillId="0" borderId="36" xfId="0" applyNumberFormat="1" applyFont="1" applyBorder="1" applyAlignment="1">
      <alignment horizontal="right" wrapText="1"/>
    </xf>
    <xf numFmtId="49" fontId="3" fillId="8" borderId="16" xfId="0" applyNumberFormat="1" applyFont="1" applyFill="1" applyBorder="1" applyAlignment="1">
      <alignment vertical="top" wrapText="1"/>
    </xf>
    <xf numFmtId="49" fontId="3" fillId="8" borderId="39" xfId="0" applyNumberFormat="1" applyFont="1" applyFill="1" applyBorder="1" applyAlignment="1">
      <alignment horizontal="center" vertical="top" wrapText="1"/>
    </xf>
    <xf numFmtId="49" fontId="3" fillId="2" borderId="38" xfId="0" applyNumberFormat="1" applyFont="1" applyFill="1" applyBorder="1" applyAlignment="1">
      <alignment horizontal="center" vertical="top" wrapText="1"/>
    </xf>
    <xf numFmtId="49" fontId="3" fillId="8" borderId="15" xfId="0" applyNumberFormat="1" applyFont="1" applyFill="1" applyBorder="1" applyAlignment="1">
      <alignment vertical="top" wrapText="1"/>
    </xf>
    <xf numFmtId="49" fontId="3" fillId="2" borderId="13" xfId="0" applyNumberFormat="1" applyFont="1" applyFill="1" applyBorder="1" applyAlignment="1">
      <alignment vertical="top" wrapText="1"/>
    </xf>
    <xf numFmtId="49" fontId="3" fillId="3" borderId="52" xfId="0" applyNumberFormat="1" applyFont="1" applyFill="1" applyBorder="1" applyAlignment="1">
      <alignment horizontal="center" vertical="top" wrapText="1"/>
    </xf>
    <xf numFmtId="3" fontId="13" fillId="4" borderId="52" xfId="0" applyNumberFormat="1" applyFont="1" applyFill="1" applyBorder="1" applyAlignment="1">
      <alignment vertical="top" wrapText="1"/>
    </xf>
    <xf numFmtId="49" fontId="3" fillId="2" borderId="17" xfId="0" applyNumberFormat="1" applyFont="1" applyFill="1" applyBorder="1" applyAlignment="1">
      <alignment horizontal="center" vertical="top" wrapText="1"/>
    </xf>
    <xf numFmtId="49" fontId="3" fillId="3" borderId="28" xfId="0" applyNumberFormat="1" applyFont="1" applyFill="1" applyBorder="1" applyAlignment="1">
      <alignment vertical="top" wrapText="1"/>
    </xf>
    <xf numFmtId="49" fontId="3" fillId="2" borderId="17" xfId="0" applyNumberFormat="1" applyFont="1" applyFill="1" applyBorder="1" applyAlignment="1">
      <alignment vertical="top" wrapText="1"/>
    </xf>
    <xf numFmtId="3" fontId="13" fillId="4" borderId="47" xfId="0" applyNumberFormat="1" applyFont="1" applyFill="1" applyBorder="1" applyAlignment="1">
      <alignment horizontal="center" vertical="top" wrapText="1"/>
    </xf>
    <xf numFmtId="49" fontId="3" fillId="8" borderId="34" xfId="0" applyNumberFormat="1" applyFont="1" applyFill="1" applyBorder="1" applyAlignment="1">
      <alignment horizontal="center" vertical="top" wrapText="1"/>
    </xf>
    <xf numFmtId="49" fontId="3" fillId="3" borderId="0" xfId="0" applyNumberFormat="1" applyFont="1" applyFill="1" applyBorder="1" applyAlignment="1">
      <alignment horizontal="center" vertical="top" wrapText="1"/>
    </xf>
    <xf numFmtId="49" fontId="3" fillId="3" borderId="28" xfId="0" applyNumberFormat="1" applyFont="1" applyFill="1" applyBorder="1" applyAlignment="1">
      <alignment horizontal="center" vertical="top" wrapText="1"/>
    </xf>
    <xf numFmtId="49" fontId="3" fillId="8" borderId="16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Alignment="1">
      <alignment wrapText="1"/>
    </xf>
    <xf numFmtId="49" fontId="3" fillId="8" borderId="34" xfId="0" applyNumberFormat="1" applyFont="1" applyFill="1" applyBorder="1" applyAlignment="1">
      <alignment vertical="top" wrapText="1"/>
    </xf>
    <xf numFmtId="49" fontId="3" fillId="3" borderId="17" xfId="0" applyNumberFormat="1" applyFont="1" applyFill="1" applyBorder="1" applyAlignment="1">
      <alignment vertical="top" wrapText="1"/>
    </xf>
    <xf numFmtId="49" fontId="3" fillId="8" borderId="46" xfId="0" applyNumberFormat="1" applyFont="1" applyFill="1" applyBorder="1" applyAlignment="1">
      <alignment vertical="top" wrapText="1"/>
    </xf>
    <xf numFmtId="49" fontId="3" fillId="2" borderId="18" xfId="0" applyNumberFormat="1" applyFont="1" applyFill="1" applyBorder="1" applyAlignment="1">
      <alignment vertical="top" wrapText="1"/>
    </xf>
    <xf numFmtId="49" fontId="3" fillId="3" borderId="56" xfId="0" applyNumberFormat="1" applyFont="1" applyFill="1" applyBorder="1" applyAlignment="1">
      <alignment vertical="top" wrapText="1"/>
    </xf>
    <xf numFmtId="49" fontId="3" fillId="8" borderId="15" xfId="0" applyNumberFormat="1" applyFont="1" applyFill="1" applyBorder="1" applyAlignment="1">
      <alignment horizontal="center" vertical="top" wrapText="1"/>
    </xf>
    <xf numFmtId="49" fontId="3" fillId="2" borderId="13" xfId="0" applyNumberFormat="1" applyFont="1" applyFill="1" applyBorder="1" applyAlignment="1">
      <alignment horizontal="center" vertical="top" wrapText="1"/>
    </xf>
    <xf numFmtId="49" fontId="3" fillId="8" borderId="46" xfId="0" applyNumberFormat="1" applyFont="1" applyFill="1" applyBorder="1" applyAlignment="1">
      <alignment horizontal="center" vertical="top" wrapText="1"/>
    </xf>
    <xf numFmtId="49" fontId="3" fillId="2" borderId="18" xfId="0" applyNumberFormat="1" applyFont="1" applyFill="1" applyBorder="1" applyAlignment="1">
      <alignment horizontal="center" vertical="top" wrapText="1"/>
    </xf>
    <xf numFmtId="49" fontId="3" fillId="3" borderId="56" xfId="0" applyNumberFormat="1" applyFont="1" applyFill="1" applyBorder="1" applyAlignment="1">
      <alignment horizontal="center" vertical="top" wrapText="1"/>
    </xf>
    <xf numFmtId="3" fontId="3" fillId="5" borderId="37" xfId="0" applyNumberFormat="1" applyFont="1" applyFill="1" applyBorder="1" applyAlignment="1">
      <alignment horizontal="center" vertical="top" wrapText="1"/>
    </xf>
    <xf numFmtId="3" fontId="2" fillId="0" borderId="3" xfId="0" applyNumberFormat="1" applyFont="1" applyFill="1" applyBorder="1" applyAlignment="1">
      <alignment horizontal="center" vertical="top" wrapText="1"/>
    </xf>
    <xf numFmtId="49" fontId="3" fillId="8" borderId="12" xfId="0" applyNumberFormat="1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center" vertical="top" wrapText="1"/>
    </xf>
    <xf numFmtId="164" fontId="3" fillId="2" borderId="12" xfId="0" applyNumberFormat="1" applyFont="1" applyFill="1" applyBorder="1" applyAlignment="1">
      <alignment horizontal="center" vertical="top" wrapText="1"/>
    </xf>
    <xf numFmtId="49" fontId="3" fillId="2" borderId="14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vertical="top"/>
    </xf>
    <xf numFmtId="49" fontId="11" fillId="8" borderId="16" xfId="0" applyNumberFormat="1" applyFont="1" applyFill="1" applyBorder="1" applyAlignment="1">
      <alignment horizontal="center" vertical="top" wrapText="1"/>
    </xf>
    <xf numFmtId="49" fontId="11" fillId="2" borderId="17" xfId="0" applyNumberFormat="1" applyFont="1" applyFill="1" applyBorder="1" applyAlignment="1">
      <alignment horizontal="center" vertical="top" wrapText="1"/>
    </xf>
    <xf numFmtId="49" fontId="11" fillId="3" borderId="28" xfId="0" applyNumberFormat="1" applyFont="1" applyFill="1" applyBorder="1" applyAlignment="1">
      <alignment horizontal="center" vertical="top" wrapText="1"/>
    </xf>
    <xf numFmtId="3" fontId="14" fillId="4" borderId="0" xfId="0" applyNumberFormat="1" applyFont="1" applyFill="1" applyBorder="1" applyAlignment="1">
      <alignment horizontal="center" vertical="top" wrapText="1"/>
    </xf>
    <xf numFmtId="49" fontId="3" fillId="4" borderId="28" xfId="0" applyNumberFormat="1" applyFont="1" applyFill="1" applyBorder="1" applyAlignment="1">
      <alignment horizontal="center" vertical="top" wrapText="1"/>
    </xf>
    <xf numFmtId="49" fontId="3" fillId="0" borderId="28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0" fontId="2" fillId="4" borderId="50" xfId="0" applyFont="1" applyFill="1" applyBorder="1" applyAlignment="1">
      <alignment horizontal="center" vertical="top" wrapText="1"/>
    </xf>
    <xf numFmtId="49" fontId="3" fillId="2" borderId="17" xfId="0" applyNumberFormat="1" applyFont="1" applyFill="1" applyBorder="1" applyAlignment="1">
      <alignment horizontal="center" vertical="top"/>
    </xf>
    <xf numFmtId="49" fontId="3" fillId="3" borderId="13" xfId="0" applyNumberFormat="1" applyFont="1" applyFill="1" applyBorder="1" applyAlignment="1">
      <alignment vertical="top" wrapText="1"/>
    </xf>
    <xf numFmtId="49" fontId="3" fillId="3" borderId="28" xfId="0" applyNumberFormat="1" applyFont="1" applyFill="1" applyBorder="1" applyAlignment="1">
      <alignment vertical="top"/>
    </xf>
    <xf numFmtId="49" fontId="3" fillId="3" borderId="52" xfId="0" applyNumberFormat="1" applyFont="1" applyFill="1" applyBorder="1" applyAlignment="1">
      <alignment vertical="top"/>
    </xf>
    <xf numFmtId="49" fontId="3" fillId="3" borderId="56" xfId="0" applyNumberFormat="1" applyFont="1" applyFill="1" applyBorder="1" applyAlignment="1">
      <alignment vertical="top"/>
    </xf>
    <xf numFmtId="49" fontId="3" fillId="2" borderId="11" xfId="0" applyNumberFormat="1" applyFont="1" applyFill="1" applyBorder="1" applyAlignment="1">
      <alignment horizontal="left" vertical="top" wrapText="1"/>
    </xf>
    <xf numFmtId="49" fontId="3" fillId="3" borderId="17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vertical="top" wrapText="1"/>
    </xf>
    <xf numFmtId="49" fontId="3" fillId="3" borderId="18" xfId="0" applyNumberFormat="1" applyFont="1" applyFill="1" applyBorder="1" applyAlignment="1">
      <alignment vertical="top"/>
    </xf>
    <xf numFmtId="49" fontId="3" fillId="3" borderId="18" xfId="0" applyNumberFormat="1" applyFont="1" applyFill="1" applyBorder="1" applyAlignment="1">
      <alignment vertical="top" wrapText="1"/>
    </xf>
    <xf numFmtId="3" fontId="13" fillId="0" borderId="3" xfId="0" applyNumberFormat="1" applyFont="1" applyFill="1" applyBorder="1" applyAlignment="1">
      <alignment horizontal="center" vertical="top" textRotation="90" wrapText="1"/>
    </xf>
    <xf numFmtId="3" fontId="13" fillId="0" borderId="0" xfId="0" applyNumberFormat="1" applyFont="1" applyFill="1" applyBorder="1" applyAlignment="1">
      <alignment horizontal="center" vertical="top" textRotation="180" wrapText="1"/>
    </xf>
    <xf numFmtId="49" fontId="3" fillId="3" borderId="52" xfId="0" applyNumberFormat="1" applyFont="1" applyFill="1" applyBorder="1" applyAlignment="1">
      <alignment vertical="top" wrapText="1"/>
    </xf>
    <xf numFmtId="49" fontId="3" fillId="8" borderId="1" xfId="0" applyNumberFormat="1" applyFont="1" applyFill="1" applyBorder="1" applyAlignment="1">
      <alignment horizontal="center" vertical="top" wrapText="1"/>
    </xf>
    <xf numFmtId="49" fontId="3" fillId="2" borderId="23" xfId="0" applyNumberFormat="1" applyFont="1" applyFill="1" applyBorder="1" applyAlignment="1">
      <alignment horizontal="center" vertical="top" wrapText="1"/>
    </xf>
    <xf numFmtId="49" fontId="3" fillId="7" borderId="1" xfId="0" applyNumberFormat="1" applyFont="1" applyFill="1" applyBorder="1" applyAlignment="1">
      <alignment horizontal="center" vertical="top" wrapText="1"/>
    </xf>
    <xf numFmtId="3" fontId="3" fillId="7" borderId="46" xfId="0" applyNumberFormat="1" applyFont="1" applyFill="1" applyBorder="1" applyAlignment="1">
      <alignment horizontal="center" vertical="top" wrapText="1"/>
    </xf>
    <xf numFmtId="3" fontId="3" fillId="0" borderId="0" xfId="0" applyNumberFormat="1" applyFont="1" applyFill="1" applyBorder="1" applyAlignment="1">
      <alignment wrapText="1"/>
    </xf>
    <xf numFmtId="3" fontId="12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vertical="top" wrapText="1"/>
    </xf>
    <xf numFmtId="3" fontId="2" fillId="4" borderId="13" xfId="0" applyNumberFormat="1" applyFont="1" applyFill="1" applyBorder="1" applyAlignment="1">
      <alignment vertical="top" wrapText="1"/>
    </xf>
    <xf numFmtId="49" fontId="2" fillId="4" borderId="53" xfId="2" applyNumberFormat="1" applyFont="1" applyFill="1" applyBorder="1" applyAlignment="1">
      <alignment horizontal="center" vertical="top"/>
    </xf>
    <xf numFmtId="3" fontId="2" fillId="4" borderId="51" xfId="0" applyNumberFormat="1" applyFont="1" applyFill="1" applyBorder="1" applyAlignment="1">
      <alignment vertical="top" wrapText="1"/>
    </xf>
    <xf numFmtId="3" fontId="2" fillId="4" borderId="0" xfId="0" applyNumberFormat="1" applyFont="1" applyFill="1" applyAlignment="1">
      <alignment wrapText="1"/>
    </xf>
    <xf numFmtId="3" fontId="8" fillId="4" borderId="16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Border="1" applyAlignment="1">
      <alignment vertical="top" wrapText="1"/>
    </xf>
    <xf numFmtId="3" fontId="2" fillId="4" borderId="53" xfId="0" applyNumberFormat="1" applyFont="1" applyFill="1" applyBorder="1" applyAlignment="1">
      <alignment horizontal="center" vertical="top"/>
    </xf>
    <xf numFmtId="167" fontId="2" fillId="9" borderId="8" xfId="2" applyNumberFormat="1" applyFont="1" applyFill="1" applyBorder="1" applyAlignment="1">
      <alignment vertical="top" wrapText="1"/>
    </xf>
    <xf numFmtId="3" fontId="2" fillId="0" borderId="18" xfId="0" applyNumberFormat="1" applyFont="1" applyFill="1" applyBorder="1" applyAlignment="1">
      <alignment vertical="top" wrapText="1"/>
    </xf>
    <xf numFmtId="3" fontId="2" fillId="3" borderId="15" xfId="0" applyNumberFormat="1" applyFont="1" applyFill="1" applyBorder="1" applyAlignment="1">
      <alignment horizontal="center" vertical="top" wrapText="1"/>
    </xf>
    <xf numFmtId="3" fontId="2" fillId="3" borderId="16" xfId="0" applyNumberFormat="1" applyFont="1" applyFill="1" applyBorder="1" applyAlignment="1">
      <alignment horizontal="center" vertical="top" wrapText="1"/>
    </xf>
    <xf numFmtId="3" fontId="2" fillId="0" borderId="59" xfId="0" applyNumberFormat="1" applyFont="1" applyBorder="1" applyAlignment="1">
      <alignment vertical="top"/>
    </xf>
    <xf numFmtId="3" fontId="2" fillId="4" borderId="9" xfId="0" applyNumberFormat="1" applyFont="1" applyFill="1" applyBorder="1" applyAlignment="1">
      <alignment horizontal="center" vertical="top" wrapText="1"/>
    </xf>
    <xf numFmtId="3" fontId="2" fillId="4" borderId="59" xfId="0" applyNumberFormat="1" applyFont="1" applyFill="1" applyBorder="1" applyAlignment="1">
      <alignment vertical="top" wrapText="1"/>
    </xf>
    <xf numFmtId="167" fontId="2" fillId="9" borderId="16" xfId="2" applyNumberFormat="1" applyFont="1" applyFill="1" applyBorder="1" applyAlignment="1">
      <alignment vertical="top" wrapText="1"/>
    </xf>
    <xf numFmtId="49" fontId="3" fillId="4" borderId="0" xfId="0" applyNumberFormat="1" applyFont="1" applyFill="1" applyBorder="1" applyAlignment="1">
      <alignment horizontal="center" vertical="top" wrapText="1"/>
    </xf>
    <xf numFmtId="49" fontId="2" fillId="4" borderId="54" xfId="0" applyNumberFormat="1" applyFont="1" applyFill="1" applyBorder="1" applyAlignment="1">
      <alignment horizontal="center" vertical="top" wrapText="1"/>
    </xf>
    <xf numFmtId="3" fontId="13" fillId="0" borderId="25" xfId="0" applyNumberFormat="1" applyFont="1" applyFill="1" applyBorder="1" applyAlignment="1">
      <alignment horizontal="center" vertical="top" wrapText="1"/>
    </xf>
    <xf numFmtId="49" fontId="2" fillId="3" borderId="49" xfId="0" applyNumberFormat="1" applyFont="1" applyFill="1" applyBorder="1" applyAlignment="1">
      <alignment horizontal="center" vertical="top" wrapText="1"/>
    </xf>
    <xf numFmtId="3" fontId="13" fillId="0" borderId="0" xfId="0" applyNumberFormat="1" applyFont="1" applyFill="1" applyBorder="1" applyAlignment="1">
      <alignment horizontal="center" vertical="top" wrapText="1"/>
    </xf>
    <xf numFmtId="49" fontId="2" fillId="13" borderId="30" xfId="2" applyNumberFormat="1" applyFont="1" applyFill="1" applyBorder="1" applyAlignment="1">
      <alignment horizontal="center" vertical="top" wrapText="1"/>
    </xf>
    <xf numFmtId="168" fontId="2" fillId="9" borderId="50" xfId="2" applyNumberFormat="1" applyFont="1" applyFill="1" applyBorder="1" applyAlignment="1">
      <alignment vertical="top" wrapText="1"/>
    </xf>
    <xf numFmtId="168" fontId="2" fillId="9" borderId="16" xfId="2" applyNumberFormat="1" applyFont="1" applyFill="1" applyBorder="1" applyAlignment="1">
      <alignment vertical="top" wrapText="1"/>
    </xf>
    <xf numFmtId="49" fontId="2" fillId="4" borderId="0" xfId="2" applyNumberFormat="1" applyFont="1" applyFill="1" applyBorder="1" applyAlignment="1">
      <alignment horizontal="center" vertical="top"/>
    </xf>
    <xf numFmtId="167" fontId="2" fillId="9" borderId="5" xfId="2" applyNumberFormat="1" applyFont="1" applyFill="1" applyBorder="1" applyAlignment="1">
      <alignment vertical="top" wrapText="1"/>
    </xf>
    <xf numFmtId="167" fontId="2" fillId="11" borderId="50" xfId="2" applyNumberFormat="1" applyFont="1" applyFill="1" applyBorder="1" applyAlignment="1">
      <alignment horizontal="left" vertical="top" wrapText="1"/>
    </xf>
    <xf numFmtId="167" fontId="2" fillId="11" borderId="16" xfId="2" applyNumberFormat="1" applyFont="1" applyFill="1" applyBorder="1" applyAlignment="1">
      <alignment horizontal="left" vertical="top" wrapText="1"/>
    </xf>
    <xf numFmtId="167" fontId="2" fillId="11" borderId="51" xfId="2" applyNumberFormat="1" applyFont="1" applyFill="1" applyBorder="1" applyAlignment="1">
      <alignment horizontal="left" vertical="top" wrapText="1"/>
    </xf>
    <xf numFmtId="49" fontId="3" fillId="4" borderId="16" xfId="2" applyNumberFormat="1" applyFont="1" applyFill="1" applyBorder="1" applyAlignment="1">
      <alignment horizontal="center" vertical="top"/>
    </xf>
    <xf numFmtId="3" fontId="13" fillId="4" borderId="42" xfId="0" applyNumberFormat="1" applyFont="1" applyFill="1" applyBorder="1" applyAlignment="1">
      <alignment horizontal="center" vertical="top" wrapText="1"/>
    </xf>
    <xf numFmtId="3" fontId="13" fillId="4" borderId="17" xfId="0" applyNumberFormat="1" applyFont="1" applyFill="1" applyBorder="1" applyAlignment="1">
      <alignment horizontal="center" vertical="top" textRotation="90" wrapText="1"/>
    </xf>
    <xf numFmtId="49" fontId="2" fillId="4" borderId="42" xfId="0" applyNumberFormat="1" applyFont="1" applyFill="1" applyBorder="1" applyAlignment="1">
      <alignment horizontal="center" vertical="top" wrapText="1"/>
    </xf>
    <xf numFmtId="49" fontId="2" fillId="4" borderId="29" xfId="0" applyNumberFormat="1" applyFont="1" applyFill="1" applyBorder="1" applyAlignment="1">
      <alignment horizontal="center" vertical="top" wrapText="1"/>
    </xf>
    <xf numFmtId="49" fontId="2" fillId="4" borderId="43" xfId="0" applyNumberFormat="1" applyFont="1" applyFill="1" applyBorder="1" applyAlignment="1">
      <alignment horizontal="center" vertical="top" wrapText="1"/>
    </xf>
    <xf numFmtId="49" fontId="2" fillId="4" borderId="28" xfId="0" applyNumberFormat="1" applyFont="1" applyFill="1" applyBorder="1" applyAlignment="1">
      <alignment horizontal="center" vertical="top" wrapText="1"/>
    </xf>
    <xf numFmtId="0" fontId="2" fillId="4" borderId="50" xfId="0" applyFont="1" applyFill="1" applyBorder="1" applyAlignment="1">
      <alignment vertical="top" wrapText="1"/>
    </xf>
    <xf numFmtId="3" fontId="13" fillId="4" borderId="55" xfId="0" applyNumberFormat="1" applyFont="1" applyFill="1" applyBorder="1" applyAlignment="1">
      <alignment horizontal="center" vertical="top" wrapText="1"/>
    </xf>
    <xf numFmtId="49" fontId="2" fillId="4" borderId="8" xfId="2" applyNumberFormat="1" applyFont="1" applyFill="1" applyBorder="1" applyAlignment="1">
      <alignment horizontal="center" vertical="top"/>
    </xf>
    <xf numFmtId="49" fontId="2" fillId="3" borderId="18" xfId="0" applyNumberFormat="1" applyFont="1" applyFill="1" applyBorder="1" applyAlignment="1">
      <alignment vertical="top" wrapText="1"/>
    </xf>
    <xf numFmtId="3" fontId="2" fillId="4" borderId="18" xfId="0" applyNumberFormat="1" applyFont="1" applyFill="1" applyBorder="1" applyAlignment="1">
      <alignment vertical="top" wrapText="1"/>
    </xf>
    <xf numFmtId="164" fontId="2" fillId="4" borderId="31" xfId="0" applyNumberFormat="1" applyFont="1" applyFill="1" applyBorder="1" applyAlignment="1">
      <alignment horizontal="center" vertical="top" wrapText="1"/>
    </xf>
    <xf numFmtId="49" fontId="2" fillId="4" borderId="17" xfId="0" applyNumberFormat="1" applyFont="1" applyFill="1" applyBorder="1" applyAlignment="1">
      <alignment vertical="top" wrapText="1"/>
    </xf>
    <xf numFmtId="3" fontId="13" fillId="0" borderId="18" xfId="0" applyNumberFormat="1" applyFont="1" applyFill="1" applyBorder="1" applyAlignment="1">
      <alignment horizontal="center" vertical="top" textRotation="90" wrapText="1"/>
    </xf>
    <xf numFmtId="49" fontId="2" fillId="4" borderId="17" xfId="0" applyNumberFormat="1" applyFont="1" applyFill="1" applyBorder="1" applyAlignment="1">
      <alignment horizontal="center" vertical="top"/>
    </xf>
    <xf numFmtId="49" fontId="2" fillId="4" borderId="28" xfId="0" applyNumberFormat="1" applyFont="1" applyFill="1" applyBorder="1" applyAlignment="1">
      <alignment horizontal="center" vertical="top"/>
    </xf>
    <xf numFmtId="3" fontId="3" fillId="4" borderId="52" xfId="0" applyNumberFormat="1" applyFont="1" applyFill="1" applyBorder="1" applyAlignment="1">
      <alignment horizontal="left" vertical="top" wrapText="1"/>
    </xf>
    <xf numFmtId="3" fontId="3" fillId="2" borderId="12" xfId="0" applyNumberFormat="1" applyFont="1" applyFill="1" applyBorder="1" applyAlignment="1">
      <alignment horizontal="center" vertical="top" wrapText="1"/>
    </xf>
    <xf numFmtId="3" fontId="3" fillId="8" borderId="12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 wrapText="1"/>
    </xf>
    <xf numFmtId="3" fontId="2" fillId="0" borderId="36" xfId="0" applyNumberFormat="1" applyFont="1" applyBorder="1" applyAlignment="1">
      <alignment horizontal="right" wrapText="1"/>
    </xf>
    <xf numFmtId="3" fontId="2" fillId="4" borderId="17" xfId="0" applyNumberFormat="1" applyFont="1" applyFill="1" applyBorder="1" applyAlignment="1">
      <alignment vertical="top" wrapText="1"/>
    </xf>
    <xf numFmtId="3" fontId="2" fillId="4" borderId="2" xfId="0" applyNumberFormat="1" applyFont="1" applyFill="1" applyBorder="1" applyAlignment="1">
      <alignment horizontal="left" vertical="top" wrapText="1"/>
    </xf>
    <xf numFmtId="3" fontId="3" fillId="2" borderId="12" xfId="0" applyNumberFormat="1" applyFont="1" applyFill="1" applyBorder="1" applyAlignment="1">
      <alignment vertical="top" wrapText="1"/>
    </xf>
    <xf numFmtId="3" fontId="3" fillId="8" borderId="12" xfId="0" applyNumberFormat="1" applyFont="1" applyFill="1" applyBorder="1" applyAlignment="1">
      <alignment vertical="top" wrapText="1"/>
    </xf>
    <xf numFmtId="3" fontId="13" fillId="4" borderId="36" xfId="0" applyNumberFormat="1" applyFont="1" applyFill="1" applyBorder="1" applyAlignment="1">
      <alignment horizontal="center" vertical="top" wrapText="1"/>
    </xf>
    <xf numFmtId="3" fontId="13" fillId="0" borderId="3" xfId="0" applyNumberFormat="1" applyFont="1" applyFill="1" applyBorder="1" applyAlignment="1">
      <alignment horizontal="center" vertical="top" wrapText="1"/>
    </xf>
    <xf numFmtId="3" fontId="13" fillId="0" borderId="36" xfId="0" applyNumberFormat="1" applyFont="1" applyFill="1" applyBorder="1" applyAlignment="1">
      <alignment horizontal="center" vertical="top" wrapText="1"/>
    </xf>
    <xf numFmtId="165" fontId="2" fillId="4" borderId="0" xfId="0" applyNumberFormat="1" applyFont="1" applyFill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 wrapText="1"/>
    </xf>
    <xf numFmtId="165" fontId="2" fillId="0" borderId="0" xfId="0" applyNumberFormat="1" applyFont="1" applyBorder="1" applyAlignment="1">
      <alignment vertical="top" wrapText="1"/>
    </xf>
    <xf numFmtId="164" fontId="2" fillId="4" borderId="62" xfId="1" applyNumberFormat="1" applyFont="1" applyFill="1" applyBorder="1" applyAlignment="1">
      <alignment horizontal="center" vertical="top" wrapText="1"/>
    </xf>
    <xf numFmtId="49" fontId="2" fillId="3" borderId="18" xfId="0" applyNumberFormat="1" applyFont="1" applyFill="1" applyBorder="1" applyAlignment="1">
      <alignment horizontal="center" vertical="top" wrapText="1"/>
    </xf>
    <xf numFmtId="3" fontId="2" fillId="4" borderId="27" xfId="0" applyNumberFormat="1" applyFont="1" applyFill="1" applyBorder="1" applyAlignment="1">
      <alignment vertical="top" wrapText="1"/>
    </xf>
    <xf numFmtId="3" fontId="2" fillId="4" borderId="33" xfId="0" applyNumberFormat="1" applyFont="1" applyFill="1" applyBorder="1" applyAlignment="1">
      <alignment vertical="top" wrapText="1"/>
    </xf>
    <xf numFmtId="3" fontId="2" fillId="4" borderId="61" xfId="0" applyNumberFormat="1" applyFont="1" applyFill="1" applyBorder="1" applyAlignment="1">
      <alignment vertical="top" wrapText="1"/>
    </xf>
    <xf numFmtId="3" fontId="13" fillId="0" borderId="52" xfId="0" applyNumberFormat="1" applyFont="1" applyFill="1" applyBorder="1" applyAlignment="1">
      <alignment horizontal="center" vertical="top" textRotation="90" wrapText="1"/>
    </xf>
    <xf numFmtId="3" fontId="2" fillId="3" borderId="32" xfId="0" applyNumberFormat="1" applyFont="1" applyFill="1" applyBorder="1" applyAlignment="1">
      <alignment horizontal="center" vertical="top" wrapText="1"/>
    </xf>
    <xf numFmtId="3" fontId="2" fillId="3" borderId="20" xfId="0" applyNumberFormat="1" applyFont="1" applyFill="1" applyBorder="1" applyAlignment="1">
      <alignment horizontal="center" vertical="top" wrapText="1"/>
    </xf>
    <xf numFmtId="164" fontId="2" fillId="0" borderId="15" xfId="0" applyNumberFormat="1" applyFont="1" applyFill="1" applyBorder="1" applyAlignment="1">
      <alignment horizontal="center" vertical="top" wrapText="1"/>
    </xf>
    <xf numFmtId="49" fontId="2" fillId="4" borderId="16" xfId="2" applyNumberFormat="1" applyFont="1" applyFill="1" applyBorder="1" applyAlignment="1">
      <alignment horizontal="center" vertical="top"/>
    </xf>
    <xf numFmtId="0" fontId="2" fillId="4" borderId="50" xfId="2" applyNumberFormat="1" applyFont="1" applyFill="1" applyBorder="1" applyAlignment="1">
      <alignment horizontal="center" vertical="top"/>
    </xf>
    <xf numFmtId="164" fontId="2" fillId="4" borderId="16" xfId="2" applyNumberFormat="1" applyFont="1" applyFill="1" applyBorder="1" applyAlignment="1">
      <alignment horizontal="center" vertical="top"/>
    </xf>
    <xf numFmtId="164" fontId="3" fillId="4" borderId="51" xfId="2" applyNumberFormat="1" applyFont="1" applyFill="1" applyBorder="1" applyAlignment="1">
      <alignment horizontal="right" vertical="top"/>
    </xf>
    <xf numFmtId="164" fontId="3" fillId="4" borderId="16" xfId="2" applyNumberFormat="1" applyFont="1" applyFill="1" applyBorder="1" applyAlignment="1">
      <alignment horizontal="right" vertical="top"/>
    </xf>
    <xf numFmtId="164" fontId="2" fillId="4" borderId="59" xfId="0" applyNumberFormat="1" applyFont="1" applyFill="1" applyBorder="1" applyAlignment="1">
      <alignment horizontal="center" vertical="top" wrapText="1"/>
    </xf>
    <xf numFmtId="164" fontId="2" fillId="4" borderId="53" xfId="0" applyNumberFormat="1" applyFont="1" applyFill="1" applyBorder="1" applyAlignment="1">
      <alignment horizontal="center" vertical="top"/>
    </xf>
    <xf numFmtId="164" fontId="2" fillId="4" borderId="50" xfId="0" applyNumberFormat="1" applyFont="1" applyFill="1" applyBorder="1" applyAlignment="1">
      <alignment horizontal="center" vertical="top"/>
    </xf>
    <xf numFmtId="164" fontId="2" fillId="4" borderId="50" xfId="1" applyNumberFormat="1" applyFont="1" applyFill="1" applyBorder="1" applyAlignment="1">
      <alignment horizontal="center" vertical="top" wrapText="1"/>
    </xf>
    <xf numFmtId="3" fontId="13" fillId="4" borderId="64" xfId="0" applyNumberFormat="1" applyFont="1" applyFill="1" applyBorder="1" applyAlignment="1">
      <alignment horizontal="center" vertical="top" wrapText="1"/>
    </xf>
    <xf numFmtId="3" fontId="13" fillId="4" borderId="54" xfId="0" applyNumberFormat="1" applyFont="1" applyFill="1" applyBorder="1" applyAlignment="1">
      <alignment horizontal="center" vertical="top" wrapText="1"/>
    </xf>
    <xf numFmtId="3" fontId="2" fillId="4" borderId="7" xfId="0" applyNumberFormat="1" applyFont="1" applyFill="1" applyBorder="1" applyAlignment="1">
      <alignment horizontal="center" vertical="top" wrapText="1"/>
    </xf>
    <xf numFmtId="3" fontId="13" fillId="4" borderId="35" xfId="0" applyNumberFormat="1" applyFont="1" applyFill="1" applyBorder="1" applyAlignment="1">
      <alignment horizontal="center" vertical="top" textRotation="180" wrapText="1"/>
    </xf>
    <xf numFmtId="3" fontId="3" fillId="4" borderId="49" xfId="0" applyNumberFormat="1" applyFont="1" applyFill="1" applyBorder="1" applyAlignment="1">
      <alignment vertical="top" wrapText="1"/>
    </xf>
    <xf numFmtId="3" fontId="13" fillId="4" borderId="66" xfId="0" applyNumberFormat="1" applyFont="1" applyFill="1" applyBorder="1" applyAlignment="1">
      <alignment horizontal="center" vertical="top" wrapText="1"/>
    </xf>
    <xf numFmtId="3" fontId="13" fillId="4" borderId="26" xfId="0" applyNumberFormat="1" applyFont="1" applyFill="1" applyBorder="1" applyAlignment="1">
      <alignment horizontal="center" vertical="top" wrapText="1"/>
    </xf>
    <xf numFmtId="49" fontId="2" fillId="13" borderId="5" xfId="2" applyNumberFormat="1" applyFont="1" applyFill="1" applyBorder="1" applyAlignment="1">
      <alignment horizontal="center" vertical="top" wrapText="1"/>
    </xf>
    <xf numFmtId="49" fontId="2" fillId="3" borderId="26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 wrapText="1"/>
    </xf>
    <xf numFmtId="3" fontId="13" fillId="4" borderId="66" xfId="0" applyNumberFormat="1" applyFont="1" applyFill="1" applyBorder="1" applyAlignment="1">
      <alignment horizontal="center" vertical="center" wrapText="1"/>
    </xf>
    <xf numFmtId="3" fontId="12" fillId="4" borderId="35" xfId="0" applyNumberFormat="1" applyFont="1" applyFill="1" applyBorder="1" applyAlignment="1">
      <alignment horizontal="center" vertical="top" wrapText="1"/>
    </xf>
    <xf numFmtId="49" fontId="11" fillId="3" borderId="17" xfId="0" applyNumberFormat="1" applyFont="1" applyFill="1" applyBorder="1" applyAlignment="1">
      <alignment vertical="top" wrapText="1"/>
    </xf>
    <xf numFmtId="164" fontId="3" fillId="5" borderId="50" xfId="0" applyNumberFormat="1" applyFont="1" applyFill="1" applyBorder="1" applyAlignment="1">
      <alignment horizontal="center" vertical="top" wrapText="1"/>
    </xf>
    <xf numFmtId="49" fontId="3" fillId="3" borderId="36" xfId="0" applyNumberFormat="1" applyFont="1" applyFill="1" applyBorder="1" applyAlignment="1">
      <alignment horizontal="center" vertical="top" wrapText="1"/>
    </xf>
    <xf numFmtId="3" fontId="13" fillId="0" borderId="26" xfId="0" applyNumberFormat="1" applyFont="1" applyFill="1" applyBorder="1" applyAlignment="1">
      <alignment horizontal="center" vertical="top" wrapText="1"/>
    </xf>
    <xf numFmtId="3" fontId="13" fillId="0" borderId="35" xfId="0" applyNumberFormat="1" applyFont="1" applyFill="1" applyBorder="1" applyAlignment="1">
      <alignment horizontal="center" vertical="top" wrapText="1"/>
    </xf>
    <xf numFmtId="3" fontId="13" fillId="0" borderId="35" xfId="0" applyNumberFormat="1" applyFont="1" applyFill="1" applyBorder="1" applyAlignment="1">
      <alignment horizontal="center" vertical="top" textRotation="90" wrapText="1"/>
    </xf>
    <xf numFmtId="3" fontId="13" fillId="4" borderId="35" xfId="0" applyNumberFormat="1" applyFont="1" applyFill="1" applyBorder="1" applyAlignment="1">
      <alignment horizontal="center" vertical="top" textRotation="90" wrapText="1"/>
    </xf>
    <xf numFmtId="3" fontId="2" fillId="4" borderId="27" xfId="0" applyNumberFormat="1" applyFont="1" applyFill="1" applyBorder="1" applyAlignment="1">
      <alignment horizontal="center" vertical="center" wrapText="1"/>
    </xf>
    <xf numFmtId="3" fontId="2" fillId="4" borderId="27" xfId="0" applyNumberFormat="1" applyFont="1" applyFill="1" applyBorder="1" applyAlignment="1">
      <alignment vertical="center" wrapText="1"/>
    </xf>
    <xf numFmtId="3" fontId="2" fillId="4" borderId="61" xfId="0" applyNumberFormat="1" applyFont="1" applyFill="1" applyBorder="1" applyAlignment="1">
      <alignment vertical="center" wrapText="1"/>
    </xf>
    <xf numFmtId="49" fontId="2" fillId="3" borderId="43" xfId="0" applyNumberFormat="1" applyFont="1" applyFill="1" applyBorder="1" applyAlignment="1">
      <alignment horizontal="center" vertical="top"/>
    </xf>
    <xf numFmtId="3" fontId="2" fillId="0" borderId="51" xfId="0" applyNumberFormat="1" applyFont="1" applyBorder="1" applyAlignment="1">
      <alignment horizontal="center" vertical="top"/>
    </xf>
    <xf numFmtId="49" fontId="2" fillId="4" borderId="50" xfId="2" applyNumberFormat="1" applyFont="1" applyFill="1" applyBorder="1" applyAlignment="1">
      <alignment horizontal="center" vertical="top"/>
    </xf>
    <xf numFmtId="49" fontId="2" fillId="4" borderId="18" xfId="0" applyNumberFormat="1" applyFont="1" applyFill="1" applyBorder="1" applyAlignment="1">
      <alignment horizontal="center" vertical="top" wrapText="1"/>
    </xf>
    <xf numFmtId="3" fontId="2" fillId="4" borderId="0" xfId="0" applyNumberFormat="1" applyFont="1" applyFill="1" applyBorder="1" applyAlignment="1">
      <alignment horizontal="center" vertical="top"/>
    </xf>
    <xf numFmtId="3" fontId="13" fillId="4" borderId="55" xfId="0" applyNumberFormat="1" applyFont="1" applyFill="1" applyBorder="1" applyAlignment="1">
      <alignment horizontal="center" vertical="top" textRotation="90" wrapText="1"/>
    </xf>
    <xf numFmtId="0" fontId="2" fillId="4" borderId="16" xfId="0" applyFont="1" applyFill="1" applyBorder="1" applyAlignment="1">
      <alignment vertical="top" wrapText="1"/>
    </xf>
    <xf numFmtId="0" fontId="2" fillId="4" borderId="46" xfId="0" applyFont="1" applyFill="1" applyBorder="1" applyAlignment="1">
      <alignment vertical="top" wrapText="1"/>
    </xf>
    <xf numFmtId="3" fontId="2" fillId="4" borderId="0" xfId="0" applyNumberFormat="1" applyFont="1" applyFill="1" applyBorder="1" applyAlignment="1">
      <alignment horizontal="left" vertical="top" wrapText="1"/>
    </xf>
    <xf numFmtId="3" fontId="6" fillId="0" borderId="0" xfId="0" applyNumberFormat="1" applyFont="1" applyBorder="1" applyAlignment="1">
      <alignment horizontal="center" vertical="top" wrapText="1"/>
    </xf>
    <xf numFmtId="49" fontId="2" fillId="4" borderId="51" xfId="2" applyNumberFormat="1" applyFont="1" applyFill="1" applyBorder="1" applyAlignment="1">
      <alignment horizontal="center" vertical="top"/>
    </xf>
    <xf numFmtId="3" fontId="2" fillId="0" borderId="0" xfId="0" applyNumberFormat="1" applyFont="1" applyBorder="1" applyAlignment="1">
      <alignment horizontal="center" vertical="top" wrapText="1"/>
    </xf>
    <xf numFmtId="165" fontId="2" fillId="4" borderId="51" xfId="2" applyNumberFormat="1" applyFont="1" applyFill="1" applyBorder="1" applyAlignment="1">
      <alignment horizontal="center" vertical="top"/>
    </xf>
    <xf numFmtId="164" fontId="2" fillId="4" borderId="50" xfId="2" applyNumberFormat="1" applyFont="1" applyFill="1" applyBorder="1" applyAlignment="1">
      <alignment horizontal="center" vertical="top"/>
    </xf>
    <xf numFmtId="164" fontId="2" fillId="4" borderId="51" xfId="2" applyNumberFormat="1" applyFont="1" applyFill="1" applyBorder="1" applyAlignment="1">
      <alignment horizontal="center" vertical="top"/>
    </xf>
    <xf numFmtId="3" fontId="2" fillId="0" borderId="16" xfId="0" applyNumberFormat="1" applyFont="1" applyBorder="1" applyAlignment="1">
      <alignment horizontal="center" vertical="top" wrapText="1"/>
    </xf>
    <xf numFmtId="3" fontId="2" fillId="4" borderId="0" xfId="0" applyNumberFormat="1" applyFont="1" applyFill="1" applyAlignment="1">
      <alignment vertical="top" wrapText="1"/>
    </xf>
    <xf numFmtId="3" fontId="2" fillId="4" borderId="0" xfId="0" applyNumberFormat="1" applyFont="1" applyFill="1" applyAlignment="1">
      <alignment horizontal="left" vertical="top" wrapText="1"/>
    </xf>
    <xf numFmtId="3" fontId="3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5" fontId="2" fillId="4" borderId="0" xfId="0" applyNumberFormat="1" applyFont="1" applyFill="1" applyAlignment="1">
      <alignment horizontal="left" vertical="top" wrapText="1"/>
    </xf>
    <xf numFmtId="49" fontId="2" fillId="4" borderId="0" xfId="0" applyNumberFormat="1" applyFont="1" applyFill="1" applyAlignment="1">
      <alignment horizontal="left" vertical="top" wrapText="1"/>
    </xf>
    <xf numFmtId="3" fontId="3" fillId="4" borderId="0" xfId="0" applyNumberFormat="1" applyFont="1" applyFill="1" applyAlignment="1">
      <alignment wrapText="1"/>
    </xf>
    <xf numFmtId="164" fontId="2" fillId="4" borderId="0" xfId="0" applyNumberFormat="1" applyFont="1" applyFill="1" applyBorder="1" applyAlignment="1">
      <alignment vertical="top" wrapText="1"/>
    </xf>
    <xf numFmtId="3" fontId="2" fillId="4" borderId="36" xfId="0" applyNumberFormat="1" applyFont="1" applyFill="1" applyBorder="1" applyAlignment="1">
      <alignment horizontal="right" vertical="top" wrapText="1"/>
    </xf>
    <xf numFmtId="3" fontId="3" fillId="15" borderId="67" xfId="0" applyNumberFormat="1" applyFont="1" applyFill="1" applyBorder="1" applyAlignment="1">
      <alignment horizontal="left" vertical="top" wrapText="1"/>
    </xf>
    <xf numFmtId="3" fontId="3" fillId="10" borderId="41" xfId="0" applyNumberFormat="1" applyFont="1" applyFill="1" applyBorder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164" fontId="3" fillId="5" borderId="68" xfId="0" applyNumberFormat="1" applyFont="1" applyFill="1" applyBorder="1" applyAlignment="1">
      <alignment horizontal="center" vertical="top" wrapText="1"/>
    </xf>
    <xf numFmtId="0" fontId="2" fillId="4" borderId="31" xfId="2" applyNumberFormat="1" applyFont="1" applyFill="1" applyBorder="1" applyAlignment="1">
      <alignment horizontal="center" vertical="top"/>
    </xf>
    <xf numFmtId="164" fontId="2" fillId="4" borderId="31" xfId="2" applyNumberFormat="1" applyFont="1" applyFill="1" applyBorder="1" applyAlignment="1">
      <alignment horizontal="center" vertical="top"/>
    </xf>
    <xf numFmtId="164" fontId="3" fillId="5" borderId="68" xfId="0" applyNumberFormat="1" applyFont="1" applyFill="1" applyBorder="1" applyAlignment="1">
      <alignment horizontal="center" vertical="top"/>
    </xf>
    <xf numFmtId="164" fontId="2" fillId="0" borderId="69" xfId="0" applyNumberFormat="1" applyFont="1" applyBorder="1" applyAlignment="1">
      <alignment horizontal="center" vertical="top"/>
    </xf>
    <xf numFmtId="164" fontId="2" fillId="0" borderId="65" xfId="0" applyNumberFormat="1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164" fontId="2" fillId="4" borderId="2" xfId="0" applyNumberFormat="1" applyFont="1" applyFill="1" applyBorder="1" applyAlignment="1">
      <alignment horizontal="center" vertical="top" wrapText="1"/>
    </xf>
    <xf numFmtId="4" fontId="2" fillId="4" borderId="2" xfId="0" applyNumberFormat="1" applyFont="1" applyFill="1" applyBorder="1" applyAlignment="1">
      <alignment horizontal="center" vertical="top" wrapText="1"/>
    </xf>
    <xf numFmtId="1" fontId="2" fillId="9" borderId="6" xfId="2" applyNumberFormat="1" applyFont="1" applyFill="1" applyBorder="1" applyAlignment="1">
      <alignment horizontal="center" vertical="top" wrapText="1"/>
    </xf>
    <xf numFmtId="167" fontId="2" fillId="9" borderId="8" xfId="2" applyNumberFormat="1" applyFont="1" applyFill="1" applyBorder="1" applyAlignment="1">
      <alignment horizontal="center" vertical="top" wrapText="1"/>
    </xf>
    <xf numFmtId="167" fontId="2" fillId="9" borderId="2" xfId="2" applyNumberFormat="1" applyFont="1" applyFill="1" applyBorder="1" applyAlignment="1">
      <alignment horizontal="center" vertical="top" wrapText="1"/>
    </xf>
    <xf numFmtId="167" fontId="2" fillId="11" borderId="8" xfId="2" applyNumberFormat="1" applyFont="1" applyFill="1" applyBorder="1" applyAlignment="1">
      <alignment horizontal="center" vertical="top" wrapText="1"/>
    </xf>
    <xf numFmtId="167" fontId="2" fillId="9" borderId="70" xfId="2" applyNumberFormat="1" applyFont="1" applyFill="1" applyBorder="1" applyAlignment="1">
      <alignment horizontal="center" vertical="top" wrapText="1"/>
    </xf>
    <xf numFmtId="3" fontId="3" fillId="10" borderId="46" xfId="0" applyNumberFormat="1" applyFont="1" applyFill="1" applyBorder="1" applyAlignment="1">
      <alignment horizontal="center" vertical="top" wrapText="1"/>
    </xf>
    <xf numFmtId="3" fontId="2" fillId="0" borderId="49" xfId="0" applyNumberFormat="1" applyFont="1" applyBorder="1" applyAlignment="1">
      <alignment vertical="top" wrapText="1"/>
    </xf>
    <xf numFmtId="164" fontId="3" fillId="8" borderId="1" xfId="0" applyNumberFormat="1" applyFont="1" applyFill="1" applyBorder="1" applyAlignment="1">
      <alignment horizontal="center" vertical="top" wrapText="1"/>
    </xf>
    <xf numFmtId="49" fontId="2" fillId="4" borderId="2" xfId="2" applyNumberFormat="1" applyFont="1" applyFill="1" applyBorder="1" applyAlignment="1">
      <alignment horizontal="center" vertical="top"/>
    </xf>
    <xf numFmtId="164" fontId="2" fillId="4" borderId="62" xfId="2" applyNumberFormat="1" applyFont="1" applyFill="1" applyBorder="1" applyAlignment="1">
      <alignment horizontal="center" vertical="top"/>
    </xf>
    <xf numFmtId="164" fontId="3" fillId="5" borderId="45" xfId="0" applyNumberFormat="1" applyFont="1" applyFill="1" applyBorder="1" applyAlignment="1">
      <alignment horizontal="center" vertical="top" wrapText="1"/>
    </xf>
    <xf numFmtId="164" fontId="18" fillId="4" borderId="2" xfId="0" applyNumberFormat="1" applyFont="1" applyFill="1" applyBorder="1" applyAlignment="1">
      <alignment horizontal="center" vertical="top"/>
    </xf>
    <xf numFmtId="3" fontId="2" fillId="0" borderId="9" xfId="0" applyNumberFormat="1" applyFont="1" applyBorder="1" applyAlignment="1">
      <alignment horizontal="center" vertical="top" wrapText="1"/>
    </xf>
    <xf numFmtId="49" fontId="2" fillId="4" borderId="49" xfId="0" applyNumberFormat="1" applyFont="1" applyFill="1" applyBorder="1" applyAlignment="1">
      <alignment horizontal="center" vertical="top"/>
    </xf>
    <xf numFmtId="3" fontId="2" fillId="0" borderId="0" xfId="0" applyNumberFormat="1" applyFont="1" applyAlignment="1">
      <alignment vertical="top"/>
    </xf>
    <xf numFmtId="164" fontId="2" fillId="4" borderId="9" xfId="0" applyNumberFormat="1" applyFont="1" applyFill="1" applyBorder="1" applyAlignment="1">
      <alignment horizontal="center" vertical="top" wrapText="1"/>
    </xf>
    <xf numFmtId="164" fontId="2" fillId="4" borderId="69" xfId="0" applyNumberFormat="1" applyFont="1" applyFill="1" applyBorder="1" applyAlignment="1">
      <alignment horizontal="center" vertical="top" wrapText="1"/>
    </xf>
    <xf numFmtId="164" fontId="2" fillId="4" borderId="31" xfId="0" applyNumberFormat="1" applyFont="1" applyFill="1" applyBorder="1" applyAlignment="1">
      <alignment horizontal="center" vertical="top"/>
    </xf>
    <xf numFmtId="164" fontId="3" fillId="7" borderId="1" xfId="0" applyNumberFormat="1" applyFont="1" applyFill="1" applyBorder="1" applyAlignment="1">
      <alignment horizontal="center" vertical="top" wrapText="1"/>
    </xf>
    <xf numFmtId="3" fontId="3" fillId="4" borderId="36" xfId="0" applyNumberFormat="1" applyFont="1" applyFill="1" applyBorder="1" applyAlignment="1">
      <alignment horizontal="center" wrapText="1"/>
    </xf>
    <xf numFmtId="3" fontId="2" fillId="0" borderId="32" xfId="0" applyNumberFormat="1" applyFont="1" applyBorder="1" applyAlignment="1">
      <alignment vertical="top" wrapText="1"/>
    </xf>
    <xf numFmtId="49" fontId="3" fillId="3" borderId="17" xfId="0" applyNumberFormat="1" applyFont="1" applyFill="1" applyBorder="1" applyAlignment="1">
      <alignment vertical="top"/>
    </xf>
    <xf numFmtId="3" fontId="13" fillId="4" borderId="71" xfId="0" applyNumberFormat="1" applyFont="1" applyFill="1" applyBorder="1" applyAlignment="1">
      <alignment horizontal="center" vertical="top" wrapText="1"/>
    </xf>
    <xf numFmtId="164" fontId="3" fillId="5" borderId="31" xfId="0" applyNumberFormat="1" applyFont="1" applyFill="1" applyBorder="1" applyAlignment="1">
      <alignment horizontal="center" vertical="top" wrapText="1"/>
    </xf>
    <xf numFmtId="164" fontId="16" fillId="4" borderId="61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Border="1" applyAlignment="1">
      <alignment wrapText="1"/>
    </xf>
    <xf numFmtId="3" fontId="9" fillId="0" borderId="0" xfId="0" applyNumberFormat="1" applyFont="1" applyAlignment="1">
      <alignment wrapText="1"/>
    </xf>
    <xf numFmtId="3" fontId="6" fillId="0" borderId="0" xfId="0" applyNumberFormat="1" applyFont="1" applyAlignment="1">
      <alignment wrapText="1"/>
    </xf>
    <xf numFmtId="3" fontId="2" fillId="4" borderId="0" xfId="0" applyNumberFormat="1" applyFont="1" applyFill="1" applyBorder="1" applyAlignment="1">
      <alignment horizontal="left" vertical="top" wrapText="1"/>
    </xf>
    <xf numFmtId="3" fontId="2" fillId="4" borderId="20" xfId="0" applyNumberFormat="1" applyFont="1" applyFill="1" applyBorder="1" applyAlignment="1">
      <alignment vertical="top" wrapText="1"/>
    </xf>
    <xf numFmtId="3" fontId="2" fillId="3" borderId="63" xfId="0" applyNumberFormat="1" applyFont="1" applyFill="1" applyBorder="1" applyAlignment="1">
      <alignment horizontal="center" vertical="top" wrapText="1"/>
    </xf>
    <xf numFmtId="0" fontId="3" fillId="5" borderId="46" xfId="0" applyFont="1" applyFill="1" applyBorder="1" applyAlignment="1">
      <alignment horizontal="center" vertical="top" wrapText="1"/>
    </xf>
    <xf numFmtId="164" fontId="3" fillId="5" borderId="19" xfId="0" applyNumberFormat="1" applyFont="1" applyFill="1" applyBorder="1" applyAlignment="1">
      <alignment horizontal="center" vertical="top" wrapText="1"/>
    </xf>
    <xf numFmtId="167" fontId="2" fillId="9" borderId="50" xfId="2" applyNumberFormat="1" applyFont="1" applyFill="1" applyBorder="1" applyAlignment="1">
      <alignment vertical="top" wrapText="1"/>
    </xf>
    <xf numFmtId="164" fontId="2" fillId="11" borderId="2" xfId="2" applyNumberFormat="1" applyFont="1" applyFill="1" applyBorder="1" applyAlignment="1">
      <alignment horizontal="center" vertical="top"/>
    </xf>
    <xf numFmtId="165" fontId="2" fillId="9" borderId="31" xfId="2" applyNumberFormat="1" applyFont="1" applyFill="1" applyBorder="1" applyAlignment="1">
      <alignment horizontal="center" vertical="top" wrapText="1"/>
    </xf>
    <xf numFmtId="3" fontId="2" fillId="4" borderId="0" xfId="0" applyNumberFormat="1" applyFont="1" applyFill="1" applyBorder="1" applyAlignment="1">
      <alignment horizontal="left" vertical="top" wrapText="1"/>
    </xf>
    <xf numFmtId="165" fontId="6" fillId="0" borderId="0" xfId="0" applyNumberFormat="1" applyFont="1" applyAlignment="1">
      <alignment horizontal="right" vertical="top" wrapText="1"/>
    </xf>
    <xf numFmtId="165" fontId="6" fillId="0" borderId="0" xfId="0" applyNumberFormat="1" applyFont="1" applyBorder="1" applyAlignment="1">
      <alignment wrapText="1"/>
    </xf>
    <xf numFmtId="165" fontId="9" fillId="0" borderId="0" xfId="0" applyNumberFormat="1" applyFont="1" applyAlignment="1">
      <alignment wrapText="1"/>
    </xf>
    <xf numFmtId="165" fontId="6" fillId="0" borderId="0" xfId="0" applyNumberFormat="1" applyFont="1" applyAlignment="1">
      <alignment wrapText="1"/>
    </xf>
    <xf numFmtId="165" fontId="6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right" wrapText="1"/>
    </xf>
    <xf numFmtId="165" fontId="3" fillId="0" borderId="0" xfId="0" applyNumberFormat="1" applyFont="1" applyBorder="1" applyAlignment="1">
      <alignment horizontal="center" vertical="center" wrapText="1"/>
    </xf>
    <xf numFmtId="165" fontId="3" fillId="4" borderId="0" xfId="0" applyNumberFormat="1" applyFont="1" applyFill="1" applyBorder="1" applyAlignment="1">
      <alignment horizontal="left" vertical="top" wrapText="1"/>
    </xf>
    <xf numFmtId="165" fontId="4" fillId="4" borderId="0" xfId="0" applyNumberFormat="1" applyFont="1" applyFill="1" applyBorder="1" applyAlignment="1">
      <alignment horizontal="left" vertical="top" wrapText="1"/>
    </xf>
    <xf numFmtId="165" fontId="3" fillId="4" borderId="0" xfId="0" applyNumberFormat="1" applyFont="1" applyFill="1" applyBorder="1" applyAlignment="1">
      <alignment vertical="top" wrapText="1"/>
    </xf>
    <xf numFmtId="165" fontId="8" fillId="4" borderId="0" xfId="0" applyNumberFormat="1" applyFont="1" applyFill="1" applyBorder="1" applyAlignment="1">
      <alignment horizontal="center" vertical="top" wrapText="1"/>
    </xf>
    <xf numFmtId="165" fontId="2" fillId="9" borderId="0" xfId="2" applyNumberFormat="1" applyFont="1" applyFill="1" applyBorder="1" applyAlignment="1">
      <alignment horizontal="center" vertical="top" wrapText="1"/>
    </xf>
    <xf numFmtId="165" fontId="2" fillId="9" borderId="0" xfId="2" applyNumberFormat="1" applyFont="1" applyFill="1" applyBorder="1" applyAlignment="1">
      <alignment vertical="top" wrapText="1"/>
    </xf>
    <xf numFmtId="165" fontId="2" fillId="11" borderId="0" xfId="2" applyNumberFormat="1" applyFont="1" applyFill="1" applyBorder="1" applyAlignment="1">
      <alignment horizontal="center" vertical="top" wrapText="1"/>
    </xf>
    <xf numFmtId="165" fontId="2" fillId="9" borderId="0" xfId="2" applyNumberFormat="1" applyFont="1" applyFill="1" applyBorder="1" applyAlignment="1">
      <alignment horizontal="center" vertical="top"/>
    </xf>
    <xf numFmtId="165" fontId="2" fillId="0" borderId="0" xfId="0" applyNumberFormat="1" applyFont="1" applyAlignment="1">
      <alignment vertical="top" wrapText="1"/>
    </xf>
    <xf numFmtId="165" fontId="2" fillId="0" borderId="0" xfId="0" applyNumberFormat="1" applyFont="1" applyBorder="1" applyAlignment="1">
      <alignment horizontal="center" vertical="top"/>
    </xf>
    <xf numFmtId="165" fontId="2" fillId="0" borderId="0" xfId="0" applyNumberFormat="1" applyFont="1" applyAlignment="1">
      <alignment vertical="top"/>
    </xf>
    <xf numFmtId="165" fontId="2" fillId="0" borderId="0" xfId="0" applyNumberFormat="1" applyFont="1" applyBorder="1" applyAlignment="1">
      <alignment vertical="top"/>
    </xf>
    <xf numFmtId="165" fontId="2" fillId="3" borderId="0" xfId="0" applyNumberFormat="1" applyFont="1" applyFill="1" applyBorder="1" applyAlignment="1">
      <alignment horizontal="center" vertical="top" wrapText="1"/>
    </xf>
    <xf numFmtId="165" fontId="2" fillId="4" borderId="0" xfId="0" applyNumberFormat="1" applyFont="1" applyFill="1" applyBorder="1" applyAlignment="1">
      <alignment vertical="top" wrapText="1"/>
    </xf>
    <xf numFmtId="165" fontId="3" fillId="0" borderId="0" xfId="0" applyNumberFormat="1" applyFont="1" applyFill="1" applyBorder="1" applyAlignment="1">
      <alignment wrapText="1"/>
    </xf>
    <xf numFmtId="165" fontId="3" fillId="0" borderId="0" xfId="0" applyNumberFormat="1" applyFont="1" applyFill="1" applyBorder="1" applyAlignment="1">
      <alignment horizontal="center" vertical="top" wrapText="1"/>
    </xf>
    <xf numFmtId="3" fontId="2" fillId="4" borderId="33" xfId="0" applyNumberFormat="1" applyFont="1" applyFill="1" applyBorder="1" applyAlignment="1">
      <alignment horizontal="center" vertical="center" wrapText="1"/>
    </xf>
    <xf numFmtId="165" fontId="2" fillId="4" borderId="62" xfId="2" applyNumberFormat="1" applyFont="1" applyFill="1" applyBorder="1" applyAlignment="1">
      <alignment horizontal="center" vertical="top"/>
    </xf>
    <xf numFmtId="49" fontId="2" fillId="4" borderId="18" xfId="0" applyNumberFormat="1" applyFont="1" applyFill="1" applyBorder="1" applyAlignment="1">
      <alignment vertical="top" wrapText="1"/>
    </xf>
    <xf numFmtId="49" fontId="2" fillId="4" borderId="35" xfId="0" applyNumberFormat="1" applyFont="1" applyFill="1" applyBorder="1" applyAlignment="1">
      <alignment horizontal="center" vertical="top"/>
    </xf>
    <xf numFmtId="49" fontId="2" fillId="4" borderId="18" xfId="0" applyNumberFormat="1" applyFont="1" applyFill="1" applyBorder="1" applyAlignment="1">
      <alignment horizontal="center" vertical="top"/>
    </xf>
    <xf numFmtId="3" fontId="13" fillId="4" borderId="18" xfId="0" applyNumberFormat="1" applyFont="1" applyFill="1" applyBorder="1" applyAlignment="1">
      <alignment horizontal="center" vertical="top" wrapText="1"/>
    </xf>
    <xf numFmtId="3" fontId="15" fillId="4" borderId="8" xfId="0" applyNumberFormat="1" applyFont="1" applyFill="1" applyBorder="1" applyAlignment="1">
      <alignment horizontal="center" vertical="top" wrapText="1"/>
    </xf>
    <xf numFmtId="3" fontId="2" fillId="4" borderId="16" xfId="0" applyNumberFormat="1" applyFont="1" applyFill="1" applyBorder="1" applyAlignment="1">
      <alignment horizontal="center" vertical="top" wrapText="1"/>
    </xf>
    <xf numFmtId="49" fontId="2" fillId="13" borderId="2" xfId="2" applyNumberFormat="1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vertical="top" wrapText="1"/>
    </xf>
    <xf numFmtId="0" fontId="2" fillId="4" borderId="18" xfId="0" applyFont="1" applyFill="1" applyBorder="1" applyAlignment="1">
      <alignment vertical="top" wrapText="1"/>
    </xf>
    <xf numFmtId="49" fontId="2" fillId="13" borderId="0" xfId="2" applyNumberFormat="1" applyFont="1" applyFill="1" applyBorder="1" applyAlignment="1">
      <alignment horizontal="center" vertical="top" wrapText="1"/>
    </xf>
    <xf numFmtId="3" fontId="2" fillId="4" borderId="53" xfId="0" applyNumberFormat="1" applyFont="1" applyFill="1" applyBorder="1" applyAlignment="1">
      <alignment horizontal="left" vertical="top" wrapText="1"/>
    </xf>
    <xf numFmtId="3" fontId="2" fillId="4" borderId="10" xfId="0" applyNumberFormat="1" applyFont="1" applyFill="1" applyBorder="1" applyAlignment="1">
      <alignment horizontal="center" vertical="top" wrapText="1"/>
    </xf>
    <xf numFmtId="164" fontId="2" fillId="13" borderId="31" xfId="2" applyNumberFormat="1" applyFont="1" applyFill="1" applyBorder="1" applyAlignment="1">
      <alignment horizontal="center" vertical="top" wrapText="1"/>
    </xf>
    <xf numFmtId="164" fontId="2" fillId="13" borderId="53" xfId="2" applyNumberFormat="1" applyFont="1" applyFill="1" applyBorder="1" applyAlignment="1">
      <alignment horizontal="center" vertical="top" wrapText="1"/>
    </xf>
    <xf numFmtId="164" fontId="2" fillId="13" borderId="65" xfId="2" applyNumberFormat="1" applyFont="1" applyFill="1" applyBorder="1" applyAlignment="1">
      <alignment horizontal="center" vertical="top" wrapText="1"/>
    </xf>
    <xf numFmtId="3" fontId="2" fillId="4" borderId="5" xfId="0" applyNumberFormat="1" applyFont="1" applyFill="1" applyBorder="1" applyAlignment="1">
      <alignment vertical="top" wrapText="1"/>
    </xf>
    <xf numFmtId="165" fontId="2" fillId="4" borderId="21" xfId="0" applyNumberFormat="1" applyFont="1" applyFill="1" applyBorder="1" applyAlignment="1">
      <alignment horizontal="center" vertical="top" wrapText="1"/>
    </xf>
    <xf numFmtId="3" fontId="2" fillId="4" borderId="33" xfId="0" applyNumberFormat="1" applyFont="1" applyFill="1" applyBorder="1" applyAlignment="1">
      <alignment horizontal="center" vertical="top" wrapText="1"/>
    </xf>
    <xf numFmtId="3" fontId="2" fillId="4" borderId="61" xfId="0" applyNumberFormat="1" applyFont="1" applyFill="1" applyBorder="1" applyAlignment="1">
      <alignment horizontal="center" vertical="top" wrapText="1"/>
    </xf>
    <xf numFmtId="3" fontId="2" fillId="0" borderId="40" xfId="0" applyNumberFormat="1" applyFont="1" applyBorder="1" applyAlignment="1">
      <alignment horizontal="center" vertical="center" textRotation="90" wrapText="1"/>
    </xf>
    <xf numFmtId="3" fontId="2" fillId="4" borderId="6" xfId="0" applyNumberFormat="1" applyFont="1" applyFill="1" applyBorder="1" applyAlignment="1">
      <alignment horizontal="center" vertical="top" wrapText="1"/>
    </xf>
    <xf numFmtId="3" fontId="2" fillId="4" borderId="8" xfId="0" applyNumberFormat="1" applyFont="1" applyFill="1" applyBorder="1" applyAlignment="1">
      <alignment horizontal="center" vertical="top" wrapText="1"/>
    </xf>
    <xf numFmtId="167" fontId="2" fillId="9" borderId="6" xfId="2" applyNumberFormat="1" applyFont="1" applyFill="1" applyBorder="1" applyAlignment="1">
      <alignment horizontal="left" vertical="top" wrapText="1"/>
    </xf>
    <xf numFmtId="167" fontId="2" fillId="9" borderId="16" xfId="2" applyNumberFormat="1" applyFont="1" applyFill="1" applyBorder="1" applyAlignment="1">
      <alignment horizontal="left" vertical="top" wrapText="1"/>
    </xf>
    <xf numFmtId="167" fontId="2" fillId="9" borderId="51" xfId="2" applyNumberFormat="1" applyFont="1" applyFill="1" applyBorder="1" applyAlignment="1">
      <alignment horizontal="left" vertical="top" wrapText="1"/>
    </xf>
    <xf numFmtId="3" fontId="2" fillId="4" borderId="17" xfId="0" applyNumberFormat="1" applyFont="1" applyFill="1" applyBorder="1" applyAlignment="1">
      <alignment horizontal="left" vertical="top" wrapText="1"/>
    </xf>
    <xf numFmtId="3" fontId="2" fillId="4" borderId="18" xfId="0" applyNumberFormat="1" applyFont="1" applyFill="1" applyBorder="1" applyAlignment="1">
      <alignment horizontal="left" vertical="top" wrapText="1"/>
    </xf>
    <xf numFmtId="3" fontId="13" fillId="4" borderId="28" xfId="0" applyNumberFormat="1" applyFont="1" applyFill="1" applyBorder="1" applyAlignment="1">
      <alignment horizontal="center" vertical="top" wrapText="1"/>
    </xf>
    <xf numFmtId="49" fontId="2" fillId="4" borderId="49" xfId="0" applyNumberFormat="1" applyFont="1" applyFill="1" applyBorder="1" applyAlignment="1">
      <alignment horizontal="center" vertical="top" wrapText="1"/>
    </xf>
    <xf numFmtId="49" fontId="2" fillId="4" borderId="17" xfId="0" applyNumberFormat="1" applyFont="1" applyFill="1" applyBorder="1" applyAlignment="1">
      <alignment horizontal="center" vertical="top" wrapText="1"/>
    </xf>
    <xf numFmtId="49" fontId="2" fillId="4" borderId="35" xfId="0" applyNumberFormat="1" applyFont="1" applyFill="1" applyBorder="1" applyAlignment="1">
      <alignment horizontal="center" vertical="top" wrapText="1"/>
    </xf>
    <xf numFmtId="3" fontId="2" fillId="4" borderId="49" xfId="0" applyNumberFormat="1" applyFont="1" applyFill="1" applyBorder="1" applyAlignment="1">
      <alignment horizontal="left" vertical="top" wrapText="1"/>
    </xf>
    <xf numFmtId="3" fontId="2" fillId="4" borderId="35" xfId="0" applyNumberFormat="1" applyFont="1" applyFill="1" applyBorder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3" fontId="13" fillId="4" borderId="17" xfId="0" applyNumberFormat="1" applyFont="1" applyFill="1" applyBorder="1" applyAlignment="1">
      <alignment horizontal="center" vertical="top" wrapText="1"/>
    </xf>
    <xf numFmtId="3" fontId="13" fillId="4" borderId="35" xfId="0" applyNumberFormat="1" applyFont="1" applyFill="1" applyBorder="1" applyAlignment="1">
      <alignment horizontal="center" vertical="top" wrapText="1"/>
    </xf>
    <xf numFmtId="3" fontId="2" fillId="4" borderId="50" xfId="0" applyNumberFormat="1" applyFont="1" applyFill="1" applyBorder="1" applyAlignment="1">
      <alignment horizontal="left" vertical="top" wrapText="1"/>
    </xf>
    <xf numFmtId="3" fontId="2" fillId="4" borderId="46" xfId="0" applyNumberFormat="1" applyFont="1" applyFill="1" applyBorder="1" applyAlignment="1">
      <alignment horizontal="left" vertical="top" wrapText="1"/>
    </xf>
    <xf numFmtId="3" fontId="2" fillId="4" borderId="27" xfId="0" applyNumberFormat="1" applyFont="1" applyFill="1" applyBorder="1" applyAlignment="1">
      <alignment horizontal="center" vertical="top" wrapText="1"/>
    </xf>
    <xf numFmtId="3" fontId="2" fillId="4" borderId="20" xfId="0" applyNumberFormat="1" applyFont="1" applyFill="1" applyBorder="1" applyAlignment="1">
      <alignment horizontal="center" vertical="top" wrapText="1"/>
    </xf>
    <xf numFmtId="3" fontId="2" fillId="4" borderId="51" xfId="0" applyNumberFormat="1" applyFont="1" applyFill="1" applyBorder="1" applyAlignment="1">
      <alignment horizontal="left" vertical="top" wrapText="1"/>
    </xf>
    <xf numFmtId="3" fontId="2" fillId="4" borderId="16" xfId="0" applyNumberFormat="1" applyFont="1" applyFill="1" applyBorder="1" applyAlignment="1">
      <alignment horizontal="left" vertical="top" wrapText="1"/>
    </xf>
    <xf numFmtId="49" fontId="3" fillId="8" borderId="16" xfId="0" applyNumberFormat="1" applyFont="1" applyFill="1" applyBorder="1" applyAlignment="1">
      <alignment horizontal="center" vertical="top"/>
    </xf>
    <xf numFmtId="49" fontId="3" fillId="8" borderId="46" xfId="0" applyNumberFormat="1" applyFont="1" applyFill="1" applyBorder="1" applyAlignment="1">
      <alignment horizontal="center" vertical="top"/>
    </xf>
    <xf numFmtId="3" fontId="13" fillId="4" borderId="29" xfId="0" applyNumberFormat="1" applyFont="1" applyFill="1" applyBorder="1" applyAlignment="1">
      <alignment horizontal="center" vertical="top" wrapText="1"/>
    </xf>
    <xf numFmtId="3" fontId="13" fillId="4" borderId="43" xfId="0" applyNumberFormat="1" applyFont="1" applyFill="1" applyBorder="1" applyAlignment="1">
      <alignment horizontal="center" vertical="top" wrapText="1"/>
    </xf>
    <xf numFmtId="3" fontId="2" fillId="4" borderId="15" xfId="0" applyNumberFormat="1" applyFont="1" applyFill="1" applyBorder="1" applyAlignment="1">
      <alignment horizontal="left" vertical="top" wrapText="1"/>
    </xf>
    <xf numFmtId="3" fontId="3" fillId="5" borderId="30" xfId="0" applyNumberFormat="1" applyFont="1" applyFill="1" applyBorder="1" applyAlignment="1">
      <alignment horizontal="right" vertical="top" wrapText="1"/>
    </xf>
    <xf numFmtId="3" fontId="2" fillId="4" borderId="49" xfId="0" applyNumberFormat="1" applyFont="1" applyFill="1" applyBorder="1" applyAlignment="1">
      <alignment vertical="top" wrapText="1"/>
    </xf>
    <xf numFmtId="3" fontId="2" fillId="4" borderId="35" xfId="0" applyNumberFormat="1" applyFont="1" applyFill="1" applyBorder="1" applyAlignment="1">
      <alignment vertical="top" wrapText="1"/>
    </xf>
    <xf numFmtId="49" fontId="2" fillId="3" borderId="49" xfId="0" applyNumberFormat="1" applyFont="1" applyFill="1" applyBorder="1" applyAlignment="1">
      <alignment horizontal="center" vertical="top"/>
    </xf>
    <xf numFmtId="3" fontId="13" fillId="4" borderId="49" xfId="0" applyNumberFormat="1" applyFont="1" applyFill="1" applyBorder="1" applyAlignment="1">
      <alignment horizontal="center" vertical="top" wrapText="1"/>
    </xf>
    <xf numFmtId="49" fontId="2" fillId="4" borderId="6" xfId="2" applyNumberFormat="1" applyFont="1" applyFill="1" applyBorder="1" applyAlignment="1">
      <alignment horizontal="center" vertical="top"/>
    </xf>
    <xf numFmtId="49" fontId="2" fillId="4" borderId="5" xfId="2" applyNumberFormat="1" applyFont="1" applyFill="1" applyBorder="1" applyAlignment="1">
      <alignment horizontal="center" vertical="top"/>
    </xf>
    <xf numFmtId="3" fontId="2" fillId="4" borderId="50" xfId="0" applyNumberFormat="1" applyFont="1" applyFill="1" applyBorder="1" applyAlignment="1">
      <alignment horizontal="center" vertical="top" wrapText="1"/>
    </xf>
    <xf numFmtId="3" fontId="2" fillId="4" borderId="51" xfId="0" applyNumberFormat="1" applyFont="1" applyFill="1" applyBorder="1" applyAlignment="1">
      <alignment horizontal="center" vertical="top" wrapText="1"/>
    </xf>
    <xf numFmtId="167" fontId="2" fillId="9" borderId="8" xfId="2" applyNumberFormat="1" applyFont="1" applyFill="1" applyBorder="1" applyAlignment="1">
      <alignment horizontal="left" vertical="top" wrapText="1"/>
    </xf>
    <xf numFmtId="3" fontId="2" fillId="4" borderId="40" xfId="0" applyNumberFormat="1" applyFont="1" applyFill="1" applyBorder="1" applyAlignment="1">
      <alignment horizontal="left" vertical="top" wrapText="1"/>
    </xf>
    <xf numFmtId="49" fontId="3" fillId="4" borderId="51" xfId="2" applyNumberFormat="1" applyFont="1" applyFill="1" applyBorder="1" applyAlignment="1">
      <alignment horizontal="center" vertical="top"/>
    </xf>
    <xf numFmtId="167" fontId="2" fillId="9" borderId="6" xfId="2" applyNumberFormat="1" applyFont="1" applyFill="1" applyBorder="1" applyAlignment="1">
      <alignment horizontal="center" vertical="top" wrapText="1"/>
    </xf>
    <xf numFmtId="167" fontId="2" fillId="9" borderId="5" xfId="2" applyNumberFormat="1" applyFont="1" applyFill="1" applyBorder="1" applyAlignment="1">
      <alignment horizontal="center" vertical="top" wrapText="1"/>
    </xf>
    <xf numFmtId="3" fontId="2" fillId="4" borderId="0" xfId="0" applyNumberFormat="1" applyFont="1" applyFill="1" applyBorder="1" applyAlignment="1">
      <alignment horizontal="center" vertical="top" wrapText="1"/>
    </xf>
    <xf numFmtId="164" fontId="2" fillId="4" borderId="6" xfId="0" applyNumberFormat="1" applyFont="1" applyFill="1" applyBorder="1" applyAlignment="1">
      <alignment horizontal="center" vertical="top" wrapText="1"/>
    </xf>
    <xf numFmtId="164" fontId="2" fillId="4" borderId="5" xfId="0" applyNumberFormat="1" applyFont="1" applyFill="1" applyBorder="1" applyAlignment="1">
      <alignment horizontal="center" vertical="top" wrapText="1"/>
    </xf>
    <xf numFmtId="3" fontId="2" fillId="4" borderId="5" xfId="0" applyNumberFormat="1" applyFont="1" applyFill="1" applyBorder="1" applyAlignment="1">
      <alignment horizontal="center" vertical="top" wrapText="1"/>
    </xf>
    <xf numFmtId="3" fontId="3" fillId="4" borderId="17" xfId="0" applyNumberFormat="1" applyFont="1" applyFill="1" applyBorder="1" applyAlignment="1">
      <alignment horizontal="left" vertical="top" wrapText="1"/>
    </xf>
    <xf numFmtId="3" fontId="3" fillId="4" borderId="35" xfId="0" applyNumberFormat="1" applyFont="1" applyFill="1" applyBorder="1" applyAlignment="1">
      <alignment horizontal="left" vertical="top" wrapText="1"/>
    </xf>
    <xf numFmtId="49" fontId="2" fillId="3" borderId="17" xfId="0" applyNumberFormat="1" applyFont="1" applyFill="1" applyBorder="1" applyAlignment="1">
      <alignment horizontal="center" vertical="top" wrapText="1"/>
    </xf>
    <xf numFmtId="49" fontId="2" fillId="3" borderId="35" xfId="0" applyNumberFormat="1" applyFont="1" applyFill="1" applyBorder="1" applyAlignment="1">
      <alignment horizontal="center" vertical="top" wrapText="1"/>
    </xf>
    <xf numFmtId="164" fontId="2" fillId="4" borderId="15" xfId="0" applyNumberFormat="1" applyFont="1" applyFill="1" applyBorder="1" applyAlignment="1">
      <alignment horizontal="center" vertical="top" wrapText="1"/>
    </xf>
    <xf numFmtId="164" fontId="2" fillId="4" borderId="16" xfId="0" applyNumberFormat="1" applyFont="1" applyFill="1" applyBorder="1" applyAlignment="1">
      <alignment horizontal="center" vertical="top" wrapText="1"/>
    </xf>
    <xf numFmtId="164" fontId="2" fillId="4" borderId="51" xfId="0" applyNumberFormat="1" applyFont="1" applyFill="1" applyBorder="1" applyAlignment="1">
      <alignment horizontal="center" vertical="top" wrapText="1"/>
    </xf>
    <xf numFmtId="164" fontId="2" fillId="4" borderId="62" xfId="0" applyNumberFormat="1" applyFont="1" applyFill="1" applyBorder="1" applyAlignment="1">
      <alignment horizontal="center" vertical="top" wrapText="1"/>
    </xf>
    <xf numFmtId="164" fontId="2" fillId="4" borderId="65" xfId="0" applyNumberFormat="1" applyFont="1" applyFill="1" applyBorder="1" applyAlignment="1">
      <alignment horizontal="center" vertical="top" wrapText="1"/>
    </xf>
    <xf numFmtId="49" fontId="3" fillId="8" borderId="15" xfId="0" applyNumberFormat="1" applyFont="1" applyFill="1" applyBorder="1" applyAlignment="1">
      <alignment horizontal="center" vertical="top"/>
    </xf>
    <xf numFmtId="3" fontId="6" fillId="0" borderId="0" xfId="0" applyNumberFormat="1" applyFont="1" applyAlignment="1">
      <alignment horizontal="left" vertical="top" wrapText="1"/>
    </xf>
    <xf numFmtId="3" fontId="2" fillId="4" borderId="34" xfId="0" applyNumberFormat="1" applyFont="1" applyFill="1" applyBorder="1" applyAlignment="1">
      <alignment horizontal="center" vertical="top" wrapText="1"/>
    </xf>
    <xf numFmtId="3" fontId="2" fillId="0" borderId="59" xfId="0" applyNumberFormat="1" applyFont="1" applyBorder="1" applyAlignment="1">
      <alignment horizontal="center" vertical="top" wrapText="1"/>
    </xf>
    <xf numFmtId="3" fontId="3" fillId="4" borderId="13" xfId="0" applyNumberFormat="1" applyFont="1" applyFill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vertical="top"/>
    </xf>
    <xf numFmtId="49" fontId="3" fillId="2" borderId="18" xfId="0" applyNumberFormat="1" applyFont="1" applyFill="1" applyBorder="1" applyAlignment="1">
      <alignment horizontal="center" vertical="top"/>
    </xf>
    <xf numFmtId="165" fontId="2" fillId="0" borderId="0" xfId="0" applyNumberFormat="1" applyFont="1" applyBorder="1" applyAlignment="1">
      <alignment horizontal="center" vertical="center" textRotation="90" wrapText="1"/>
    </xf>
    <xf numFmtId="3" fontId="3" fillId="6" borderId="22" xfId="0" applyNumberFormat="1" applyFont="1" applyFill="1" applyBorder="1" applyAlignment="1">
      <alignment horizontal="left" vertical="top" wrapText="1"/>
    </xf>
    <xf numFmtId="3" fontId="4" fillId="7" borderId="67" xfId="0" applyNumberFormat="1" applyFont="1" applyFill="1" applyBorder="1" applyAlignment="1">
      <alignment horizontal="left" vertical="top" wrapText="1"/>
    </xf>
    <xf numFmtId="3" fontId="15" fillId="4" borderId="5" xfId="0" applyNumberFormat="1" applyFont="1" applyFill="1" applyBorder="1" applyAlignment="1">
      <alignment horizontal="center" vertical="top" wrapText="1"/>
    </xf>
    <xf numFmtId="3" fontId="18" fillId="4" borderId="2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Fill="1" applyBorder="1" applyAlignment="1">
      <alignment horizontal="center" vertical="top" wrapText="1"/>
    </xf>
    <xf numFmtId="3" fontId="15" fillId="4" borderId="9" xfId="0" applyNumberFormat="1" applyFont="1" applyFill="1" applyBorder="1" applyAlignment="1">
      <alignment horizontal="center" vertical="top" wrapText="1"/>
    </xf>
    <xf numFmtId="3" fontId="15" fillId="4" borderId="40" xfId="0" applyNumberFormat="1" applyFont="1" applyFill="1" applyBorder="1" applyAlignment="1">
      <alignment horizontal="center" vertical="top" wrapText="1"/>
    </xf>
    <xf numFmtId="3" fontId="19" fillId="2" borderId="58" xfId="0" applyNumberFormat="1" applyFont="1" applyFill="1" applyBorder="1" applyAlignment="1">
      <alignment vertical="top" wrapText="1"/>
    </xf>
    <xf numFmtId="3" fontId="19" fillId="8" borderId="58" xfId="0" applyNumberFormat="1" applyFont="1" applyFill="1" applyBorder="1" applyAlignment="1">
      <alignment vertical="top" wrapText="1"/>
    </xf>
    <xf numFmtId="3" fontId="15" fillId="8" borderId="58" xfId="0" applyNumberFormat="1" applyFont="1" applyFill="1" applyBorder="1" applyAlignment="1">
      <alignment horizontal="center" vertical="top" wrapText="1"/>
    </xf>
    <xf numFmtId="3" fontId="19" fillId="10" borderId="58" xfId="0" applyNumberFormat="1" applyFont="1" applyFill="1" applyBorder="1" applyAlignment="1">
      <alignment horizontal="left" vertical="top" wrapText="1"/>
    </xf>
    <xf numFmtId="167" fontId="15" fillId="9" borderId="8" xfId="2" applyNumberFormat="1" applyFont="1" applyFill="1" applyBorder="1" applyAlignment="1">
      <alignment horizontal="center" vertical="top" wrapText="1"/>
    </xf>
    <xf numFmtId="168" fontId="15" fillId="9" borderId="8" xfId="2" applyNumberFormat="1" applyFont="1" applyFill="1" applyBorder="1" applyAlignment="1">
      <alignment horizontal="center" vertical="top" wrapText="1"/>
    </xf>
    <xf numFmtId="167" fontId="15" fillId="9" borderId="5" xfId="2" applyNumberFormat="1" applyFont="1" applyFill="1" applyBorder="1" applyAlignment="1">
      <alignment horizontal="center" vertical="top" wrapText="1"/>
    </xf>
    <xf numFmtId="167" fontId="15" fillId="11" borderId="6" xfId="2" applyNumberFormat="1" applyFont="1" applyFill="1" applyBorder="1" applyAlignment="1">
      <alignment horizontal="center" vertical="top" wrapText="1"/>
    </xf>
    <xf numFmtId="167" fontId="15" fillId="9" borderId="40" xfId="2" applyNumberFormat="1" applyFont="1" applyFill="1" applyBorder="1" applyAlignment="1">
      <alignment horizontal="center" vertical="top" wrapText="1"/>
    </xf>
    <xf numFmtId="3" fontId="2" fillId="4" borderId="72" xfId="0" applyNumberFormat="1" applyFont="1" applyFill="1" applyBorder="1" applyAlignment="1">
      <alignment horizontal="center" vertical="top" wrapText="1"/>
    </xf>
    <xf numFmtId="167" fontId="15" fillId="16" borderId="22" xfId="2" applyNumberFormat="1" applyFont="1" applyFill="1" applyBorder="1" applyAlignment="1">
      <alignment horizontal="center" vertical="top" wrapText="1"/>
    </xf>
    <xf numFmtId="167" fontId="15" fillId="16" borderId="58" xfId="2" applyNumberFormat="1" applyFont="1" applyFill="1" applyBorder="1" applyAlignment="1">
      <alignment vertical="top" wrapText="1"/>
    </xf>
    <xf numFmtId="3" fontId="15" fillId="4" borderId="9" xfId="0" applyNumberFormat="1" applyFont="1" applyFill="1" applyBorder="1" applyAlignment="1">
      <alignment horizontal="left" vertical="top" wrapText="1"/>
    </xf>
    <xf numFmtId="3" fontId="15" fillId="10" borderId="57" xfId="0" applyNumberFormat="1" applyFont="1" applyFill="1" applyBorder="1" applyAlignment="1">
      <alignment horizontal="center" vertical="top" wrapText="1"/>
    </xf>
    <xf numFmtId="3" fontId="15" fillId="10" borderId="7" xfId="0" applyNumberFormat="1" applyFont="1" applyFill="1" applyBorder="1" applyAlignment="1">
      <alignment horizontal="center" vertical="top" wrapText="1"/>
    </xf>
    <xf numFmtId="3" fontId="15" fillId="4" borderId="10" xfId="0" applyNumberFormat="1" applyFont="1" applyFill="1" applyBorder="1" applyAlignment="1">
      <alignment horizontal="center" vertical="top" wrapText="1"/>
    </xf>
    <xf numFmtId="3" fontId="15" fillId="4" borderId="5" xfId="0" applyNumberFormat="1" applyFont="1" applyFill="1" applyBorder="1" applyAlignment="1">
      <alignment horizontal="center" vertical="top"/>
    </xf>
    <xf numFmtId="3" fontId="19" fillId="4" borderId="5" xfId="0" applyNumberFormat="1" applyFont="1" applyFill="1" applyBorder="1" applyAlignment="1">
      <alignment horizontal="center" vertical="top" wrapText="1"/>
    </xf>
    <xf numFmtId="0" fontId="2" fillId="4" borderId="40" xfId="0" applyFont="1" applyFill="1" applyBorder="1" applyAlignment="1">
      <alignment horizontal="center" vertical="top" wrapText="1"/>
    </xf>
    <xf numFmtId="0" fontId="2" fillId="10" borderId="58" xfId="0" applyFont="1" applyFill="1" applyBorder="1" applyAlignment="1">
      <alignment horizontal="center" vertical="top" wrapText="1"/>
    </xf>
    <xf numFmtId="0" fontId="2" fillId="8" borderId="58" xfId="0" applyFont="1" applyFill="1" applyBorder="1" applyAlignment="1">
      <alignment horizontal="center" vertical="top" wrapText="1"/>
    </xf>
    <xf numFmtId="0" fontId="2" fillId="7" borderId="57" xfId="0" applyFont="1" applyFill="1" applyBorder="1" applyAlignment="1">
      <alignment horizontal="center" vertical="top" wrapText="1"/>
    </xf>
    <xf numFmtId="3" fontId="3" fillId="4" borderId="43" xfId="0" applyNumberFormat="1" applyFont="1" applyFill="1" applyBorder="1" applyAlignment="1">
      <alignment vertical="top" wrapText="1"/>
    </xf>
    <xf numFmtId="3" fontId="2" fillId="0" borderId="10" xfId="0" applyNumberFormat="1" applyFont="1" applyFill="1" applyBorder="1" applyAlignment="1">
      <alignment horizontal="center" vertical="top" wrapText="1"/>
    </xf>
    <xf numFmtId="164" fontId="2" fillId="4" borderId="8" xfId="0" applyNumberFormat="1" applyFont="1" applyFill="1" applyBorder="1" applyAlignment="1">
      <alignment horizontal="center" vertical="top" wrapText="1"/>
    </xf>
    <xf numFmtId="165" fontId="2" fillId="4" borderId="6" xfId="2" applyNumberFormat="1" applyFont="1" applyFill="1" applyBorder="1" applyAlignment="1">
      <alignment horizontal="center" vertical="top"/>
    </xf>
    <xf numFmtId="164" fontId="2" fillId="12" borderId="50" xfId="2" applyNumberFormat="1" applyFont="1" applyFill="1" applyBorder="1" applyAlignment="1">
      <alignment horizontal="center" vertical="top"/>
    </xf>
    <xf numFmtId="164" fontId="3" fillId="4" borderId="5" xfId="2" applyNumberFormat="1" applyFont="1" applyFill="1" applyBorder="1" applyAlignment="1">
      <alignment horizontal="right" vertical="top"/>
    </xf>
    <xf numFmtId="167" fontId="15" fillId="11" borderId="5" xfId="2" applyNumberFormat="1" applyFont="1" applyFill="1" applyBorder="1" applyAlignment="1">
      <alignment horizontal="center" vertical="top" wrapText="1"/>
    </xf>
    <xf numFmtId="3" fontId="2" fillId="0" borderId="6" xfId="0" applyNumberFormat="1" applyFont="1" applyBorder="1" applyAlignment="1">
      <alignment horizontal="center" vertical="top" wrapText="1"/>
    </xf>
    <xf numFmtId="167" fontId="2" fillId="9" borderId="40" xfId="2" applyNumberFormat="1" applyFont="1" applyFill="1" applyBorder="1" applyAlignment="1">
      <alignment vertical="top" wrapText="1"/>
    </xf>
    <xf numFmtId="167" fontId="18" fillId="9" borderId="5" xfId="2" applyNumberFormat="1" applyFont="1" applyFill="1" applyBorder="1" applyAlignment="1">
      <alignment horizontal="center" vertical="top" wrapText="1"/>
    </xf>
    <xf numFmtId="3" fontId="15" fillId="0" borderId="10" xfId="0" applyNumberFormat="1" applyFont="1" applyBorder="1" applyAlignment="1">
      <alignment vertical="top"/>
    </xf>
    <xf numFmtId="3" fontId="2" fillId="0" borderId="47" xfId="0" applyNumberFormat="1" applyFont="1" applyBorder="1" applyAlignment="1">
      <alignment horizontal="center" vertical="top"/>
    </xf>
    <xf numFmtId="3" fontId="2" fillId="0" borderId="10" xfId="0" applyNumberFormat="1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/>
    </xf>
    <xf numFmtId="164" fontId="2" fillId="4" borderId="2" xfId="0" applyNumberFormat="1" applyFont="1" applyFill="1" applyBorder="1" applyAlignment="1">
      <alignment horizontal="center" vertical="top"/>
    </xf>
    <xf numFmtId="164" fontId="2" fillId="4" borderId="8" xfId="0" applyNumberFormat="1" applyFont="1" applyFill="1" applyBorder="1" applyAlignment="1">
      <alignment horizontal="center" vertical="top"/>
    </xf>
    <xf numFmtId="164" fontId="3" fillId="5" borderId="6" xfId="0" applyNumberFormat="1" applyFont="1" applyFill="1" applyBorder="1" applyAlignment="1">
      <alignment horizontal="center" vertical="top" wrapText="1"/>
    </xf>
    <xf numFmtId="3" fontId="2" fillId="0" borderId="5" xfId="0" applyNumberFormat="1" applyFont="1" applyBorder="1" applyAlignment="1">
      <alignment vertical="top"/>
    </xf>
    <xf numFmtId="164" fontId="2" fillId="0" borderId="8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vertical="top"/>
    </xf>
    <xf numFmtId="164" fontId="3" fillId="5" borderId="45" xfId="0" applyNumberFormat="1" applyFont="1" applyFill="1" applyBorder="1" applyAlignment="1">
      <alignment horizontal="center" vertical="top"/>
    </xf>
    <xf numFmtId="164" fontId="3" fillId="2" borderId="40" xfId="0" applyNumberFormat="1" applyFont="1" applyFill="1" applyBorder="1" applyAlignment="1">
      <alignment horizontal="center" vertical="top" wrapText="1"/>
    </xf>
    <xf numFmtId="0" fontId="2" fillId="4" borderId="51" xfId="0" applyFont="1" applyFill="1" applyBorder="1" applyAlignment="1">
      <alignment vertical="top" wrapText="1"/>
    </xf>
    <xf numFmtId="3" fontId="3" fillId="0" borderId="10" xfId="0" applyNumberFormat="1" applyFont="1" applyBorder="1" applyAlignment="1">
      <alignment horizontal="center" vertical="center" wrapText="1"/>
    </xf>
    <xf numFmtId="165" fontId="3" fillId="7" borderId="9" xfId="0" applyNumberFormat="1" applyFont="1" applyFill="1" applyBorder="1" applyAlignment="1">
      <alignment horizontal="center" vertical="top" wrapText="1"/>
    </xf>
    <xf numFmtId="165" fontId="3" fillId="5" borderId="5" xfId="0" applyNumberFormat="1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top" wrapText="1"/>
    </xf>
    <xf numFmtId="164" fontId="2" fillId="5" borderId="2" xfId="0" applyNumberFormat="1" applyFont="1" applyFill="1" applyBorder="1" applyAlignment="1">
      <alignment horizontal="center" vertical="top" wrapText="1"/>
    </xf>
    <xf numFmtId="164" fontId="3" fillId="7" borderId="2" xfId="0" applyNumberFormat="1" applyFont="1" applyFill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3" fontId="2" fillId="0" borderId="32" xfId="0" applyNumberFormat="1" applyFont="1" applyFill="1" applyBorder="1" applyAlignment="1">
      <alignment vertical="top" wrapText="1"/>
    </xf>
    <xf numFmtId="0" fontId="2" fillId="14" borderId="5" xfId="0" applyFont="1" applyFill="1" applyBorder="1" applyAlignment="1">
      <alignment horizontal="center" vertical="top" wrapText="1"/>
    </xf>
    <xf numFmtId="3" fontId="2" fillId="4" borderId="32" xfId="0" applyNumberFormat="1" applyFont="1" applyFill="1" applyBorder="1" applyAlignment="1">
      <alignment vertical="top" wrapText="1"/>
    </xf>
    <xf numFmtId="3" fontId="6" fillId="0" borderId="0" xfId="0" applyNumberFormat="1" applyFont="1" applyAlignment="1">
      <alignment vertical="top" wrapText="1"/>
    </xf>
    <xf numFmtId="3" fontId="13" fillId="4" borderId="28" xfId="0" applyNumberFormat="1" applyFont="1" applyFill="1" applyBorder="1" applyAlignment="1">
      <alignment horizontal="center" vertical="top" wrapText="1"/>
    </xf>
    <xf numFmtId="3" fontId="2" fillId="4" borderId="50" xfId="0" applyNumberFormat="1" applyFont="1" applyFill="1" applyBorder="1" applyAlignment="1">
      <alignment horizontal="left" vertical="top" wrapText="1"/>
    </xf>
    <xf numFmtId="3" fontId="13" fillId="4" borderId="29" xfId="0" applyNumberFormat="1" applyFont="1" applyFill="1" applyBorder="1" applyAlignment="1">
      <alignment horizontal="center" vertical="top" wrapText="1"/>
    </xf>
    <xf numFmtId="3" fontId="2" fillId="4" borderId="51" xfId="0" applyNumberFormat="1" applyFont="1" applyFill="1" applyBorder="1" applyAlignment="1">
      <alignment horizontal="left" vertical="top" wrapText="1"/>
    </xf>
    <xf numFmtId="3" fontId="13" fillId="4" borderId="35" xfId="0" applyNumberFormat="1" applyFont="1" applyFill="1" applyBorder="1" applyAlignment="1">
      <alignment horizontal="center" vertical="top" wrapText="1"/>
    </xf>
    <xf numFmtId="3" fontId="13" fillId="4" borderId="28" xfId="0" applyNumberFormat="1" applyFont="1" applyFill="1" applyBorder="1" applyAlignment="1">
      <alignment horizontal="center" vertical="top" wrapText="1"/>
    </xf>
    <xf numFmtId="3" fontId="2" fillId="4" borderId="51" xfId="0" applyNumberFormat="1" applyFont="1" applyFill="1" applyBorder="1" applyAlignment="1">
      <alignment horizontal="center" vertical="top" wrapText="1"/>
    </xf>
    <xf numFmtId="3" fontId="2" fillId="4" borderId="6" xfId="0" applyNumberFormat="1" applyFont="1" applyFill="1" applyBorder="1" applyAlignment="1">
      <alignment horizontal="center" vertical="top" wrapText="1"/>
    </xf>
    <xf numFmtId="3" fontId="2" fillId="4" borderId="5" xfId="0" applyNumberFormat="1" applyFont="1" applyFill="1" applyBorder="1" applyAlignment="1">
      <alignment horizontal="center" vertical="top" wrapText="1"/>
    </xf>
    <xf numFmtId="3" fontId="13" fillId="4" borderId="49" xfId="0" applyNumberFormat="1" applyFont="1" applyFill="1" applyBorder="1" applyAlignment="1">
      <alignment horizontal="center" vertical="top" wrapText="1"/>
    </xf>
    <xf numFmtId="3" fontId="2" fillId="4" borderId="6" xfId="0" applyNumberFormat="1" applyFont="1" applyFill="1" applyBorder="1" applyAlignment="1">
      <alignment horizontal="left" vertical="top" wrapText="1"/>
    </xf>
    <xf numFmtId="164" fontId="16" fillId="4" borderId="17" xfId="0" applyNumberFormat="1" applyFont="1" applyFill="1" applyBorder="1" applyAlignment="1">
      <alignment horizontal="center" vertical="top" wrapText="1"/>
    </xf>
    <xf numFmtId="167" fontId="18" fillId="9" borderId="6" xfId="2" applyNumberFormat="1" applyFont="1" applyFill="1" applyBorder="1" applyAlignment="1">
      <alignment horizontal="center" vertical="top" wrapText="1"/>
    </xf>
    <xf numFmtId="3" fontId="2" fillId="0" borderId="35" xfId="0" applyNumberFormat="1" applyFont="1" applyBorder="1" applyAlignment="1">
      <alignment vertical="top"/>
    </xf>
    <xf numFmtId="49" fontId="2" fillId="4" borderId="74" xfId="2" applyNumberFormat="1" applyFont="1" applyFill="1" applyBorder="1" applyAlignment="1">
      <alignment horizontal="center" vertical="top"/>
    </xf>
    <xf numFmtId="49" fontId="2" fillId="4" borderId="75" xfId="2" applyNumberFormat="1" applyFont="1" applyFill="1" applyBorder="1" applyAlignment="1">
      <alignment horizontal="center" vertical="top"/>
    </xf>
    <xf numFmtId="165" fontId="2" fillId="4" borderId="34" xfId="2" applyNumberFormat="1" applyFont="1" applyFill="1" applyBorder="1" applyAlignment="1">
      <alignment horizontal="center" vertical="top"/>
    </xf>
    <xf numFmtId="165" fontId="2" fillId="4" borderId="76" xfId="2" applyNumberFormat="1" applyFont="1" applyFill="1" applyBorder="1" applyAlignment="1">
      <alignment horizontal="center" vertical="top"/>
    </xf>
    <xf numFmtId="165" fontId="2" fillId="4" borderId="74" xfId="2" applyNumberFormat="1" applyFont="1" applyFill="1" applyBorder="1" applyAlignment="1">
      <alignment horizontal="center" vertical="top"/>
    </xf>
    <xf numFmtId="3" fontId="13" fillId="4" borderId="35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left" vertical="top" wrapText="1"/>
    </xf>
    <xf numFmtId="3" fontId="13" fillId="4" borderId="29" xfId="0" applyNumberFormat="1" applyFont="1" applyFill="1" applyBorder="1" applyAlignment="1">
      <alignment horizontal="center" vertical="top" wrapText="1"/>
    </xf>
    <xf numFmtId="3" fontId="13" fillId="4" borderId="28" xfId="0" applyNumberFormat="1" applyFont="1" applyFill="1" applyBorder="1" applyAlignment="1">
      <alignment horizontal="center" vertical="top" wrapText="1"/>
    </xf>
    <xf numFmtId="167" fontId="2" fillId="9" borderId="16" xfId="2" applyNumberFormat="1" applyFont="1" applyFill="1" applyBorder="1" applyAlignment="1">
      <alignment horizontal="left" vertical="top" wrapText="1"/>
    </xf>
    <xf numFmtId="49" fontId="2" fillId="4" borderId="49" xfId="0" applyNumberFormat="1" applyFont="1" applyFill="1" applyBorder="1" applyAlignment="1">
      <alignment horizontal="center" vertical="top" wrapText="1"/>
    </xf>
    <xf numFmtId="49" fontId="2" fillId="4" borderId="35" xfId="0" applyNumberFormat="1" applyFont="1" applyFill="1" applyBorder="1" applyAlignment="1">
      <alignment horizontal="center" vertical="top" wrapText="1"/>
    </xf>
    <xf numFmtId="3" fontId="2" fillId="4" borderId="6" xfId="0" applyNumberFormat="1" applyFont="1" applyFill="1" applyBorder="1" applyAlignment="1">
      <alignment horizontal="center" vertical="top" wrapText="1"/>
    </xf>
    <xf numFmtId="3" fontId="13" fillId="4" borderId="49" xfId="0" applyNumberFormat="1" applyFont="1" applyFill="1" applyBorder="1" applyAlignment="1">
      <alignment horizontal="center" vertical="top" wrapText="1"/>
    </xf>
    <xf numFmtId="167" fontId="2" fillId="9" borderId="5" xfId="2" applyNumberFormat="1" applyFont="1" applyFill="1" applyBorder="1" applyAlignment="1">
      <alignment horizontal="left" vertical="top" wrapText="1"/>
    </xf>
    <xf numFmtId="49" fontId="2" fillId="4" borderId="17" xfId="0" applyNumberFormat="1" applyFont="1" applyFill="1" applyBorder="1" applyAlignment="1">
      <alignment horizontal="center" vertical="top" wrapText="1"/>
    </xf>
    <xf numFmtId="49" fontId="3" fillId="4" borderId="5" xfId="2" applyNumberFormat="1" applyFont="1" applyFill="1" applyBorder="1" applyAlignment="1">
      <alignment horizontal="center" vertical="top"/>
    </xf>
    <xf numFmtId="3" fontId="2" fillId="4" borderId="33" xfId="0" applyNumberFormat="1" applyFont="1" applyFill="1" applyBorder="1" applyAlignment="1">
      <alignment horizontal="center" vertical="top" wrapText="1"/>
    </xf>
    <xf numFmtId="3" fontId="2" fillId="4" borderId="27" xfId="0" applyNumberFormat="1" applyFont="1" applyFill="1" applyBorder="1" applyAlignment="1">
      <alignment horizontal="center" vertical="top" wrapText="1"/>
    </xf>
    <xf numFmtId="3" fontId="2" fillId="4" borderId="17" xfId="0" applyNumberFormat="1" applyFont="1" applyFill="1" applyBorder="1" applyAlignment="1">
      <alignment horizontal="left" vertical="top" wrapText="1"/>
    </xf>
    <xf numFmtId="3" fontId="2" fillId="4" borderId="0" xfId="0" applyNumberFormat="1" applyFont="1" applyFill="1" applyBorder="1" applyAlignment="1">
      <alignment horizontal="left" vertical="top" wrapText="1"/>
    </xf>
    <xf numFmtId="3" fontId="13" fillId="4" borderId="35" xfId="0" applyNumberFormat="1" applyFont="1" applyFill="1" applyBorder="1" applyAlignment="1">
      <alignment horizontal="center" vertical="top" wrapText="1"/>
    </xf>
    <xf numFmtId="3" fontId="13" fillId="4" borderId="28" xfId="0" applyNumberFormat="1" applyFont="1" applyFill="1" applyBorder="1" applyAlignment="1">
      <alignment horizontal="center" vertical="top" wrapText="1"/>
    </xf>
    <xf numFmtId="3" fontId="2" fillId="4" borderId="0" xfId="0" applyNumberFormat="1" applyFont="1" applyFill="1" applyBorder="1" applyAlignment="1">
      <alignment horizontal="center" vertical="top" wrapText="1"/>
    </xf>
    <xf numFmtId="167" fontId="2" fillId="9" borderId="16" xfId="2" applyNumberFormat="1" applyFont="1" applyFill="1" applyBorder="1" applyAlignment="1">
      <alignment horizontal="left" vertical="top" wrapText="1"/>
    </xf>
    <xf numFmtId="49" fontId="2" fillId="4" borderId="5" xfId="2" applyNumberFormat="1" applyFont="1" applyFill="1" applyBorder="1" applyAlignment="1">
      <alignment horizontal="center" vertical="top"/>
    </xf>
    <xf numFmtId="49" fontId="2" fillId="4" borderId="35" xfId="0" applyNumberFormat="1" applyFont="1" applyFill="1" applyBorder="1" applyAlignment="1">
      <alignment horizontal="center" vertical="top" wrapText="1"/>
    </xf>
    <xf numFmtId="3" fontId="2" fillId="4" borderId="6" xfId="0" applyNumberFormat="1" applyFont="1" applyFill="1" applyBorder="1" applyAlignment="1">
      <alignment horizontal="center" vertical="top" wrapText="1"/>
    </xf>
    <xf numFmtId="3" fontId="2" fillId="4" borderId="5" xfId="0" applyNumberFormat="1" applyFont="1" applyFill="1" applyBorder="1" applyAlignment="1">
      <alignment horizontal="center" vertical="top" wrapText="1"/>
    </xf>
    <xf numFmtId="49" fontId="2" fillId="4" borderId="17" xfId="0" applyNumberFormat="1" applyFont="1" applyFill="1" applyBorder="1" applyAlignment="1">
      <alignment horizontal="center" vertical="top" wrapText="1"/>
    </xf>
    <xf numFmtId="165" fontId="2" fillId="4" borderId="50" xfId="2" applyNumberFormat="1" applyFont="1" applyFill="1" applyBorder="1" applyAlignment="1">
      <alignment horizontal="center" vertical="top"/>
    </xf>
    <xf numFmtId="0" fontId="15" fillId="4" borderId="8" xfId="0" applyFont="1" applyFill="1" applyBorder="1" applyAlignment="1">
      <alignment horizontal="center" vertical="top" wrapText="1"/>
    </xf>
    <xf numFmtId="164" fontId="2" fillId="4" borderId="2" xfId="2" applyNumberFormat="1" applyFont="1" applyFill="1" applyBorder="1" applyAlignment="1">
      <alignment horizontal="center" vertical="top"/>
    </xf>
    <xf numFmtId="3" fontId="2" fillId="4" borderId="27" xfId="0" applyNumberFormat="1" applyFont="1" applyFill="1" applyBorder="1" applyAlignment="1">
      <alignment horizontal="center" vertical="top" wrapText="1"/>
    </xf>
    <xf numFmtId="3" fontId="2" fillId="4" borderId="17" xfId="0" applyNumberFormat="1" applyFont="1" applyFill="1" applyBorder="1" applyAlignment="1">
      <alignment horizontal="left" vertical="top" wrapText="1"/>
    </xf>
    <xf numFmtId="3" fontId="2" fillId="4" borderId="6" xfId="0" applyNumberFormat="1" applyFont="1" applyFill="1" applyBorder="1" applyAlignment="1">
      <alignment horizontal="center" vertical="top" wrapText="1"/>
    </xf>
    <xf numFmtId="3" fontId="2" fillId="4" borderId="5" xfId="0" applyNumberFormat="1" applyFont="1" applyFill="1" applyBorder="1" applyAlignment="1">
      <alignment horizontal="center" vertical="top" wrapText="1"/>
    </xf>
    <xf numFmtId="3" fontId="2" fillId="4" borderId="51" xfId="0" applyNumberFormat="1" applyFont="1" applyFill="1" applyBorder="1" applyAlignment="1">
      <alignment horizontal="left" vertical="top" wrapText="1"/>
    </xf>
    <xf numFmtId="3" fontId="13" fillId="4" borderId="17" xfId="0" applyNumberFormat="1" applyFont="1" applyFill="1" applyBorder="1" applyAlignment="1">
      <alignment horizontal="center" vertical="top" wrapText="1"/>
    </xf>
    <xf numFmtId="3" fontId="13" fillId="4" borderId="35" xfId="0" applyNumberFormat="1" applyFont="1" applyFill="1" applyBorder="1" applyAlignment="1">
      <alignment horizontal="center" vertical="top" wrapText="1"/>
    </xf>
    <xf numFmtId="3" fontId="2" fillId="0" borderId="49" xfId="0" applyNumberFormat="1" applyFont="1" applyFill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left" vertical="top" wrapText="1"/>
    </xf>
    <xf numFmtId="3" fontId="13" fillId="4" borderId="28" xfId="0" applyNumberFormat="1" applyFont="1" applyFill="1" applyBorder="1" applyAlignment="1">
      <alignment horizontal="center" vertical="top" wrapText="1"/>
    </xf>
    <xf numFmtId="167" fontId="2" fillId="9" borderId="8" xfId="2" applyNumberFormat="1" applyFont="1" applyFill="1" applyBorder="1" applyAlignment="1">
      <alignment horizontal="left" vertical="top" wrapText="1"/>
    </xf>
    <xf numFmtId="167" fontId="2" fillId="9" borderId="5" xfId="2" applyNumberFormat="1" applyFont="1" applyFill="1" applyBorder="1" applyAlignment="1">
      <alignment horizontal="left" vertical="top" wrapText="1"/>
    </xf>
    <xf numFmtId="49" fontId="2" fillId="4" borderId="17" xfId="0" applyNumberFormat="1" applyFont="1" applyFill="1" applyBorder="1" applyAlignment="1">
      <alignment horizontal="center" vertical="top" wrapText="1"/>
    </xf>
    <xf numFmtId="3" fontId="2" fillId="4" borderId="5" xfId="0" applyNumberFormat="1" applyFont="1" applyFill="1" applyBorder="1" applyAlignment="1">
      <alignment horizontal="left" vertical="top" wrapText="1"/>
    </xf>
    <xf numFmtId="3" fontId="3" fillId="4" borderId="28" xfId="0" applyNumberFormat="1" applyFont="1" applyFill="1" applyBorder="1" applyAlignment="1">
      <alignment horizontal="left" vertical="top" wrapText="1"/>
    </xf>
    <xf numFmtId="164" fontId="3" fillId="5" borderId="62" xfId="0" applyNumberFormat="1" applyFont="1" applyFill="1" applyBorder="1" applyAlignment="1">
      <alignment horizontal="center" vertical="top" wrapText="1"/>
    </xf>
    <xf numFmtId="3" fontId="3" fillId="5" borderId="53" xfId="0" applyNumberFormat="1" applyFont="1" applyFill="1" applyBorder="1" applyAlignment="1">
      <alignment horizontal="center" vertical="top" wrapText="1"/>
    </xf>
    <xf numFmtId="164" fontId="3" fillId="5" borderId="2" xfId="0" applyNumberFormat="1" applyFont="1" applyFill="1" applyBorder="1" applyAlignment="1">
      <alignment horizontal="center" vertical="top" wrapText="1"/>
    </xf>
    <xf numFmtId="3" fontId="3" fillId="4" borderId="50" xfId="0" applyNumberFormat="1" applyFont="1" applyFill="1" applyBorder="1" applyAlignment="1">
      <alignment horizontal="center" vertical="top" wrapText="1"/>
    </xf>
    <xf numFmtId="164" fontId="3" fillId="4" borderId="6" xfId="0" applyNumberFormat="1" applyFont="1" applyFill="1" applyBorder="1" applyAlignment="1">
      <alignment horizontal="center" vertical="top" wrapText="1"/>
    </xf>
    <xf numFmtId="3" fontId="2" fillId="4" borderId="6" xfId="0" applyNumberFormat="1" applyFont="1" applyFill="1" applyBorder="1" applyAlignment="1">
      <alignment horizontal="center" vertical="top" wrapText="1"/>
    </xf>
    <xf numFmtId="3" fontId="2" fillId="4" borderId="77" xfId="0" applyNumberFormat="1" applyFont="1" applyFill="1" applyBorder="1" applyAlignment="1">
      <alignment horizontal="center" vertical="top" wrapText="1"/>
    </xf>
    <xf numFmtId="3" fontId="2" fillId="4" borderId="61" xfId="0" applyNumberFormat="1" applyFont="1" applyFill="1" applyBorder="1" applyAlignment="1">
      <alignment horizontal="center" vertical="top" wrapText="1"/>
    </xf>
    <xf numFmtId="3" fontId="2" fillId="4" borderId="17" xfId="0" applyNumberFormat="1" applyFont="1" applyFill="1" applyBorder="1" applyAlignment="1">
      <alignment horizontal="left" vertical="top" wrapText="1"/>
    </xf>
    <xf numFmtId="3" fontId="13" fillId="4" borderId="17" xfId="0" applyNumberFormat="1" applyFont="1" applyFill="1" applyBorder="1" applyAlignment="1">
      <alignment horizontal="center" vertical="top" wrapText="1"/>
    </xf>
    <xf numFmtId="3" fontId="13" fillId="4" borderId="28" xfId="0" applyNumberFormat="1" applyFont="1" applyFill="1" applyBorder="1" applyAlignment="1">
      <alignment horizontal="center" vertical="top" wrapText="1"/>
    </xf>
    <xf numFmtId="3" fontId="2" fillId="4" borderId="51" xfId="0" applyNumberFormat="1" applyFont="1" applyFill="1" applyBorder="1" applyAlignment="1">
      <alignment horizontal="center" vertical="top" wrapText="1"/>
    </xf>
    <xf numFmtId="3" fontId="2" fillId="4" borderId="5" xfId="0" applyNumberFormat="1" applyFont="1" applyFill="1" applyBorder="1" applyAlignment="1">
      <alignment horizontal="center" vertical="top" wrapText="1"/>
    </xf>
    <xf numFmtId="49" fontId="3" fillId="8" borderId="16" xfId="0" applyNumberFormat="1" applyFont="1" applyFill="1" applyBorder="1" applyAlignment="1">
      <alignment horizontal="center" vertical="top"/>
    </xf>
    <xf numFmtId="3" fontId="2" fillId="4" borderId="35" xfId="0" applyNumberFormat="1" applyFont="1" applyFill="1" applyBorder="1" applyAlignment="1">
      <alignment vertical="top" wrapText="1"/>
    </xf>
    <xf numFmtId="49" fontId="2" fillId="4" borderId="17" xfId="0" applyNumberFormat="1" applyFont="1" applyFill="1" applyBorder="1" applyAlignment="1">
      <alignment horizontal="center" vertical="top" wrapText="1"/>
    </xf>
    <xf numFmtId="49" fontId="2" fillId="4" borderId="29" xfId="0" applyNumberFormat="1" applyFont="1" applyFill="1" applyBorder="1" applyAlignment="1">
      <alignment horizontal="center" vertical="top"/>
    </xf>
    <xf numFmtId="49" fontId="2" fillId="4" borderId="43" xfId="0" applyNumberFormat="1" applyFont="1" applyFill="1" applyBorder="1" applyAlignment="1">
      <alignment horizontal="center" vertical="top"/>
    </xf>
    <xf numFmtId="0" fontId="2" fillId="4" borderId="53" xfId="0" applyFont="1" applyFill="1" applyBorder="1" applyAlignment="1">
      <alignment horizontal="center" vertical="top" wrapText="1"/>
    </xf>
    <xf numFmtId="164" fontId="2" fillId="4" borderId="2" xfId="1" applyNumberFormat="1" applyFont="1" applyFill="1" applyBorder="1" applyAlignment="1">
      <alignment horizontal="center" vertical="top" wrapText="1"/>
    </xf>
    <xf numFmtId="3" fontId="2" fillId="4" borderId="27" xfId="0" applyNumberFormat="1" applyFont="1" applyFill="1" applyBorder="1" applyAlignment="1">
      <alignment horizontal="center" vertical="top" wrapText="1"/>
    </xf>
    <xf numFmtId="3" fontId="13" fillId="4" borderId="35" xfId="0" applyNumberFormat="1" applyFont="1" applyFill="1" applyBorder="1" applyAlignment="1">
      <alignment horizontal="center" vertical="top" wrapText="1"/>
    </xf>
    <xf numFmtId="49" fontId="2" fillId="4" borderId="49" xfId="0" applyNumberFormat="1" applyFont="1" applyFill="1" applyBorder="1" applyAlignment="1">
      <alignment horizontal="center" vertical="top" wrapText="1"/>
    </xf>
    <xf numFmtId="49" fontId="2" fillId="4" borderId="35" xfId="0" applyNumberFormat="1" applyFont="1" applyFill="1" applyBorder="1" applyAlignment="1">
      <alignment horizontal="center" vertical="top" wrapText="1"/>
    </xf>
    <xf numFmtId="3" fontId="2" fillId="4" borderId="6" xfId="0" applyNumberFormat="1" applyFont="1" applyFill="1" applyBorder="1" applyAlignment="1">
      <alignment horizontal="center" vertical="top" wrapText="1"/>
    </xf>
    <xf numFmtId="3" fontId="13" fillId="4" borderId="49" xfId="0" applyNumberFormat="1" applyFont="1" applyFill="1" applyBorder="1" applyAlignment="1">
      <alignment horizontal="center" vertical="top" wrapText="1"/>
    </xf>
    <xf numFmtId="3" fontId="2" fillId="4" borderId="35" xfId="0" applyNumberFormat="1" applyFont="1" applyFill="1" applyBorder="1" applyAlignment="1">
      <alignment vertical="top" wrapText="1"/>
    </xf>
    <xf numFmtId="49" fontId="2" fillId="4" borderId="17" xfId="0" applyNumberFormat="1" applyFont="1" applyFill="1" applyBorder="1" applyAlignment="1">
      <alignment horizontal="center" vertical="top" wrapText="1"/>
    </xf>
    <xf numFmtId="3" fontId="2" fillId="4" borderId="33" xfId="0" applyNumberFormat="1" applyFont="1" applyFill="1" applyBorder="1" applyAlignment="1">
      <alignment horizontal="center" vertical="top" wrapText="1"/>
    </xf>
    <xf numFmtId="49" fontId="2" fillId="4" borderId="49" xfId="0" applyNumberFormat="1" applyFont="1" applyFill="1" applyBorder="1" applyAlignment="1">
      <alignment horizontal="center" vertical="top" wrapText="1"/>
    </xf>
    <xf numFmtId="49" fontId="2" fillId="4" borderId="35" xfId="0" applyNumberFormat="1" applyFont="1" applyFill="1" applyBorder="1" applyAlignment="1">
      <alignment horizontal="center" vertical="top" wrapText="1"/>
    </xf>
    <xf numFmtId="3" fontId="13" fillId="4" borderId="29" xfId="0" applyNumberFormat="1" applyFont="1" applyFill="1" applyBorder="1" applyAlignment="1">
      <alignment horizontal="center" vertical="top" wrapText="1"/>
    </xf>
    <xf numFmtId="3" fontId="13" fillId="4" borderId="35" xfId="0" applyNumberFormat="1" applyFont="1" applyFill="1" applyBorder="1" applyAlignment="1">
      <alignment horizontal="center" vertical="top" wrapText="1"/>
    </xf>
    <xf numFmtId="167" fontId="2" fillId="9" borderId="6" xfId="2" applyNumberFormat="1" applyFont="1" applyFill="1" applyBorder="1" applyAlignment="1">
      <alignment horizontal="left" vertical="top" wrapText="1"/>
    </xf>
    <xf numFmtId="3" fontId="2" fillId="4" borderId="74" xfId="0" applyNumberFormat="1" applyFont="1" applyFill="1" applyBorder="1" applyAlignment="1">
      <alignment horizontal="center" vertical="top" wrapText="1"/>
    </xf>
    <xf numFmtId="164" fontId="2" fillId="4" borderId="74" xfId="0" applyNumberFormat="1" applyFont="1" applyFill="1" applyBorder="1" applyAlignment="1">
      <alignment horizontal="center" vertical="top" wrapText="1"/>
    </xf>
    <xf numFmtId="3" fontId="2" fillId="4" borderId="78" xfId="0" applyNumberFormat="1" applyFont="1" applyFill="1" applyBorder="1" applyAlignment="1">
      <alignment vertical="top" wrapText="1"/>
    </xf>
    <xf numFmtId="0" fontId="2" fillId="4" borderId="35" xfId="0" applyFont="1" applyFill="1" applyBorder="1" applyAlignment="1">
      <alignment vertical="top" wrapText="1"/>
    </xf>
    <xf numFmtId="3" fontId="13" fillId="4" borderId="35" xfId="0" applyNumberFormat="1" applyFont="1" applyFill="1" applyBorder="1" applyAlignment="1">
      <alignment horizontal="center" vertical="top" wrapText="1"/>
    </xf>
    <xf numFmtId="3" fontId="13" fillId="4" borderId="49" xfId="0" applyNumberFormat="1" applyFont="1" applyFill="1" applyBorder="1" applyAlignment="1">
      <alignment horizontal="center" vertical="top" wrapText="1"/>
    </xf>
    <xf numFmtId="3" fontId="2" fillId="4" borderId="27" xfId="0" applyNumberFormat="1" applyFont="1" applyFill="1" applyBorder="1" applyAlignment="1">
      <alignment horizontal="center" vertical="top" wrapText="1"/>
    </xf>
    <xf numFmtId="49" fontId="2" fillId="4" borderId="17" xfId="0" applyNumberFormat="1" applyFont="1" applyFill="1" applyBorder="1" applyAlignment="1">
      <alignment horizontal="center" vertical="top" wrapText="1"/>
    </xf>
    <xf numFmtId="167" fontId="2" fillId="9" borderId="8" xfId="2" applyNumberFormat="1" applyFont="1" applyFill="1" applyBorder="1" applyAlignment="1">
      <alignment horizontal="left" vertical="top" wrapText="1"/>
    </xf>
    <xf numFmtId="3" fontId="13" fillId="4" borderId="28" xfId="0" applyNumberFormat="1" applyFont="1" applyFill="1" applyBorder="1" applyAlignment="1">
      <alignment horizontal="center" vertical="top" wrapText="1"/>
    </xf>
    <xf numFmtId="2" fontId="2" fillId="4" borderId="2" xfId="0" applyNumberFormat="1" applyFont="1" applyFill="1" applyBorder="1" applyAlignment="1">
      <alignment horizontal="center" vertical="top" wrapText="1"/>
    </xf>
    <xf numFmtId="2" fontId="2" fillId="4" borderId="5" xfId="0" applyNumberFormat="1" applyFont="1" applyFill="1" applyBorder="1" applyAlignment="1">
      <alignment horizontal="center" vertical="top" wrapText="1"/>
    </xf>
    <xf numFmtId="4" fontId="2" fillId="4" borderId="5" xfId="0" applyNumberFormat="1" applyFont="1" applyFill="1" applyBorder="1" applyAlignment="1">
      <alignment horizontal="center" vertical="top" wrapText="1"/>
    </xf>
    <xf numFmtId="164" fontId="2" fillId="11" borderId="25" xfId="2" applyNumberFormat="1" applyFont="1" applyFill="1" applyBorder="1" applyAlignment="1">
      <alignment horizontal="center" vertical="top"/>
    </xf>
    <xf numFmtId="165" fontId="2" fillId="9" borderId="62" xfId="2" applyNumberFormat="1" applyFont="1" applyFill="1" applyBorder="1" applyAlignment="1">
      <alignment horizontal="center" vertical="top" wrapText="1"/>
    </xf>
    <xf numFmtId="3" fontId="2" fillId="0" borderId="17" xfId="0" applyNumberFormat="1" applyFont="1" applyBorder="1" applyAlignment="1">
      <alignment vertical="top" wrapText="1"/>
    </xf>
    <xf numFmtId="3" fontId="2" fillId="4" borderId="78" xfId="0" applyNumberFormat="1" applyFont="1" applyFill="1" applyBorder="1" applyAlignment="1">
      <alignment horizontal="center" vertical="top" wrapText="1"/>
    </xf>
    <xf numFmtId="3" fontId="2" fillId="4" borderId="49" xfId="0" applyNumberFormat="1" applyFont="1" applyFill="1" applyBorder="1" applyAlignment="1">
      <alignment horizontal="left" vertical="top" wrapText="1"/>
    </xf>
    <xf numFmtId="3" fontId="13" fillId="4" borderId="29" xfId="0" applyNumberFormat="1" applyFont="1" applyFill="1" applyBorder="1" applyAlignment="1">
      <alignment horizontal="center" vertical="top" wrapText="1"/>
    </xf>
    <xf numFmtId="3" fontId="2" fillId="4" borderId="6" xfId="0" applyNumberFormat="1" applyFont="1" applyFill="1" applyBorder="1" applyAlignment="1">
      <alignment horizontal="center" vertical="top" wrapText="1"/>
    </xf>
    <xf numFmtId="3" fontId="2" fillId="4" borderId="5" xfId="0" applyNumberFormat="1" applyFont="1" applyFill="1" applyBorder="1" applyAlignment="1">
      <alignment horizontal="center" vertical="top" wrapText="1"/>
    </xf>
    <xf numFmtId="3" fontId="2" fillId="0" borderId="53" xfId="0" applyNumberFormat="1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 vertical="top"/>
    </xf>
    <xf numFmtId="3" fontId="2" fillId="4" borderId="6" xfId="0" applyNumberFormat="1" applyFont="1" applyFill="1" applyBorder="1" applyAlignment="1">
      <alignment horizontal="center" vertical="top" wrapText="1"/>
    </xf>
    <xf numFmtId="3" fontId="2" fillId="4" borderId="5" xfId="0" applyNumberFormat="1" applyFont="1" applyFill="1" applyBorder="1" applyAlignment="1">
      <alignment horizontal="center" vertical="top" wrapText="1"/>
    </xf>
    <xf numFmtId="164" fontId="2" fillId="4" borderId="62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Border="1" applyAlignment="1">
      <alignment horizontal="center" vertical="top" wrapText="1"/>
    </xf>
    <xf numFmtId="3" fontId="3" fillId="2" borderId="14" xfId="0" applyNumberFormat="1" applyFont="1" applyFill="1" applyBorder="1" applyAlignment="1">
      <alignment horizontal="right" vertical="top" wrapText="1"/>
    </xf>
    <xf numFmtId="3" fontId="3" fillId="2" borderId="44" xfId="0" applyNumberFormat="1" applyFont="1" applyFill="1" applyBorder="1" applyAlignment="1">
      <alignment horizontal="right" vertical="top" wrapText="1"/>
    </xf>
    <xf numFmtId="3" fontId="3" fillId="2" borderId="58" xfId="0" applyNumberFormat="1" applyFont="1" applyFill="1" applyBorder="1" applyAlignment="1">
      <alignment horizontal="right" vertical="top" wrapText="1"/>
    </xf>
    <xf numFmtId="3" fontId="2" fillId="4" borderId="49" xfId="0" applyNumberFormat="1" applyFont="1" applyFill="1" applyBorder="1" applyAlignment="1">
      <alignment horizontal="left" vertical="top" wrapText="1"/>
    </xf>
    <xf numFmtId="3" fontId="2" fillId="4" borderId="35" xfId="0" applyNumberFormat="1" applyFont="1" applyFill="1" applyBorder="1" applyAlignment="1">
      <alignment horizontal="left" vertical="top" wrapText="1"/>
    </xf>
    <xf numFmtId="3" fontId="2" fillId="4" borderId="49" xfId="0" applyNumberFormat="1" applyFont="1" applyFill="1" applyBorder="1" applyAlignment="1">
      <alignment vertical="top" wrapText="1"/>
    </xf>
    <xf numFmtId="3" fontId="2" fillId="4" borderId="35" xfId="0" applyNumberFormat="1" applyFont="1" applyFill="1" applyBorder="1" applyAlignment="1">
      <alignment vertical="top" wrapText="1"/>
    </xf>
    <xf numFmtId="3" fontId="2" fillId="4" borderId="43" xfId="0" applyNumberFormat="1" applyFont="1" applyFill="1" applyBorder="1" applyAlignment="1">
      <alignment horizontal="left" vertical="top" wrapText="1"/>
    </xf>
    <xf numFmtId="164" fontId="18" fillId="0" borderId="25" xfId="0" applyNumberFormat="1" applyFont="1" applyBorder="1" applyAlignment="1">
      <alignment horizontal="center" vertical="top"/>
    </xf>
    <xf numFmtId="164" fontId="16" fillId="0" borderId="47" xfId="0" applyNumberFormat="1" applyFont="1" applyBorder="1" applyAlignment="1">
      <alignment horizontal="center" vertical="top"/>
    </xf>
    <xf numFmtId="3" fontId="2" fillId="0" borderId="27" xfId="0" applyNumberFormat="1" applyFont="1" applyFill="1" applyBorder="1" applyAlignment="1">
      <alignment horizontal="center" vertical="top" wrapText="1"/>
    </xf>
    <xf numFmtId="3" fontId="2" fillId="0" borderId="61" xfId="0" applyNumberFormat="1" applyFont="1" applyFill="1" applyBorder="1" applyAlignment="1">
      <alignment horizontal="center" vertical="top" wrapText="1"/>
    </xf>
    <xf numFmtId="3" fontId="2" fillId="4" borderId="33" xfId="0" applyNumberFormat="1" applyFont="1" applyFill="1" applyBorder="1" applyAlignment="1">
      <alignment horizontal="center" vertical="top" wrapText="1"/>
    </xf>
    <xf numFmtId="3" fontId="2" fillId="4" borderId="27" xfId="0" applyNumberFormat="1" applyFont="1" applyFill="1" applyBorder="1" applyAlignment="1">
      <alignment horizontal="center" vertical="top" wrapText="1"/>
    </xf>
    <xf numFmtId="3" fontId="2" fillId="4" borderId="20" xfId="0" applyNumberFormat="1" applyFont="1" applyFill="1" applyBorder="1" applyAlignment="1">
      <alignment horizontal="center" vertical="top" wrapText="1"/>
    </xf>
    <xf numFmtId="3" fontId="2" fillId="4" borderId="17" xfId="0" applyNumberFormat="1" applyFont="1" applyFill="1" applyBorder="1" applyAlignment="1">
      <alignment horizontal="left" vertical="top" wrapText="1"/>
    </xf>
    <xf numFmtId="3" fontId="2" fillId="4" borderId="18" xfId="0" applyNumberFormat="1" applyFont="1" applyFill="1" applyBorder="1" applyAlignment="1">
      <alignment horizontal="left" vertical="top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 textRotation="90" wrapText="1"/>
    </xf>
    <xf numFmtId="3" fontId="12" fillId="0" borderId="17" xfId="0" applyNumberFormat="1" applyFont="1" applyBorder="1" applyAlignment="1">
      <alignment horizontal="center" vertical="center" textRotation="90" wrapText="1"/>
    </xf>
    <xf numFmtId="3" fontId="12" fillId="0" borderId="18" xfId="0" applyNumberFormat="1" applyFont="1" applyBorder="1" applyAlignment="1">
      <alignment horizontal="center" vertical="center" textRotation="90" wrapText="1"/>
    </xf>
    <xf numFmtId="3" fontId="2" fillId="0" borderId="32" xfId="0" applyNumberFormat="1" applyFont="1" applyBorder="1" applyAlignment="1">
      <alignment horizontal="center" vertical="center" wrapText="1"/>
    </xf>
    <xf numFmtId="3" fontId="2" fillId="0" borderId="27" xfId="0" applyNumberFormat="1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textRotation="90" wrapText="1"/>
    </xf>
    <xf numFmtId="3" fontId="2" fillId="0" borderId="8" xfId="0" applyNumberFormat="1" applyFont="1" applyBorder="1" applyAlignment="1">
      <alignment horizontal="center" vertical="center" textRotation="90" wrapText="1"/>
    </xf>
    <xf numFmtId="3" fontId="2" fillId="0" borderId="40" xfId="0" applyNumberFormat="1" applyFont="1" applyBorder="1" applyAlignment="1">
      <alignment horizontal="center" vertical="center" textRotation="90" wrapText="1"/>
    </xf>
    <xf numFmtId="3" fontId="3" fillId="8" borderId="42" xfId="0" applyNumberFormat="1" applyFont="1" applyFill="1" applyBorder="1" applyAlignment="1">
      <alignment horizontal="left" vertical="top" wrapText="1"/>
    </xf>
    <xf numFmtId="3" fontId="3" fillId="8" borderId="30" xfId="0" applyNumberFormat="1" applyFont="1" applyFill="1" applyBorder="1" applyAlignment="1">
      <alignment horizontal="left" vertical="top" wrapText="1"/>
    </xf>
    <xf numFmtId="3" fontId="3" fillId="2" borderId="38" xfId="0" applyNumberFormat="1" applyFont="1" applyFill="1" applyBorder="1" applyAlignment="1">
      <alignment horizontal="left" vertical="top" wrapText="1"/>
    </xf>
    <xf numFmtId="3" fontId="3" fillId="2" borderId="37" xfId="0" applyNumberFormat="1" applyFont="1" applyFill="1" applyBorder="1" applyAlignment="1">
      <alignment horizontal="left" vertical="top" wrapText="1"/>
    </xf>
    <xf numFmtId="3" fontId="2" fillId="4" borderId="32" xfId="0" applyNumberFormat="1" applyFont="1" applyFill="1" applyBorder="1" applyAlignment="1">
      <alignment horizontal="center" wrapText="1"/>
    </xf>
    <xf numFmtId="3" fontId="2" fillId="4" borderId="27" xfId="0" applyNumberFormat="1" applyFont="1" applyFill="1" applyBorder="1" applyAlignment="1">
      <alignment horizontal="center" wrapText="1"/>
    </xf>
    <xf numFmtId="49" fontId="2" fillId="4" borderId="49" xfId="0" applyNumberFormat="1" applyFont="1" applyFill="1" applyBorder="1" applyAlignment="1">
      <alignment horizontal="center" vertical="top" wrapText="1"/>
    </xf>
    <xf numFmtId="49" fontId="2" fillId="4" borderId="17" xfId="0" applyNumberFormat="1" applyFont="1" applyFill="1" applyBorder="1" applyAlignment="1">
      <alignment horizontal="center" vertical="top" wrapText="1"/>
    </xf>
    <xf numFmtId="49" fontId="2" fillId="4" borderId="35" xfId="0" applyNumberFormat="1" applyFont="1" applyFill="1" applyBorder="1" applyAlignment="1">
      <alignment horizontal="center" vertical="top" wrapText="1"/>
    </xf>
    <xf numFmtId="11" fontId="2" fillId="0" borderId="21" xfId="0" applyNumberFormat="1" applyFont="1" applyBorder="1" applyAlignment="1">
      <alignment horizontal="center" vertical="center" textRotation="90" wrapText="1"/>
    </xf>
    <xf numFmtId="11" fontId="2" fillId="0" borderId="34" xfId="0" applyNumberFormat="1" applyFont="1" applyBorder="1" applyAlignment="1">
      <alignment horizontal="center" vertical="center" textRotation="90" wrapText="1"/>
    </xf>
    <xf numFmtId="11" fontId="2" fillId="0" borderId="19" xfId="0" applyNumberFormat="1" applyFont="1" applyBorder="1" applyAlignment="1">
      <alignment horizontal="center" vertical="center" textRotation="90" wrapText="1"/>
    </xf>
    <xf numFmtId="11" fontId="2" fillId="0" borderId="13" xfId="0" applyNumberFormat="1" applyFont="1" applyBorder="1" applyAlignment="1">
      <alignment horizontal="center" vertical="center" textRotation="90" wrapText="1"/>
    </xf>
    <xf numFmtId="11" fontId="2" fillId="0" borderId="17" xfId="0" applyNumberFormat="1" applyFont="1" applyBorder="1" applyAlignment="1">
      <alignment horizontal="center" vertical="center" textRotation="90" wrapText="1"/>
    </xf>
    <xf numFmtId="11" fontId="2" fillId="0" borderId="18" xfId="0" applyNumberFormat="1" applyFont="1" applyBorder="1" applyAlignment="1">
      <alignment horizontal="center" vertical="center" textRotation="90" wrapText="1"/>
    </xf>
    <xf numFmtId="49" fontId="2" fillId="0" borderId="13" xfId="0" applyNumberFormat="1" applyFont="1" applyBorder="1" applyAlignment="1">
      <alignment horizontal="center" vertical="center" textRotation="90" wrapText="1"/>
    </xf>
    <xf numFmtId="49" fontId="2" fillId="0" borderId="17" xfId="0" applyNumberFormat="1" applyFont="1" applyBorder="1" applyAlignment="1">
      <alignment horizontal="center" vertical="center" textRotation="90" wrapText="1"/>
    </xf>
    <xf numFmtId="49" fontId="2" fillId="0" borderId="18" xfId="0" applyNumberFormat="1" applyFont="1" applyBorder="1" applyAlignment="1">
      <alignment horizontal="center" vertical="center" textRotation="90" wrapText="1"/>
    </xf>
    <xf numFmtId="0" fontId="2" fillId="4" borderId="49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3" fontId="2" fillId="0" borderId="16" xfId="0" applyNumberFormat="1" applyFont="1" applyBorder="1" applyAlignment="1">
      <alignment horizontal="center" vertical="center" wrapText="1"/>
    </xf>
    <xf numFmtId="3" fontId="2" fillId="0" borderId="46" xfId="0" applyNumberFormat="1" applyFont="1" applyBorder="1" applyAlignment="1">
      <alignment horizontal="center" vertical="center" wrapText="1"/>
    </xf>
    <xf numFmtId="3" fontId="2" fillId="4" borderId="73" xfId="0" applyNumberFormat="1" applyFont="1" applyFill="1" applyBorder="1" applyAlignment="1">
      <alignment horizontal="center" vertical="top" wrapText="1"/>
    </xf>
    <xf numFmtId="3" fontId="2" fillId="0" borderId="13" xfId="0" applyNumberFormat="1" applyFont="1" applyBorder="1" applyAlignment="1">
      <alignment horizontal="center" vertical="center" textRotation="90" wrapText="1"/>
    </xf>
    <xf numFmtId="3" fontId="2" fillId="0" borderId="17" xfId="0" applyNumberFormat="1" applyFont="1" applyBorder="1" applyAlignment="1">
      <alignment horizontal="center" vertical="center" textRotation="90" wrapText="1"/>
    </xf>
    <xf numFmtId="3" fontId="2" fillId="0" borderId="18" xfId="0" applyNumberFormat="1" applyFont="1" applyBorder="1" applyAlignment="1">
      <alignment horizontal="center" vertical="center" textRotation="90" wrapText="1"/>
    </xf>
    <xf numFmtId="3" fontId="13" fillId="0" borderId="28" xfId="0" applyNumberFormat="1" applyFont="1" applyFill="1" applyBorder="1" applyAlignment="1">
      <alignment horizontal="center" vertical="top" wrapText="1"/>
    </xf>
    <xf numFmtId="3" fontId="13" fillId="0" borderId="56" xfId="0" applyNumberFormat="1" applyFont="1" applyFill="1" applyBorder="1" applyAlignment="1">
      <alignment horizontal="center" vertical="top" wrapText="1"/>
    </xf>
    <xf numFmtId="3" fontId="2" fillId="0" borderId="32" xfId="0" applyNumberFormat="1" applyFont="1" applyFill="1" applyBorder="1" applyAlignment="1">
      <alignment horizontal="center" vertical="top" wrapText="1"/>
    </xf>
    <xf numFmtId="3" fontId="2" fillId="0" borderId="20" xfId="0" applyNumberFormat="1" applyFont="1" applyFill="1" applyBorder="1" applyAlignment="1">
      <alignment horizontal="center" vertical="top" wrapText="1"/>
    </xf>
    <xf numFmtId="3" fontId="2" fillId="4" borderId="50" xfId="0" applyNumberFormat="1" applyFont="1" applyFill="1" applyBorder="1" applyAlignment="1">
      <alignment horizontal="left" vertical="top" wrapText="1"/>
    </xf>
    <xf numFmtId="3" fontId="2" fillId="4" borderId="51" xfId="0" applyNumberFormat="1" applyFont="1" applyFill="1" applyBorder="1" applyAlignment="1">
      <alignment horizontal="left" vertical="top" wrapText="1"/>
    </xf>
    <xf numFmtId="3" fontId="2" fillId="4" borderId="16" xfId="0" applyNumberFormat="1" applyFont="1" applyFill="1" applyBorder="1" applyAlignment="1">
      <alignment horizontal="left" vertical="top" wrapText="1"/>
    </xf>
    <xf numFmtId="164" fontId="2" fillId="4" borderId="27" xfId="0" applyNumberFormat="1" applyFont="1" applyFill="1" applyBorder="1" applyAlignment="1">
      <alignment horizontal="center" vertical="top" wrapText="1"/>
    </xf>
    <xf numFmtId="164" fontId="2" fillId="4" borderId="61" xfId="0" applyNumberFormat="1" applyFont="1" applyFill="1" applyBorder="1" applyAlignment="1">
      <alignment horizontal="center" vertical="top" wrapText="1"/>
    </xf>
    <xf numFmtId="167" fontId="2" fillId="9" borderId="8" xfId="2" applyNumberFormat="1" applyFont="1" applyFill="1" applyBorder="1" applyAlignment="1">
      <alignment horizontal="left" vertical="top" wrapText="1"/>
    </xf>
    <xf numFmtId="167" fontId="2" fillId="9" borderId="5" xfId="2" applyNumberFormat="1" applyFont="1" applyFill="1" applyBorder="1" applyAlignment="1">
      <alignment horizontal="left" vertical="top" wrapText="1"/>
    </xf>
    <xf numFmtId="3" fontId="2" fillId="4" borderId="61" xfId="0" applyNumberFormat="1" applyFont="1" applyFill="1" applyBorder="1" applyAlignment="1">
      <alignment horizontal="center" vertical="top" wrapText="1"/>
    </xf>
    <xf numFmtId="3" fontId="2" fillId="4" borderId="6" xfId="0" applyNumberFormat="1" applyFont="1" applyFill="1" applyBorder="1" applyAlignment="1">
      <alignment horizontal="left" vertical="top" wrapText="1"/>
    </xf>
    <xf numFmtId="3" fontId="2" fillId="4" borderId="5" xfId="0" applyNumberFormat="1" applyFont="1" applyFill="1" applyBorder="1" applyAlignment="1">
      <alignment horizontal="left" vertical="top" wrapText="1"/>
    </xf>
    <xf numFmtId="3" fontId="2" fillId="0" borderId="33" xfId="0" applyNumberFormat="1" applyFont="1" applyFill="1" applyBorder="1" applyAlignment="1">
      <alignment horizontal="center" vertical="top" wrapText="1"/>
    </xf>
    <xf numFmtId="3" fontId="2" fillId="4" borderId="40" xfId="0" applyNumberFormat="1" applyFont="1" applyFill="1" applyBorder="1" applyAlignment="1">
      <alignment horizontal="left" vertical="top" wrapText="1"/>
    </xf>
    <xf numFmtId="3" fontId="13" fillId="4" borderId="29" xfId="0" applyNumberFormat="1" applyFont="1" applyFill="1" applyBorder="1" applyAlignment="1">
      <alignment horizontal="center" vertical="top" wrapText="1"/>
    </xf>
    <xf numFmtId="3" fontId="13" fillId="4" borderId="28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Alignment="1">
      <alignment horizontal="left" vertical="top" wrapText="1"/>
    </xf>
    <xf numFmtId="3" fontId="3" fillId="4" borderId="49" xfId="0" applyNumberFormat="1" applyFont="1" applyFill="1" applyBorder="1" applyAlignment="1">
      <alignment horizontal="left" vertical="top" wrapText="1"/>
    </xf>
    <xf numFmtId="3" fontId="3" fillId="4" borderId="17" xfId="0" applyNumberFormat="1" applyFont="1" applyFill="1" applyBorder="1" applyAlignment="1">
      <alignment horizontal="left" vertical="top" wrapText="1"/>
    </xf>
    <xf numFmtId="3" fontId="13" fillId="4" borderId="17" xfId="0" applyNumberFormat="1" applyFont="1" applyFill="1" applyBorder="1" applyAlignment="1">
      <alignment horizontal="center" vertical="top" wrapText="1"/>
    </xf>
    <xf numFmtId="3" fontId="13" fillId="4" borderId="35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58" xfId="0" applyNumberFormat="1" applyFont="1" applyBorder="1" applyAlignment="1">
      <alignment horizontal="center" vertical="center" wrapText="1"/>
    </xf>
    <xf numFmtId="3" fontId="2" fillId="0" borderId="36" xfId="0" applyNumberFormat="1" applyFont="1" applyBorder="1" applyAlignment="1">
      <alignment horizontal="right" wrapText="1"/>
    </xf>
    <xf numFmtId="167" fontId="2" fillId="9" borderId="6" xfId="2" applyNumberFormat="1" applyFont="1" applyFill="1" applyBorder="1" applyAlignment="1">
      <alignment horizontal="left" vertical="top" wrapText="1"/>
    </xf>
    <xf numFmtId="3" fontId="2" fillId="4" borderId="13" xfId="0" applyNumberFormat="1" applyFont="1" applyFill="1" applyBorder="1" applyAlignment="1">
      <alignment horizontal="left" vertical="top" wrapText="1"/>
    </xf>
    <xf numFmtId="3" fontId="13" fillId="4" borderId="52" xfId="0" applyNumberFormat="1" applyFont="1" applyFill="1" applyBorder="1" applyAlignment="1">
      <alignment horizontal="center" vertical="top" wrapText="1"/>
    </xf>
    <xf numFmtId="3" fontId="13" fillId="4" borderId="56" xfId="0" applyNumberFormat="1" applyFont="1" applyFill="1" applyBorder="1" applyAlignment="1">
      <alignment horizontal="center" vertical="top" wrapText="1"/>
    </xf>
    <xf numFmtId="49" fontId="3" fillId="8" borderId="15" xfId="0" applyNumberFormat="1" applyFont="1" applyFill="1" applyBorder="1" applyAlignment="1">
      <alignment horizontal="center" vertical="top"/>
    </xf>
    <xf numFmtId="49" fontId="3" fillId="8" borderId="16" xfId="0" applyNumberFormat="1" applyFont="1" applyFill="1" applyBorder="1" applyAlignment="1">
      <alignment horizontal="center" vertical="top"/>
    </xf>
    <xf numFmtId="49" fontId="3" fillId="8" borderId="46" xfId="0" applyNumberFormat="1" applyFont="1" applyFill="1" applyBorder="1" applyAlignment="1">
      <alignment horizontal="center" vertical="top"/>
    </xf>
    <xf numFmtId="3" fontId="3" fillId="6" borderId="59" xfId="0" applyNumberFormat="1" applyFont="1" applyFill="1" applyBorder="1" applyAlignment="1">
      <alignment horizontal="left" vertical="top" wrapText="1"/>
    </xf>
    <xf numFmtId="3" fontId="3" fillId="6" borderId="48" xfId="0" applyNumberFormat="1" applyFont="1" applyFill="1" applyBorder="1" applyAlignment="1">
      <alignment horizontal="left" vertical="top" wrapText="1"/>
    </xf>
    <xf numFmtId="3" fontId="3" fillId="7" borderId="53" xfId="0" applyNumberFormat="1" applyFont="1" applyFill="1" applyBorder="1" applyAlignment="1">
      <alignment horizontal="left" vertical="top" wrapText="1"/>
    </xf>
    <xf numFmtId="3" fontId="3" fillId="7" borderId="30" xfId="0" applyNumberFormat="1" applyFont="1" applyFill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top" wrapText="1"/>
    </xf>
    <xf numFmtId="3" fontId="3" fillId="7" borderId="53" xfId="0" applyNumberFormat="1" applyFont="1" applyFill="1" applyBorder="1" applyAlignment="1">
      <alignment horizontal="right" vertical="top" wrapText="1"/>
    </xf>
    <xf numFmtId="3" fontId="3" fillId="7" borderId="30" xfId="0" applyNumberFormat="1" applyFont="1" applyFill="1" applyBorder="1" applyAlignment="1">
      <alignment horizontal="right" vertical="top" wrapText="1"/>
    </xf>
    <xf numFmtId="3" fontId="3" fillId="5" borderId="39" xfId="0" applyNumberFormat="1" applyFont="1" applyFill="1" applyBorder="1" applyAlignment="1">
      <alignment horizontal="right" vertical="top" wrapText="1"/>
    </xf>
    <xf numFmtId="3" fontId="3" fillId="5" borderId="37" xfId="0" applyNumberFormat="1" applyFont="1" applyFill="1" applyBorder="1" applyAlignment="1">
      <alignment horizontal="right" vertical="top" wrapText="1"/>
    </xf>
    <xf numFmtId="3" fontId="2" fillId="0" borderId="53" xfId="0" applyNumberFormat="1" applyFont="1" applyBorder="1" applyAlignment="1">
      <alignment horizontal="left" vertical="top" wrapText="1"/>
    </xf>
    <xf numFmtId="3" fontId="2" fillId="0" borderId="30" xfId="0" applyNumberFormat="1" applyFont="1" applyBorder="1" applyAlignment="1">
      <alignment horizontal="left" vertical="top" wrapText="1"/>
    </xf>
    <xf numFmtId="3" fontId="2" fillId="0" borderId="24" xfId="0" applyNumberFormat="1" applyFont="1" applyBorder="1" applyAlignment="1">
      <alignment horizontal="left" vertical="top" wrapText="1"/>
    </xf>
    <xf numFmtId="3" fontId="2" fillId="0" borderId="53" xfId="0" applyNumberFormat="1" applyFont="1" applyBorder="1" applyAlignment="1">
      <alignment vertical="top" wrapText="1"/>
    </xf>
    <xf numFmtId="3" fontId="2" fillId="0" borderId="30" xfId="0" applyNumberFormat="1" applyFont="1" applyBorder="1" applyAlignment="1">
      <alignment vertical="top" wrapText="1"/>
    </xf>
    <xf numFmtId="3" fontId="2" fillId="0" borderId="50" xfId="0" applyNumberFormat="1" applyFont="1" applyBorder="1" applyAlignment="1">
      <alignment horizontal="left" vertical="top" wrapText="1"/>
    </xf>
    <xf numFmtId="3" fontId="2" fillId="0" borderId="25" xfId="0" applyNumberFormat="1" applyFont="1" applyBorder="1" applyAlignment="1">
      <alignment horizontal="left" vertical="top" wrapText="1"/>
    </xf>
    <xf numFmtId="3" fontId="2" fillId="5" borderId="54" xfId="0" applyNumberFormat="1" applyFont="1" applyFill="1" applyBorder="1" applyAlignment="1">
      <alignment horizontal="left" vertical="top" wrapText="1"/>
    </xf>
    <xf numFmtId="3" fontId="2" fillId="5" borderId="42" xfId="0" applyNumberFormat="1" applyFont="1" applyFill="1" applyBorder="1" applyAlignment="1">
      <alignment horizontal="left" vertical="top" wrapText="1"/>
    </xf>
    <xf numFmtId="3" fontId="2" fillId="5" borderId="30" xfId="0" applyNumberFormat="1" applyFont="1" applyFill="1" applyBorder="1" applyAlignment="1">
      <alignment horizontal="left" vertical="top" wrapText="1"/>
    </xf>
    <xf numFmtId="3" fontId="2" fillId="5" borderId="24" xfId="0" applyNumberFormat="1" applyFont="1" applyFill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left" vertical="top" wrapText="1"/>
    </xf>
    <xf numFmtId="3" fontId="3" fillId="2" borderId="14" xfId="0" applyNumberFormat="1" applyFont="1" applyFill="1" applyBorder="1" applyAlignment="1">
      <alignment horizontal="left" vertical="top" wrapText="1"/>
    </xf>
    <xf numFmtId="3" fontId="3" fillId="2" borderId="44" xfId="0" applyNumberFormat="1" applyFont="1" applyFill="1" applyBorder="1" applyAlignment="1">
      <alignment horizontal="left" vertical="top" wrapText="1"/>
    </xf>
    <xf numFmtId="49" fontId="2" fillId="4" borderId="6" xfId="2" applyNumberFormat="1" applyFont="1" applyFill="1" applyBorder="1" applyAlignment="1">
      <alignment horizontal="center" vertical="top"/>
    </xf>
    <xf numFmtId="49" fontId="2" fillId="4" borderId="5" xfId="2" applyNumberFormat="1" applyFont="1" applyFill="1" applyBorder="1" applyAlignment="1">
      <alignment horizontal="center" vertical="top"/>
    </xf>
    <xf numFmtId="3" fontId="3" fillId="5" borderId="29" xfId="0" applyNumberFormat="1" applyFont="1" applyFill="1" applyBorder="1" applyAlignment="1">
      <alignment horizontal="right" vertical="top" wrapText="1"/>
    </xf>
    <xf numFmtId="3" fontId="3" fillId="5" borderId="0" xfId="0" applyNumberFormat="1" applyFont="1" applyFill="1" applyBorder="1" applyAlignment="1">
      <alignment horizontal="right" vertical="top" wrapText="1"/>
    </xf>
    <xf numFmtId="3" fontId="2" fillId="4" borderId="32" xfId="0" applyNumberFormat="1" applyFont="1" applyFill="1" applyBorder="1" applyAlignment="1">
      <alignment horizontal="center" vertical="top" wrapText="1"/>
    </xf>
    <xf numFmtId="3" fontId="2" fillId="4" borderId="46" xfId="0" applyNumberFormat="1" applyFont="1" applyFill="1" applyBorder="1" applyAlignment="1">
      <alignment horizontal="left" vertical="top" wrapText="1"/>
    </xf>
    <xf numFmtId="3" fontId="2" fillId="4" borderId="6" xfId="0" applyNumberFormat="1" applyFont="1" applyFill="1" applyBorder="1" applyAlignment="1">
      <alignment horizontal="center" vertical="top" wrapText="1"/>
    </xf>
    <xf numFmtId="3" fontId="2" fillId="4" borderId="5" xfId="0" applyNumberFormat="1" applyFont="1" applyFill="1" applyBorder="1" applyAlignment="1">
      <alignment horizontal="center" vertical="top" wrapText="1"/>
    </xf>
    <xf numFmtId="3" fontId="13" fillId="4" borderId="49" xfId="0" applyNumberFormat="1" applyFont="1" applyFill="1" applyBorder="1" applyAlignment="1">
      <alignment horizontal="center" vertical="top" wrapText="1"/>
    </xf>
    <xf numFmtId="3" fontId="3" fillId="5" borderId="38" xfId="0" applyNumberFormat="1" applyFont="1" applyFill="1" applyBorder="1" applyAlignment="1">
      <alignment horizontal="right" vertical="top" wrapText="1"/>
    </xf>
    <xf numFmtId="3" fontId="3" fillId="5" borderId="41" xfId="0" applyNumberFormat="1" applyFont="1" applyFill="1" applyBorder="1" applyAlignment="1">
      <alignment horizontal="right" vertical="top" wrapText="1"/>
    </xf>
    <xf numFmtId="164" fontId="2" fillId="4" borderId="62" xfId="0" applyNumberFormat="1" applyFont="1" applyFill="1" applyBorder="1" applyAlignment="1">
      <alignment horizontal="center" vertical="top" wrapText="1"/>
    </xf>
    <xf numFmtId="164" fontId="2" fillId="4" borderId="65" xfId="0" applyNumberFormat="1" applyFont="1" applyFill="1" applyBorder="1" applyAlignment="1">
      <alignment horizontal="center" vertical="top" wrapText="1"/>
    </xf>
    <xf numFmtId="0" fontId="2" fillId="4" borderId="18" xfId="0" applyFont="1" applyFill="1" applyBorder="1" applyAlignment="1">
      <alignment horizontal="left" vertical="top" wrapText="1"/>
    </xf>
    <xf numFmtId="0" fontId="2" fillId="4" borderId="43" xfId="0" applyFont="1" applyFill="1" applyBorder="1" applyAlignment="1">
      <alignment horizontal="left" vertical="top" wrapText="1"/>
    </xf>
    <xf numFmtId="49" fontId="3" fillId="4" borderId="50" xfId="2" applyNumberFormat="1" applyFont="1" applyFill="1" applyBorder="1" applyAlignment="1">
      <alignment horizontal="center" vertical="top"/>
    </xf>
    <xf numFmtId="49" fontId="3" fillId="4" borderId="51" xfId="2" applyNumberFormat="1" applyFont="1" applyFill="1" applyBorder="1" applyAlignment="1">
      <alignment horizontal="center" vertical="top"/>
    </xf>
    <xf numFmtId="0" fontId="2" fillId="4" borderId="35" xfId="0" applyFont="1" applyFill="1" applyBorder="1" applyAlignment="1">
      <alignment horizontal="left" vertical="top" wrapText="1"/>
    </xf>
    <xf numFmtId="167" fontId="2" fillId="9" borderId="16" xfId="2" applyNumberFormat="1" applyFont="1" applyFill="1" applyBorder="1" applyAlignment="1">
      <alignment horizontal="left" vertical="top" wrapText="1"/>
    </xf>
    <xf numFmtId="167" fontId="2" fillId="9" borderId="51" xfId="2" applyNumberFormat="1" applyFont="1" applyFill="1" applyBorder="1" applyAlignment="1">
      <alignment horizontal="left" vertical="top" wrapText="1"/>
    </xf>
    <xf numFmtId="3" fontId="11" fillId="4" borderId="17" xfId="0" applyNumberFormat="1" applyFont="1" applyFill="1" applyBorder="1" applyAlignment="1">
      <alignment horizontal="left" vertical="top" wrapText="1"/>
    </xf>
    <xf numFmtId="3" fontId="11" fillId="4" borderId="35" xfId="0" applyNumberFormat="1" applyFont="1" applyFill="1" applyBorder="1" applyAlignment="1">
      <alignment horizontal="left" vertical="top" wrapText="1"/>
    </xf>
    <xf numFmtId="3" fontId="2" fillId="4" borderId="0" xfId="0" applyNumberFormat="1" applyFont="1" applyFill="1" applyBorder="1" applyAlignment="1">
      <alignment horizontal="center" vertical="top" wrapText="1"/>
    </xf>
    <xf numFmtId="3" fontId="2" fillId="4" borderId="15" xfId="0" applyNumberFormat="1" applyFont="1" applyFill="1" applyBorder="1" applyAlignment="1">
      <alignment horizontal="left" vertical="top" wrapText="1"/>
    </xf>
    <xf numFmtId="3" fontId="3" fillId="8" borderId="14" xfId="0" applyNumberFormat="1" applyFont="1" applyFill="1" applyBorder="1" applyAlignment="1">
      <alignment horizontal="left" vertical="top" wrapText="1"/>
    </xf>
    <xf numFmtId="3" fontId="3" fillId="8" borderId="44" xfId="0" applyNumberFormat="1" applyFont="1" applyFill="1" applyBorder="1" applyAlignment="1">
      <alignment horizontal="left" vertical="top" wrapText="1"/>
    </xf>
    <xf numFmtId="3" fontId="3" fillId="8" borderId="14" xfId="0" applyNumberFormat="1" applyFont="1" applyFill="1" applyBorder="1" applyAlignment="1">
      <alignment horizontal="right" vertical="top" wrapText="1"/>
    </xf>
    <xf numFmtId="3" fontId="3" fillId="8" borderId="44" xfId="0" applyNumberFormat="1" applyFont="1" applyFill="1" applyBorder="1" applyAlignment="1">
      <alignment horizontal="right" vertical="top" wrapText="1"/>
    </xf>
    <xf numFmtId="3" fontId="3" fillId="10" borderId="13" xfId="0" quotePrefix="1" applyNumberFormat="1" applyFont="1" applyFill="1" applyBorder="1" applyAlignment="1">
      <alignment horizontal="center" vertical="top" wrapText="1"/>
    </xf>
    <xf numFmtId="3" fontId="3" fillId="10" borderId="17" xfId="0" quotePrefix="1" applyNumberFormat="1" applyFont="1" applyFill="1" applyBorder="1" applyAlignment="1">
      <alignment horizontal="center" vertical="top" wrapText="1"/>
    </xf>
    <xf numFmtId="3" fontId="3" fillId="10" borderId="18" xfId="0" quotePrefix="1" applyNumberFormat="1" applyFont="1" applyFill="1" applyBorder="1" applyAlignment="1">
      <alignment horizontal="center" vertical="top" wrapText="1"/>
    </xf>
    <xf numFmtId="3" fontId="3" fillId="4" borderId="52" xfId="0" quotePrefix="1" applyNumberFormat="1" applyFont="1" applyFill="1" applyBorder="1" applyAlignment="1">
      <alignment horizontal="center" vertical="top" wrapText="1"/>
    </xf>
    <xf numFmtId="3" fontId="3" fillId="4" borderId="28" xfId="0" quotePrefix="1" applyNumberFormat="1" applyFont="1" applyFill="1" applyBorder="1" applyAlignment="1">
      <alignment horizontal="center" vertical="top" wrapText="1"/>
    </xf>
    <xf numFmtId="3" fontId="3" fillId="4" borderId="56" xfId="0" quotePrefix="1" applyNumberFormat="1" applyFont="1" applyFill="1" applyBorder="1" applyAlignment="1">
      <alignment horizontal="center" vertical="top" wrapText="1"/>
    </xf>
    <xf numFmtId="49" fontId="2" fillId="4" borderId="0" xfId="0" applyNumberFormat="1" applyFont="1" applyFill="1" applyBorder="1" applyAlignment="1">
      <alignment horizontal="left" vertical="top" wrapText="1"/>
    </xf>
    <xf numFmtId="3" fontId="3" fillId="10" borderId="14" xfId="0" applyNumberFormat="1" applyFont="1" applyFill="1" applyBorder="1" applyAlignment="1">
      <alignment horizontal="left" vertical="top" wrapText="1"/>
    </xf>
    <xf numFmtId="3" fontId="3" fillId="10" borderId="44" xfId="0" applyNumberFormat="1" applyFont="1" applyFill="1" applyBorder="1" applyAlignment="1">
      <alignment horizontal="left" vertical="top" wrapText="1"/>
    </xf>
    <xf numFmtId="3" fontId="13" fillId="0" borderId="52" xfId="0" applyNumberFormat="1" applyFont="1" applyFill="1" applyBorder="1" applyAlignment="1">
      <alignment horizontal="center" vertical="top" wrapText="1"/>
    </xf>
    <xf numFmtId="3" fontId="2" fillId="0" borderId="33" xfId="0" applyNumberFormat="1" applyFont="1" applyBorder="1" applyAlignment="1">
      <alignment horizontal="center" vertical="top" wrapText="1"/>
    </xf>
    <xf numFmtId="3" fontId="2" fillId="0" borderId="27" xfId="0" applyNumberFormat="1" applyFont="1" applyBorder="1" applyAlignment="1">
      <alignment horizontal="center" vertical="top" wrapText="1"/>
    </xf>
    <xf numFmtId="3" fontId="2" fillId="0" borderId="20" xfId="0" applyNumberFormat="1" applyFont="1" applyBorder="1" applyAlignment="1">
      <alignment horizontal="center" vertical="top" wrapText="1"/>
    </xf>
    <xf numFmtId="3" fontId="3" fillId="3" borderId="13" xfId="0" applyNumberFormat="1" applyFont="1" applyFill="1" applyBorder="1" applyAlignment="1">
      <alignment horizontal="left" vertical="top" wrapText="1"/>
    </xf>
    <xf numFmtId="3" fontId="3" fillId="3" borderId="17" xfId="0" applyNumberFormat="1" applyFont="1" applyFill="1" applyBorder="1" applyAlignment="1">
      <alignment horizontal="left" vertical="top" wrapText="1"/>
    </xf>
    <xf numFmtId="3" fontId="2" fillId="0" borderId="32" xfId="0" applyNumberFormat="1" applyFont="1" applyBorder="1" applyAlignment="1">
      <alignment horizontal="center" vertical="top" wrapText="1"/>
    </xf>
    <xf numFmtId="3" fontId="2" fillId="0" borderId="61" xfId="0" applyNumberFormat="1" applyFont="1" applyBorder="1" applyAlignment="1">
      <alignment horizontal="center" vertical="top" wrapText="1"/>
    </xf>
    <xf numFmtId="0" fontId="2" fillId="4" borderId="50" xfId="0" applyFont="1" applyFill="1" applyBorder="1" applyAlignment="1">
      <alignment horizontal="left" vertical="top" wrapText="1"/>
    </xf>
    <xf numFmtId="0" fontId="2" fillId="4" borderId="51" xfId="0" applyFont="1" applyFill="1" applyBorder="1" applyAlignment="1">
      <alignment horizontal="left" vertical="top" wrapText="1"/>
    </xf>
    <xf numFmtId="49" fontId="3" fillId="2" borderId="35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3" fontId="2" fillId="4" borderId="0" xfId="0" applyNumberFormat="1" applyFont="1" applyFill="1" applyBorder="1" applyAlignment="1">
      <alignment horizontal="left" vertical="top" wrapText="1"/>
    </xf>
    <xf numFmtId="3" fontId="15" fillId="0" borderId="0" xfId="0" applyNumberFormat="1" applyFont="1" applyBorder="1" applyAlignment="1">
      <alignment horizontal="left" vertical="top" wrapText="1"/>
    </xf>
    <xf numFmtId="3" fontId="13" fillId="5" borderId="38" xfId="0" applyNumberFormat="1" applyFont="1" applyFill="1" applyBorder="1" applyAlignment="1">
      <alignment horizontal="right" vertical="top" wrapText="1"/>
    </xf>
    <xf numFmtId="3" fontId="13" fillId="5" borderId="37" xfId="0" applyNumberFormat="1" applyFont="1" applyFill="1" applyBorder="1" applyAlignment="1">
      <alignment horizontal="right" vertical="top" wrapText="1"/>
    </xf>
    <xf numFmtId="3" fontId="13" fillId="5" borderId="36" xfId="0" applyNumberFormat="1" applyFont="1" applyFill="1" applyBorder="1" applyAlignment="1">
      <alignment horizontal="right" vertical="top" wrapText="1"/>
    </xf>
    <xf numFmtId="3" fontId="3" fillId="4" borderId="35" xfId="0" applyNumberFormat="1" applyFont="1" applyFill="1" applyBorder="1" applyAlignment="1">
      <alignment horizontal="left" vertical="top" wrapText="1"/>
    </xf>
    <xf numFmtId="3" fontId="2" fillId="4" borderId="28" xfId="0" applyNumberFormat="1" applyFont="1" applyFill="1" applyBorder="1" applyAlignment="1">
      <alignment horizontal="left" vertical="top" wrapText="1"/>
    </xf>
    <xf numFmtId="3" fontId="3" fillId="4" borderId="29" xfId="0" applyNumberFormat="1" applyFont="1" applyFill="1" applyBorder="1" applyAlignment="1">
      <alignment horizontal="left" vertical="top" wrapText="1"/>
    </xf>
    <xf numFmtId="3" fontId="3" fillId="4" borderId="43" xfId="0" applyNumberFormat="1" applyFont="1" applyFill="1" applyBorder="1" applyAlignment="1">
      <alignment horizontal="left" vertical="top" wrapText="1"/>
    </xf>
    <xf numFmtId="3" fontId="3" fillId="5" borderId="53" xfId="0" applyNumberFormat="1" applyFont="1" applyFill="1" applyBorder="1" applyAlignment="1">
      <alignment horizontal="right" vertical="top" wrapText="1"/>
    </xf>
    <xf numFmtId="3" fontId="3" fillId="5" borderId="30" xfId="0" applyNumberFormat="1" applyFont="1" applyFill="1" applyBorder="1" applyAlignment="1">
      <alignment horizontal="right" vertical="top" wrapText="1"/>
    </xf>
    <xf numFmtId="3" fontId="3" fillId="7" borderId="14" xfId="0" applyNumberFormat="1" applyFont="1" applyFill="1" applyBorder="1" applyAlignment="1">
      <alignment horizontal="right" vertical="top" wrapText="1"/>
    </xf>
    <xf numFmtId="3" fontId="3" fillId="7" borderId="44" xfId="0" applyNumberFormat="1" applyFont="1" applyFill="1" applyBorder="1" applyAlignment="1">
      <alignment horizontal="right" vertical="top" wrapText="1"/>
    </xf>
    <xf numFmtId="49" fontId="2" fillId="4" borderId="3" xfId="0" applyNumberFormat="1" applyFont="1" applyFill="1" applyBorder="1" applyAlignment="1">
      <alignment horizontal="left" vertical="top" wrapText="1"/>
    </xf>
    <xf numFmtId="3" fontId="3" fillId="0" borderId="36" xfId="0" applyNumberFormat="1" applyFont="1" applyFill="1" applyBorder="1" applyAlignment="1">
      <alignment horizontal="center" wrapText="1"/>
    </xf>
    <xf numFmtId="3" fontId="3" fillId="2" borderId="56" xfId="0" applyNumberFormat="1" applyFont="1" applyFill="1" applyBorder="1" applyAlignment="1">
      <alignment horizontal="right" vertical="top" wrapText="1"/>
    </xf>
    <xf numFmtId="3" fontId="3" fillId="2" borderId="36" xfId="0" applyNumberFormat="1" applyFont="1" applyFill="1" applyBorder="1" applyAlignment="1">
      <alignment horizontal="right" vertical="top" wrapText="1"/>
    </xf>
    <xf numFmtId="3" fontId="3" fillId="7" borderId="59" xfId="0" applyNumberFormat="1" applyFont="1" applyFill="1" applyBorder="1" applyAlignment="1">
      <alignment horizontal="right" vertical="top" wrapText="1"/>
    </xf>
    <xf numFmtId="3" fontId="3" fillId="7" borderId="48" xfId="0" applyNumberFormat="1" applyFont="1" applyFill="1" applyBorder="1" applyAlignment="1">
      <alignment horizontal="right" vertical="top" wrapText="1"/>
    </xf>
    <xf numFmtId="3" fontId="3" fillId="0" borderId="44" xfId="0" applyNumberFormat="1" applyFont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Įprastas" xfId="0" builtinId="0"/>
    <cellStyle name="Įprastas 2" xfId="1" xr:uid="{00000000-0005-0000-0000-000002000000}"/>
  </cellStyles>
  <dxfs count="0"/>
  <tableStyles count="0" defaultTableStyle="TableStyleMedium2" defaultPivotStyle="PivotStyleLight16"/>
  <colors>
    <mruColors>
      <color rgb="FF00FFFF"/>
      <color rgb="FFCCFFCC"/>
      <color rgb="FFFFFF99"/>
      <color rgb="FFFFFFCC"/>
      <color rgb="FFFFCCFF"/>
      <color rgb="FFCCFFFF"/>
      <color rgb="FF66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8"/>
  <sheetViews>
    <sheetView tabSelected="1" zoomScaleNormal="100" zoomScaleSheetLayoutView="100" workbookViewId="0">
      <selection activeCell="A6" sqref="A6:L6"/>
    </sheetView>
  </sheetViews>
  <sheetFormatPr defaultColWidth="9.33203125" defaultRowHeight="13.2" x14ac:dyDescent="0.25"/>
  <cols>
    <col min="1" max="3" width="3.33203125" style="75" customWidth="1"/>
    <col min="4" max="4" width="3.5546875" style="27" customWidth="1"/>
    <col min="5" max="5" width="3.33203125" style="27" customWidth="1"/>
    <col min="6" max="6" width="35" style="47" customWidth="1"/>
    <col min="7" max="7" width="3.44140625" style="76" customWidth="1"/>
    <col min="8" max="8" width="14.44140625" style="12" customWidth="1"/>
    <col min="9" max="9" width="8" style="12" customWidth="1"/>
    <col min="10" max="10" width="10" style="254" customWidth="1"/>
    <col min="11" max="11" width="34.6640625" style="47" customWidth="1"/>
    <col min="12" max="12" width="8.5546875" style="47" customWidth="1"/>
    <col min="13" max="13" width="6.44140625" style="328" customWidth="1"/>
    <col min="14" max="14" width="9.33203125" style="14"/>
    <col min="15" max="15" width="10.109375" style="14" bestFit="1" customWidth="1"/>
    <col min="16" max="16384" width="9.33203125" style="14"/>
  </cols>
  <sheetData>
    <row r="1" spans="1:19" ht="33" customHeight="1" x14ac:dyDescent="0.25">
      <c r="H1" s="482"/>
      <c r="I1" s="482"/>
      <c r="J1" s="679" t="s">
        <v>255</v>
      </c>
      <c r="K1" s="679"/>
      <c r="L1" s="679"/>
      <c r="M1" s="313"/>
      <c r="N1" s="266"/>
      <c r="O1" s="266"/>
      <c r="P1" s="266"/>
      <c r="Q1" s="266"/>
      <c r="R1" s="266"/>
      <c r="S1" s="266"/>
    </row>
    <row r="2" spans="1:19" ht="17.25" customHeight="1" x14ac:dyDescent="0.25">
      <c r="H2" s="266"/>
      <c r="I2" s="266"/>
      <c r="J2" s="679" t="s">
        <v>262</v>
      </c>
      <c r="K2" s="679"/>
      <c r="L2" s="679"/>
      <c r="M2" s="313"/>
      <c r="N2" s="266"/>
      <c r="O2" s="266"/>
      <c r="P2" s="266"/>
      <c r="Q2" s="266"/>
      <c r="R2" s="266"/>
      <c r="S2" s="266"/>
    </row>
    <row r="3" spans="1:19" ht="47.4" customHeight="1" x14ac:dyDescent="0.25">
      <c r="H3" s="371"/>
      <c r="I3" s="371"/>
      <c r="J3" s="679" t="s">
        <v>282</v>
      </c>
      <c r="K3" s="679"/>
      <c r="L3" s="679"/>
      <c r="M3" s="313"/>
      <c r="N3" s="371"/>
      <c r="O3" s="371"/>
      <c r="P3" s="371"/>
      <c r="Q3" s="371"/>
      <c r="R3" s="371"/>
      <c r="S3" s="371"/>
    </row>
    <row r="4" spans="1:19" ht="17.25" customHeight="1" x14ac:dyDescent="0.25">
      <c r="H4" s="371"/>
      <c r="I4" s="371"/>
      <c r="J4" s="413"/>
      <c r="K4" s="413"/>
      <c r="L4" s="413"/>
      <c r="M4" s="313"/>
      <c r="N4" s="371"/>
      <c r="O4" s="371"/>
      <c r="P4" s="371"/>
      <c r="Q4" s="371"/>
      <c r="R4" s="371"/>
      <c r="S4" s="371"/>
    </row>
    <row r="5" spans="1:19" ht="19.5" customHeight="1" x14ac:dyDescent="0.3">
      <c r="A5" s="684" t="s">
        <v>256</v>
      </c>
      <c r="B5" s="684"/>
      <c r="C5" s="684"/>
      <c r="D5" s="684"/>
      <c r="E5" s="684"/>
      <c r="F5" s="684"/>
      <c r="G5" s="684"/>
      <c r="H5" s="684"/>
      <c r="I5" s="684"/>
      <c r="J5" s="684"/>
      <c r="K5" s="684"/>
      <c r="L5" s="684"/>
      <c r="M5" s="314"/>
      <c r="N5" s="301"/>
      <c r="O5" s="301"/>
      <c r="P5" s="301"/>
      <c r="Q5" s="301"/>
      <c r="R5" s="301"/>
      <c r="S5" s="301"/>
    </row>
    <row r="6" spans="1:19" ht="16.5" customHeight="1" x14ac:dyDescent="0.3">
      <c r="A6" s="685" t="s">
        <v>21</v>
      </c>
      <c r="B6" s="685"/>
      <c r="C6" s="685"/>
      <c r="D6" s="685"/>
      <c r="E6" s="685"/>
      <c r="F6" s="685"/>
      <c r="G6" s="685"/>
      <c r="H6" s="685"/>
      <c r="I6" s="685"/>
      <c r="J6" s="685"/>
      <c r="K6" s="685"/>
      <c r="L6" s="685"/>
      <c r="M6" s="315"/>
      <c r="N6" s="302"/>
      <c r="O6" s="302"/>
      <c r="P6" s="302"/>
      <c r="Q6" s="302"/>
      <c r="R6" s="302"/>
      <c r="S6" s="302"/>
    </row>
    <row r="7" spans="1:19" s="13" customFormat="1" ht="15.75" customHeight="1" x14ac:dyDescent="0.3">
      <c r="A7" s="686" t="s">
        <v>37</v>
      </c>
      <c r="B7" s="686"/>
      <c r="C7" s="686"/>
      <c r="D7" s="686"/>
      <c r="E7" s="686"/>
      <c r="F7" s="686"/>
      <c r="G7" s="686"/>
      <c r="H7" s="686"/>
      <c r="I7" s="686"/>
      <c r="J7" s="686"/>
      <c r="K7" s="686"/>
      <c r="L7" s="686"/>
      <c r="M7" s="316"/>
      <c r="N7" s="303"/>
      <c r="O7" s="303"/>
      <c r="P7" s="303"/>
      <c r="Q7" s="303"/>
      <c r="R7" s="303"/>
      <c r="S7" s="303"/>
    </row>
    <row r="8" spans="1:19" s="13" customFormat="1" ht="13.5" customHeight="1" x14ac:dyDescent="0.25">
      <c r="A8" s="605"/>
      <c r="B8" s="605"/>
      <c r="C8" s="605"/>
      <c r="D8" s="605"/>
      <c r="E8" s="605"/>
      <c r="F8" s="605"/>
      <c r="G8" s="605"/>
      <c r="H8" s="605"/>
      <c r="I8" s="605"/>
      <c r="J8" s="605"/>
      <c r="K8" s="605"/>
      <c r="L8" s="248"/>
      <c r="M8" s="317"/>
    </row>
    <row r="9" spans="1:19" ht="18.75" customHeight="1" thickBot="1" x14ac:dyDescent="0.3">
      <c r="A9" s="31"/>
      <c r="B9" s="31"/>
      <c r="F9" s="188"/>
      <c r="G9" s="77"/>
      <c r="H9" s="188"/>
      <c r="I9" s="17"/>
      <c r="J9" s="263"/>
      <c r="K9" s="689" t="s">
        <v>47</v>
      </c>
      <c r="L9" s="689"/>
      <c r="M9" s="318"/>
      <c r="N9" s="144"/>
    </row>
    <row r="10" spans="1:19" ht="21" customHeight="1" thickBot="1" x14ac:dyDescent="0.3">
      <c r="A10" s="644" t="s">
        <v>174</v>
      </c>
      <c r="B10" s="647" t="s">
        <v>6</v>
      </c>
      <c r="C10" s="650" t="s">
        <v>7</v>
      </c>
      <c r="D10" s="650" t="s">
        <v>105</v>
      </c>
      <c r="E10" s="650" t="s">
        <v>106</v>
      </c>
      <c r="F10" s="623" t="s">
        <v>18</v>
      </c>
      <c r="G10" s="626" t="s">
        <v>175</v>
      </c>
      <c r="H10" s="629" t="s">
        <v>176</v>
      </c>
      <c r="I10" s="632" t="s">
        <v>8</v>
      </c>
      <c r="J10" s="658" t="s">
        <v>254</v>
      </c>
      <c r="K10" s="687" t="s">
        <v>173</v>
      </c>
      <c r="L10" s="688"/>
      <c r="M10" s="319"/>
      <c r="N10" s="144"/>
    </row>
    <row r="11" spans="1:19" ht="15.75" customHeight="1" x14ac:dyDescent="0.25">
      <c r="A11" s="645"/>
      <c r="B11" s="648"/>
      <c r="C11" s="651"/>
      <c r="D11" s="651"/>
      <c r="E11" s="651"/>
      <c r="F11" s="624"/>
      <c r="G11" s="627"/>
      <c r="H11" s="630"/>
      <c r="I11" s="633"/>
      <c r="J11" s="659"/>
      <c r="K11" s="655" t="s">
        <v>18</v>
      </c>
      <c r="L11" s="288" t="s">
        <v>168</v>
      </c>
      <c r="M11" s="46"/>
      <c r="N11" s="144"/>
    </row>
    <row r="12" spans="1:19" ht="95.25" customHeight="1" thickBot="1" x14ac:dyDescent="0.3">
      <c r="A12" s="646"/>
      <c r="B12" s="649"/>
      <c r="C12" s="652"/>
      <c r="D12" s="652"/>
      <c r="E12" s="652"/>
      <c r="F12" s="625"/>
      <c r="G12" s="628"/>
      <c r="H12" s="631"/>
      <c r="I12" s="634"/>
      <c r="J12" s="660"/>
      <c r="K12" s="656"/>
      <c r="L12" s="357" t="s">
        <v>177</v>
      </c>
      <c r="M12" s="419"/>
      <c r="N12" s="144"/>
    </row>
    <row r="13" spans="1:19" ht="15" customHeight="1" x14ac:dyDescent="0.25">
      <c r="A13" s="697" t="s">
        <v>41</v>
      </c>
      <c r="B13" s="698"/>
      <c r="C13" s="698"/>
      <c r="D13" s="698"/>
      <c r="E13" s="698"/>
      <c r="F13" s="698"/>
      <c r="G13" s="698"/>
      <c r="H13" s="698"/>
      <c r="I13" s="698"/>
      <c r="J13" s="698"/>
      <c r="K13" s="698"/>
      <c r="L13" s="420"/>
      <c r="M13" s="320"/>
      <c r="N13" s="262"/>
    </row>
    <row r="14" spans="1:19" ht="15.75" customHeight="1" x14ac:dyDescent="0.25">
      <c r="A14" s="699" t="s">
        <v>22</v>
      </c>
      <c r="B14" s="700"/>
      <c r="C14" s="700"/>
      <c r="D14" s="700"/>
      <c r="E14" s="700"/>
      <c r="F14" s="700"/>
      <c r="G14" s="700"/>
      <c r="H14" s="700"/>
      <c r="I14" s="700"/>
      <c r="J14" s="700"/>
      <c r="K14" s="700"/>
      <c r="L14" s="421"/>
      <c r="M14" s="321"/>
      <c r="N14" s="262"/>
    </row>
    <row r="15" spans="1:19" ht="15.75" customHeight="1" x14ac:dyDescent="0.25">
      <c r="A15" s="78" t="s">
        <v>9</v>
      </c>
      <c r="B15" s="635" t="s">
        <v>26</v>
      </c>
      <c r="C15" s="636"/>
      <c r="D15" s="636"/>
      <c r="E15" s="636"/>
      <c r="F15" s="636"/>
      <c r="G15" s="636"/>
      <c r="H15" s="636"/>
      <c r="I15" s="636"/>
      <c r="J15" s="636"/>
      <c r="K15" s="636"/>
      <c r="L15" s="264"/>
      <c r="M15" s="320"/>
      <c r="N15" s="11"/>
    </row>
    <row r="16" spans="1:19" ht="15.75" customHeight="1" thickBot="1" x14ac:dyDescent="0.3">
      <c r="A16" s="79" t="s">
        <v>9</v>
      </c>
      <c r="B16" s="80" t="s">
        <v>9</v>
      </c>
      <c r="C16" s="637" t="s">
        <v>44</v>
      </c>
      <c r="D16" s="638"/>
      <c r="E16" s="638"/>
      <c r="F16" s="638"/>
      <c r="G16" s="638"/>
      <c r="H16" s="638"/>
      <c r="I16" s="638"/>
      <c r="J16" s="638"/>
      <c r="K16" s="638"/>
      <c r="L16" s="265"/>
      <c r="M16" s="320"/>
      <c r="N16" s="11"/>
    </row>
    <row r="17" spans="1:14" ht="29.25" customHeight="1" x14ac:dyDescent="0.25">
      <c r="A17" s="81" t="s">
        <v>9</v>
      </c>
      <c r="B17" s="82" t="s">
        <v>9</v>
      </c>
      <c r="C17" s="83" t="s">
        <v>9</v>
      </c>
      <c r="D17" s="23"/>
      <c r="E17" s="23"/>
      <c r="F17" s="416" t="s">
        <v>34</v>
      </c>
      <c r="G17" s="84"/>
      <c r="H17" s="639" t="s">
        <v>260</v>
      </c>
      <c r="I17" s="349" t="s">
        <v>40</v>
      </c>
      <c r="J17" s="408">
        <f>13.7+968.1</f>
        <v>981.80000000000007</v>
      </c>
      <c r="K17" s="56"/>
      <c r="L17" s="349"/>
      <c r="M17" s="196"/>
      <c r="N17" s="11"/>
    </row>
    <row r="18" spans="1:14" ht="14.25" customHeight="1" x14ac:dyDescent="0.25">
      <c r="A18" s="78"/>
      <c r="B18" s="85"/>
      <c r="C18" s="86"/>
      <c r="D18" s="157" t="s">
        <v>9</v>
      </c>
      <c r="E18" s="157"/>
      <c r="F18" s="609" t="s">
        <v>72</v>
      </c>
      <c r="G18" s="217" t="s">
        <v>125</v>
      </c>
      <c r="H18" s="640"/>
      <c r="I18" s="34" t="s">
        <v>10</v>
      </c>
      <c r="J18" s="6">
        <f>27580.8+150.6+433.7+22.9</f>
        <v>28188</v>
      </c>
      <c r="K18" s="348" t="s">
        <v>63</v>
      </c>
      <c r="L18" s="34">
        <v>41</v>
      </c>
      <c r="M18" s="196"/>
      <c r="N18" s="11"/>
    </row>
    <row r="19" spans="1:14" ht="14.25" customHeight="1" x14ac:dyDescent="0.25">
      <c r="A19" s="78"/>
      <c r="B19" s="85"/>
      <c r="C19" s="86"/>
      <c r="D19" s="405"/>
      <c r="E19" s="405"/>
      <c r="F19" s="621"/>
      <c r="G19" s="175" t="s">
        <v>182</v>
      </c>
      <c r="H19" s="640"/>
      <c r="I19" s="402" t="s">
        <v>13</v>
      </c>
      <c r="J19" s="408">
        <f>17147.8+71.8</f>
        <v>17219.599999999999</v>
      </c>
      <c r="K19" s="7" t="s">
        <v>64</v>
      </c>
      <c r="L19" s="34">
        <v>7975</v>
      </c>
      <c r="M19" s="196"/>
      <c r="N19" s="11"/>
    </row>
    <row r="20" spans="1:14" ht="15" customHeight="1" x14ac:dyDescent="0.25">
      <c r="A20" s="78"/>
      <c r="B20" s="85"/>
      <c r="C20" s="86"/>
      <c r="D20" s="405"/>
      <c r="E20" s="405"/>
      <c r="F20" s="621"/>
      <c r="G20" s="175" t="s">
        <v>181</v>
      </c>
      <c r="H20" s="619" t="s">
        <v>172</v>
      </c>
      <c r="I20" s="550" t="s">
        <v>13</v>
      </c>
      <c r="J20" s="400">
        <f>38.9+30</f>
        <v>68.900000000000006</v>
      </c>
      <c r="K20" s="62" t="s">
        <v>196</v>
      </c>
      <c r="L20" s="275">
        <v>55.12</v>
      </c>
      <c r="M20" s="196"/>
      <c r="N20" s="11"/>
    </row>
    <row r="21" spans="1:14" ht="15" customHeight="1" x14ac:dyDescent="0.25">
      <c r="A21" s="78"/>
      <c r="B21" s="85"/>
      <c r="C21" s="86"/>
      <c r="D21" s="405"/>
      <c r="E21" s="405"/>
      <c r="F21" s="531"/>
      <c r="G21" s="175"/>
      <c r="H21" s="619"/>
      <c r="I21" s="532" t="s">
        <v>13</v>
      </c>
      <c r="J21" s="400">
        <f>58+59.3+113+118.5</f>
        <v>348.8</v>
      </c>
      <c r="K21" s="141" t="s">
        <v>197</v>
      </c>
      <c r="L21" s="275">
        <v>20.41</v>
      </c>
      <c r="M21" s="196"/>
      <c r="N21" s="11"/>
    </row>
    <row r="22" spans="1:14" ht="15" customHeight="1" x14ac:dyDescent="0.25">
      <c r="A22" s="78"/>
      <c r="B22" s="85"/>
      <c r="C22" s="86"/>
      <c r="D22" s="405"/>
      <c r="E22" s="405"/>
      <c r="F22" s="531"/>
      <c r="G22" s="175"/>
      <c r="H22" s="619"/>
      <c r="I22" s="34" t="s">
        <v>33</v>
      </c>
      <c r="J22" s="274">
        <f>5179.5+84.2</f>
        <v>5263.7</v>
      </c>
      <c r="K22" s="534"/>
      <c r="L22" s="422"/>
      <c r="M22" s="196"/>
      <c r="N22" s="11"/>
    </row>
    <row r="23" spans="1:14" ht="15.75" customHeight="1" x14ac:dyDescent="0.25">
      <c r="A23" s="78"/>
      <c r="B23" s="87"/>
      <c r="C23" s="86"/>
      <c r="D23" s="157" t="s">
        <v>12</v>
      </c>
      <c r="E23" s="157"/>
      <c r="F23" s="609" t="s">
        <v>120</v>
      </c>
      <c r="G23" s="584" t="s">
        <v>181</v>
      </c>
      <c r="H23" s="619"/>
      <c r="I23" s="34" t="s">
        <v>13</v>
      </c>
      <c r="J23" s="274">
        <f>1248.4+6.8</f>
        <v>1255.2</v>
      </c>
      <c r="K23" s="378" t="s">
        <v>63</v>
      </c>
      <c r="L23" s="359">
        <v>9</v>
      </c>
      <c r="M23" s="196"/>
      <c r="N23" s="11"/>
    </row>
    <row r="24" spans="1:14" ht="14.25" customHeight="1" x14ac:dyDescent="0.25">
      <c r="A24" s="78"/>
      <c r="B24" s="85"/>
      <c r="C24" s="86"/>
      <c r="D24" s="406"/>
      <c r="E24" s="406"/>
      <c r="F24" s="610"/>
      <c r="G24" s="583"/>
      <c r="H24" s="619"/>
      <c r="I24" s="491" t="s">
        <v>13</v>
      </c>
      <c r="J24" s="274">
        <f>0.4+1.3+2.2+3.2</f>
        <v>7.1000000000000005</v>
      </c>
      <c r="K24" s="62" t="s">
        <v>64</v>
      </c>
      <c r="L24" s="34">
        <v>351</v>
      </c>
      <c r="M24" s="196"/>
      <c r="N24" s="11"/>
    </row>
    <row r="25" spans="1:14" ht="14.25" customHeight="1" x14ac:dyDescent="0.25">
      <c r="A25" s="89"/>
      <c r="B25" s="87"/>
      <c r="C25" s="90"/>
      <c r="D25" s="405" t="s">
        <v>14</v>
      </c>
      <c r="E25" s="405"/>
      <c r="F25" s="621" t="s">
        <v>46</v>
      </c>
      <c r="G25" s="175" t="s">
        <v>181</v>
      </c>
      <c r="H25" s="619"/>
      <c r="I25" s="402" t="s">
        <v>10</v>
      </c>
      <c r="J25" s="409">
        <f>1751.6+5+53.5+4</f>
        <v>1814.1</v>
      </c>
      <c r="K25" s="141" t="s">
        <v>63</v>
      </c>
      <c r="L25" s="34">
        <v>4</v>
      </c>
      <c r="M25" s="196"/>
      <c r="N25" s="11"/>
    </row>
    <row r="26" spans="1:14" ht="15.75" customHeight="1" x14ac:dyDescent="0.25">
      <c r="A26" s="89"/>
      <c r="B26" s="87"/>
      <c r="C26" s="91"/>
      <c r="D26" s="405"/>
      <c r="E26" s="405"/>
      <c r="F26" s="621"/>
      <c r="G26" s="175"/>
      <c r="H26" s="619"/>
      <c r="I26" s="402" t="s">
        <v>13</v>
      </c>
      <c r="J26" s="274">
        <f>2497.8+54.4</f>
        <v>2552.2000000000003</v>
      </c>
      <c r="K26" s="374" t="s">
        <v>64</v>
      </c>
      <c r="L26" s="358">
        <v>1251</v>
      </c>
      <c r="M26" s="196"/>
      <c r="N26" s="11"/>
    </row>
    <row r="27" spans="1:14" ht="15.75" customHeight="1" x14ac:dyDescent="0.25">
      <c r="A27" s="89"/>
      <c r="B27" s="87"/>
      <c r="C27" s="91"/>
      <c r="D27" s="405"/>
      <c r="E27" s="405"/>
      <c r="F27" s="621"/>
      <c r="G27" s="175"/>
      <c r="H27" s="219"/>
      <c r="I27" s="359" t="s">
        <v>13</v>
      </c>
      <c r="J27" s="408">
        <f>2.6+2.4+6.6+3.5</f>
        <v>15.1</v>
      </c>
      <c r="K27" s="543"/>
      <c r="L27" s="533"/>
      <c r="M27" s="196"/>
      <c r="N27" s="11"/>
    </row>
    <row r="28" spans="1:14" ht="15.75" customHeight="1" x14ac:dyDescent="0.25">
      <c r="A28" s="89"/>
      <c r="B28" s="87"/>
      <c r="C28" s="91"/>
      <c r="D28" s="405"/>
      <c r="E28" s="405"/>
      <c r="F28" s="621"/>
      <c r="G28" s="487"/>
      <c r="H28" s="219"/>
      <c r="I28" s="358" t="s">
        <v>33</v>
      </c>
      <c r="J28" s="66">
        <f>397.9+20</f>
        <v>417.9</v>
      </c>
      <c r="K28" s="7" t="s">
        <v>108</v>
      </c>
      <c r="L28" s="34">
        <v>914</v>
      </c>
      <c r="M28" s="196"/>
      <c r="N28" s="11"/>
    </row>
    <row r="29" spans="1:14" ht="16.95" customHeight="1" x14ac:dyDescent="0.25">
      <c r="A29" s="92"/>
      <c r="B29" s="87"/>
      <c r="C29" s="91"/>
      <c r="D29" s="157" t="s">
        <v>16</v>
      </c>
      <c r="E29" s="28"/>
      <c r="F29" s="609" t="s">
        <v>132</v>
      </c>
      <c r="G29" s="175" t="s">
        <v>181</v>
      </c>
      <c r="H29" s="219"/>
      <c r="I29" s="34" t="s">
        <v>13</v>
      </c>
      <c r="J29" s="274">
        <f>362+9.8</f>
        <v>371.8</v>
      </c>
      <c r="K29" s="374" t="s">
        <v>63</v>
      </c>
      <c r="L29" s="359">
        <v>2</v>
      </c>
      <c r="M29" s="196"/>
      <c r="N29" s="769"/>
    </row>
    <row r="30" spans="1:14" ht="16.95" customHeight="1" x14ac:dyDescent="0.25">
      <c r="A30" s="92"/>
      <c r="B30" s="87"/>
      <c r="C30" s="91"/>
      <c r="D30" s="406"/>
      <c r="E30" s="406"/>
      <c r="F30" s="610"/>
      <c r="G30" s="373"/>
      <c r="H30" s="219"/>
      <c r="I30" s="402" t="s">
        <v>13</v>
      </c>
      <c r="J30" s="411">
        <f>0.5+0.6+1.1+0.4</f>
        <v>2.6</v>
      </c>
      <c r="K30" s="65" t="s">
        <v>64</v>
      </c>
      <c r="L30" s="358">
        <v>147</v>
      </c>
      <c r="M30" s="196"/>
      <c r="N30" s="769"/>
    </row>
    <row r="31" spans="1:14" ht="15.75" customHeight="1" x14ac:dyDescent="0.25">
      <c r="A31" s="92"/>
      <c r="B31" s="85"/>
      <c r="C31" s="91"/>
      <c r="D31" s="405" t="s">
        <v>17</v>
      </c>
      <c r="E31" s="405"/>
      <c r="F31" s="609" t="s">
        <v>73</v>
      </c>
      <c r="G31" s="175" t="s">
        <v>181</v>
      </c>
      <c r="H31" s="219"/>
      <c r="I31" s="402" t="s">
        <v>10</v>
      </c>
      <c r="J31" s="409">
        <f>12197.8+47.7+177+9</f>
        <v>12431.5</v>
      </c>
      <c r="K31" s="141" t="s">
        <v>63</v>
      </c>
      <c r="L31" s="358">
        <v>32</v>
      </c>
      <c r="M31" s="196"/>
      <c r="N31" s="11"/>
    </row>
    <row r="32" spans="1:14" ht="15.75" customHeight="1" x14ac:dyDescent="0.25">
      <c r="A32" s="92"/>
      <c r="B32" s="85"/>
      <c r="C32" s="91"/>
      <c r="D32" s="405"/>
      <c r="E32" s="405"/>
      <c r="F32" s="621"/>
      <c r="G32" s="175"/>
      <c r="H32" s="219"/>
      <c r="I32" s="402" t="s">
        <v>13</v>
      </c>
      <c r="J32" s="408">
        <f>49746.2-1539.3+2072.6</f>
        <v>50279.499999999993</v>
      </c>
      <c r="K32" s="7" t="s">
        <v>64</v>
      </c>
      <c r="L32" s="34">
        <v>20420</v>
      </c>
      <c r="M32" s="196"/>
      <c r="N32" s="11"/>
    </row>
    <row r="33" spans="1:16" ht="15.75" customHeight="1" x14ac:dyDescent="0.25">
      <c r="A33" s="92"/>
      <c r="B33" s="85"/>
      <c r="C33" s="91"/>
      <c r="D33" s="405"/>
      <c r="E33" s="405"/>
      <c r="F33" s="621"/>
      <c r="G33" s="175"/>
      <c r="H33" s="219"/>
      <c r="I33" s="402" t="s">
        <v>13</v>
      </c>
      <c r="J33" s="6">
        <v>1830.6</v>
      </c>
      <c r="K33" s="7" t="s">
        <v>108</v>
      </c>
      <c r="L33" s="34">
        <v>20280</v>
      </c>
      <c r="M33" s="196"/>
      <c r="N33" s="11"/>
    </row>
    <row r="34" spans="1:16" ht="15.75" customHeight="1" x14ac:dyDescent="0.25">
      <c r="A34" s="92"/>
      <c r="B34" s="85"/>
      <c r="C34" s="91"/>
      <c r="D34" s="405"/>
      <c r="E34" s="405"/>
      <c r="F34" s="531"/>
      <c r="G34" s="175"/>
      <c r="H34" s="219"/>
      <c r="I34" s="533" t="s">
        <v>13</v>
      </c>
      <c r="J34" s="409">
        <f>2+3.9+6.6+8.1</f>
        <v>20.6</v>
      </c>
      <c r="K34" s="62" t="s">
        <v>196</v>
      </c>
      <c r="L34" s="589">
        <v>2.16</v>
      </c>
      <c r="M34" s="196"/>
      <c r="N34" s="11"/>
    </row>
    <row r="35" spans="1:16" ht="15.75" customHeight="1" x14ac:dyDescent="0.25">
      <c r="A35" s="92"/>
      <c r="B35" s="85"/>
      <c r="C35" s="91"/>
      <c r="D35" s="405"/>
      <c r="E35" s="405"/>
      <c r="F35" s="189"/>
      <c r="G35" s="373"/>
      <c r="H35" s="219"/>
      <c r="I35" s="34" t="s">
        <v>33</v>
      </c>
      <c r="J35" s="409">
        <v>996.7</v>
      </c>
      <c r="K35" s="141" t="s">
        <v>197</v>
      </c>
      <c r="L35" s="590">
        <v>0.78</v>
      </c>
      <c r="M35" s="196"/>
      <c r="N35" s="11"/>
    </row>
    <row r="36" spans="1:16" ht="15.6" customHeight="1" x14ac:dyDescent="0.25">
      <c r="A36" s="92"/>
      <c r="B36" s="85"/>
      <c r="C36" s="91"/>
      <c r="D36" s="157" t="s">
        <v>56</v>
      </c>
      <c r="E36" s="157"/>
      <c r="F36" s="609" t="s">
        <v>223</v>
      </c>
      <c r="G36" s="217" t="s">
        <v>181</v>
      </c>
      <c r="H36" s="219"/>
      <c r="I36" s="358" t="s">
        <v>117</v>
      </c>
      <c r="J36" s="410">
        <v>91.9</v>
      </c>
      <c r="K36" s="57" t="s">
        <v>63</v>
      </c>
      <c r="L36" s="359">
        <v>5</v>
      </c>
      <c r="M36" s="196"/>
      <c r="N36" s="769"/>
      <c r="O36" s="769"/>
      <c r="P36" s="769"/>
    </row>
    <row r="37" spans="1:16" ht="26.4" customHeight="1" x14ac:dyDescent="0.25">
      <c r="A37" s="92"/>
      <c r="B37" s="85"/>
      <c r="C37" s="91"/>
      <c r="D37" s="406"/>
      <c r="E37" s="406"/>
      <c r="F37" s="610"/>
      <c r="G37" s="222"/>
      <c r="H37" s="219"/>
      <c r="I37" s="402"/>
      <c r="J37" s="401"/>
      <c r="K37" s="141"/>
      <c r="L37" s="422"/>
      <c r="M37" s="196"/>
      <c r="N37" s="769"/>
      <c r="O37" s="769"/>
      <c r="P37" s="769"/>
    </row>
    <row r="38" spans="1:16" ht="28.5" customHeight="1" x14ac:dyDescent="0.25">
      <c r="A38" s="92"/>
      <c r="B38" s="85"/>
      <c r="C38" s="91"/>
      <c r="D38" s="368" t="s">
        <v>57</v>
      </c>
      <c r="E38" s="368"/>
      <c r="F38" s="370" t="s">
        <v>272</v>
      </c>
      <c r="G38" s="222" t="s">
        <v>181</v>
      </c>
      <c r="H38" s="219"/>
      <c r="I38" s="402"/>
      <c r="J38" s="409"/>
      <c r="K38" s="141" t="s">
        <v>240</v>
      </c>
      <c r="L38" s="401">
        <v>26.5</v>
      </c>
      <c r="M38" s="196"/>
      <c r="N38" s="312"/>
      <c r="O38" s="312"/>
      <c r="P38" s="312"/>
    </row>
    <row r="39" spans="1:16" ht="106.8" customHeight="1" x14ac:dyDescent="0.25">
      <c r="A39" s="92"/>
      <c r="B39" s="85"/>
      <c r="C39" s="91"/>
      <c r="D39" s="526" t="s">
        <v>95</v>
      </c>
      <c r="E39" s="526"/>
      <c r="F39" s="537" t="s">
        <v>253</v>
      </c>
      <c r="G39" s="175" t="s">
        <v>184</v>
      </c>
      <c r="H39" s="514" t="s">
        <v>267</v>
      </c>
      <c r="I39" s="524" t="s">
        <v>183</v>
      </c>
      <c r="J39" s="400">
        <v>3380</v>
      </c>
      <c r="K39" s="57" t="s">
        <v>63</v>
      </c>
      <c r="L39" s="524">
        <v>6</v>
      </c>
      <c r="M39" s="196"/>
      <c r="N39" s="304"/>
      <c r="O39" s="304"/>
      <c r="P39" s="304"/>
    </row>
    <row r="40" spans="1:16" ht="27" customHeight="1" x14ac:dyDescent="0.25">
      <c r="A40" s="92"/>
      <c r="B40" s="85"/>
      <c r="C40" s="91"/>
      <c r="D40" s="523"/>
      <c r="E40" s="523"/>
      <c r="F40" s="516"/>
      <c r="G40" s="518"/>
      <c r="H40" s="551" t="s">
        <v>233</v>
      </c>
      <c r="I40" s="359"/>
      <c r="J40" s="409"/>
      <c r="K40" s="353"/>
      <c r="L40" s="525"/>
      <c r="M40" s="196"/>
      <c r="N40" s="517"/>
      <c r="O40" s="517"/>
      <c r="P40" s="517"/>
    </row>
    <row r="41" spans="1:16" ht="22.2" customHeight="1" x14ac:dyDescent="0.25">
      <c r="A41" s="92"/>
      <c r="B41" s="85"/>
      <c r="C41" s="91"/>
      <c r="D41" s="157" t="s">
        <v>96</v>
      </c>
      <c r="E41" s="28"/>
      <c r="F41" s="609" t="s">
        <v>247</v>
      </c>
      <c r="G41" s="389" t="s">
        <v>181</v>
      </c>
      <c r="H41" s="618" t="s">
        <v>224</v>
      </c>
      <c r="I41" s="34" t="s">
        <v>13</v>
      </c>
      <c r="J41" s="274">
        <f>4022.3+18.4</f>
        <v>4040.7000000000003</v>
      </c>
      <c r="K41" s="379" t="s">
        <v>63</v>
      </c>
      <c r="L41" s="34">
        <v>6</v>
      </c>
      <c r="M41" s="196"/>
      <c r="N41" s="11"/>
    </row>
    <row r="42" spans="1:16" ht="86.4" customHeight="1" x14ac:dyDescent="0.25">
      <c r="A42" s="92"/>
      <c r="B42" s="85"/>
      <c r="C42" s="91"/>
      <c r="D42" s="406"/>
      <c r="E42" s="29"/>
      <c r="F42" s="610"/>
      <c r="G42" s="373" t="s">
        <v>182</v>
      </c>
      <c r="H42" s="672"/>
      <c r="I42" s="402" t="s">
        <v>13</v>
      </c>
      <c r="J42" s="401">
        <f>1+1.6+3.4+3.3</f>
        <v>9.3000000000000007</v>
      </c>
      <c r="K42" s="62" t="s">
        <v>64</v>
      </c>
      <c r="L42" s="34">
        <v>1442</v>
      </c>
      <c r="M42" s="196"/>
      <c r="N42" s="11"/>
    </row>
    <row r="43" spans="1:16" ht="21.75" customHeight="1" x14ac:dyDescent="0.25">
      <c r="A43" s="92"/>
      <c r="B43" s="85"/>
      <c r="C43" s="91"/>
      <c r="D43" s="157" t="s">
        <v>3</v>
      </c>
      <c r="E43" s="157"/>
      <c r="F43" s="609" t="s">
        <v>104</v>
      </c>
      <c r="G43" s="217" t="s">
        <v>181</v>
      </c>
      <c r="H43" s="336" t="s">
        <v>130</v>
      </c>
      <c r="I43" s="358" t="s">
        <v>10</v>
      </c>
      <c r="J43" s="66">
        <f>41.3-5-1.5</f>
        <v>34.799999999999997</v>
      </c>
      <c r="K43" s="665" t="s">
        <v>90</v>
      </c>
      <c r="L43" s="359">
        <v>2050</v>
      </c>
      <c r="M43" s="196"/>
      <c r="N43" s="11"/>
    </row>
    <row r="44" spans="1:16" s="93" customFormat="1" ht="19.5" customHeight="1" x14ac:dyDescent="0.25">
      <c r="A44" s="78"/>
      <c r="B44" s="85"/>
      <c r="C44" s="90"/>
      <c r="D44" s="406"/>
      <c r="E44" s="406"/>
      <c r="F44" s="610"/>
      <c r="G44" s="227"/>
      <c r="H44" s="237"/>
      <c r="I44" s="402"/>
      <c r="J44" s="409"/>
      <c r="K44" s="666"/>
      <c r="L44" s="359"/>
      <c r="M44" s="196"/>
      <c r="N44" s="142"/>
    </row>
    <row r="45" spans="1:16" ht="18" customHeight="1" x14ac:dyDescent="0.25">
      <c r="A45" s="89"/>
      <c r="B45" s="85"/>
      <c r="C45" s="91"/>
      <c r="D45" s="405" t="s">
        <v>97</v>
      </c>
      <c r="E45" s="405"/>
      <c r="F45" s="621" t="s">
        <v>159</v>
      </c>
      <c r="G45" s="72" t="s">
        <v>181</v>
      </c>
      <c r="H45" s="618" t="s">
        <v>260</v>
      </c>
      <c r="I45" s="359" t="s">
        <v>10</v>
      </c>
      <c r="J45" s="408">
        <f>9895+2.2+0.8+7.9</f>
        <v>9905.9</v>
      </c>
      <c r="K45" s="141" t="s">
        <v>63</v>
      </c>
      <c r="L45" s="34">
        <v>6</v>
      </c>
      <c r="M45" s="196"/>
      <c r="N45" s="11"/>
    </row>
    <row r="46" spans="1:16" ht="21" customHeight="1" x14ac:dyDescent="0.25">
      <c r="A46" s="89"/>
      <c r="B46" s="85"/>
      <c r="C46" s="91"/>
      <c r="D46" s="405"/>
      <c r="E46" s="405"/>
      <c r="F46" s="621"/>
      <c r="G46" s="73"/>
      <c r="H46" s="619"/>
      <c r="I46" s="358" t="s">
        <v>13</v>
      </c>
      <c r="J46" s="410">
        <v>176.3</v>
      </c>
      <c r="K46" s="484" t="s">
        <v>64</v>
      </c>
      <c r="L46" s="358">
        <v>5468</v>
      </c>
      <c r="M46" s="196"/>
      <c r="N46" s="11"/>
    </row>
    <row r="47" spans="1:16" ht="12.75" customHeight="1" x14ac:dyDescent="0.25">
      <c r="A47" s="89"/>
      <c r="B47" s="85"/>
      <c r="C47" s="91"/>
      <c r="D47" s="405"/>
      <c r="E47" s="405"/>
      <c r="F47" s="621"/>
      <c r="G47" s="73"/>
      <c r="H47" s="619" t="s">
        <v>172</v>
      </c>
      <c r="I47" s="358" t="s">
        <v>33</v>
      </c>
      <c r="J47" s="66">
        <f>444+35</f>
        <v>479</v>
      </c>
      <c r="K47" s="665" t="s">
        <v>165</v>
      </c>
      <c r="L47" s="358">
        <v>180</v>
      </c>
      <c r="M47" s="196"/>
      <c r="N47" s="11"/>
    </row>
    <row r="48" spans="1:16" ht="15.6" customHeight="1" x14ac:dyDescent="0.25">
      <c r="A48" s="89"/>
      <c r="B48" s="85"/>
      <c r="C48" s="91"/>
      <c r="D48" s="406"/>
      <c r="E48" s="406"/>
      <c r="F48" s="610"/>
      <c r="G48" s="220"/>
      <c r="H48" s="619"/>
      <c r="I48" s="402"/>
      <c r="J48" s="401"/>
      <c r="K48" s="666"/>
      <c r="L48" s="402"/>
      <c r="M48" s="196"/>
      <c r="N48" s="11"/>
    </row>
    <row r="49" spans="1:14" ht="29.25" customHeight="1" x14ac:dyDescent="0.25">
      <c r="A49" s="89"/>
      <c r="B49" s="85"/>
      <c r="C49" s="91"/>
      <c r="D49" s="368" t="s">
        <v>98</v>
      </c>
      <c r="E49" s="368"/>
      <c r="F49" s="370" t="s">
        <v>185</v>
      </c>
      <c r="G49" s="88" t="s">
        <v>181</v>
      </c>
      <c r="H49" s="619"/>
      <c r="I49" s="34" t="s">
        <v>10</v>
      </c>
      <c r="J49" s="6">
        <f>32.4+32.2</f>
        <v>64.599999999999994</v>
      </c>
      <c r="K49" s="348" t="s">
        <v>186</v>
      </c>
      <c r="L49" s="359">
        <v>106</v>
      </c>
      <c r="M49" s="196"/>
      <c r="N49" s="11"/>
    </row>
    <row r="50" spans="1:14" ht="17.25" customHeight="1" x14ac:dyDescent="0.25">
      <c r="A50" s="89"/>
      <c r="B50" s="85"/>
      <c r="C50" s="91"/>
      <c r="D50" s="157" t="s">
        <v>99</v>
      </c>
      <c r="E50" s="157"/>
      <c r="F50" s="680" t="s">
        <v>160</v>
      </c>
      <c r="G50" s="217" t="s">
        <v>179</v>
      </c>
      <c r="H50" s="619"/>
      <c r="I50" s="402" t="s">
        <v>10</v>
      </c>
      <c r="J50" s="408">
        <f>551.8+11.4</f>
        <v>563.19999999999993</v>
      </c>
      <c r="K50" s="57" t="s">
        <v>144</v>
      </c>
      <c r="L50" s="34">
        <v>10000</v>
      </c>
      <c r="M50" s="196"/>
      <c r="N50" s="11"/>
    </row>
    <row r="51" spans="1:14" ht="18" customHeight="1" x14ac:dyDescent="0.25">
      <c r="A51" s="89"/>
      <c r="B51" s="85"/>
      <c r="C51" s="91"/>
      <c r="D51" s="405"/>
      <c r="E51" s="405"/>
      <c r="F51" s="681"/>
      <c r="G51" s="175" t="s">
        <v>181</v>
      </c>
      <c r="H51" s="619"/>
      <c r="I51" s="34" t="s">
        <v>13</v>
      </c>
      <c r="J51" s="6">
        <v>1050.5</v>
      </c>
      <c r="K51" s="348" t="s">
        <v>126</v>
      </c>
      <c r="L51" s="359">
        <v>3</v>
      </c>
      <c r="M51" s="196"/>
      <c r="N51" s="11"/>
    </row>
    <row r="52" spans="1:14" ht="16.5" customHeight="1" x14ac:dyDescent="0.25">
      <c r="A52" s="89"/>
      <c r="B52" s="85"/>
      <c r="C52" s="91"/>
      <c r="D52" s="406"/>
      <c r="E52" s="406"/>
      <c r="F52" s="774"/>
      <c r="G52" s="222" t="s">
        <v>182</v>
      </c>
      <c r="H52" s="219"/>
      <c r="I52" s="34" t="s">
        <v>33</v>
      </c>
      <c r="J52" s="6">
        <v>18</v>
      </c>
      <c r="K52" s="348" t="s">
        <v>169</v>
      </c>
      <c r="L52" s="275">
        <v>4.75</v>
      </c>
      <c r="M52" s="196"/>
      <c r="N52" s="11"/>
    </row>
    <row r="53" spans="1:14" ht="15" customHeight="1" x14ac:dyDescent="0.25">
      <c r="A53" s="94"/>
      <c r="B53" s="87"/>
      <c r="C53" s="86"/>
      <c r="D53" s="157" t="s">
        <v>100</v>
      </c>
      <c r="E53" s="157"/>
      <c r="F53" s="680" t="s">
        <v>77</v>
      </c>
      <c r="G53" s="389" t="s">
        <v>181</v>
      </c>
      <c r="H53" s="376"/>
      <c r="I53" s="34" t="s">
        <v>10</v>
      </c>
      <c r="J53" s="408">
        <f>769.9+10</f>
        <v>779.9</v>
      </c>
      <c r="K53" s="141" t="s">
        <v>64</v>
      </c>
      <c r="L53" s="34">
        <v>76</v>
      </c>
      <c r="M53" s="196"/>
      <c r="N53" s="11"/>
    </row>
    <row r="54" spans="1:14" ht="16.2" customHeight="1" x14ac:dyDescent="0.25">
      <c r="A54" s="94"/>
      <c r="B54" s="87"/>
      <c r="C54" s="86"/>
      <c r="D54" s="405"/>
      <c r="E54" s="405"/>
      <c r="F54" s="681"/>
      <c r="G54" s="372" t="s">
        <v>182</v>
      </c>
      <c r="H54" s="376"/>
      <c r="I54" s="402" t="s">
        <v>13</v>
      </c>
      <c r="J54" s="179">
        <f>289.7+30</f>
        <v>319.7</v>
      </c>
      <c r="K54" s="67" t="s">
        <v>144</v>
      </c>
      <c r="L54" s="34">
        <v>150</v>
      </c>
      <c r="M54" s="196"/>
      <c r="N54" s="11"/>
    </row>
    <row r="55" spans="1:14" ht="13.5" customHeight="1" x14ac:dyDescent="0.25">
      <c r="A55" s="94"/>
      <c r="B55" s="87"/>
      <c r="C55" s="86"/>
      <c r="D55" s="405"/>
      <c r="E55" s="405"/>
      <c r="F55" s="544"/>
      <c r="G55" s="535"/>
      <c r="H55" s="530"/>
      <c r="I55" s="533" t="s">
        <v>13</v>
      </c>
      <c r="J55" s="409">
        <f>0.2+0.2+0.4+0.4</f>
        <v>1.2000000000000002</v>
      </c>
      <c r="K55" s="62" t="s">
        <v>196</v>
      </c>
      <c r="L55" s="274">
        <v>1.8</v>
      </c>
      <c r="M55" s="196"/>
      <c r="N55" s="11"/>
    </row>
    <row r="56" spans="1:14" ht="13.5" customHeight="1" x14ac:dyDescent="0.25">
      <c r="A56" s="94"/>
      <c r="B56" s="87"/>
      <c r="C56" s="86"/>
      <c r="D56" s="406"/>
      <c r="E56" s="406"/>
      <c r="F56" s="449"/>
      <c r="G56" s="228"/>
      <c r="H56" s="376"/>
      <c r="I56" s="34" t="s">
        <v>33</v>
      </c>
      <c r="J56" s="409">
        <v>45.4</v>
      </c>
      <c r="K56" s="141" t="s">
        <v>197</v>
      </c>
      <c r="L56" s="591">
        <v>0.65</v>
      </c>
      <c r="M56" s="196"/>
      <c r="N56" s="11"/>
    </row>
    <row r="57" spans="1:14" ht="26.25" customHeight="1" x14ac:dyDescent="0.25">
      <c r="A57" s="94"/>
      <c r="B57" s="87"/>
      <c r="C57" s="86"/>
      <c r="D57" s="405" t="s">
        <v>101</v>
      </c>
      <c r="E57" s="405"/>
      <c r="F57" s="403" t="s">
        <v>78</v>
      </c>
      <c r="G57" s="175" t="s">
        <v>181</v>
      </c>
      <c r="H57" s="219"/>
      <c r="I57" s="359" t="s">
        <v>10</v>
      </c>
      <c r="J57" s="408">
        <f>406.4+11.7</f>
        <v>418.09999999999997</v>
      </c>
      <c r="K57" s="141" t="s">
        <v>150</v>
      </c>
      <c r="L57" s="358">
        <v>2190</v>
      </c>
      <c r="M57" s="196"/>
      <c r="N57" s="11"/>
    </row>
    <row r="58" spans="1:14" ht="28.5" customHeight="1" x14ac:dyDescent="0.25">
      <c r="A58" s="94"/>
      <c r="B58" s="87"/>
      <c r="C58" s="86"/>
      <c r="D58" s="405"/>
      <c r="E58" s="405"/>
      <c r="F58" s="403"/>
      <c r="G58" s="169"/>
      <c r="H58" s="219"/>
      <c r="I58" s="358" t="s">
        <v>33</v>
      </c>
      <c r="J58" s="66">
        <v>30</v>
      </c>
      <c r="K58" s="62" t="s">
        <v>198</v>
      </c>
      <c r="L58" s="34">
        <v>90</v>
      </c>
      <c r="M58" s="196"/>
      <c r="N58" s="11"/>
    </row>
    <row r="59" spans="1:14" ht="17.25" customHeight="1" x14ac:dyDescent="0.25">
      <c r="A59" s="94"/>
      <c r="B59" s="87"/>
      <c r="C59" s="86"/>
      <c r="D59" s="405"/>
      <c r="E59" s="405"/>
      <c r="F59" s="403"/>
      <c r="G59" s="244"/>
      <c r="H59" s="376"/>
      <c r="I59" s="359"/>
      <c r="J59" s="401"/>
      <c r="K59" s="62" t="s">
        <v>66</v>
      </c>
      <c r="L59" s="34">
        <v>12000</v>
      </c>
      <c r="M59" s="196"/>
      <c r="N59" s="11"/>
    </row>
    <row r="60" spans="1:14" ht="29.25" customHeight="1" x14ac:dyDescent="0.25">
      <c r="A60" s="78"/>
      <c r="B60" s="87"/>
      <c r="C60" s="86"/>
      <c r="D60" s="157" t="s">
        <v>102</v>
      </c>
      <c r="E60" s="157"/>
      <c r="F60" s="776" t="s">
        <v>91</v>
      </c>
      <c r="G60" s="389" t="s">
        <v>194</v>
      </c>
      <c r="H60" s="376" t="s">
        <v>130</v>
      </c>
      <c r="I60" s="358" t="s">
        <v>10</v>
      </c>
      <c r="J60" s="408">
        <v>10</v>
      </c>
      <c r="K60" s="141" t="s">
        <v>199</v>
      </c>
      <c r="L60" s="34">
        <v>50</v>
      </c>
      <c r="M60" s="196"/>
      <c r="N60" s="11"/>
    </row>
    <row r="61" spans="1:14" ht="26.25" customHeight="1" x14ac:dyDescent="0.25">
      <c r="A61" s="78"/>
      <c r="B61" s="87"/>
      <c r="C61" s="86"/>
      <c r="D61" s="406"/>
      <c r="E61" s="406"/>
      <c r="F61" s="777"/>
      <c r="G61" s="373" t="s">
        <v>182</v>
      </c>
      <c r="H61" s="203"/>
      <c r="I61" s="402"/>
      <c r="J61" s="409"/>
      <c r="K61" s="7" t="s">
        <v>127</v>
      </c>
      <c r="L61" s="34">
        <v>34</v>
      </c>
      <c r="M61" s="196"/>
      <c r="N61" s="11"/>
    </row>
    <row r="62" spans="1:14" ht="42" customHeight="1" x14ac:dyDescent="0.25">
      <c r="A62" s="78"/>
      <c r="B62" s="87"/>
      <c r="C62" s="86"/>
      <c r="D62" s="405" t="s">
        <v>103</v>
      </c>
      <c r="E62" s="405"/>
      <c r="F62" s="404" t="s">
        <v>218</v>
      </c>
      <c r="G62" s="218" t="s">
        <v>182</v>
      </c>
      <c r="H62" s="618" t="s">
        <v>224</v>
      </c>
      <c r="I62" s="402"/>
      <c r="J62" s="409"/>
      <c r="K62" s="190"/>
      <c r="L62" s="402"/>
      <c r="M62" s="196"/>
      <c r="N62" s="11"/>
    </row>
    <row r="63" spans="1:14" ht="18.75" customHeight="1" x14ac:dyDescent="0.25">
      <c r="A63" s="78"/>
      <c r="B63" s="87"/>
      <c r="C63" s="86"/>
      <c r="D63" s="405"/>
      <c r="E63" s="157" t="s">
        <v>9</v>
      </c>
      <c r="F63" s="369" t="s">
        <v>119</v>
      </c>
      <c r="G63" s="682" t="s">
        <v>210</v>
      </c>
      <c r="H63" s="619"/>
      <c r="I63" s="490" t="s">
        <v>10</v>
      </c>
      <c r="J63" s="400">
        <v>138.4</v>
      </c>
      <c r="K63" s="348" t="s">
        <v>63</v>
      </c>
      <c r="L63" s="359">
        <v>2</v>
      </c>
      <c r="M63" s="196"/>
      <c r="N63" s="11"/>
    </row>
    <row r="64" spans="1:14" ht="45.75" customHeight="1" x14ac:dyDescent="0.25">
      <c r="A64" s="78"/>
      <c r="B64" s="87"/>
      <c r="C64" s="86"/>
      <c r="D64" s="19"/>
      <c r="E64" s="406"/>
      <c r="F64" s="370"/>
      <c r="G64" s="683"/>
      <c r="H64" s="672"/>
      <c r="I64" s="491"/>
      <c r="J64" s="409"/>
      <c r="K64" s="378" t="s">
        <v>65</v>
      </c>
      <c r="L64" s="34">
        <v>187</v>
      </c>
      <c r="M64" s="196"/>
      <c r="N64" s="11"/>
    </row>
    <row r="65" spans="1:15" ht="27" customHeight="1" x14ac:dyDescent="0.25">
      <c r="A65" s="78"/>
      <c r="B65" s="87"/>
      <c r="C65" s="95"/>
      <c r="D65" s="19"/>
      <c r="E65" s="157" t="s">
        <v>12</v>
      </c>
      <c r="F65" s="221" t="s">
        <v>124</v>
      </c>
      <c r="G65" s="217" t="s">
        <v>181</v>
      </c>
      <c r="H65" s="618" t="s">
        <v>224</v>
      </c>
      <c r="I65" s="358" t="s">
        <v>10</v>
      </c>
      <c r="J65" s="66">
        <v>131</v>
      </c>
      <c r="K65" s="348" t="s">
        <v>65</v>
      </c>
      <c r="L65" s="423">
        <v>211</v>
      </c>
      <c r="M65" s="196"/>
      <c r="N65" s="11"/>
    </row>
    <row r="66" spans="1:15" ht="25.2" customHeight="1" x14ac:dyDescent="0.25">
      <c r="A66" s="78"/>
      <c r="B66" s="87"/>
      <c r="C66" s="86"/>
      <c r="D66" s="19"/>
      <c r="E66" s="406"/>
      <c r="F66" s="370" t="s">
        <v>134</v>
      </c>
      <c r="G66" s="222"/>
      <c r="H66" s="619"/>
      <c r="I66" s="402"/>
      <c r="J66" s="409"/>
      <c r="K66" s="378" t="s">
        <v>107</v>
      </c>
      <c r="L66" s="423">
        <v>12</v>
      </c>
      <c r="M66" s="196"/>
      <c r="N66" s="11"/>
    </row>
    <row r="67" spans="1:15" ht="21.75" customHeight="1" x14ac:dyDescent="0.25">
      <c r="A67" s="78"/>
      <c r="B67" s="87"/>
      <c r="C67" s="86"/>
      <c r="D67" s="19"/>
      <c r="E67" s="405" t="s">
        <v>14</v>
      </c>
      <c r="F67" s="621" t="s">
        <v>232</v>
      </c>
      <c r="G67" s="372" t="s">
        <v>193</v>
      </c>
      <c r="H67" s="619"/>
      <c r="I67" s="359" t="s">
        <v>10</v>
      </c>
      <c r="J67" s="408">
        <v>339</v>
      </c>
      <c r="K67" s="141" t="s">
        <v>92</v>
      </c>
      <c r="L67" s="274">
        <v>12.1</v>
      </c>
      <c r="M67" s="196"/>
      <c r="N67" s="11"/>
    </row>
    <row r="68" spans="1:15" ht="27.75" customHeight="1" x14ac:dyDescent="0.25">
      <c r="A68" s="78"/>
      <c r="B68" s="87"/>
      <c r="C68" s="86"/>
      <c r="D68" s="19"/>
      <c r="E68" s="405"/>
      <c r="F68" s="775"/>
      <c r="G68" s="372" t="s">
        <v>182</v>
      </c>
      <c r="H68" s="619"/>
      <c r="I68" s="359"/>
      <c r="J68" s="408"/>
      <c r="K68" s="62" t="s">
        <v>202</v>
      </c>
      <c r="L68" s="34">
        <v>3</v>
      </c>
      <c r="M68" s="196"/>
      <c r="N68" s="11"/>
    </row>
    <row r="69" spans="1:15" ht="27" customHeight="1" x14ac:dyDescent="0.25">
      <c r="A69" s="78"/>
      <c r="B69" s="87"/>
      <c r="C69" s="86"/>
      <c r="D69" s="29"/>
      <c r="E69" s="406"/>
      <c r="F69" s="610"/>
      <c r="G69" s="373" t="s">
        <v>128</v>
      </c>
      <c r="H69" s="672"/>
      <c r="I69" s="402"/>
      <c r="J69" s="409"/>
      <c r="K69" s="141" t="s">
        <v>220</v>
      </c>
      <c r="L69" s="424">
        <v>720</v>
      </c>
      <c r="M69" s="196"/>
      <c r="N69" s="11"/>
    </row>
    <row r="70" spans="1:15" ht="42" customHeight="1" x14ac:dyDescent="0.25">
      <c r="A70" s="92"/>
      <c r="B70" s="85"/>
      <c r="C70" s="91"/>
      <c r="D70" s="405" t="s">
        <v>138</v>
      </c>
      <c r="E70" s="19"/>
      <c r="F70" s="363" t="s">
        <v>50</v>
      </c>
      <c r="G70" s="175" t="s">
        <v>181</v>
      </c>
      <c r="H70" s="219" t="s">
        <v>130</v>
      </c>
      <c r="I70" s="602" t="s">
        <v>10</v>
      </c>
      <c r="J70" s="408">
        <f>299.9+187.9+17.6-30.5</f>
        <v>474.9</v>
      </c>
      <c r="K70" s="57" t="s">
        <v>79</v>
      </c>
      <c r="L70" s="34">
        <v>125</v>
      </c>
      <c r="M70" s="196"/>
      <c r="N70" s="11"/>
    </row>
    <row r="71" spans="1:15" ht="18.75" customHeight="1" x14ac:dyDescent="0.25">
      <c r="A71" s="92"/>
      <c r="B71" s="85"/>
      <c r="C71" s="91"/>
      <c r="D71" s="29"/>
      <c r="E71" s="29"/>
      <c r="F71" s="370"/>
      <c r="G71" s="222"/>
      <c r="H71" s="219"/>
      <c r="I71" s="603"/>
      <c r="J71" s="401"/>
      <c r="K71" s="62" t="s">
        <v>123</v>
      </c>
      <c r="L71" s="401">
        <v>15.5</v>
      </c>
      <c r="M71" s="196"/>
      <c r="N71" s="11"/>
    </row>
    <row r="72" spans="1:15" ht="16.5" customHeight="1" x14ac:dyDescent="0.25">
      <c r="A72" s="92"/>
      <c r="B72" s="85"/>
      <c r="C72" s="91"/>
      <c r="D72" s="19" t="s">
        <v>139</v>
      </c>
      <c r="E72" s="19"/>
      <c r="F72" s="609" t="s">
        <v>246</v>
      </c>
      <c r="G72" s="175" t="s">
        <v>184</v>
      </c>
      <c r="H72" s="219"/>
      <c r="I72" s="34" t="s">
        <v>10</v>
      </c>
      <c r="J72" s="274">
        <f>96+3.1+7.8+1.2</f>
        <v>108.1</v>
      </c>
      <c r="K72" s="67" t="s">
        <v>64</v>
      </c>
      <c r="L72" s="532">
        <v>715</v>
      </c>
      <c r="M72" s="196"/>
      <c r="N72" s="11"/>
    </row>
    <row r="73" spans="1:15" ht="24.75" customHeight="1" x14ac:dyDescent="0.25">
      <c r="A73" s="92"/>
      <c r="B73" s="85"/>
      <c r="C73" s="91"/>
      <c r="D73" s="406"/>
      <c r="E73" s="406"/>
      <c r="F73" s="610"/>
      <c r="G73" s="536"/>
      <c r="H73" s="219"/>
      <c r="I73" s="533" t="s">
        <v>13</v>
      </c>
      <c r="J73" s="409">
        <f>64.5+77.9+148.4+45.9</f>
        <v>336.7</v>
      </c>
      <c r="K73" s="141"/>
      <c r="L73" s="533"/>
      <c r="M73" s="196"/>
      <c r="N73" s="11"/>
    </row>
    <row r="74" spans="1:15" ht="27.75" customHeight="1" x14ac:dyDescent="0.25">
      <c r="A74" s="92"/>
      <c r="B74" s="85"/>
      <c r="C74" s="91"/>
      <c r="D74" s="406" t="s">
        <v>140</v>
      </c>
      <c r="E74" s="406"/>
      <c r="F74" s="370" t="s">
        <v>39</v>
      </c>
      <c r="G74" s="373" t="s">
        <v>210</v>
      </c>
      <c r="H74" s="356"/>
      <c r="I74" s="402" t="s">
        <v>13</v>
      </c>
      <c r="J74" s="409">
        <f>60-2.5</f>
        <v>57.5</v>
      </c>
      <c r="K74" s="378" t="s">
        <v>68</v>
      </c>
      <c r="L74" s="402">
        <v>17</v>
      </c>
      <c r="M74" s="196"/>
      <c r="N74" s="11"/>
    </row>
    <row r="75" spans="1:15" ht="105.75" customHeight="1" x14ac:dyDescent="0.25">
      <c r="A75" s="92"/>
      <c r="B75" s="85"/>
      <c r="C75" s="86"/>
      <c r="D75" s="405" t="s">
        <v>141</v>
      </c>
      <c r="E75" s="405"/>
      <c r="F75" s="369" t="s">
        <v>61</v>
      </c>
      <c r="G75" s="72" t="s">
        <v>181</v>
      </c>
      <c r="H75" s="356" t="s">
        <v>224</v>
      </c>
      <c r="I75" s="359" t="s">
        <v>10</v>
      </c>
      <c r="J75" s="408">
        <f>728.8-200+129.9-35.9</f>
        <v>622.79999999999995</v>
      </c>
      <c r="K75" s="62" t="s">
        <v>64</v>
      </c>
      <c r="L75" s="34">
        <v>1532</v>
      </c>
      <c r="M75" s="196"/>
      <c r="N75" s="11"/>
    </row>
    <row r="76" spans="1:15" ht="56.4" customHeight="1" x14ac:dyDescent="0.25">
      <c r="A76" s="92"/>
      <c r="B76" s="85"/>
      <c r="C76" s="86"/>
      <c r="D76" s="26" t="s">
        <v>231</v>
      </c>
      <c r="E76" s="26"/>
      <c r="F76" s="36" t="s">
        <v>70</v>
      </c>
      <c r="G76" s="168" t="s">
        <v>181</v>
      </c>
      <c r="H76" s="68" t="s">
        <v>130</v>
      </c>
      <c r="I76" s="34" t="s">
        <v>10</v>
      </c>
      <c r="J76" s="6">
        <f>44.7+1.5</f>
        <v>46.2</v>
      </c>
      <c r="K76" s="62" t="s">
        <v>200</v>
      </c>
      <c r="L76" s="34">
        <v>6908</v>
      </c>
      <c r="M76" s="196"/>
    </row>
    <row r="77" spans="1:15" ht="43.5" customHeight="1" x14ac:dyDescent="0.25">
      <c r="A77" s="92"/>
      <c r="B77" s="85"/>
      <c r="C77" s="86"/>
      <c r="D77" s="157" t="s">
        <v>142</v>
      </c>
      <c r="E77" s="157"/>
      <c r="F77" s="609" t="s">
        <v>170</v>
      </c>
      <c r="G77" s="382" t="s">
        <v>181</v>
      </c>
      <c r="H77" s="618" t="s">
        <v>130</v>
      </c>
      <c r="I77" s="34" t="s">
        <v>10</v>
      </c>
      <c r="J77" s="6">
        <f>376.8-100-6.7+16.9+10</f>
        <v>297</v>
      </c>
      <c r="K77" s="141" t="s">
        <v>151</v>
      </c>
      <c r="L77" s="34">
        <v>66</v>
      </c>
      <c r="M77" s="196"/>
    </row>
    <row r="78" spans="1:15" ht="20.399999999999999" customHeight="1" x14ac:dyDescent="0.25">
      <c r="A78" s="92"/>
      <c r="B78" s="85"/>
      <c r="C78" s="86"/>
      <c r="D78" s="405"/>
      <c r="E78" s="405"/>
      <c r="F78" s="621"/>
      <c r="G78" s="554" t="s">
        <v>182</v>
      </c>
      <c r="H78" s="619"/>
      <c r="I78" s="359" t="s">
        <v>13</v>
      </c>
      <c r="J78" s="604">
        <v>63.9</v>
      </c>
      <c r="K78" s="673" t="s">
        <v>237</v>
      </c>
      <c r="L78" s="358">
        <v>262</v>
      </c>
      <c r="M78" s="196"/>
    </row>
    <row r="79" spans="1:15" ht="16.5" customHeight="1" x14ac:dyDescent="0.25">
      <c r="A79" s="92"/>
      <c r="B79" s="85"/>
      <c r="C79" s="86"/>
      <c r="D79" s="405"/>
      <c r="E79" s="405"/>
      <c r="F79" s="610"/>
      <c r="G79" s="88"/>
      <c r="H79" s="552"/>
      <c r="I79" s="359"/>
      <c r="J79" s="401"/>
      <c r="K79" s="674"/>
      <c r="L79" s="557"/>
      <c r="M79" s="196"/>
    </row>
    <row r="80" spans="1:15" ht="41.25" customHeight="1" x14ac:dyDescent="0.25">
      <c r="A80" s="92"/>
      <c r="B80" s="85"/>
      <c r="C80" s="86"/>
      <c r="D80" s="366" t="s">
        <v>171</v>
      </c>
      <c r="E80" s="366"/>
      <c r="F80" s="369" t="s">
        <v>187</v>
      </c>
      <c r="G80" s="88" t="s">
        <v>181</v>
      </c>
      <c r="H80" s="356" t="s">
        <v>137</v>
      </c>
      <c r="I80" s="34" t="s">
        <v>10</v>
      </c>
      <c r="J80" s="179">
        <f>144.9-92.2-42.1</f>
        <v>10.600000000000001</v>
      </c>
      <c r="K80" s="7" t="s">
        <v>63</v>
      </c>
      <c r="L80" s="358">
        <v>53</v>
      </c>
      <c r="M80" s="196"/>
      <c r="N80" s="770"/>
      <c r="O80" s="770"/>
    </row>
    <row r="81" spans="1:16" ht="15.6" customHeight="1" thickBot="1" x14ac:dyDescent="0.3">
      <c r="A81" s="96"/>
      <c r="B81" s="97"/>
      <c r="C81" s="98"/>
      <c r="D81" s="242"/>
      <c r="E81" s="242"/>
      <c r="F81" s="178"/>
      <c r="G81" s="771" t="s">
        <v>36</v>
      </c>
      <c r="H81" s="772"/>
      <c r="I81" s="773"/>
      <c r="J81" s="230">
        <f>SUM(J17:J80)</f>
        <v>148110.29999999999</v>
      </c>
      <c r="K81" s="395"/>
      <c r="L81" s="342"/>
      <c r="M81" s="196"/>
    </row>
    <row r="82" spans="1:16" ht="29.1" customHeight="1" x14ac:dyDescent="0.25">
      <c r="A82" s="99" t="s">
        <v>9</v>
      </c>
      <c r="B82" s="100" t="s">
        <v>9</v>
      </c>
      <c r="C82" s="83" t="s">
        <v>12</v>
      </c>
      <c r="D82" s="18"/>
      <c r="E82" s="18"/>
      <c r="F82" s="416" t="s">
        <v>51</v>
      </c>
      <c r="G82" s="298"/>
      <c r="H82" s="481"/>
      <c r="I82" s="9"/>
      <c r="J82" s="292"/>
      <c r="K82" s="56"/>
      <c r="L82" s="425"/>
      <c r="M82" s="196"/>
    </row>
    <row r="83" spans="1:16" ht="106.8" customHeight="1" x14ac:dyDescent="0.25">
      <c r="A83" s="92"/>
      <c r="B83" s="85"/>
      <c r="C83" s="91"/>
      <c r="D83" s="26" t="s">
        <v>9</v>
      </c>
      <c r="E83" s="26"/>
      <c r="F83" s="58" t="s">
        <v>214</v>
      </c>
      <c r="G83" s="72" t="s">
        <v>181</v>
      </c>
      <c r="H83" s="356" t="s">
        <v>224</v>
      </c>
      <c r="I83" s="10" t="s">
        <v>13</v>
      </c>
      <c r="J83" s="6">
        <v>333.1</v>
      </c>
      <c r="K83" s="62" t="s">
        <v>64</v>
      </c>
      <c r="L83" s="402">
        <v>3100</v>
      </c>
      <c r="M83" s="196"/>
      <c r="N83" s="717"/>
      <c r="O83" s="717"/>
      <c r="P83" s="717"/>
    </row>
    <row r="84" spans="1:16" ht="16.2" customHeight="1" x14ac:dyDescent="0.25">
      <c r="A84" s="92"/>
      <c r="B84" s="85"/>
      <c r="C84" s="91"/>
      <c r="D84" s="19" t="s">
        <v>12</v>
      </c>
      <c r="E84" s="19"/>
      <c r="F84" s="609" t="s">
        <v>38</v>
      </c>
      <c r="G84" s="677" t="s">
        <v>193</v>
      </c>
      <c r="H84" s="618" t="s">
        <v>130</v>
      </c>
      <c r="I84" s="1" t="s">
        <v>10</v>
      </c>
      <c r="J84" s="66">
        <f>200-2</f>
        <v>198</v>
      </c>
      <c r="K84" s="665" t="s">
        <v>80</v>
      </c>
      <c r="L84" s="358">
        <v>89</v>
      </c>
      <c r="M84" s="196"/>
      <c r="N84" s="717"/>
      <c r="O84" s="717"/>
      <c r="P84" s="717"/>
    </row>
    <row r="85" spans="1:16" ht="10.5" customHeight="1" x14ac:dyDescent="0.25">
      <c r="A85" s="92"/>
      <c r="B85" s="85"/>
      <c r="C85" s="91"/>
      <c r="D85" s="19"/>
      <c r="E85" s="19"/>
      <c r="F85" s="621"/>
      <c r="G85" s="678"/>
      <c r="H85" s="619"/>
      <c r="I85" s="359"/>
      <c r="J85" s="408"/>
      <c r="K85" s="667"/>
      <c r="L85" s="359"/>
      <c r="M85" s="196"/>
    </row>
    <row r="86" spans="1:16" ht="16.2" customHeight="1" x14ac:dyDescent="0.25">
      <c r="A86" s="92"/>
      <c r="B86" s="85"/>
      <c r="C86" s="91"/>
      <c r="D86" s="19"/>
      <c r="E86" s="19"/>
      <c r="F86" s="363"/>
      <c r="G86" s="365" t="s">
        <v>182</v>
      </c>
      <c r="H86" s="376"/>
      <c r="I86" s="399"/>
      <c r="J86" s="408"/>
      <c r="K86" s="379"/>
      <c r="L86" s="402"/>
      <c r="M86" s="196"/>
    </row>
    <row r="87" spans="1:16" ht="15.75" customHeight="1" x14ac:dyDescent="0.25">
      <c r="A87" s="92"/>
      <c r="B87" s="85"/>
      <c r="C87" s="91"/>
      <c r="D87" s="28" t="s">
        <v>14</v>
      </c>
      <c r="E87" s="28"/>
      <c r="F87" s="609" t="s">
        <v>48</v>
      </c>
      <c r="G87" s="382" t="s">
        <v>181</v>
      </c>
      <c r="H87" s="376"/>
      <c r="I87" s="392" t="s">
        <v>13</v>
      </c>
      <c r="J87" s="66">
        <f>1157.5+25.5</f>
        <v>1183</v>
      </c>
      <c r="K87" s="374" t="s">
        <v>80</v>
      </c>
      <c r="L87" s="359">
        <v>115</v>
      </c>
      <c r="M87" s="196"/>
    </row>
    <row r="88" spans="1:16" ht="15.75" customHeight="1" x14ac:dyDescent="0.25">
      <c r="A88" s="92"/>
      <c r="B88" s="85"/>
      <c r="C88" s="91"/>
      <c r="D88" s="19"/>
      <c r="E88" s="19"/>
      <c r="F88" s="621"/>
      <c r="G88" s="72" t="s">
        <v>182</v>
      </c>
      <c r="H88" s="376"/>
      <c r="I88" s="343"/>
      <c r="J88" s="408"/>
      <c r="K88" s="665" t="s">
        <v>203</v>
      </c>
      <c r="L88" s="358">
        <v>7000</v>
      </c>
      <c r="M88" s="196"/>
    </row>
    <row r="89" spans="1:16" ht="15.75" customHeight="1" thickBot="1" x14ac:dyDescent="0.3">
      <c r="A89" s="101"/>
      <c r="B89" s="102"/>
      <c r="C89" s="103"/>
      <c r="D89" s="20"/>
      <c r="E89" s="20"/>
      <c r="F89" s="622"/>
      <c r="G89" s="193"/>
      <c r="H89" s="377"/>
      <c r="I89" s="104" t="s">
        <v>11</v>
      </c>
      <c r="J89" s="32">
        <f>SUM(J83:J88)</f>
        <v>1714.1</v>
      </c>
      <c r="K89" s="725"/>
      <c r="L89" s="342"/>
      <c r="M89" s="196"/>
    </row>
    <row r="90" spans="1:16" ht="15" customHeight="1" x14ac:dyDescent="0.25">
      <c r="A90" s="99" t="s">
        <v>9</v>
      </c>
      <c r="B90" s="100" t="s">
        <v>9</v>
      </c>
      <c r="C90" s="83" t="s">
        <v>14</v>
      </c>
      <c r="D90" s="18"/>
      <c r="E90" s="18"/>
      <c r="F90" s="691" t="s">
        <v>42</v>
      </c>
      <c r="G90" s="72" t="s">
        <v>181</v>
      </c>
      <c r="H90" s="724" t="s">
        <v>143</v>
      </c>
      <c r="I90" s="9" t="s">
        <v>10</v>
      </c>
      <c r="J90" s="407">
        <v>3.9</v>
      </c>
      <c r="K90" s="56" t="s">
        <v>69</v>
      </c>
      <c r="L90" s="151">
        <v>10</v>
      </c>
      <c r="M90" s="196"/>
    </row>
    <row r="91" spans="1:16" ht="16.5" customHeight="1" x14ac:dyDescent="0.25">
      <c r="A91" s="92"/>
      <c r="B91" s="85"/>
      <c r="C91" s="91"/>
      <c r="D91" s="19"/>
      <c r="E91" s="19"/>
      <c r="F91" s="621"/>
      <c r="G91" s="72"/>
      <c r="H91" s="619"/>
      <c r="I91" s="399"/>
      <c r="J91" s="408"/>
      <c r="K91" s="7" t="s">
        <v>65</v>
      </c>
      <c r="L91" s="358">
        <v>860</v>
      </c>
      <c r="M91" s="196"/>
    </row>
    <row r="92" spans="1:16" ht="17.25" customHeight="1" x14ac:dyDescent="0.25">
      <c r="A92" s="92"/>
      <c r="B92" s="85"/>
      <c r="C92" s="91"/>
      <c r="D92" s="19"/>
      <c r="E92" s="19"/>
      <c r="F92" s="621"/>
      <c r="G92" s="72"/>
      <c r="H92" s="619"/>
      <c r="I92" s="399"/>
      <c r="J92" s="408"/>
      <c r="K92" s="665" t="s">
        <v>208</v>
      </c>
      <c r="L92" s="358">
        <v>3</v>
      </c>
      <c r="M92" s="196"/>
    </row>
    <row r="93" spans="1:16" ht="13.8" thickBot="1" x14ac:dyDescent="0.3">
      <c r="A93" s="101"/>
      <c r="B93" s="97"/>
      <c r="C93" s="103"/>
      <c r="D93" s="20"/>
      <c r="E93" s="20"/>
      <c r="F93" s="622"/>
      <c r="G93" s="193"/>
      <c r="H93" s="620"/>
      <c r="I93" s="104" t="s">
        <v>11</v>
      </c>
      <c r="J93" s="267">
        <f t="shared" ref="J93" si="0">J90</f>
        <v>3.9</v>
      </c>
      <c r="K93" s="725"/>
      <c r="L93" s="426"/>
      <c r="M93" s="196"/>
    </row>
    <row r="94" spans="1:16" ht="96" customHeight="1" x14ac:dyDescent="0.25">
      <c r="A94" s="99" t="s">
        <v>9</v>
      </c>
      <c r="B94" s="100" t="s">
        <v>9</v>
      </c>
      <c r="C94" s="83" t="s">
        <v>16</v>
      </c>
      <c r="D94" s="18"/>
      <c r="E94" s="18"/>
      <c r="F94" s="691" t="s">
        <v>71</v>
      </c>
      <c r="G94" s="74" t="s">
        <v>181</v>
      </c>
      <c r="H94" s="724" t="s">
        <v>224</v>
      </c>
      <c r="I94" s="9" t="s">
        <v>10</v>
      </c>
      <c r="J94" s="408">
        <v>57.3</v>
      </c>
      <c r="K94" s="743" t="s">
        <v>81</v>
      </c>
      <c r="L94" s="349">
        <v>39</v>
      </c>
      <c r="M94" s="196"/>
    </row>
    <row r="95" spans="1:16" ht="14.25" customHeight="1" thickBot="1" x14ac:dyDescent="0.3">
      <c r="A95" s="101"/>
      <c r="B95" s="102"/>
      <c r="C95" s="103"/>
      <c r="D95" s="20"/>
      <c r="E95" s="20"/>
      <c r="F95" s="622"/>
      <c r="G95" s="193"/>
      <c r="H95" s="620"/>
      <c r="I95" s="104" t="s">
        <v>11</v>
      </c>
      <c r="J95" s="267">
        <f t="shared" ref="J95" si="1">SUM(J94)</f>
        <v>57.3</v>
      </c>
      <c r="K95" s="725"/>
      <c r="L95" s="426"/>
      <c r="M95" s="196"/>
    </row>
    <row r="96" spans="1:16" ht="28.2" customHeight="1" x14ac:dyDescent="0.25">
      <c r="A96" s="99" t="s">
        <v>9</v>
      </c>
      <c r="B96" s="100" t="s">
        <v>9</v>
      </c>
      <c r="C96" s="83" t="s">
        <v>17</v>
      </c>
      <c r="D96" s="18"/>
      <c r="E96" s="18"/>
      <c r="F96" s="691" t="s">
        <v>146</v>
      </c>
      <c r="G96" s="74" t="s">
        <v>181</v>
      </c>
      <c r="H96" s="724" t="s">
        <v>137</v>
      </c>
      <c r="I96" s="9" t="s">
        <v>10</v>
      </c>
      <c r="J96" s="407">
        <v>4.4000000000000004</v>
      </c>
      <c r="K96" s="743" t="s">
        <v>145</v>
      </c>
      <c r="L96" s="349">
        <v>1</v>
      </c>
      <c r="M96" s="196"/>
    </row>
    <row r="97" spans="1:13" ht="15.75" customHeight="1" thickBot="1" x14ac:dyDescent="0.3">
      <c r="A97" s="101"/>
      <c r="B97" s="102"/>
      <c r="C97" s="103"/>
      <c r="D97" s="20"/>
      <c r="E97" s="20"/>
      <c r="F97" s="622"/>
      <c r="G97" s="193"/>
      <c r="H97" s="620"/>
      <c r="I97" s="104" t="s">
        <v>11</v>
      </c>
      <c r="J97" s="32">
        <f t="shared" ref="J97" si="2">SUM(J96:J96)</f>
        <v>4.4000000000000004</v>
      </c>
      <c r="K97" s="725"/>
      <c r="L97" s="426"/>
      <c r="M97" s="196"/>
    </row>
    <row r="98" spans="1:13" ht="16.2" customHeight="1" x14ac:dyDescent="0.25">
      <c r="A98" s="99" t="s">
        <v>9</v>
      </c>
      <c r="B98" s="100" t="s">
        <v>9</v>
      </c>
      <c r="C98" s="83" t="s">
        <v>56</v>
      </c>
      <c r="D98" s="18"/>
      <c r="E98" s="18"/>
      <c r="F98" s="691" t="s">
        <v>76</v>
      </c>
      <c r="G98" s="194" t="s">
        <v>181</v>
      </c>
      <c r="H98" s="663" t="s">
        <v>130</v>
      </c>
      <c r="I98" s="105" t="s">
        <v>10</v>
      </c>
      <c r="J98" s="207">
        <v>5</v>
      </c>
      <c r="K98" s="384" t="s">
        <v>63</v>
      </c>
      <c r="L98" s="450">
        <v>86</v>
      </c>
      <c r="M98" s="196"/>
    </row>
    <row r="99" spans="1:13" ht="16.2" customHeight="1" thickBot="1" x14ac:dyDescent="0.3">
      <c r="A99" s="101"/>
      <c r="B99" s="102"/>
      <c r="C99" s="103"/>
      <c r="D99" s="20"/>
      <c r="E99" s="20"/>
      <c r="F99" s="622"/>
      <c r="G99" s="195"/>
      <c r="H99" s="664"/>
      <c r="I99" s="104" t="s">
        <v>11</v>
      </c>
      <c r="J99" s="32">
        <f t="shared" ref="J99" si="3">SUM(J98)</f>
        <v>5</v>
      </c>
      <c r="K99" s="379"/>
      <c r="L99" s="426"/>
      <c r="M99" s="196"/>
    </row>
    <row r="100" spans="1:13" ht="13.5" customHeight="1" thickBot="1" x14ac:dyDescent="0.3">
      <c r="A100" s="106" t="s">
        <v>9</v>
      </c>
      <c r="B100" s="107" t="s">
        <v>9</v>
      </c>
      <c r="C100" s="606" t="s">
        <v>15</v>
      </c>
      <c r="D100" s="607"/>
      <c r="E100" s="607"/>
      <c r="F100" s="607"/>
      <c r="G100" s="607"/>
      <c r="H100" s="607"/>
      <c r="I100" s="607"/>
      <c r="J100" s="108">
        <f>J81+J89+J95+J97+J99+J93</f>
        <v>149894.99999999997</v>
      </c>
      <c r="K100" s="191"/>
      <c r="L100" s="427"/>
      <c r="M100" s="322"/>
    </row>
    <row r="101" spans="1:13" ht="15.75" customHeight="1" thickBot="1" x14ac:dyDescent="0.3">
      <c r="A101" s="106" t="s">
        <v>9</v>
      </c>
      <c r="B101" s="746" t="s">
        <v>4</v>
      </c>
      <c r="C101" s="747"/>
      <c r="D101" s="747"/>
      <c r="E101" s="747"/>
      <c r="F101" s="747"/>
      <c r="G101" s="747"/>
      <c r="H101" s="747"/>
      <c r="I101" s="747"/>
      <c r="J101" s="283">
        <f t="shared" ref="J101" si="4">J100</f>
        <v>149894.99999999997</v>
      </c>
      <c r="K101" s="192"/>
      <c r="L101" s="428"/>
      <c r="M101" s="322"/>
    </row>
    <row r="102" spans="1:13" ht="15.75" customHeight="1" thickBot="1" x14ac:dyDescent="0.3">
      <c r="A102" s="99" t="s">
        <v>12</v>
      </c>
      <c r="B102" s="744" t="s">
        <v>27</v>
      </c>
      <c r="C102" s="745"/>
      <c r="D102" s="745"/>
      <c r="E102" s="745"/>
      <c r="F102" s="745"/>
      <c r="G102" s="745"/>
      <c r="H102" s="745"/>
      <c r="I102" s="745"/>
      <c r="J102" s="745"/>
      <c r="K102" s="745"/>
      <c r="L102" s="429"/>
      <c r="M102" s="320"/>
    </row>
    <row r="103" spans="1:13" ht="15.75" customHeight="1" thickBot="1" x14ac:dyDescent="0.3">
      <c r="A103" s="106" t="s">
        <v>12</v>
      </c>
      <c r="B103" s="109" t="s">
        <v>9</v>
      </c>
      <c r="C103" s="718" t="s">
        <v>23</v>
      </c>
      <c r="D103" s="719"/>
      <c r="E103" s="719"/>
      <c r="F103" s="719"/>
      <c r="G103" s="719"/>
      <c r="H103" s="719"/>
      <c r="I103" s="719"/>
      <c r="J103" s="719"/>
      <c r="K103" s="719"/>
      <c r="L103" s="430"/>
      <c r="M103" s="320"/>
    </row>
    <row r="104" spans="1:13" s="110" customFormat="1" ht="15" customHeight="1" x14ac:dyDescent="0.25">
      <c r="A104" s="694" t="s">
        <v>12</v>
      </c>
      <c r="B104" s="748" t="s">
        <v>9</v>
      </c>
      <c r="C104" s="751" t="s">
        <v>9</v>
      </c>
      <c r="D104" s="21"/>
      <c r="E104" s="21"/>
      <c r="F104" s="691" t="s">
        <v>93</v>
      </c>
      <c r="G104" s="692" t="s">
        <v>242</v>
      </c>
      <c r="H104" s="724" t="s">
        <v>136</v>
      </c>
      <c r="I104" s="392" t="s">
        <v>10</v>
      </c>
      <c r="J104" s="354">
        <v>71.8</v>
      </c>
      <c r="K104" s="379" t="s">
        <v>212</v>
      </c>
      <c r="L104" s="359">
        <v>4</v>
      </c>
      <c r="M104" s="196"/>
    </row>
    <row r="105" spans="1:13" s="110" customFormat="1" ht="15.6" customHeight="1" x14ac:dyDescent="0.25">
      <c r="A105" s="695"/>
      <c r="B105" s="749"/>
      <c r="C105" s="752"/>
      <c r="D105" s="33"/>
      <c r="E105" s="33"/>
      <c r="F105" s="621"/>
      <c r="G105" s="678"/>
      <c r="H105" s="619"/>
      <c r="I105" s="480"/>
      <c r="J105" s="480"/>
      <c r="K105" s="379"/>
      <c r="L105" s="342"/>
      <c r="M105" s="196"/>
    </row>
    <row r="106" spans="1:13" s="110" customFormat="1" ht="14.7" customHeight="1" thickBot="1" x14ac:dyDescent="0.3">
      <c r="A106" s="696"/>
      <c r="B106" s="750"/>
      <c r="C106" s="753"/>
      <c r="D106" s="22"/>
      <c r="E106" s="22"/>
      <c r="F106" s="622"/>
      <c r="G106" s="693"/>
      <c r="H106" s="377"/>
      <c r="I106" s="5" t="s">
        <v>11</v>
      </c>
      <c r="J106" s="32">
        <f>SUM(J104:J105)</f>
        <v>71.8</v>
      </c>
      <c r="K106" s="375"/>
      <c r="L106" s="426"/>
      <c r="M106" s="196"/>
    </row>
    <row r="107" spans="1:13" ht="28.5" customHeight="1" x14ac:dyDescent="0.25">
      <c r="A107" s="99" t="s">
        <v>12</v>
      </c>
      <c r="B107" s="100" t="s">
        <v>9</v>
      </c>
      <c r="C107" s="83" t="s">
        <v>12</v>
      </c>
      <c r="D107" s="23"/>
      <c r="E107" s="23"/>
      <c r="F107" s="37" t="s">
        <v>131</v>
      </c>
      <c r="G107" s="74"/>
      <c r="H107" s="724"/>
      <c r="I107" s="71"/>
      <c r="J107" s="71"/>
      <c r="K107" s="71"/>
      <c r="L107" s="425"/>
      <c r="M107" s="196"/>
    </row>
    <row r="108" spans="1:13" s="50" customFormat="1" ht="43.5" customHeight="1" x14ac:dyDescent="0.25">
      <c r="A108" s="111"/>
      <c r="B108" s="112"/>
      <c r="C108" s="113"/>
      <c r="D108" s="53" t="s">
        <v>9</v>
      </c>
      <c r="E108" s="51"/>
      <c r="F108" s="52" t="s">
        <v>82</v>
      </c>
      <c r="G108" s="114"/>
      <c r="H108" s="619"/>
      <c r="I108" s="60"/>
      <c r="J108" s="143"/>
      <c r="K108" s="143"/>
      <c r="L108" s="422"/>
      <c r="M108" s="323"/>
    </row>
    <row r="109" spans="1:13" ht="16.95" customHeight="1" x14ac:dyDescent="0.25">
      <c r="A109" s="92"/>
      <c r="B109" s="85"/>
      <c r="C109" s="91"/>
      <c r="D109" s="405"/>
      <c r="E109" s="366" t="s">
        <v>9</v>
      </c>
      <c r="F109" s="609" t="s">
        <v>161</v>
      </c>
      <c r="G109" s="382" t="s">
        <v>125</v>
      </c>
      <c r="H109" s="618" t="s">
        <v>261</v>
      </c>
      <c r="I109" s="159" t="s">
        <v>58</v>
      </c>
      <c r="J109" s="350">
        <f>48+674.1</f>
        <v>722.1</v>
      </c>
      <c r="K109" s="160" t="s">
        <v>156</v>
      </c>
      <c r="L109" s="359">
        <v>100</v>
      </c>
      <c r="M109" s="324"/>
    </row>
    <row r="110" spans="1:13" ht="16.95" customHeight="1" x14ac:dyDescent="0.25">
      <c r="A110" s="92"/>
      <c r="B110" s="85"/>
      <c r="C110" s="91"/>
      <c r="D110" s="405"/>
      <c r="E110" s="367"/>
      <c r="F110" s="621"/>
      <c r="G110" s="365" t="s">
        <v>2</v>
      </c>
      <c r="H110" s="619"/>
      <c r="I110" s="344" t="s">
        <v>154</v>
      </c>
      <c r="J110" s="351">
        <v>3719.5</v>
      </c>
      <c r="K110" s="161"/>
      <c r="L110" s="431"/>
      <c r="M110" s="324"/>
    </row>
    <row r="111" spans="1:13" ht="15" customHeight="1" x14ac:dyDescent="0.25">
      <c r="A111" s="92"/>
      <c r="B111" s="85"/>
      <c r="C111" s="91"/>
      <c r="D111" s="405"/>
      <c r="E111" s="367"/>
      <c r="F111" s="621"/>
      <c r="G111" s="365" t="s">
        <v>211</v>
      </c>
      <c r="H111" s="619"/>
      <c r="I111" s="224" t="s">
        <v>10</v>
      </c>
      <c r="J111" s="352">
        <v>3072.7</v>
      </c>
      <c r="K111" s="161"/>
      <c r="L111" s="431"/>
      <c r="M111" s="324"/>
    </row>
    <row r="112" spans="1:13" ht="15" customHeight="1" x14ac:dyDescent="0.25">
      <c r="A112" s="92"/>
      <c r="B112" s="85"/>
      <c r="C112" s="91"/>
      <c r="D112" s="405"/>
      <c r="E112" s="560"/>
      <c r="F112" s="553"/>
      <c r="G112" s="555"/>
      <c r="H112" s="619"/>
      <c r="I112" s="344" t="s">
        <v>13</v>
      </c>
      <c r="J112" s="352">
        <v>580</v>
      </c>
      <c r="K112" s="161"/>
      <c r="L112" s="431"/>
      <c r="M112" s="324"/>
    </row>
    <row r="113" spans="1:14" ht="16.5" customHeight="1" x14ac:dyDescent="0.25">
      <c r="A113" s="92"/>
      <c r="B113" s="85"/>
      <c r="C113" s="91"/>
      <c r="D113" s="405"/>
      <c r="E113" s="367"/>
      <c r="F113" s="363"/>
      <c r="G113" s="365"/>
      <c r="H113" s="619"/>
      <c r="I113" s="224" t="s">
        <v>249</v>
      </c>
      <c r="J113" s="352">
        <v>230</v>
      </c>
      <c r="K113" s="161"/>
      <c r="L113" s="431"/>
      <c r="M113" s="324"/>
    </row>
    <row r="114" spans="1:14" ht="16.5" customHeight="1" x14ac:dyDescent="0.25">
      <c r="A114" s="92"/>
      <c r="B114" s="85"/>
      <c r="C114" s="91"/>
      <c r="D114" s="405"/>
      <c r="E114" s="560"/>
      <c r="F114" s="553"/>
      <c r="G114" s="555"/>
      <c r="H114" s="552"/>
      <c r="I114" s="347" t="s">
        <v>273</v>
      </c>
      <c r="J114" s="352">
        <v>200</v>
      </c>
      <c r="K114" s="161"/>
      <c r="L114" s="431"/>
      <c r="M114" s="324"/>
    </row>
    <row r="115" spans="1:14" ht="18" customHeight="1" x14ac:dyDescent="0.25">
      <c r="A115" s="92"/>
      <c r="B115" s="85"/>
      <c r="C115" s="86"/>
      <c r="D115" s="70"/>
      <c r="E115" s="366" t="s">
        <v>12</v>
      </c>
      <c r="F115" s="609" t="s">
        <v>279</v>
      </c>
      <c r="G115" s="382" t="s">
        <v>182</v>
      </c>
      <c r="H115" s="618" t="s">
        <v>135</v>
      </c>
      <c r="I115" s="1" t="s">
        <v>10</v>
      </c>
      <c r="J115" s="179">
        <f>975-650-93.3+70</f>
        <v>301.7</v>
      </c>
      <c r="K115" s="62" t="s">
        <v>85</v>
      </c>
      <c r="L115" s="34">
        <v>1</v>
      </c>
      <c r="M115" s="742"/>
      <c r="N115" s="742"/>
    </row>
    <row r="116" spans="1:14" ht="17.25" customHeight="1" x14ac:dyDescent="0.25">
      <c r="A116" s="92"/>
      <c r="B116" s="85"/>
      <c r="C116" s="86"/>
      <c r="D116" s="70"/>
      <c r="E116" s="180"/>
      <c r="F116" s="621"/>
      <c r="G116" s="72" t="s">
        <v>181</v>
      </c>
      <c r="H116" s="619"/>
      <c r="I116" s="358" t="s">
        <v>58</v>
      </c>
      <c r="J116" s="66">
        <v>146.1</v>
      </c>
      <c r="K116" s="7" t="s">
        <v>152</v>
      </c>
      <c r="L116" s="358">
        <v>1</v>
      </c>
      <c r="M116" s="196"/>
      <c r="N116" s="11"/>
    </row>
    <row r="117" spans="1:14" ht="20.399999999999999" customHeight="1" x14ac:dyDescent="0.25">
      <c r="A117" s="92"/>
      <c r="B117" s="85"/>
      <c r="C117" s="86"/>
      <c r="D117" s="70"/>
      <c r="E117" s="180"/>
      <c r="F117" s="621"/>
      <c r="G117" s="72" t="s">
        <v>2</v>
      </c>
      <c r="H117" s="619"/>
      <c r="I117" s="343"/>
      <c r="J117" s="451"/>
      <c r="K117" s="57"/>
      <c r="L117" s="432"/>
      <c r="M117" s="196"/>
    </row>
    <row r="118" spans="1:14" ht="43.8" customHeight="1" x14ac:dyDescent="0.25">
      <c r="A118" s="92"/>
      <c r="B118" s="85"/>
      <c r="C118" s="86"/>
      <c r="D118" s="70"/>
      <c r="E118" s="180"/>
      <c r="F118" s="621"/>
      <c r="G118" s="72"/>
      <c r="H118" s="201"/>
      <c r="I118" s="402"/>
      <c r="J118" s="408"/>
      <c r="K118" s="57"/>
      <c r="L118" s="432"/>
      <c r="M118" s="196"/>
    </row>
    <row r="119" spans="1:14" ht="15.75" customHeight="1" x14ac:dyDescent="0.25">
      <c r="A119" s="92"/>
      <c r="B119" s="85"/>
      <c r="C119" s="91"/>
      <c r="D119" s="405"/>
      <c r="E119" s="366" t="s">
        <v>14</v>
      </c>
      <c r="F119" s="609" t="s">
        <v>225</v>
      </c>
      <c r="G119" s="382" t="s">
        <v>125</v>
      </c>
      <c r="H119" s="618" t="s">
        <v>129</v>
      </c>
      <c r="I119" s="140" t="s">
        <v>10</v>
      </c>
      <c r="J119" s="209">
        <f>37.4-10.3</f>
        <v>27.099999999999998</v>
      </c>
      <c r="K119" s="690" t="s">
        <v>204</v>
      </c>
      <c r="L119" s="276">
        <v>4</v>
      </c>
      <c r="M119" s="324"/>
    </row>
    <row r="120" spans="1:14" ht="16.5" customHeight="1" x14ac:dyDescent="0.25">
      <c r="A120" s="92"/>
      <c r="B120" s="85"/>
      <c r="C120" s="91"/>
      <c r="D120" s="405"/>
      <c r="E120" s="367"/>
      <c r="F120" s="621"/>
      <c r="G120" s="365" t="s">
        <v>181</v>
      </c>
      <c r="H120" s="619"/>
      <c r="I120" s="284" t="s">
        <v>60</v>
      </c>
      <c r="J120" s="268">
        <v>128.9</v>
      </c>
      <c r="K120" s="670"/>
      <c r="L120" s="432"/>
      <c r="M120" s="324"/>
    </row>
    <row r="121" spans="1:14" ht="15.75" customHeight="1" x14ac:dyDescent="0.25">
      <c r="A121" s="92"/>
      <c r="B121" s="85"/>
      <c r="C121" s="91"/>
      <c r="D121" s="405"/>
      <c r="E121" s="367"/>
      <c r="F121" s="621"/>
      <c r="G121" s="365" t="s">
        <v>2</v>
      </c>
      <c r="H121" s="619"/>
      <c r="I121" s="284" t="s">
        <v>13</v>
      </c>
      <c r="J121" s="452">
        <v>11.4</v>
      </c>
      <c r="K121" s="670"/>
      <c r="L121" s="528"/>
      <c r="M121" s="324"/>
    </row>
    <row r="122" spans="1:14" ht="15" customHeight="1" x14ac:dyDescent="0.25">
      <c r="A122" s="92"/>
      <c r="B122" s="85"/>
      <c r="C122" s="91"/>
      <c r="D122" s="405"/>
      <c r="E122" s="526"/>
      <c r="F122" s="621"/>
      <c r="G122" s="519"/>
      <c r="H122" s="515"/>
      <c r="I122" s="522" t="s">
        <v>117</v>
      </c>
      <c r="J122" s="527">
        <v>53.3</v>
      </c>
      <c r="K122" s="521"/>
      <c r="L122" s="528"/>
      <c r="M122" s="324"/>
    </row>
    <row r="123" spans="1:14" ht="22.2" customHeight="1" x14ac:dyDescent="0.25">
      <c r="A123" s="92"/>
      <c r="B123" s="85"/>
      <c r="C123" s="91"/>
      <c r="D123" s="405"/>
      <c r="E123" s="526"/>
      <c r="F123" s="610"/>
      <c r="G123" s="519"/>
      <c r="H123" s="515"/>
      <c r="I123" s="162" t="s">
        <v>268</v>
      </c>
      <c r="J123" s="527">
        <v>4.7</v>
      </c>
      <c r="K123" s="521"/>
      <c r="L123" s="528"/>
      <c r="M123" s="324"/>
    </row>
    <row r="124" spans="1:14" ht="15.75" customHeight="1" x14ac:dyDescent="0.25">
      <c r="A124" s="92"/>
      <c r="B124" s="85"/>
      <c r="C124" s="91"/>
      <c r="D124" s="405"/>
      <c r="E124" s="366" t="s">
        <v>16</v>
      </c>
      <c r="F124" s="609" t="s">
        <v>277</v>
      </c>
      <c r="G124" s="382" t="s">
        <v>125</v>
      </c>
      <c r="H124" s="618" t="s">
        <v>135</v>
      </c>
      <c r="I124" s="390" t="s">
        <v>10</v>
      </c>
      <c r="J124" s="337">
        <f>300-22.1</f>
        <v>277.89999999999998</v>
      </c>
      <c r="K124" s="690" t="s">
        <v>178</v>
      </c>
      <c r="L124" s="397">
        <v>2</v>
      </c>
      <c r="M124" s="324"/>
    </row>
    <row r="125" spans="1:14" ht="26.4" customHeight="1" x14ac:dyDescent="0.25">
      <c r="A125" s="92"/>
      <c r="B125" s="85"/>
      <c r="C125" s="91"/>
      <c r="D125" s="405"/>
      <c r="E125" s="367"/>
      <c r="F125" s="621"/>
      <c r="G125" s="365" t="s">
        <v>181</v>
      </c>
      <c r="H125" s="657"/>
      <c r="I125" s="208"/>
      <c r="J125" s="500"/>
      <c r="K125" s="670"/>
      <c r="L125" s="342"/>
      <c r="M125" s="324"/>
    </row>
    <row r="126" spans="1:14" ht="16.5" customHeight="1" x14ac:dyDescent="0.25">
      <c r="A126" s="92"/>
      <c r="B126" s="85"/>
      <c r="C126" s="91"/>
      <c r="D126" s="405"/>
      <c r="E126" s="367"/>
      <c r="F126" s="621"/>
      <c r="G126" s="365"/>
      <c r="H126" s="619" t="s">
        <v>224</v>
      </c>
      <c r="I126" s="498" t="s">
        <v>10</v>
      </c>
      <c r="J126" s="499">
        <v>30</v>
      </c>
      <c r="K126" s="670"/>
      <c r="L126" s="359"/>
      <c r="M126" s="324"/>
    </row>
    <row r="127" spans="1:14" ht="88.5" customHeight="1" x14ac:dyDescent="0.25">
      <c r="A127" s="92"/>
      <c r="B127" s="85"/>
      <c r="C127" s="91"/>
      <c r="D127" s="405"/>
      <c r="E127" s="368"/>
      <c r="F127" s="363"/>
      <c r="G127" s="365"/>
      <c r="H127" s="672"/>
      <c r="I127" s="497" t="s">
        <v>58</v>
      </c>
      <c r="J127" s="501">
        <v>150</v>
      </c>
      <c r="K127" s="671"/>
      <c r="L127" s="422"/>
      <c r="M127" s="324"/>
    </row>
    <row r="128" spans="1:14" ht="18" customHeight="1" x14ac:dyDescent="0.25">
      <c r="A128" s="92"/>
      <c r="B128" s="85"/>
      <c r="C128" s="91"/>
      <c r="D128" s="405"/>
      <c r="E128" s="367" t="s">
        <v>17</v>
      </c>
      <c r="F128" s="609" t="s">
        <v>226</v>
      </c>
      <c r="G128" s="382" t="s">
        <v>2</v>
      </c>
      <c r="H128" s="618" t="s">
        <v>135</v>
      </c>
      <c r="I128" s="241" t="s">
        <v>10</v>
      </c>
      <c r="J128" s="337">
        <f>400-100+200-217-70</f>
        <v>213</v>
      </c>
      <c r="K128" s="360" t="s">
        <v>156</v>
      </c>
      <c r="L128" s="397">
        <v>35</v>
      </c>
      <c r="M128" s="324"/>
    </row>
    <row r="129" spans="1:16" ht="21.75" customHeight="1" x14ac:dyDescent="0.25">
      <c r="A129" s="92"/>
      <c r="B129" s="85"/>
      <c r="C129" s="91"/>
      <c r="D129" s="405"/>
      <c r="E129" s="368"/>
      <c r="F129" s="610"/>
      <c r="G129" s="383" t="s">
        <v>181</v>
      </c>
      <c r="H129" s="672"/>
      <c r="I129" s="249"/>
      <c r="J129" s="251"/>
      <c r="K129" s="362"/>
      <c r="L129" s="398"/>
      <c r="M129" s="324"/>
    </row>
    <row r="130" spans="1:16" ht="15.75" customHeight="1" x14ac:dyDescent="0.25">
      <c r="A130" s="92"/>
      <c r="B130" s="85"/>
      <c r="C130" s="91"/>
      <c r="D130" s="405"/>
      <c r="E130" s="641" t="s">
        <v>56</v>
      </c>
      <c r="F130" s="609" t="s">
        <v>155</v>
      </c>
      <c r="G130" s="382" t="s">
        <v>179</v>
      </c>
      <c r="H130" s="355" t="s">
        <v>129</v>
      </c>
      <c r="I130" s="241" t="s">
        <v>10</v>
      </c>
      <c r="J130" s="453">
        <f>186.9-1.2-132-14.3</f>
        <v>39.40000000000002</v>
      </c>
      <c r="K130" s="309" t="s">
        <v>153</v>
      </c>
      <c r="L130" s="397">
        <v>1</v>
      </c>
      <c r="M130" s="325"/>
      <c r="N130" s="717"/>
      <c r="O130" s="717"/>
      <c r="P130" s="717"/>
    </row>
    <row r="131" spans="1:16" ht="14.25" customHeight="1" x14ac:dyDescent="0.25">
      <c r="A131" s="92"/>
      <c r="B131" s="85"/>
      <c r="C131" s="91"/>
      <c r="D131" s="405"/>
      <c r="E131" s="642"/>
      <c r="F131" s="621"/>
      <c r="G131" s="365" t="s">
        <v>182</v>
      </c>
      <c r="H131" s="201"/>
      <c r="I131" s="176"/>
      <c r="J131" s="176"/>
      <c r="K131" s="146"/>
      <c r="L131" s="431"/>
      <c r="M131" s="325"/>
      <c r="N131" s="717"/>
      <c r="O131" s="717"/>
      <c r="P131" s="717"/>
    </row>
    <row r="132" spans="1:16" ht="13.5" customHeight="1" x14ac:dyDescent="0.25">
      <c r="A132" s="92"/>
      <c r="B132" s="85"/>
      <c r="C132" s="91"/>
      <c r="D132" s="405"/>
      <c r="E132" s="643"/>
      <c r="F132" s="610"/>
      <c r="G132" s="383" t="s">
        <v>2</v>
      </c>
      <c r="H132" s="203"/>
      <c r="I132" s="391"/>
      <c r="J132" s="249"/>
      <c r="K132" s="163"/>
      <c r="L132" s="433"/>
      <c r="M132" s="325"/>
    </row>
    <row r="133" spans="1:16" ht="15" customHeight="1" x14ac:dyDescent="0.25">
      <c r="A133" s="92"/>
      <c r="B133" s="85"/>
      <c r="C133" s="91"/>
      <c r="D133" s="405"/>
      <c r="E133" s="366" t="s">
        <v>57</v>
      </c>
      <c r="F133" s="609" t="s">
        <v>258</v>
      </c>
      <c r="G133" s="365" t="s">
        <v>236</v>
      </c>
      <c r="H133" s="355" t="s">
        <v>129</v>
      </c>
      <c r="I133" s="720" t="s">
        <v>10</v>
      </c>
      <c r="J133" s="252">
        <f>13.5+10.3+1.2</f>
        <v>25</v>
      </c>
      <c r="K133" s="360" t="s">
        <v>153</v>
      </c>
      <c r="L133" s="397">
        <v>1</v>
      </c>
      <c r="M133" s="324"/>
      <c r="N133" s="717"/>
      <c r="O133" s="717"/>
      <c r="P133" s="717"/>
    </row>
    <row r="134" spans="1:16" ht="30.75" customHeight="1" x14ac:dyDescent="0.25">
      <c r="A134" s="92"/>
      <c r="B134" s="85"/>
      <c r="C134" s="91"/>
      <c r="D134" s="405"/>
      <c r="E134" s="367"/>
      <c r="F134" s="621"/>
      <c r="G134" s="682" t="s">
        <v>241</v>
      </c>
      <c r="H134" s="619" t="s">
        <v>180</v>
      </c>
      <c r="I134" s="721"/>
      <c r="J134" s="253"/>
      <c r="K134" s="394"/>
      <c r="L134" s="277"/>
      <c r="M134" s="324"/>
      <c r="N134" s="717"/>
      <c r="O134" s="717"/>
      <c r="P134" s="717"/>
    </row>
    <row r="135" spans="1:16" ht="15" customHeight="1" x14ac:dyDescent="0.25">
      <c r="A135" s="92"/>
      <c r="B135" s="85"/>
      <c r="C135" s="125"/>
      <c r="D135" s="406"/>
      <c r="E135" s="406"/>
      <c r="F135" s="387"/>
      <c r="G135" s="683"/>
      <c r="H135" s="672"/>
      <c r="I135" s="385" t="s">
        <v>11</v>
      </c>
      <c r="J135" s="299">
        <f>SUM(J109:J134)</f>
        <v>9932.7999999999993</v>
      </c>
      <c r="K135" s="163"/>
      <c r="L135" s="433"/>
      <c r="M135" s="324"/>
    </row>
    <row r="136" spans="1:16" ht="14.7" customHeight="1" x14ac:dyDescent="0.25">
      <c r="A136" s="89"/>
      <c r="B136" s="85"/>
      <c r="C136" s="91"/>
      <c r="D136" s="69" t="s">
        <v>12</v>
      </c>
      <c r="E136" s="49"/>
      <c r="F136" s="740" t="s">
        <v>83</v>
      </c>
      <c r="G136" s="372"/>
      <c r="H136" s="619"/>
      <c r="I136" s="359"/>
      <c r="J136" s="414"/>
      <c r="K136" s="343"/>
      <c r="L136" s="431"/>
      <c r="M136" s="196"/>
    </row>
    <row r="137" spans="1:16" ht="14.7" customHeight="1" x14ac:dyDescent="0.25">
      <c r="A137" s="92"/>
      <c r="B137" s="85"/>
      <c r="C137" s="91"/>
      <c r="D137" s="49"/>
      <c r="E137" s="49"/>
      <c r="F137" s="741"/>
      <c r="G137" s="365"/>
      <c r="H137" s="672"/>
      <c r="I137" s="61"/>
      <c r="J137" s="208"/>
      <c r="K137" s="393"/>
      <c r="L137" s="433"/>
      <c r="M137" s="196"/>
    </row>
    <row r="138" spans="1:16" ht="17.399999999999999" customHeight="1" x14ac:dyDescent="0.25">
      <c r="A138" s="92"/>
      <c r="B138" s="85"/>
      <c r="C138" s="91"/>
      <c r="D138" s="405"/>
      <c r="E138" s="366" t="s">
        <v>9</v>
      </c>
      <c r="F138" s="609" t="s">
        <v>111</v>
      </c>
      <c r="G138" s="485" t="s">
        <v>125</v>
      </c>
      <c r="H138" s="618" t="s">
        <v>129</v>
      </c>
      <c r="I138" s="140" t="s">
        <v>60</v>
      </c>
      <c r="J138" s="285">
        <f>167.8+190.7</f>
        <v>358.5</v>
      </c>
      <c r="K138" s="164" t="s">
        <v>62</v>
      </c>
      <c r="L138" s="277">
        <v>100</v>
      </c>
      <c r="M138" s="326"/>
    </row>
    <row r="139" spans="1:16" ht="14.7" customHeight="1" x14ac:dyDescent="0.25">
      <c r="A139" s="92"/>
      <c r="B139" s="85"/>
      <c r="C139" s="91"/>
      <c r="D139" s="405"/>
      <c r="E139" s="367"/>
      <c r="F139" s="621"/>
      <c r="G139" s="365" t="s">
        <v>182</v>
      </c>
      <c r="H139" s="619"/>
      <c r="I139" s="140" t="s">
        <v>10</v>
      </c>
      <c r="J139" s="269">
        <v>1911.9</v>
      </c>
      <c r="K139" s="165"/>
      <c r="L139" s="431"/>
      <c r="M139" s="326"/>
    </row>
    <row r="140" spans="1:16" ht="14.7" customHeight="1" x14ac:dyDescent="0.25">
      <c r="A140" s="92"/>
      <c r="B140" s="85"/>
      <c r="C140" s="91"/>
      <c r="D140" s="405"/>
      <c r="E140" s="367"/>
      <c r="F140" s="621"/>
      <c r="G140" s="483" t="s">
        <v>167</v>
      </c>
      <c r="H140" s="619"/>
      <c r="I140" s="284" t="s">
        <v>13</v>
      </c>
      <c r="J140" s="529">
        <f>14.8+16.9</f>
        <v>31.7</v>
      </c>
      <c r="K140" s="165"/>
      <c r="L140" s="342"/>
      <c r="M140" s="326"/>
    </row>
    <row r="141" spans="1:16" ht="14.7" customHeight="1" x14ac:dyDescent="0.25">
      <c r="A141" s="92"/>
      <c r="B141" s="85"/>
      <c r="C141" s="91"/>
      <c r="D141" s="405"/>
      <c r="E141" s="526"/>
      <c r="F141" s="621"/>
      <c r="G141" s="519" t="s">
        <v>2</v>
      </c>
      <c r="H141" s="619"/>
      <c r="I141" s="522" t="s">
        <v>117</v>
      </c>
      <c r="J141" s="253">
        <v>72.599999999999994</v>
      </c>
      <c r="K141" s="165"/>
      <c r="L141" s="342"/>
      <c r="M141" s="326"/>
    </row>
    <row r="142" spans="1:16" ht="15" customHeight="1" x14ac:dyDescent="0.25">
      <c r="A142" s="92"/>
      <c r="B142" s="85"/>
      <c r="C142" s="91"/>
      <c r="D142" s="405"/>
      <c r="E142" s="368"/>
      <c r="F142" s="621"/>
      <c r="G142" s="383"/>
      <c r="H142" s="619"/>
      <c r="I142" s="391" t="s">
        <v>268</v>
      </c>
      <c r="J142" s="253">
        <v>6.4</v>
      </c>
      <c r="K142" s="166"/>
      <c r="L142" s="342"/>
      <c r="M142" s="326"/>
    </row>
    <row r="143" spans="1:16" ht="13.95" customHeight="1" x14ac:dyDescent="0.25">
      <c r="A143" s="92"/>
      <c r="B143" s="85"/>
      <c r="C143" s="91"/>
      <c r="D143" s="69"/>
      <c r="E143" s="367" t="s">
        <v>12</v>
      </c>
      <c r="F143" s="653" t="s">
        <v>147</v>
      </c>
      <c r="G143" s="365" t="s">
        <v>125</v>
      </c>
      <c r="H143" s="202"/>
      <c r="I143" s="735"/>
      <c r="J143" s="212"/>
      <c r="K143" s="361"/>
      <c r="L143" s="434"/>
      <c r="M143" s="324"/>
    </row>
    <row r="144" spans="1:16" ht="13.95" customHeight="1" x14ac:dyDescent="0.25">
      <c r="A144" s="92"/>
      <c r="B144" s="85"/>
      <c r="C144" s="91"/>
      <c r="D144" s="405"/>
      <c r="E144" s="367"/>
      <c r="F144" s="734"/>
      <c r="G144" s="373"/>
      <c r="H144" s="238"/>
      <c r="I144" s="736"/>
      <c r="J144" s="454"/>
      <c r="K144" s="362"/>
      <c r="L144" s="455"/>
      <c r="M144" s="324"/>
    </row>
    <row r="145" spans="1:17" ht="18" customHeight="1" x14ac:dyDescent="0.25">
      <c r="A145" s="92"/>
      <c r="B145" s="85"/>
      <c r="C145" s="91"/>
      <c r="D145" s="405"/>
      <c r="E145" s="367"/>
      <c r="F145" s="653" t="s">
        <v>259</v>
      </c>
      <c r="G145" s="365" t="s">
        <v>2</v>
      </c>
      <c r="H145" s="236" t="s">
        <v>129</v>
      </c>
      <c r="I145" s="162" t="s">
        <v>10</v>
      </c>
      <c r="J145" s="210">
        <f>170.4-1-43.4</f>
        <v>126</v>
      </c>
      <c r="K145" s="153" t="s">
        <v>156</v>
      </c>
      <c r="L145" s="279">
        <v>25</v>
      </c>
      <c r="M145" s="327"/>
      <c r="N145" s="717"/>
      <c r="O145" s="717"/>
      <c r="P145" s="717"/>
      <c r="Q145" s="717"/>
    </row>
    <row r="146" spans="1:17" ht="17.25" customHeight="1" x14ac:dyDescent="0.25">
      <c r="A146" s="92"/>
      <c r="B146" s="85"/>
      <c r="C146" s="91"/>
      <c r="D146" s="405"/>
      <c r="E146" s="367"/>
      <c r="F146" s="654"/>
      <c r="G146" s="682" t="s">
        <v>182</v>
      </c>
      <c r="H146" s="237"/>
      <c r="I146" s="162"/>
      <c r="J146" s="210"/>
      <c r="K146" s="153"/>
      <c r="L146" s="279"/>
      <c r="M146" s="324"/>
      <c r="N146" s="717"/>
      <c r="O146" s="717"/>
      <c r="P146" s="717"/>
      <c r="Q146" s="717"/>
    </row>
    <row r="147" spans="1:17" ht="0.75" customHeight="1" x14ac:dyDescent="0.25">
      <c r="A147" s="92"/>
      <c r="B147" s="85"/>
      <c r="C147" s="91"/>
      <c r="D147" s="405"/>
      <c r="E147" s="367"/>
      <c r="F147" s="654"/>
      <c r="G147" s="682"/>
      <c r="H147" s="237"/>
      <c r="I147" s="167"/>
      <c r="J147" s="212"/>
      <c r="K147" s="738"/>
      <c r="L147" s="431"/>
      <c r="M147" s="324"/>
      <c r="N147" s="717"/>
      <c r="O147" s="717"/>
      <c r="P147" s="717"/>
      <c r="Q147" s="717"/>
    </row>
    <row r="148" spans="1:17" ht="21" customHeight="1" x14ac:dyDescent="0.25">
      <c r="A148" s="92"/>
      <c r="B148" s="85"/>
      <c r="C148" s="91"/>
      <c r="D148" s="405"/>
      <c r="E148" s="367"/>
      <c r="F148" s="737"/>
      <c r="G148" s="383" t="s">
        <v>181</v>
      </c>
      <c r="H148" s="203"/>
      <c r="I148" s="396"/>
      <c r="J148" s="211"/>
      <c r="K148" s="739"/>
      <c r="L148" s="431"/>
      <c r="M148" s="324"/>
      <c r="N148" s="717"/>
      <c r="O148" s="717"/>
      <c r="P148" s="717"/>
      <c r="Q148" s="717"/>
    </row>
    <row r="149" spans="1:17" ht="18.75" customHeight="1" x14ac:dyDescent="0.25">
      <c r="A149" s="92"/>
      <c r="B149" s="85"/>
      <c r="C149" s="91"/>
      <c r="D149" s="405"/>
      <c r="E149" s="512"/>
      <c r="F149" s="653" t="s">
        <v>263</v>
      </c>
      <c r="G149" s="504" t="s">
        <v>182</v>
      </c>
      <c r="H149" s="618" t="s">
        <v>180</v>
      </c>
      <c r="I149" s="208" t="s">
        <v>10</v>
      </c>
      <c r="J149" s="210">
        <v>1</v>
      </c>
      <c r="K149" s="506" t="s">
        <v>264</v>
      </c>
      <c r="L149" s="397">
        <v>100</v>
      </c>
      <c r="M149" s="324"/>
      <c r="N149" s="503"/>
      <c r="O149" s="503"/>
      <c r="P149" s="503"/>
      <c r="Q149" s="503"/>
    </row>
    <row r="150" spans="1:17" ht="24" customHeight="1" x14ac:dyDescent="0.25">
      <c r="A150" s="92"/>
      <c r="B150" s="85"/>
      <c r="C150" s="91"/>
      <c r="D150" s="405"/>
      <c r="E150" s="512"/>
      <c r="F150" s="737"/>
      <c r="G150" s="502" t="s">
        <v>181</v>
      </c>
      <c r="H150" s="672"/>
      <c r="I150" s="513"/>
      <c r="J150" s="454"/>
      <c r="K150" s="511"/>
      <c r="L150" s="431"/>
      <c r="M150" s="324"/>
      <c r="N150" s="503"/>
      <c r="O150" s="503"/>
      <c r="P150" s="503"/>
      <c r="Q150" s="503"/>
    </row>
    <row r="151" spans="1:17" s="47" customFormat="1" ht="15.75" customHeight="1" x14ac:dyDescent="0.25">
      <c r="A151" s="92"/>
      <c r="B151" s="85"/>
      <c r="C151" s="125"/>
      <c r="D151" s="14"/>
      <c r="E151" s="574" t="s">
        <v>14</v>
      </c>
      <c r="F151" s="653" t="s">
        <v>157</v>
      </c>
      <c r="G151" s="576" t="s">
        <v>280</v>
      </c>
      <c r="H151" s="573" t="s">
        <v>129</v>
      </c>
      <c r="I151" s="310" t="s">
        <v>10</v>
      </c>
      <c r="J151" s="311">
        <f>546.4-200+87.7+14.3</f>
        <v>448.4</v>
      </c>
      <c r="K151" s="578" t="s">
        <v>156</v>
      </c>
      <c r="L151" s="397">
        <v>87</v>
      </c>
      <c r="M151" s="198"/>
    </row>
    <row r="152" spans="1:17" s="47" customFormat="1" ht="15.75" customHeight="1" x14ac:dyDescent="0.25">
      <c r="A152" s="92"/>
      <c r="B152" s="85"/>
      <c r="C152" s="91"/>
      <c r="D152" s="594"/>
      <c r="E152" s="586"/>
      <c r="F152" s="654"/>
      <c r="G152" s="588" t="s">
        <v>2</v>
      </c>
      <c r="H152" s="585"/>
      <c r="I152" s="592" t="s">
        <v>58</v>
      </c>
      <c r="J152" s="593">
        <v>535.20000000000005</v>
      </c>
      <c r="K152" s="587"/>
      <c r="L152" s="277"/>
      <c r="M152" s="198"/>
    </row>
    <row r="153" spans="1:17" ht="15" customHeight="1" x14ac:dyDescent="0.25">
      <c r="A153" s="92"/>
      <c r="B153" s="85"/>
      <c r="C153" s="91"/>
      <c r="D153" s="406"/>
      <c r="E153" s="575"/>
      <c r="F153" s="582"/>
      <c r="G153" s="577"/>
      <c r="H153" s="203"/>
      <c r="I153" s="55" t="s">
        <v>11</v>
      </c>
      <c r="J153" s="545">
        <f>SUM(J138:J152)</f>
        <v>3491.7</v>
      </c>
      <c r="K153" s="541"/>
      <c r="L153" s="433"/>
      <c r="M153" s="324"/>
      <c r="N153" s="717"/>
      <c r="O153" s="717"/>
    </row>
    <row r="154" spans="1:17" ht="33" customHeight="1" x14ac:dyDescent="0.25">
      <c r="A154" s="92"/>
      <c r="B154" s="85"/>
      <c r="C154" s="91"/>
      <c r="D154" s="69" t="s">
        <v>14</v>
      </c>
      <c r="E154" s="542"/>
      <c r="F154" s="653" t="s">
        <v>270</v>
      </c>
      <c r="G154" s="539" t="s">
        <v>184</v>
      </c>
      <c r="H154" s="618" t="s">
        <v>233</v>
      </c>
      <c r="I154" s="548"/>
      <c r="J154" s="549"/>
      <c r="K154" s="540" t="s">
        <v>271</v>
      </c>
      <c r="L154" s="277">
        <v>1</v>
      </c>
      <c r="M154" s="324"/>
      <c r="N154" s="538"/>
      <c r="O154" s="538"/>
    </row>
    <row r="155" spans="1:17" ht="15" customHeight="1" x14ac:dyDescent="0.25">
      <c r="A155" s="92"/>
      <c r="B155" s="85"/>
      <c r="C155" s="91"/>
      <c r="D155" s="405"/>
      <c r="E155" s="542"/>
      <c r="F155" s="654"/>
      <c r="G155" s="539"/>
      <c r="H155" s="672"/>
      <c r="I155" s="546" t="s">
        <v>11</v>
      </c>
      <c r="J155" s="547">
        <f>J154</f>
        <v>0</v>
      </c>
      <c r="K155" s="540"/>
      <c r="L155" s="431"/>
      <c r="M155" s="324"/>
      <c r="N155" s="538"/>
      <c r="O155" s="538"/>
    </row>
    <row r="156" spans="1:17" ht="13.5" customHeight="1" thickBot="1" x14ac:dyDescent="0.3">
      <c r="A156" s="92"/>
      <c r="B156" s="85"/>
      <c r="C156" s="91"/>
      <c r="D156" s="229"/>
      <c r="E156" s="338"/>
      <c r="F156" s="733"/>
      <c r="G156" s="722" t="s">
        <v>36</v>
      </c>
      <c r="H156" s="723"/>
      <c r="I156" s="723"/>
      <c r="J156" s="308">
        <f>+J153+J135+J155</f>
        <v>13424.5</v>
      </c>
      <c r="K156" s="457"/>
      <c r="L156" s="435"/>
      <c r="M156" s="325"/>
    </row>
    <row r="157" spans="1:17" ht="29.25" customHeight="1" x14ac:dyDescent="0.25">
      <c r="A157" s="99" t="s">
        <v>12</v>
      </c>
      <c r="B157" s="100" t="s">
        <v>9</v>
      </c>
      <c r="C157" s="83" t="s">
        <v>14</v>
      </c>
      <c r="D157" s="23"/>
      <c r="E157" s="23"/>
      <c r="F157" s="416" t="s">
        <v>55</v>
      </c>
      <c r="G157" s="223"/>
      <c r="H157" s="724" t="s">
        <v>224</v>
      </c>
      <c r="I157" s="9"/>
      <c r="J157" s="3"/>
      <c r="K157" s="384"/>
      <c r="L157" s="425"/>
      <c r="M157" s="59"/>
    </row>
    <row r="158" spans="1:17" ht="39.75" customHeight="1" x14ac:dyDescent="0.25">
      <c r="A158" s="92"/>
      <c r="B158" s="85"/>
      <c r="C158" s="86"/>
      <c r="D158" s="157" t="s">
        <v>9</v>
      </c>
      <c r="E158" s="157"/>
      <c r="F158" s="386" t="s">
        <v>112</v>
      </c>
      <c r="G158" s="373" t="s">
        <v>181</v>
      </c>
      <c r="H158" s="619"/>
      <c r="I158" s="10" t="s">
        <v>10</v>
      </c>
      <c r="J158" s="6">
        <v>176.8</v>
      </c>
      <c r="K158" s="348" t="s">
        <v>63</v>
      </c>
      <c r="L158" s="436">
        <v>16</v>
      </c>
      <c r="M158" s="196"/>
    </row>
    <row r="159" spans="1:17" ht="16.5" customHeight="1" x14ac:dyDescent="0.25">
      <c r="A159" s="92"/>
      <c r="B159" s="85"/>
      <c r="C159" s="115"/>
      <c r="D159" s="366" t="s">
        <v>12</v>
      </c>
      <c r="E159" s="366"/>
      <c r="F159" s="609" t="s">
        <v>113</v>
      </c>
      <c r="G159" s="389" t="s">
        <v>181</v>
      </c>
      <c r="H159" s="619"/>
      <c r="I159" s="4" t="s">
        <v>10</v>
      </c>
      <c r="J159" s="274">
        <f>264.6</f>
        <v>264.60000000000002</v>
      </c>
      <c r="K159" s="379" t="s">
        <v>63</v>
      </c>
      <c r="L159" s="280">
        <v>44</v>
      </c>
      <c r="M159" s="196"/>
    </row>
    <row r="160" spans="1:17" ht="16.5" customHeight="1" x14ac:dyDescent="0.25">
      <c r="A160" s="92"/>
      <c r="B160" s="85"/>
      <c r="C160" s="154"/>
      <c r="D160" s="368"/>
      <c r="E160" s="368"/>
      <c r="F160" s="610"/>
      <c r="G160" s="373" t="s">
        <v>182</v>
      </c>
      <c r="H160" s="619"/>
      <c r="I160" s="556" t="s">
        <v>58</v>
      </c>
      <c r="J160" s="409">
        <v>200</v>
      </c>
      <c r="K160" s="378"/>
      <c r="L160" s="277"/>
      <c r="M160" s="196"/>
    </row>
    <row r="161" spans="1:13" ht="27.75" customHeight="1" x14ac:dyDescent="0.25">
      <c r="A161" s="92"/>
      <c r="B161" s="85"/>
      <c r="C161" s="154"/>
      <c r="D161" s="155" t="s">
        <v>14</v>
      </c>
      <c r="E161" s="155"/>
      <c r="F161" s="36" t="s">
        <v>118</v>
      </c>
      <c r="G161" s="373" t="s">
        <v>211</v>
      </c>
      <c r="H161" s="619"/>
      <c r="I161" s="4" t="s">
        <v>10</v>
      </c>
      <c r="J161" s="6">
        <v>18.600000000000001</v>
      </c>
      <c r="K161" s="348" t="s">
        <v>63</v>
      </c>
      <c r="L161" s="278">
        <v>3</v>
      </c>
      <c r="M161" s="196"/>
    </row>
    <row r="162" spans="1:13" ht="18.75" customHeight="1" x14ac:dyDescent="0.25">
      <c r="A162" s="92"/>
      <c r="B162" s="85"/>
      <c r="C162" s="154"/>
      <c r="D162" s="641" t="s">
        <v>16</v>
      </c>
      <c r="E162" s="641"/>
      <c r="F162" s="609" t="s">
        <v>227</v>
      </c>
      <c r="G162" s="728" t="s">
        <v>181</v>
      </c>
      <c r="H162" s="619"/>
      <c r="I162" s="726" t="s">
        <v>10</v>
      </c>
      <c r="J162" s="731">
        <v>93.3</v>
      </c>
      <c r="K162" s="493" t="s">
        <v>252</v>
      </c>
      <c r="L162" s="495">
        <v>5</v>
      </c>
      <c r="M162" s="196"/>
    </row>
    <row r="163" spans="1:13" ht="24" customHeight="1" x14ac:dyDescent="0.25">
      <c r="A163" s="92"/>
      <c r="B163" s="85"/>
      <c r="C163" s="154"/>
      <c r="D163" s="643"/>
      <c r="E163" s="643"/>
      <c r="F163" s="610"/>
      <c r="G163" s="683"/>
      <c r="H163" s="619"/>
      <c r="I163" s="727"/>
      <c r="J163" s="732"/>
      <c r="K163" s="486"/>
      <c r="L163" s="458"/>
      <c r="M163" s="196"/>
    </row>
    <row r="164" spans="1:13" ht="42.75" customHeight="1" x14ac:dyDescent="0.25">
      <c r="A164" s="92"/>
      <c r="B164" s="85"/>
      <c r="C164" s="154"/>
      <c r="D164" s="155" t="s">
        <v>17</v>
      </c>
      <c r="E164" s="366"/>
      <c r="F164" s="369" t="s">
        <v>188</v>
      </c>
      <c r="G164" s="218" t="s">
        <v>181</v>
      </c>
      <c r="H164" s="619"/>
      <c r="I164" s="10" t="s">
        <v>10</v>
      </c>
      <c r="J164" s="6">
        <v>120</v>
      </c>
      <c r="K164" s="348" t="s">
        <v>189</v>
      </c>
      <c r="L164" s="398">
        <v>2</v>
      </c>
      <c r="M164" s="196"/>
    </row>
    <row r="165" spans="1:13" s="47" customFormat="1" ht="40.5" customHeight="1" x14ac:dyDescent="0.25">
      <c r="A165" s="92"/>
      <c r="B165" s="85"/>
      <c r="C165" s="154"/>
      <c r="D165" s="366" t="s">
        <v>56</v>
      </c>
      <c r="E165" s="282"/>
      <c r="F165" s="609" t="s">
        <v>230</v>
      </c>
      <c r="G165" s="218" t="s">
        <v>181</v>
      </c>
      <c r="H165" s="300">
        <v>48</v>
      </c>
      <c r="I165" s="287" t="s">
        <v>10</v>
      </c>
      <c r="J165" s="179">
        <f>48+21.6</f>
        <v>69.599999999999994</v>
      </c>
      <c r="K165" s="665" t="s">
        <v>201</v>
      </c>
      <c r="L165" s="359">
        <v>1</v>
      </c>
      <c r="M165" s="198"/>
    </row>
    <row r="166" spans="1:13" ht="14.25" customHeight="1" thickBot="1" x14ac:dyDescent="0.3">
      <c r="A166" s="101"/>
      <c r="B166" s="102"/>
      <c r="C166" s="231"/>
      <c r="D166" s="200"/>
      <c r="E166" s="200"/>
      <c r="F166" s="622"/>
      <c r="G166" s="729" t="s">
        <v>36</v>
      </c>
      <c r="H166" s="705"/>
      <c r="I166" s="730"/>
      <c r="J166" s="267">
        <f>SUM(J158:J165)</f>
        <v>942.90000000000009</v>
      </c>
      <c r="K166" s="725"/>
      <c r="L166" s="435"/>
      <c r="M166" s="59"/>
    </row>
    <row r="167" spans="1:13" ht="16.5" customHeight="1" thickBot="1" x14ac:dyDescent="0.3">
      <c r="A167" s="106" t="s">
        <v>12</v>
      </c>
      <c r="B167" s="107" t="s">
        <v>9</v>
      </c>
      <c r="C167" s="606" t="s">
        <v>15</v>
      </c>
      <c r="D167" s="607"/>
      <c r="E167" s="607"/>
      <c r="F167" s="607"/>
      <c r="G167" s="607"/>
      <c r="H167" s="607"/>
      <c r="I167" s="608"/>
      <c r="J167" s="108">
        <f>+J166+J156+J106</f>
        <v>14439.199999999999</v>
      </c>
      <c r="K167" s="185"/>
      <c r="L167" s="437"/>
      <c r="M167" s="48"/>
    </row>
    <row r="168" spans="1:13" ht="15" customHeight="1" thickBot="1" x14ac:dyDescent="0.3">
      <c r="A168" s="106" t="s">
        <v>12</v>
      </c>
      <c r="B168" s="107" t="s">
        <v>12</v>
      </c>
      <c r="C168" s="718" t="s">
        <v>45</v>
      </c>
      <c r="D168" s="719"/>
      <c r="E168" s="719"/>
      <c r="F168" s="719"/>
      <c r="G168" s="719"/>
      <c r="H168" s="719"/>
      <c r="I168" s="719"/>
      <c r="J168" s="719"/>
      <c r="K168" s="719"/>
      <c r="L168" s="438"/>
      <c r="M168" s="320"/>
    </row>
    <row r="169" spans="1:13" ht="16.2" customHeight="1" x14ac:dyDescent="0.25">
      <c r="A169" s="99" t="s">
        <v>12</v>
      </c>
      <c r="B169" s="100" t="s">
        <v>12</v>
      </c>
      <c r="C169" s="120" t="s">
        <v>9</v>
      </c>
      <c r="D169" s="64"/>
      <c r="E169" s="23"/>
      <c r="F169" s="416" t="s">
        <v>52</v>
      </c>
      <c r="G169" s="232"/>
      <c r="H169" s="296"/>
      <c r="I169" s="415"/>
      <c r="J169" s="461"/>
      <c r="K169" s="384"/>
      <c r="L169" s="439"/>
      <c r="M169" s="196"/>
    </row>
    <row r="170" spans="1:13" ht="18.75" customHeight="1" x14ac:dyDescent="0.25">
      <c r="A170" s="92"/>
      <c r="B170" s="85"/>
      <c r="C170" s="86"/>
      <c r="D170" s="388" t="s">
        <v>9</v>
      </c>
      <c r="E170" s="157"/>
      <c r="F170" s="609" t="s">
        <v>228</v>
      </c>
      <c r="G170" s="158" t="s">
        <v>181</v>
      </c>
      <c r="H170" s="616" t="s">
        <v>224</v>
      </c>
      <c r="I170" s="600" t="s">
        <v>10</v>
      </c>
      <c r="J170" s="601">
        <f>13.2</f>
        <v>13.2</v>
      </c>
      <c r="K170" s="348" t="s">
        <v>63</v>
      </c>
      <c r="L170" s="34">
        <v>23</v>
      </c>
      <c r="M170" s="196"/>
    </row>
    <row r="171" spans="1:13" ht="16.5" customHeight="1" x14ac:dyDescent="0.25">
      <c r="A171" s="92"/>
      <c r="B171" s="85"/>
      <c r="C171" s="86"/>
      <c r="D171" s="29"/>
      <c r="E171" s="406"/>
      <c r="F171" s="610"/>
      <c r="G171" s="233"/>
      <c r="H171" s="616"/>
      <c r="I171" s="460" t="s">
        <v>58</v>
      </c>
      <c r="J171" s="462">
        <v>78.7</v>
      </c>
      <c r="K171" s="7" t="s">
        <v>148</v>
      </c>
      <c r="L171" s="402">
        <v>589</v>
      </c>
      <c r="M171" s="196"/>
    </row>
    <row r="172" spans="1:13" s="110" customFormat="1" ht="15.6" customHeight="1" x14ac:dyDescent="0.25">
      <c r="A172" s="380"/>
      <c r="B172" s="119"/>
      <c r="C172" s="121"/>
      <c r="D172" s="289" t="s">
        <v>12</v>
      </c>
      <c r="E172" s="24"/>
      <c r="F172" s="611" t="s">
        <v>229</v>
      </c>
      <c r="G172" s="72" t="s">
        <v>181</v>
      </c>
      <c r="H172" s="616"/>
      <c r="I172" s="600" t="s">
        <v>10</v>
      </c>
      <c r="J172" s="601">
        <f>42.4+6.3</f>
        <v>48.699999999999996</v>
      </c>
      <c r="K172" s="62" t="s">
        <v>63</v>
      </c>
      <c r="L172" s="34">
        <v>39</v>
      </c>
      <c r="M172" s="196"/>
    </row>
    <row r="173" spans="1:13" s="110" customFormat="1" ht="55.2" customHeight="1" x14ac:dyDescent="0.25">
      <c r="A173" s="380"/>
      <c r="B173" s="119"/>
      <c r="C173" s="121"/>
      <c r="D173" s="239"/>
      <c r="E173" s="239"/>
      <c r="F173" s="612"/>
      <c r="G173" s="222"/>
      <c r="H173" s="617"/>
      <c r="I173" s="240" t="s">
        <v>58</v>
      </c>
      <c r="J173" s="462">
        <v>146.30000000000001</v>
      </c>
      <c r="K173" s="62" t="s">
        <v>221</v>
      </c>
      <c r="L173" s="34">
        <v>78</v>
      </c>
      <c r="M173" s="196"/>
    </row>
    <row r="174" spans="1:13" s="110" customFormat="1" ht="15" customHeight="1" x14ac:dyDescent="0.25">
      <c r="A174" s="380"/>
      <c r="B174" s="119"/>
      <c r="C174" s="121"/>
      <c r="D174" s="289" t="s">
        <v>14</v>
      </c>
      <c r="E174" s="183"/>
      <c r="F174" s="609" t="s">
        <v>234</v>
      </c>
      <c r="G174" s="72" t="s">
        <v>181</v>
      </c>
      <c r="H174" s="618" t="s">
        <v>233</v>
      </c>
      <c r="I174" s="145" t="s">
        <v>58</v>
      </c>
      <c r="J174" s="463">
        <v>18</v>
      </c>
      <c r="K174" s="57" t="s">
        <v>235</v>
      </c>
      <c r="L174" s="358">
        <v>1</v>
      </c>
      <c r="M174" s="196"/>
    </row>
    <row r="175" spans="1:13" s="110" customFormat="1" ht="15.75" customHeight="1" x14ac:dyDescent="0.25">
      <c r="A175" s="380"/>
      <c r="B175" s="119"/>
      <c r="C175" s="121"/>
      <c r="D175" s="183"/>
      <c r="E175" s="183"/>
      <c r="F175" s="621"/>
      <c r="G175" s="72"/>
      <c r="H175" s="619"/>
      <c r="I175" s="243" t="s">
        <v>58</v>
      </c>
      <c r="J175" s="464">
        <f>2344.6-500-200-1044.6-225</f>
        <v>375</v>
      </c>
      <c r="K175" s="374" t="s">
        <v>190</v>
      </c>
      <c r="L175" s="456">
        <v>2000</v>
      </c>
      <c r="M175" s="196"/>
    </row>
    <row r="176" spans="1:13" s="110" customFormat="1" ht="15.6" customHeight="1" thickBot="1" x14ac:dyDescent="0.3">
      <c r="A176" s="380"/>
      <c r="B176" s="119"/>
      <c r="C176" s="121"/>
      <c r="D176" s="45"/>
      <c r="E176" s="30"/>
      <c r="F176" s="622"/>
      <c r="G176" s="72"/>
      <c r="H176" s="620"/>
      <c r="I176" s="55" t="s">
        <v>11</v>
      </c>
      <c r="J176" s="465">
        <f>SUM(J170:J175)</f>
        <v>679.9</v>
      </c>
      <c r="K176" s="63"/>
      <c r="L176" s="426"/>
      <c r="M176" s="196"/>
    </row>
    <row r="177" spans="1:15" s="110" customFormat="1" ht="30" customHeight="1" x14ac:dyDescent="0.25">
      <c r="A177" s="412" t="s">
        <v>12</v>
      </c>
      <c r="B177" s="417" t="s">
        <v>12</v>
      </c>
      <c r="C177" s="122" t="s">
        <v>12</v>
      </c>
      <c r="D177" s="39"/>
      <c r="E177" s="225"/>
      <c r="F177" s="184" t="s">
        <v>166</v>
      </c>
      <c r="G177" s="223"/>
      <c r="H177" s="479"/>
      <c r="I177" s="71"/>
      <c r="J177" s="291"/>
      <c r="K177" s="150"/>
      <c r="L177" s="459"/>
      <c r="M177" s="329"/>
    </row>
    <row r="178" spans="1:15" s="290" customFormat="1" ht="16.95" customHeight="1" x14ac:dyDescent="0.25">
      <c r="A178" s="380"/>
      <c r="B178" s="119"/>
      <c r="C178" s="297"/>
      <c r="D178" s="289" t="s">
        <v>9</v>
      </c>
      <c r="E178" s="110"/>
      <c r="F178" s="609" t="s">
        <v>94</v>
      </c>
      <c r="G178" s="488" t="s">
        <v>181</v>
      </c>
      <c r="H178" s="668" t="s">
        <v>224</v>
      </c>
      <c r="I178" s="614" t="s">
        <v>10</v>
      </c>
      <c r="J178" s="400">
        <v>52</v>
      </c>
      <c r="K178" s="7" t="s">
        <v>67</v>
      </c>
      <c r="L178" s="34">
        <v>15</v>
      </c>
      <c r="M178" s="330"/>
    </row>
    <row r="179" spans="1:15" s="290" customFormat="1" ht="16.95" customHeight="1" x14ac:dyDescent="0.25">
      <c r="A179" s="380"/>
      <c r="B179" s="119"/>
      <c r="C179" s="297"/>
      <c r="D179" s="496"/>
      <c r="E179" s="488"/>
      <c r="F179" s="613"/>
      <c r="G179" s="494"/>
      <c r="H179" s="668"/>
      <c r="I179" s="615"/>
      <c r="J179" s="401"/>
      <c r="K179" s="62" t="s">
        <v>122</v>
      </c>
      <c r="L179" s="34">
        <v>52</v>
      </c>
      <c r="M179" s="331"/>
    </row>
    <row r="180" spans="1:15" s="110" customFormat="1" ht="17.25" customHeight="1" x14ac:dyDescent="0.25">
      <c r="A180" s="380"/>
      <c r="B180" s="119"/>
      <c r="C180" s="297"/>
      <c r="D180" s="182" t="s">
        <v>12</v>
      </c>
      <c r="E180" s="289"/>
      <c r="F180" s="609" t="s">
        <v>191</v>
      </c>
      <c r="G180" s="492" t="s">
        <v>181</v>
      </c>
      <c r="H180" s="668"/>
      <c r="I180" s="343" t="s">
        <v>10</v>
      </c>
      <c r="J180" s="451">
        <v>100</v>
      </c>
      <c r="K180" s="7" t="s">
        <v>122</v>
      </c>
      <c r="L180" s="34">
        <v>100</v>
      </c>
      <c r="M180" s="196"/>
    </row>
    <row r="181" spans="1:15" s="110" customFormat="1" ht="54.75" customHeight="1" x14ac:dyDescent="0.25">
      <c r="A181" s="380"/>
      <c r="B181" s="119"/>
      <c r="C181" s="121"/>
      <c r="D181" s="339"/>
      <c r="E181" s="339"/>
      <c r="F181" s="610"/>
      <c r="G181" s="487"/>
      <c r="H181" s="669"/>
      <c r="I181" s="489"/>
      <c r="J181" s="466"/>
      <c r="K181" s="62" t="s">
        <v>63</v>
      </c>
      <c r="L181" s="491">
        <v>50</v>
      </c>
      <c r="M181" s="196"/>
    </row>
    <row r="182" spans="1:15" s="110" customFormat="1" ht="16.5" customHeight="1" x14ac:dyDescent="0.25">
      <c r="A182" s="380"/>
      <c r="B182" s="119"/>
      <c r="C182" s="121"/>
      <c r="D182" s="561" t="s">
        <v>14</v>
      </c>
      <c r="E182" s="561"/>
      <c r="F182" s="609" t="s">
        <v>149</v>
      </c>
      <c r="G182" s="217" t="s">
        <v>181</v>
      </c>
      <c r="H182" s="675" t="s">
        <v>137</v>
      </c>
      <c r="I182" s="343" t="s">
        <v>10</v>
      </c>
      <c r="J182" s="467">
        <v>15</v>
      </c>
      <c r="K182" s="141" t="s">
        <v>63</v>
      </c>
      <c r="L182" s="359">
        <v>5</v>
      </c>
      <c r="M182" s="196"/>
    </row>
    <row r="183" spans="1:15" s="110" customFormat="1" ht="15.75" customHeight="1" x14ac:dyDescent="0.25">
      <c r="A183" s="380"/>
      <c r="B183" s="119"/>
      <c r="C183" s="121"/>
      <c r="D183" s="183"/>
      <c r="E183" s="183"/>
      <c r="F183" s="621"/>
      <c r="G183" s="175"/>
      <c r="H183" s="616"/>
      <c r="I183" s="343"/>
      <c r="J183" s="468"/>
      <c r="K183" s="62" t="s">
        <v>122</v>
      </c>
      <c r="L183" s="358">
        <v>5</v>
      </c>
      <c r="M183" s="196"/>
    </row>
    <row r="184" spans="1:15" s="110" customFormat="1" ht="17.25" customHeight="1" x14ac:dyDescent="0.25">
      <c r="A184" s="380"/>
      <c r="B184" s="119"/>
      <c r="C184" s="121"/>
      <c r="D184" s="562"/>
      <c r="E184" s="562"/>
      <c r="F184" s="559"/>
      <c r="G184" s="222"/>
      <c r="H184" s="616"/>
      <c r="I184" s="556"/>
      <c r="J184" s="401"/>
      <c r="K184" s="65" t="s">
        <v>244</v>
      </c>
      <c r="L184" s="34">
        <v>5</v>
      </c>
      <c r="M184" s="196"/>
    </row>
    <row r="185" spans="1:15" s="110" customFormat="1" ht="17.25" customHeight="1" x14ac:dyDescent="0.25">
      <c r="A185" s="558"/>
      <c r="B185" s="119"/>
      <c r="C185" s="121"/>
      <c r="D185" s="183" t="s">
        <v>16</v>
      </c>
      <c r="E185" s="183"/>
      <c r="F185" s="609" t="s">
        <v>274</v>
      </c>
      <c r="G185" s="72" t="s">
        <v>181</v>
      </c>
      <c r="H185" s="616"/>
      <c r="I185" s="4" t="s">
        <v>10</v>
      </c>
      <c r="J185" s="274">
        <v>54.4</v>
      </c>
      <c r="K185" s="62" t="s">
        <v>244</v>
      </c>
      <c r="L185" s="34">
        <v>10</v>
      </c>
      <c r="M185" s="196"/>
    </row>
    <row r="186" spans="1:15" s="110" customFormat="1" ht="29.25" customHeight="1" x14ac:dyDescent="0.25">
      <c r="A186" s="558"/>
      <c r="B186" s="119"/>
      <c r="C186" s="121"/>
      <c r="D186" s="183"/>
      <c r="E186" s="183"/>
      <c r="F186" s="621"/>
      <c r="G186" s="72"/>
      <c r="H186" s="616"/>
      <c r="I186" s="343" t="s">
        <v>58</v>
      </c>
      <c r="J186" s="451">
        <v>65.7</v>
      </c>
      <c r="K186" s="62" t="s">
        <v>275</v>
      </c>
      <c r="L186" s="34">
        <v>10</v>
      </c>
      <c r="M186" s="196"/>
    </row>
    <row r="187" spans="1:15" s="110" customFormat="1" ht="11.25" customHeight="1" x14ac:dyDescent="0.25">
      <c r="A187" s="558"/>
      <c r="B187" s="119"/>
      <c r="C187" s="121"/>
      <c r="D187" s="183"/>
      <c r="E187" s="183"/>
      <c r="F187" s="189"/>
      <c r="G187" s="72"/>
      <c r="H187" s="616"/>
      <c r="I187" s="343"/>
      <c r="J187" s="451"/>
      <c r="K187" s="673" t="s">
        <v>122</v>
      </c>
      <c r="L187" s="359">
        <v>240</v>
      </c>
      <c r="M187" s="196"/>
    </row>
    <row r="188" spans="1:15" s="110" customFormat="1" ht="14.25" customHeight="1" thickBot="1" x14ac:dyDescent="0.3">
      <c r="A188" s="381"/>
      <c r="B188" s="418"/>
      <c r="C188" s="123"/>
      <c r="D188" s="340"/>
      <c r="E188" s="340"/>
      <c r="F188" s="178"/>
      <c r="G188" s="341"/>
      <c r="H188" s="664"/>
      <c r="I188" s="5" t="s">
        <v>11</v>
      </c>
      <c r="J188" s="469">
        <f>SUM(J178:J187)</f>
        <v>287.10000000000002</v>
      </c>
      <c r="K188" s="676"/>
      <c r="L188" s="426"/>
      <c r="M188" s="196"/>
    </row>
    <row r="189" spans="1:15" ht="15.75" customHeight="1" thickBot="1" x14ac:dyDescent="0.3">
      <c r="A189" s="106" t="s">
        <v>12</v>
      </c>
      <c r="B189" s="102" t="s">
        <v>12</v>
      </c>
      <c r="C189" s="784" t="s">
        <v>15</v>
      </c>
      <c r="D189" s="785"/>
      <c r="E189" s="785"/>
      <c r="F189" s="785"/>
      <c r="G189" s="785"/>
      <c r="H189" s="785"/>
      <c r="I189" s="785"/>
      <c r="J189" s="470">
        <f>J176+J188</f>
        <v>967</v>
      </c>
      <c r="K189" s="281"/>
      <c r="L189" s="440"/>
      <c r="M189" s="48"/>
      <c r="O189" s="11"/>
    </row>
    <row r="190" spans="1:15" ht="15.75" customHeight="1" thickBot="1" x14ac:dyDescent="0.3">
      <c r="A190" s="106" t="s">
        <v>12</v>
      </c>
      <c r="B190" s="124" t="s">
        <v>14</v>
      </c>
      <c r="C190" s="755" t="s">
        <v>24</v>
      </c>
      <c r="D190" s="756"/>
      <c r="E190" s="756"/>
      <c r="F190" s="756"/>
      <c r="G190" s="756"/>
      <c r="H190" s="756"/>
      <c r="I190" s="756"/>
      <c r="J190" s="756"/>
      <c r="K190" s="756"/>
      <c r="L190" s="441"/>
      <c r="M190" s="320"/>
    </row>
    <row r="191" spans="1:15" ht="15.6" customHeight="1" x14ac:dyDescent="0.25">
      <c r="A191" s="99" t="s">
        <v>12</v>
      </c>
      <c r="B191" s="100" t="s">
        <v>14</v>
      </c>
      <c r="C191" s="83" t="s">
        <v>9</v>
      </c>
      <c r="D191" s="18"/>
      <c r="E191" s="18"/>
      <c r="F191" s="761" t="s">
        <v>25</v>
      </c>
      <c r="G191" s="204"/>
      <c r="H191" s="763"/>
      <c r="I191" s="2"/>
      <c r="J191" s="2"/>
      <c r="K191" s="148"/>
      <c r="L191" s="442"/>
      <c r="M191" s="196"/>
    </row>
    <row r="192" spans="1:15" ht="13.5" customHeight="1" x14ac:dyDescent="0.25">
      <c r="A192" s="92"/>
      <c r="B192" s="85"/>
      <c r="C192" s="91"/>
      <c r="D192" s="19"/>
      <c r="E192" s="19"/>
      <c r="F192" s="762"/>
      <c r="G192" s="234"/>
      <c r="H192" s="764"/>
      <c r="I192" s="41"/>
      <c r="J192" s="41"/>
      <c r="K192" s="149"/>
      <c r="L192" s="443"/>
      <c r="M192" s="332"/>
    </row>
    <row r="193" spans="1:14" ht="45.6" customHeight="1" x14ac:dyDescent="0.25">
      <c r="A193" s="92"/>
      <c r="B193" s="85"/>
      <c r="C193" s="125"/>
      <c r="D193" s="366" t="s">
        <v>9</v>
      </c>
      <c r="E193" s="567"/>
      <c r="F193" s="386" t="s">
        <v>215</v>
      </c>
      <c r="G193" s="570" t="s">
        <v>181</v>
      </c>
      <c r="H193" s="565" t="s">
        <v>135</v>
      </c>
      <c r="I193" s="569" t="s">
        <v>10</v>
      </c>
      <c r="J193" s="66">
        <f>899-200-199+22.1+100-8.5-2.3+142+57.5+12.5</f>
        <v>823.30000000000007</v>
      </c>
      <c r="K193" s="581" t="s">
        <v>205</v>
      </c>
      <c r="L193" s="595">
        <v>27</v>
      </c>
      <c r="M193" s="196"/>
      <c r="N193" s="144"/>
    </row>
    <row r="194" spans="1:14" ht="105.75" customHeight="1" x14ac:dyDescent="0.25">
      <c r="A194" s="92"/>
      <c r="B194" s="85"/>
      <c r="C194" s="125"/>
      <c r="D194" s="568"/>
      <c r="E194" s="572"/>
      <c r="F194" s="571"/>
      <c r="G194" s="566"/>
      <c r="H194" s="551" t="s">
        <v>278</v>
      </c>
      <c r="I194" s="579" t="s">
        <v>10</v>
      </c>
      <c r="J194" s="580">
        <f>8.5+2.3+159.4+5.1+10.8</f>
        <v>186.10000000000002</v>
      </c>
      <c r="K194" s="353" t="s">
        <v>205</v>
      </c>
      <c r="L194" s="579">
        <v>24</v>
      </c>
      <c r="M194" s="196"/>
      <c r="N194" s="144"/>
    </row>
    <row r="195" spans="1:14" s="126" customFormat="1" ht="16.5" customHeight="1" x14ac:dyDescent="0.25">
      <c r="A195" s="92"/>
      <c r="B195" s="85"/>
      <c r="C195" s="125"/>
      <c r="D195" s="366" t="s">
        <v>12</v>
      </c>
      <c r="E195" s="366"/>
      <c r="F195" s="609" t="s">
        <v>53</v>
      </c>
      <c r="G195" s="372" t="s">
        <v>181</v>
      </c>
      <c r="H195" s="618" t="s">
        <v>135</v>
      </c>
      <c r="I195" s="4" t="s">
        <v>10</v>
      </c>
      <c r="J195" s="66">
        <v>31.8</v>
      </c>
      <c r="K195" s="374" t="s">
        <v>63</v>
      </c>
      <c r="L195" s="359">
        <v>93</v>
      </c>
      <c r="M195" s="196"/>
    </row>
    <row r="196" spans="1:14" s="126" customFormat="1" ht="18" customHeight="1" x14ac:dyDescent="0.25">
      <c r="A196" s="92"/>
      <c r="B196" s="85"/>
      <c r="C196" s="125"/>
      <c r="D196" s="173"/>
      <c r="E196" s="367"/>
      <c r="F196" s="610"/>
      <c r="G196" s="373"/>
      <c r="H196" s="619"/>
      <c r="I196" s="4" t="s">
        <v>58</v>
      </c>
      <c r="J196" s="66">
        <v>2.8</v>
      </c>
      <c r="K196" s="378"/>
      <c r="L196" s="422"/>
      <c r="M196" s="196"/>
    </row>
    <row r="197" spans="1:14" ht="16.5" customHeight="1" x14ac:dyDescent="0.25">
      <c r="A197" s="92"/>
      <c r="B197" s="85"/>
      <c r="C197" s="125"/>
      <c r="D197" s="171" t="s">
        <v>14</v>
      </c>
      <c r="E197" s="366"/>
      <c r="F197" s="609" t="s">
        <v>29</v>
      </c>
      <c r="G197" s="365" t="s">
        <v>181</v>
      </c>
      <c r="H197" s="619"/>
      <c r="I197" s="358" t="s">
        <v>10</v>
      </c>
      <c r="J197" s="400">
        <f>120+15+27.2</f>
        <v>162.19999999999999</v>
      </c>
      <c r="K197" s="665" t="s">
        <v>222</v>
      </c>
      <c r="L197" s="598">
        <v>32</v>
      </c>
      <c r="M197" s="196"/>
    </row>
    <row r="198" spans="1:14" ht="13.5" customHeight="1" x14ac:dyDescent="0.25">
      <c r="A198" s="92"/>
      <c r="B198" s="85"/>
      <c r="C198" s="125"/>
      <c r="D198" s="172"/>
      <c r="E198" s="368"/>
      <c r="F198" s="610"/>
      <c r="G198" s="372"/>
      <c r="H198" s="619"/>
      <c r="I198" s="393"/>
      <c r="J198" s="411"/>
      <c r="K198" s="666"/>
      <c r="L198" s="444"/>
      <c r="M198" s="196"/>
    </row>
    <row r="199" spans="1:14" ht="29.4" customHeight="1" x14ac:dyDescent="0.25">
      <c r="A199" s="92"/>
      <c r="B199" s="85"/>
      <c r="C199" s="125"/>
      <c r="D199" s="367" t="s">
        <v>16</v>
      </c>
      <c r="E199" s="367"/>
      <c r="F199" s="189" t="s">
        <v>31</v>
      </c>
      <c r="G199" s="389" t="s">
        <v>181</v>
      </c>
      <c r="H199" s="619"/>
      <c r="I199" s="393" t="s">
        <v>10</v>
      </c>
      <c r="J199" s="409">
        <f>56-4.6</f>
        <v>51.4</v>
      </c>
      <c r="K199" s="378" t="s">
        <v>206</v>
      </c>
      <c r="L199" s="599">
        <v>4</v>
      </c>
      <c r="M199" s="196"/>
    </row>
    <row r="200" spans="1:14" ht="18" customHeight="1" x14ac:dyDescent="0.25">
      <c r="A200" s="92"/>
      <c r="B200" s="85"/>
      <c r="C200" s="125"/>
      <c r="D200" s="155" t="s">
        <v>17</v>
      </c>
      <c r="E200" s="155"/>
      <c r="F200" s="36" t="s">
        <v>28</v>
      </c>
      <c r="G200" s="218" t="s">
        <v>181</v>
      </c>
      <c r="H200" s="376"/>
      <c r="I200" s="393" t="s">
        <v>10</v>
      </c>
      <c r="J200" s="409">
        <f>18-2.1</f>
        <v>15.9</v>
      </c>
      <c r="K200" s="348" t="s">
        <v>32</v>
      </c>
      <c r="L200" s="400">
        <v>38</v>
      </c>
      <c r="M200" s="196"/>
    </row>
    <row r="201" spans="1:14" ht="18" customHeight="1" x14ac:dyDescent="0.25">
      <c r="A201" s="92"/>
      <c r="B201" s="85"/>
      <c r="C201" s="91"/>
      <c r="D201" s="171" t="s">
        <v>56</v>
      </c>
      <c r="E201" s="171"/>
      <c r="F201" s="369" t="s">
        <v>30</v>
      </c>
      <c r="G201" s="365" t="s">
        <v>181</v>
      </c>
      <c r="H201" s="376"/>
      <c r="I201" s="393" t="s">
        <v>10</v>
      </c>
      <c r="J201" s="215">
        <f>248-2.2</f>
        <v>245.8</v>
      </c>
      <c r="K201" s="665" t="s">
        <v>84</v>
      </c>
      <c r="L201" s="598">
        <v>102</v>
      </c>
      <c r="M201" s="196"/>
    </row>
    <row r="202" spans="1:14" ht="18" customHeight="1" x14ac:dyDescent="0.25">
      <c r="A202" s="92"/>
      <c r="B202" s="85"/>
      <c r="C202" s="91"/>
      <c r="D202" s="173"/>
      <c r="E202" s="173"/>
      <c r="F202" s="363"/>
      <c r="G202" s="365"/>
      <c r="H202" s="201"/>
      <c r="I202" s="343" t="s">
        <v>58</v>
      </c>
      <c r="J202" s="215">
        <v>22</v>
      </c>
      <c r="K202" s="667"/>
      <c r="L202" s="342"/>
      <c r="M202" s="196"/>
    </row>
    <row r="203" spans="1:14" ht="14.4" customHeight="1" x14ac:dyDescent="0.25">
      <c r="A203" s="92"/>
      <c r="B203" s="85"/>
      <c r="C203" s="91"/>
      <c r="D203" s="172"/>
      <c r="E203" s="172"/>
      <c r="F203" s="370"/>
      <c r="G203" s="235"/>
      <c r="H203" s="201"/>
      <c r="I203" s="42" t="s">
        <v>13</v>
      </c>
      <c r="J203" s="293">
        <v>2.9</v>
      </c>
      <c r="K203" s="666"/>
      <c r="L203" s="422"/>
      <c r="M203" s="196"/>
    </row>
    <row r="204" spans="1:14" ht="17.25" customHeight="1" x14ac:dyDescent="0.25">
      <c r="A204" s="92"/>
      <c r="B204" s="85"/>
      <c r="C204" s="125"/>
      <c r="D204" s="367" t="s">
        <v>57</v>
      </c>
      <c r="E204" s="367"/>
      <c r="F204" s="189" t="s">
        <v>35</v>
      </c>
      <c r="G204" s="218" t="s">
        <v>181</v>
      </c>
      <c r="H204" s="201"/>
      <c r="I204" s="145" t="s">
        <v>10</v>
      </c>
      <c r="J204" s="214">
        <f>180-30-65-10.8</f>
        <v>74.2</v>
      </c>
      <c r="K204" s="62" t="s">
        <v>63</v>
      </c>
      <c r="L204" s="34">
        <v>5</v>
      </c>
      <c r="M204" s="196"/>
    </row>
    <row r="205" spans="1:14" ht="29.25" customHeight="1" x14ac:dyDescent="0.25">
      <c r="A205" s="92"/>
      <c r="B205" s="85"/>
      <c r="C205" s="125"/>
      <c r="D205" s="155" t="s">
        <v>95</v>
      </c>
      <c r="E205" s="155"/>
      <c r="F205" s="58" t="s">
        <v>133</v>
      </c>
      <c r="G205" s="383" t="s">
        <v>181</v>
      </c>
      <c r="H205" s="201"/>
      <c r="I205" s="145" t="s">
        <v>10</v>
      </c>
      <c r="J205" s="214">
        <f>370-109.7-60.3-3.2</f>
        <v>196.8</v>
      </c>
      <c r="K205" s="62" t="s">
        <v>63</v>
      </c>
      <c r="L205" s="34">
        <v>7</v>
      </c>
      <c r="M205" s="196"/>
    </row>
    <row r="206" spans="1:14" ht="18" customHeight="1" x14ac:dyDescent="0.25">
      <c r="A206" s="92"/>
      <c r="B206" s="85"/>
      <c r="C206" s="125"/>
      <c r="D206" s="507" t="s">
        <v>96</v>
      </c>
      <c r="E206" s="507"/>
      <c r="F206" s="609" t="s">
        <v>49</v>
      </c>
      <c r="G206" s="510" t="s">
        <v>181</v>
      </c>
      <c r="H206" s="201"/>
      <c r="I206" s="145" t="s">
        <v>10</v>
      </c>
      <c r="J206" s="214">
        <f>300-99.5+65+55-23.3</f>
        <v>297.2</v>
      </c>
      <c r="K206" s="7" t="s">
        <v>63</v>
      </c>
      <c r="L206" s="509">
        <v>12</v>
      </c>
      <c r="M206" s="196"/>
    </row>
    <row r="207" spans="1:14" ht="18" customHeight="1" x14ac:dyDescent="0.25">
      <c r="A207" s="92"/>
      <c r="B207" s="85"/>
      <c r="C207" s="91"/>
      <c r="D207" s="172"/>
      <c r="E207" s="508"/>
      <c r="F207" s="610"/>
      <c r="G207" s="505"/>
      <c r="H207" s="201"/>
      <c r="I207" s="42" t="s">
        <v>265</v>
      </c>
      <c r="J207" s="214">
        <f>56.6-7.7+4.9</f>
        <v>53.8</v>
      </c>
      <c r="K207" s="353"/>
      <c r="L207" s="599"/>
      <c r="M207" s="196"/>
    </row>
    <row r="208" spans="1:14" ht="33" customHeight="1" x14ac:dyDescent="0.25">
      <c r="A208" s="92"/>
      <c r="B208" s="85"/>
      <c r="C208" s="91"/>
      <c r="D208" s="173" t="s">
        <v>3</v>
      </c>
      <c r="E208" s="173"/>
      <c r="F208" s="596" t="s">
        <v>216</v>
      </c>
      <c r="G208" s="597" t="s">
        <v>181</v>
      </c>
      <c r="H208" s="201"/>
      <c r="I208" s="392" t="s">
        <v>58</v>
      </c>
      <c r="J208" s="66">
        <v>34.1</v>
      </c>
      <c r="K208" s="348" t="s">
        <v>88</v>
      </c>
      <c r="L208" s="599">
        <v>2</v>
      </c>
      <c r="M208" s="196"/>
    </row>
    <row r="209" spans="1:14" ht="27" customHeight="1" x14ac:dyDescent="0.25">
      <c r="A209" s="92"/>
      <c r="B209" s="85"/>
      <c r="C209" s="91"/>
      <c r="D209" s="170" t="s">
        <v>97</v>
      </c>
      <c r="E209" s="170"/>
      <c r="F209" s="36" t="s">
        <v>75</v>
      </c>
      <c r="G209" s="168" t="s">
        <v>181</v>
      </c>
      <c r="H209" s="201"/>
      <c r="I209" s="4" t="s">
        <v>10</v>
      </c>
      <c r="J209" s="215">
        <f>40-17+2.1</f>
        <v>25.1</v>
      </c>
      <c r="K209" s="374" t="s">
        <v>63</v>
      </c>
      <c r="L209" s="34">
        <v>33</v>
      </c>
      <c r="M209" s="196"/>
    </row>
    <row r="210" spans="1:14" ht="18" customHeight="1" x14ac:dyDescent="0.25">
      <c r="A210" s="92"/>
      <c r="B210" s="85"/>
      <c r="C210" s="91"/>
      <c r="D210" s="170" t="s">
        <v>98</v>
      </c>
      <c r="E210" s="170"/>
      <c r="F210" s="36" t="s">
        <v>217</v>
      </c>
      <c r="G210" s="365" t="s">
        <v>181</v>
      </c>
      <c r="H210" s="201"/>
      <c r="I210" s="392" t="s">
        <v>10</v>
      </c>
      <c r="J210" s="215">
        <f>110-60-16.9</f>
        <v>33.1</v>
      </c>
      <c r="K210" s="62" t="s">
        <v>63</v>
      </c>
      <c r="L210" s="359">
        <v>1</v>
      </c>
      <c r="M210" s="196"/>
    </row>
    <row r="211" spans="1:14" ht="17.25" customHeight="1" x14ac:dyDescent="0.25">
      <c r="A211" s="92"/>
      <c r="B211" s="85"/>
      <c r="C211" s="91"/>
      <c r="D211" s="367" t="s">
        <v>99</v>
      </c>
      <c r="E211" s="180"/>
      <c r="F211" s="189" t="s">
        <v>213</v>
      </c>
      <c r="G211" s="389" t="s">
        <v>181</v>
      </c>
      <c r="H211" s="201"/>
      <c r="I211" s="4" t="s">
        <v>10</v>
      </c>
      <c r="J211" s="179">
        <f>15-3.2</f>
        <v>11.8</v>
      </c>
      <c r="K211" s="57" t="s">
        <v>63</v>
      </c>
      <c r="L211" s="358">
        <v>90</v>
      </c>
      <c r="M211" s="196"/>
    </row>
    <row r="212" spans="1:14" ht="16.95" customHeight="1" thickBot="1" x14ac:dyDescent="0.3">
      <c r="A212" s="101"/>
      <c r="B212" s="102"/>
      <c r="C212" s="103"/>
      <c r="D212" s="177"/>
      <c r="E212" s="177"/>
      <c r="F212" s="147"/>
      <c r="G212" s="181"/>
      <c r="H212" s="305"/>
      <c r="I212" s="5" t="s">
        <v>11</v>
      </c>
      <c r="J212" s="32">
        <f>SUM(J193:J211)</f>
        <v>2270.3000000000002</v>
      </c>
      <c r="K212" s="63"/>
      <c r="L212" s="426"/>
      <c r="M212" s="196"/>
    </row>
    <row r="213" spans="1:14" s="110" customFormat="1" ht="95.4" customHeight="1" x14ac:dyDescent="0.25">
      <c r="A213" s="695" t="s">
        <v>12</v>
      </c>
      <c r="B213" s="767" t="s">
        <v>14</v>
      </c>
      <c r="C213" s="121" t="s">
        <v>12</v>
      </c>
      <c r="D213" s="39"/>
      <c r="E213" s="35"/>
      <c r="F213" s="691" t="s">
        <v>121</v>
      </c>
      <c r="G213" s="661" t="s">
        <v>181</v>
      </c>
      <c r="H213" s="663" t="s">
        <v>224</v>
      </c>
      <c r="I213" s="43" t="s">
        <v>10</v>
      </c>
      <c r="J213" s="271">
        <v>31.8</v>
      </c>
      <c r="K213" s="743" t="s">
        <v>109</v>
      </c>
      <c r="L213" s="359">
        <v>300</v>
      </c>
      <c r="M213" s="196"/>
    </row>
    <row r="214" spans="1:14" s="110" customFormat="1" ht="14.25" customHeight="1" thickBot="1" x14ac:dyDescent="0.3">
      <c r="A214" s="696"/>
      <c r="B214" s="768"/>
      <c r="C214" s="127"/>
      <c r="D214" s="30"/>
      <c r="E214" s="30"/>
      <c r="F214" s="622"/>
      <c r="G214" s="662"/>
      <c r="H214" s="664"/>
      <c r="I214" s="5" t="s">
        <v>11</v>
      </c>
      <c r="J214" s="270">
        <f t="shared" ref="J214" si="5">SUM(J213:J213)</f>
        <v>31.8</v>
      </c>
      <c r="K214" s="725"/>
      <c r="L214" s="426"/>
      <c r="M214" s="196"/>
    </row>
    <row r="215" spans="1:14" ht="16.5" customHeight="1" x14ac:dyDescent="0.25">
      <c r="A215" s="99" t="s">
        <v>12</v>
      </c>
      <c r="B215" s="100" t="s">
        <v>14</v>
      </c>
      <c r="C215" s="120" t="s">
        <v>14</v>
      </c>
      <c r="D215" s="23"/>
      <c r="E215" s="23"/>
      <c r="F215" s="691" t="s">
        <v>74</v>
      </c>
      <c r="G215" s="757" t="s">
        <v>181</v>
      </c>
      <c r="H215" s="205" t="s">
        <v>130</v>
      </c>
      <c r="I215" s="3" t="s">
        <v>10</v>
      </c>
      <c r="J215" s="407">
        <f>50-35.8</f>
        <v>14.200000000000003</v>
      </c>
      <c r="K215" s="56" t="s">
        <v>86</v>
      </c>
      <c r="L215" s="359">
        <v>2</v>
      </c>
      <c r="M215" s="196"/>
    </row>
    <row r="216" spans="1:14" ht="15" customHeight="1" thickBot="1" x14ac:dyDescent="0.3">
      <c r="A216" s="101"/>
      <c r="B216" s="102"/>
      <c r="C216" s="128"/>
      <c r="D216" s="200"/>
      <c r="E216" s="200"/>
      <c r="F216" s="622"/>
      <c r="G216" s="662"/>
      <c r="H216" s="206"/>
      <c r="I216" s="5" t="s">
        <v>11</v>
      </c>
      <c r="J216" s="32">
        <f t="shared" ref="J216" si="6">SUM(J215:J215)</f>
        <v>14.200000000000003</v>
      </c>
      <c r="K216" s="63"/>
      <c r="L216" s="342"/>
      <c r="M216" s="333"/>
    </row>
    <row r="217" spans="1:14" ht="28.5" customHeight="1" x14ac:dyDescent="0.25">
      <c r="A217" s="99" t="s">
        <v>12</v>
      </c>
      <c r="B217" s="100" t="s">
        <v>14</v>
      </c>
      <c r="C217" s="64" t="s">
        <v>16</v>
      </c>
      <c r="D217" s="23"/>
      <c r="E217" s="23"/>
      <c r="F217" s="416" t="s">
        <v>54</v>
      </c>
      <c r="G217" s="129"/>
      <c r="H217" s="306"/>
      <c r="I217" s="3"/>
      <c r="J217" s="407"/>
      <c r="K217" s="384"/>
      <c r="L217" s="425"/>
      <c r="M217" s="59"/>
    </row>
    <row r="218" spans="1:14" s="16" customFormat="1" ht="16.5" customHeight="1" x14ac:dyDescent="0.25">
      <c r="A218" s="92"/>
      <c r="B218" s="85"/>
      <c r="C218" s="117"/>
      <c r="D218" s="366" t="s">
        <v>9</v>
      </c>
      <c r="E218" s="366"/>
      <c r="F218" s="653" t="s">
        <v>245</v>
      </c>
      <c r="G218" s="156" t="s">
        <v>181</v>
      </c>
      <c r="H218" s="758" t="s">
        <v>135</v>
      </c>
      <c r="I218" s="118" t="s">
        <v>10</v>
      </c>
      <c r="J218" s="215">
        <v>16.8</v>
      </c>
      <c r="K218" s="174" t="s">
        <v>87</v>
      </c>
      <c r="L218" s="358">
        <v>90</v>
      </c>
      <c r="M218" s="196"/>
    </row>
    <row r="219" spans="1:14" s="16" customFormat="1" ht="16.5" customHeight="1" x14ac:dyDescent="0.25">
      <c r="A219" s="92"/>
      <c r="B219" s="85"/>
      <c r="C219" s="117"/>
      <c r="D219" s="367"/>
      <c r="E219" s="367"/>
      <c r="F219" s="654"/>
      <c r="G219" s="158"/>
      <c r="H219" s="759"/>
      <c r="I219" s="118" t="s">
        <v>58</v>
      </c>
      <c r="J219" s="215">
        <v>1</v>
      </c>
      <c r="K219" s="471"/>
      <c r="L219" s="402"/>
      <c r="M219" s="196"/>
    </row>
    <row r="220" spans="1:14" s="16" customFormat="1" ht="28.5" customHeight="1" x14ac:dyDescent="0.25">
      <c r="A220" s="92"/>
      <c r="B220" s="85"/>
      <c r="C220" s="117"/>
      <c r="D220" s="367"/>
      <c r="E220" s="367"/>
      <c r="F220" s="737"/>
      <c r="G220" s="130"/>
      <c r="H220" s="759"/>
      <c r="I220" s="118" t="s">
        <v>10</v>
      </c>
      <c r="J220" s="215">
        <f>88-4</f>
        <v>84</v>
      </c>
      <c r="K220" s="174" t="s">
        <v>207</v>
      </c>
      <c r="L220" s="34">
        <v>10</v>
      </c>
      <c r="M220" s="196"/>
    </row>
    <row r="221" spans="1:14" ht="14.25" customHeight="1" x14ac:dyDescent="0.25">
      <c r="A221" s="92"/>
      <c r="B221" s="87"/>
      <c r="C221" s="117"/>
      <c r="D221" s="366" t="s">
        <v>12</v>
      </c>
      <c r="E221" s="366"/>
      <c r="F221" s="653" t="s">
        <v>248</v>
      </c>
      <c r="G221" s="382" t="s">
        <v>182</v>
      </c>
      <c r="H221" s="758" t="s">
        <v>224</v>
      </c>
      <c r="I221" s="118" t="s">
        <v>10</v>
      </c>
      <c r="J221" s="216">
        <v>6.2</v>
      </c>
      <c r="K221" s="765" t="s">
        <v>110</v>
      </c>
      <c r="L221" s="358">
        <v>5</v>
      </c>
      <c r="M221" s="196"/>
      <c r="N221" s="144"/>
    </row>
    <row r="222" spans="1:14" ht="12.75" customHeight="1" x14ac:dyDescent="0.25">
      <c r="A222" s="92"/>
      <c r="B222" s="87"/>
      <c r="C222" s="117"/>
      <c r="D222" s="367"/>
      <c r="E222" s="367"/>
      <c r="F222" s="654"/>
      <c r="G222" s="73"/>
      <c r="H222" s="759"/>
      <c r="I222" s="563" t="s">
        <v>58</v>
      </c>
      <c r="J222" s="564">
        <v>59.5</v>
      </c>
      <c r="K222" s="766"/>
      <c r="L222" s="422"/>
      <c r="M222" s="196"/>
      <c r="N222" s="144"/>
    </row>
    <row r="223" spans="1:14" ht="73.8" customHeight="1" x14ac:dyDescent="0.25">
      <c r="A223" s="92"/>
      <c r="B223" s="87"/>
      <c r="C223" s="116"/>
      <c r="D223" s="173"/>
      <c r="E223" s="173"/>
      <c r="F223" s="345"/>
      <c r="G223" s="72" t="s">
        <v>181</v>
      </c>
      <c r="H223" s="759"/>
      <c r="I223" s="226" t="s">
        <v>13</v>
      </c>
      <c r="J223" s="272">
        <v>250.3</v>
      </c>
      <c r="K223" s="245" t="s">
        <v>195</v>
      </c>
      <c r="L223" s="359">
        <v>7</v>
      </c>
      <c r="M223" s="196"/>
      <c r="N223" s="144"/>
    </row>
    <row r="224" spans="1:14" ht="14.25" customHeight="1" thickBot="1" x14ac:dyDescent="0.3">
      <c r="A224" s="92"/>
      <c r="B224" s="85"/>
      <c r="C224" s="116"/>
      <c r="D224" s="173"/>
      <c r="E224" s="173"/>
      <c r="F224" s="346"/>
      <c r="G224" s="73"/>
      <c r="H224" s="760"/>
      <c r="I224" s="307" t="s">
        <v>11</v>
      </c>
      <c r="J224" s="308">
        <f>SUM(J218:J223)</f>
        <v>417.8</v>
      </c>
      <c r="K224" s="246"/>
      <c r="L224" s="426"/>
      <c r="M224" s="59"/>
      <c r="N224" s="144"/>
    </row>
    <row r="225" spans="1:14" ht="16.2" customHeight="1" x14ac:dyDescent="0.25">
      <c r="A225" s="99" t="s">
        <v>12</v>
      </c>
      <c r="B225" s="100" t="s">
        <v>14</v>
      </c>
      <c r="C225" s="131" t="s">
        <v>17</v>
      </c>
      <c r="D225" s="23"/>
      <c r="E225" s="18"/>
      <c r="F225" s="139" t="s">
        <v>251</v>
      </c>
      <c r="G225" s="74" t="s">
        <v>181</v>
      </c>
      <c r="H225" s="724" t="s">
        <v>135</v>
      </c>
      <c r="I225" s="71" t="s">
        <v>10</v>
      </c>
      <c r="J225" s="213">
        <f>5380-1000-200-108.3</f>
        <v>4071.7</v>
      </c>
      <c r="K225" s="152" t="s">
        <v>243</v>
      </c>
      <c r="L225" s="151">
        <v>90</v>
      </c>
      <c r="M225" s="333"/>
    </row>
    <row r="226" spans="1:14" ht="25.5" customHeight="1" x14ac:dyDescent="0.25">
      <c r="A226" s="92"/>
      <c r="B226" s="85"/>
      <c r="C226" s="86"/>
      <c r="D226" s="405"/>
      <c r="E226" s="19"/>
      <c r="F226" s="189"/>
      <c r="G226" s="72"/>
      <c r="H226" s="619"/>
      <c r="I226" s="34" t="s">
        <v>58</v>
      </c>
      <c r="J226" s="6">
        <v>721.8</v>
      </c>
      <c r="K226" s="62" t="s">
        <v>238</v>
      </c>
      <c r="L226" s="359">
        <v>90</v>
      </c>
      <c r="M226" s="333"/>
    </row>
    <row r="227" spans="1:14" ht="27" customHeight="1" x14ac:dyDescent="0.25">
      <c r="A227" s="92"/>
      <c r="B227" s="85"/>
      <c r="C227" s="91"/>
      <c r="D227" s="405"/>
      <c r="E227" s="19"/>
      <c r="F227" s="189"/>
      <c r="G227" s="72"/>
      <c r="H227" s="619"/>
      <c r="I227" s="392" t="s">
        <v>13</v>
      </c>
      <c r="J227" s="199">
        <v>15</v>
      </c>
      <c r="K227" s="57" t="s">
        <v>239</v>
      </c>
      <c r="L227" s="358">
        <v>90</v>
      </c>
      <c r="M227" s="196"/>
    </row>
    <row r="228" spans="1:14" ht="21" customHeight="1" x14ac:dyDescent="0.25">
      <c r="A228" s="92"/>
      <c r="B228" s="85"/>
      <c r="C228" s="91"/>
      <c r="D228" s="19"/>
      <c r="E228" s="19"/>
      <c r="F228" s="189"/>
      <c r="G228" s="72"/>
      <c r="H228" s="619"/>
      <c r="I228" s="359"/>
      <c r="J228" s="464"/>
      <c r="K228" s="673" t="s">
        <v>209</v>
      </c>
      <c r="L228" s="358">
        <v>90</v>
      </c>
      <c r="M228" s="196"/>
    </row>
    <row r="229" spans="1:14" ht="15" customHeight="1" thickBot="1" x14ac:dyDescent="0.3">
      <c r="A229" s="92"/>
      <c r="B229" s="85"/>
      <c r="C229" s="116"/>
      <c r="D229" s="25"/>
      <c r="E229" s="25"/>
      <c r="F229" s="364"/>
      <c r="G229" s="73"/>
      <c r="H229" s="620"/>
      <c r="I229" s="44" t="s">
        <v>11</v>
      </c>
      <c r="J229" s="267">
        <f>SUM(J225:J228)</f>
        <v>4808.5</v>
      </c>
      <c r="K229" s="676"/>
      <c r="L229" s="445"/>
      <c r="M229" s="59"/>
    </row>
    <row r="230" spans="1:14" ht="14.25" customHeight="1" thickBot="1" x14ac:dyDescent="0.3">
      <c r="A230" s="132" t="s">
        <v>12</v>
      </c>
      <c r="B230" s="133" t="s">
        <v>14</v>
      </c>
      <c r="C230" s="606" t="s">
        <v>15</v>
      </c>
      <c r="D230" s="607"/>
      <c r="E230" s="607"/>
      <c r="F230" s="607"/>
      <c r="G230" s="607"/>
      <c r="H230" s="607"/>
      <c r="I230" s="607"/>
      <c r="J230" s="108">
        <f>J214+J216+J224+J212+J229</f>
        <v>7542.6</v>
      </c>
      <c r="K230" s="185"/>
      <c r="L230" s="446"/>
      <c r="M230" s="48"/>
    </row>
    <row r="231" spans="1:14" s="47" customFormat="1" ht="14.25" customHeight="1" thickBot="1" x14ac:dyDescent="0.3">
      <c r="A231" s="132" t="s">
        <v>12</v>
      </c>
      <c r="B231" s="746" t="s">
        <v>4</v>
      </c>
      <c r="C231" s="747"/>
      <c r="D231" s="747"/>
      <c r="E231" s="747"/>
      <c r="F231" s="747"/>
      <c r="G231" s="747"/>
      <c r="H231" s="747"/>
      <c r="I231" s="747"/>
      <c r="J231" s="283">
        <f>J230+J189+J167</f>
        <v>22948.799999999999</v>
      </c>
      <c r="K231" s="186"/>
      <c r="L231" s="447"/>
      <c r="M231" s="48"/>
    </row>
    <row r="232" spans="1:14" s="47" customFormat="1" ht="14.25" customHeight="1" thickBot="1" x14ac:dyDescent="0.3">
      <c r="A232" s="134" t="s">
        <v>3</v>
      </c>
      <c r="B232" s="780" t="s">
        <v>5</v>
      </c>
      <c r="C232" s="781"/>
      <c r="D232" s="781"/>
      <c r="E232" s="781"/>
      <c r="F232" s="781"/>
      <c r="G232" s="781"/>
      <c r="H232" s="781"/>
      <c r="I232" s="781"/>
      <c r="J232" s="294">
        <f>J231+J101</f>
        <v>172843.79999999996</v>
      </c>
      <c r="K232" s="135"/>
      <c r="L232" s="448"/>
      <c r="M232" s="48"/>
    </row>
    <row r="233" spans="1:14" s="47" customFormat="1" ht="15.75" customHeight="1" x14ac:dyDescent="0.25">
      <c r="A233" s="782" t="s">
        <v>257</v>
      </c>
      <c r="B233" s="782"/>
      <c r="C233" s="782"/>
      <c r="D233" s="782"/>
      <c r="E233" s="782"/>
      <c r="F233" s="782"/>
      <c r="G233" s="782"/>
      <c r="H233" s="782"/>
      <c r="I233" s="782"/>
      <c r="J233" s="782"/>
      <c r="K233" s="782"/>
      <c r="L233" s="273"/>
      <c r="M233" s="59"/>
    </row>
    <row r="234" spans="1:14" s="47" customFormat="1" ht="29.4" customHeight="1" x14ac:dyDescent="0.25">
      <c r="A234" s="754" t="s">
        <v>281</v>
      </c>
      <c r="B234" s="754"/>
      <c r="C234" s="754"/>
      <c r="D234" s="754"/>
      <c r="E234" s="754"/>
      <c r="F234" s="754"/>
      <c r="G234" s="754"/>
      <c r="H234" s="754"/>
      <c r="I234" s="754"/>
      <c r="J234" s="754"/>
      <c r="K234" s="754"/>
      <c r="L234" s="754"/>
      <c r="M234" s="59"/>
    </row>
    <row r="235" spans="1:14" s="47" customFormat="1" ht="19.5" customHeight="1" thickBot="1" x14ac:dyDescent="0.3">
      <c r="A235" s="783" t="s">
        <v>0</v>
      </c>
      <c r="B235" s="783"/>
      <c r="C235" s="783"/>
      <c r="D235" s="783"/>
      <c r="E235" s="783"/>
      <c r="F235" s="783"/>
      <c r="G235" s="783"/>
      <c r="H235" s="783"/>
      <c r="I235" s="783"/>
      <c r="J235" s="295"/>
      <c r="K235" s="136"/>
      <c r="L235" s="255"/>
      <c r="M235" s="334"/>
    </row>
    <row r="236" spans="1:14" s="47" customFormat="1" ht="45" customHeight="1" thickBot="1" x14ac:dyDescent="0.3">
      <c r="A236" s="687" t="s">
        <v>1</v>
      </c>
      <c r="B236" s="788"/>
      <c r="C236" s="788"/>
      <c r="D236" s="788"/>
      <c r="E236" s="788"/>
      <c r="F236" s="788"/>
      <c r="G236" s="788"/>
      <c r="H236" s="788"/>
      <c r="I236" s="688"/>
      <c r="J236" s="472" t="s">
        <v>254</v>
      </c>
      <c r="K236" s="38"/>
      <c r="L236" s="11"/>
      <c r="M236" s="335"/>
    </row>
    <row r="237" spans="1:14" s="47" customFormat="1" ht="15" customHeight="1" x14ac:dyDescent="0.25">
      <c r="A237" s="786" t="s">
        <v>219</v>
      </c>
      <c r="B237" s="787"/>
      <c r="C237" s="787"/>
      <c r="D237" s="787"/>
      <c r="E237" s="787"/>
      <c r="F237" s="787"/>
      <c r="G237" s="787"/>
      <c r="H237" s="787"/>
      <c r="I237" s="787"/>
      <c r="J237" s="473">
        <f>+J238+J245+J246+J247+J248+J244</f>
        <v>169209.99999999994</v>
      </c>
      <c r="K237" s="38"/>
      <c r="L237" s="247"/>
      <c r="M237" s="335"/>
    </row>
    <row r="238" spans="1:14" s="47" customFormat="1" ht="15.75" customHeight="1" x14ac:dyDescent="0.25">
      <c r="A238" s="778" t="s">
        <v>116</v>
      </c>
      <c r="B238" s="779"/>
      <c r="C238" s="779"/>
      <c r="D238" s="779"/>
      <c r="E238" s="779"/>
      <c r="F238" s="779"/>
      <c r="G238" s="779"/>
      <c r="H238" s="779"/>
      <c r="I238" s="779"/>
      <c r="J238" s="474">
        <f>SUM(J239:J243)</f>
        <v>164490.99999999997</v>
      </c>
      <c r="K238" s="38"/>
      <c r="L238" s="256"/>
      <c r="M238" s="335"/>
      <c r="N238" s="14"/>
    </row>
    <row r="239" spans="1:14" s="47" customFormat="1" ht="14.25" customHeight="1" x14ac:dyDescent="0.25">
      <c r="A239" s="706" t="s">
        <v>162</v>
      </c>
      <c r="B239" s="707"/>
      <c r="C239" s="707"/>
      <c r="D239" s="707"/>
      <c r="E239" s="707"/>
      <c r="F239" s="707"/>
      <c r="G239" s="707"/>
      <c r="H239" s="707"/>
      <c r="I239" s="707"/>
      <c r="J239" s="475">
        <f>SUMIF(I17:I229,"sb",J17:J229)</f>
        <v>70598.200000000012</v>
      </c>
      <c r="K239" s="8"/>
      <c r="L239" s="247"/>
      <c r="M239" s="197"/>
      <c r="N239" s="14"/>
    </row>
    <row r="240" spans="1:14" s="47" customFormat="1" ht="15.75" customHeight="1" x14ac:dyDescent="0.25">
      <c r="A240" s="706" t="s">
        <v>163</v>
      </c>
      <c r="B240" s="707"/>
      <c r="C240" s="707"/>
      <c r="D240" s="707"/>
      <c r="E240" s="707"/>
      <c r="F240" s="707"/>
      <c r="G240" s="707"/>
      <c r="H240" s="707"/>
      <c r="I240" s="707"/>
      <c r="J240" s="475">
        <f>SUMIF(I17:I229,"sb(sp)",J17:J229)</f>
        <v>7250.6999999999989</v>
      </c>
      <c r="K240" s="15"/>
      <c r="L240" s="40"/>
      <c r="M240" s="197"/>
    </row>
    <row r="241" spans="1:13" s="47" customFormat="1" ht="15.75" customHeight="1" x14ac:dyDescent="0.25">
      <c r="A241" s="706" t="s">
        <v>158</v>
      </c>
      <c r="B241" s="707"/>
      <c r="C241" s="707"/>
      <c r="D241" s="707"/>
      <c r="E241" s="707"/>
      <c r="F241" s="707"/>
      <c r="G241" s="707"/>
      <c r="H241" s="707"/>
      <c r="I241" s="708"/>
      <c r="J241" s="475">
        <f>SUMIF(I17:I229,"sb(p)",J17:J229)</f>
        <v>3719.5</v>
      </c>
      <c r="K241" s="15"/>
      <c r="L241" s="40"/>
      <c r="M241" s="197"/>
    </row>
    <row r="242" spans="1:13" s="47" customFormat="1" ht="15.75" customHeight="1" x14ac:dyDescent="0.25">
      <c r="A242" s="709" t="s">
        <v>164</v>
      </c>
      <c r="B242" s="710"/>
      <c r="C242" s="710"/>
      <c r="D242" s="710"/>
      <c r="E242" s="710"/>
      <c r="F242" s="710"/>
      <c r="G242" s="710"/>
      <c r="H242" s="710"/>
      <c r="I242" s="710"/>
      <c r="J242" s="475">
        <f>SUMIF(I17:I228,"sb(vb)",J17:J228)</f>
        <v>82435.199999999983</v>
      </c>
      <c r="K242" s="15"/>
      <c r="L242" s="40"/>
      <c r="M242" s="197"/>
    </row>
    <row r="243" spans="1:13" ht="15.75" customHeight="1" x14ac:dyDescent="0.25">
      <c r="A243" s="711" t="s">
        <v>114</v>
      </c>
      <c r="B243" s="712"/>
      <c r="C243" s="712"/>
      <c r="D243" s="712"/>
      <c r="E243" s="712"/>
      <c r="F243" s="712"/>
      <c r="G243" s="712"/>
      <c r="H243" s="712"/>
      <c r="I243" s="712"/>
      <c r="J243" s="475">
        <f>SUMIF(I17:I229,"sb(es)",J17:J229)</f>
        <v>487.4</v>
      </c>
      <c r="K243" s="15"/>
      <c r="L243" s="54"/>
      <c r="M243" s="197"/>
    </row>
    <row r="244" spans="1:13" ht="15.75" customHeight="1" x14ac:dyDescent="0.25">
      <c r="A244" s="715" t="s">
        <v>269</v>
      </c>
      <c r="B244" s="715"/>
      <c r="C244" s="715"/>
      <c r="D244" s="715"/>
      <c r="E244" s="715"/>
      <c r="F244" s="715"/>
      <c r="G244" s="715"/>
      <c r="H244" s="715"/>
      <c r="I244" s="716"/>
      <c r="J244" s="476">
        <f>SUMIF(I18:I230,"sb(vbl)",J18:J230)</f>
        <v>11.100000000000001</v>
      </c>
      <c r="K244" s="15"/>
      <c r="L244" s="520"/>
      <c r="M244" s="197"/>
    </row>
    <row r="245" spans="1:13" ht="15.75" customHeight="1" x14ac:dyDescent="0.25">
      <c r="A245" s="713" t="s">
        <v>59</v>
      </c>
      <c r="B245" s="713"/>
      <c r="C245" s="713"/>
      <c r="D245" s="713"/>
      <c r="E245" s="713"/>
      <c r="F245" s="713"/>
      <c r="G245" s="713"/>
      <c r="H245" s="714"/>
      <c r="I245" s="714"/>
      <c r="J245" s="476">
        <f>SUMIF(I17:I228,"sb(l)",J17:J228)</f>
        <v>3278.3</v>
      </c>
      <c r="K245" s="15"/>
      <c r="L245" s="260"/>
      <c r="M245" s="197"/>
    </row>
    <row r="246" spans="1:13" ht="15.75" customHeight="1" x14ac:dyDescent="0.25">
      <c r="A246" s="713" t="s">
        <v>115</v>
      </c>
      <c r="B246" s="713"/>
      <c r="C246" s="713"/>
      <c r="D246" s="713"/>
      <c r="E246" s="713"/>
      <c r="F246" s="713"/>
      <c r="G246" s="713"/>
      <c r="H246" s="714"/>
      <c r="I246" s="714"/>
      <c r="J246" s="476">
        <f>SUMIF(I18:I229,"sb(esl)",J18:J229)</f>
        <v>217.79999999999998</v>
      </c>
      <c r="K246" s="15"/>
      <c r="L246" s="260"/>
      <c r="M246" s="197"/>
    </row>
    <row r="247" spans="1:13" ht="16.5" customHeight="1" x14ac:dyDescent="0.25">
      <c r="A247" s="713" t="s">
        <v>43</v>
      </c>
      <c r="B247" s="713"/>
      <c r="C247" s="713"/>
      <c r="D247" s="713"/>
      <c r="E247" s="713"/>
      <c r="F247" s="713"/>
      <c r="G247" s="713"/>
      <c r="H247" s="714"/>
      <c r="I247" s="714"/>
      <c r="J247" s="476">
        <f>SUMIF(I17:I229,"sb(spl)",J17:J229)</f>
        <v>981.80000000000007</v>
      </c>
      <c r="K247" s="15"/>
      <c r="L247" s="261"/>
      <c r="M247" s="197"/>
    </row>
    <row r="248" spans="1:13" ht="15.75" customHeight="1" x14ac:dyDescent="0.25">
      <c r="A248" s="715" t="s">
        <v>250</v>
      </c>
      <c r="B248" s="715"/>
      <c r="C248" s="715"/>
      <c r="D248" s="715"/>
      <c r="E248" s="715"/>
      <c r="F248" s="715"/>
      <c r="G248" s="715"/>
      <c r="H248" s="715"/>
      <c r="I248" s="716"/>
      <c r="J248" s="476">
        <f>SUMIF(I19:I230,"sb(spil)",J19:J230)</f>
        <v>230</v>
      </c>
      <c r="K248" s="15"/>
      <c r="L248" s="257"/>
      <c r="M248" s="197"/>
    </row>
    <row r="249" spans="1:13" ht="15" customHeight="1" x14ac:dyDescent="0.25">
      <c r="A249" s="702" t="s">
        <v>19</v>
      </c>
      <c r="B249" s="703"/>
      <c r="C249" s="703"/>
      <c r="D249" s="703"/>
      <c r="E249" s="703"/>
      <c r="F249" s="703"/>
      <c r="G249" s="703"/>
      <c r="H249" s="703"/>
      <c r="I249" s="703"/>
      <c r="J249" s="477">
        <f>SUM(J250:J252)</f>
        <v>3633.8</v>
      </c>
      <c r="K249" s="38"/>
      <c r="L249" s="257"/>
      <c r="M249" s="335"/>
    </row>
    <row r="250" spans="1:13" ht="15" customHeight="1" x14ac:dyDescent="0.25">
      <c r="A250" s="706" t="s">
        <v>276</v>
      </c>
      <c r="B250" s="707"/>
      <c r="C250" s="707"/>
      <c r="D250" s="707"/>
      <c r="E250" s="707"/>
      <c r="F250" s="707"/>
      <c r="G250" s="707"/>
      <c r="H250" s="707"/>
      <c r="I250" s="708"/>
      <c r="J250" s="478">
        <f>SUMIF(I20:I230,"lrvb",J20:J230)</f>
        <v>200</v>
      </c>
      <c r="K250" s="15"/>
      <c r="L250" s="257"/>
      <c r="M250" s="197"/>
    </row>
    <row r="251" spans="1:13" ht="15" customHeight="1" x14ac:dyDescent="0.25">
      <c r="A251" s="706" t="s">
        <v>192</v>
      </c>
      <c r="B251" s="707"/>
      <c r="C251" s="707"/>
      <c r="D251" s="707"/>
      <c r="E251" s="707"/>
      <c r="F251" s="707"/>
      <c r="G251" s="707"/>
      <c r="H251" s="707"/>
      <c r="I251" s="708"/>
      <c r="J251" s="478">
        <f>SUMIF(I21:I231,"es",J21:J231)</f>
        <v>3380</v>
      </c>
      <c r="K251" s="15"/>
      <c r="L251" s="257"/>
      <c r="M251" s="197"/>
    </row>
    <row r="252" spans="1:13" ht="15" customHeight="1" x14ac:dyDescent="0.25">
      <c r="A252" s="706" t="s">
        <v>266</v>
      </c>
      <c r="B252" s="707"/>
      <c r="C252" s="707"/>
      <c r="D252" s="707"/>
      <c r="E252" s="707"/>
      <c r="F252" s="707"/>
      <c r="G252" s="707"/>
      <c r="H252" s="707"/>
      <c r="I252" s="708"/>
      <c r="J252" s="478">
        <f>SUMIF(I23:I231,"kt",J23:J231)</f>
        <v>53.8</v>
      </c>
      <c r="K252" s="15"/>
      <c r="L252" s="257"/>
      <c r="M252" s="197"/>
    </row>
    <row r="253" spans="1:13" ht="16.5" customHeight="1" thickBot="1" x14ac:dyDescent="0.3">
      <c r="A253" s="704" t="s">
        <v>20</v>
      </c>
      <c r="B253" s="705"/>
      <c r="C253" s="705"/>
      <c r="D253" s="705"/>
      <c r="E253" s="705"/>
      <c r="F253" s="705"/>
      <c r="G253" s="705"/>
      <c r="H253" s="705"/>
      <c r="I253" s="705"/>
      <c r="J253" s="286">
        <f>J249+J237</f>
        <v>172843.79999999993</v>
      </c>
      <c r="K253" s="38"/>
      <c r="L253" s="258"/>
      <c r="M253" s="335"/>
    </row>
    <row r="254" spans="1:13" ht="22.5" customHeight="1" x14ac:dyDescent="0.25">
      <c r="A254" s="701" t="s">
        <v>89</v>
      </c>
      <c r="B254" s="701"/>
      <c r="C254" s="701"/>
      <c r="D254" s="701"/>
      <c r="E254" s="701"/>
      <c r="F254" s="701"/>
      <c r="G254" s="701"/>
      <c r="H254" s="701"/>
      <c r="I254" s="701"/>
      <c r="J254" s="701"/>
      <c r="K254" s="701"/>
      <c r="L254" s="258"/>
      <c r="M254" s="46"/>
    </row>
    <row r="255" spans="1:13" x14ac:dyDescent="0.25">
      <c r="F255" s="14"/>
      <c r="G255" s="137"/>
      <c r="H255" s="187"/>
      <c r="I255" s="54"/>
      <c r="J255" s="54"/>
      <c r="K255" s="11"/>
      <c r="L255" s="12"/>
      <c r="M255" s="333"/>
    </row>
    <row r="256" spans="1:13" x14ac:dyDescent="0.25">
      <c r="F256" s="14"/>
      <c r="G256" s="137"/>
      <c r="H256" s="187"/>
      <c r="I256" s="40"/>
      <c r="J256" s="40"/>
      <c r="K256" s="59"/>
      <c r="L256" s="12"/>
      <c r="M256" s="59"/>
    </row>
    <row r="257" spans="1:13" x14ac:dyDescent="0.25">
      <c r="F257" s="14"/>
      <c r="G257" s="137"/>
      <c r="H257" s="187"/>
      <c r="I257" s="187"/>
      <c r="J257" s="250"/>
      <c r="L257" s="12"/>
    </row>
    <row r="258" spans="1:13" x14ac:dyDescent="0.25">
      <c r="F258" s="14"/>
      <c r="G258" s="137"/>
      <c r="H258" s="187"/>
      <c r="I258" s="187"/>
      <c r="J258" s="250"/>
      <c r="L258" s="12"/>
    </row>
    <row r="259" spans="1:13" x14ac:dyDescent="0.25">
      <c r="F259" s="14"/>
      <c r="G259" s="137"/>
      <c r="H259" s="187"/>
      <c r="I259" s="187"/>
      <c r="J259" s="250"/>
      <c r="L259" s="12"/>
    </row>
    <row r="260" spans="1:13" x14ac:dyDescent="0.25">
      <c r="F260" s="14"/>
      <c r="G260" s="137"/>
      <c r="H260" s="187"/>
      <c r="I260" s="187"/>
      <c r="J260" s="250"/>
      <c r="L260" s="12"/>
    </row>
    <row r="261" spans="1:13" x14ac:dyDescent="0.25">
      <c r="F261" s="14"/>
      <c r="G261" s="137"/>
      <c r="H261" s="187"/>
      <c r="I261" s="187"/>
      <c r="J261" s="250"/>
      <c r="L261" s="12"/>
    </row>
    <row r="262" spans="1:13" x14ac:dyDescent="0.25">
      <c r="F262" s="14"/>
      <c r="G262" s="137"/>
      <c r="H262" s="187"/>
      <c r="I262" s="187"/>
      <c r="J262" s="250"/>
      <c r="L262" s="12"/>
    </row>
    <row r="263" spans="1:13" x14ac:dyDescent="0.25">
      <c r="A263" s="138"/>
      <c r="B263" s="138"/>
      <c r="C263" s="138"/>
      <c r="D263" s="31"/>
      <c r="E263" s="31"/>
      <c r="F263" s="14"/>
      <c r="G263" s="137"/>
      <c r="H263" s="187"/>
      <c r="I263" s="187"/>
      <c r="J263" s="250"/>
      <c r="K263" s="14"/>
      <c r="L263" s="257"/>
      <c r="M263" s="198"/>
    </row>
    <row r="264" spans="1:13" x14ac:dyDescent="0.25">
      <c r="A264" s="138"/>
      <c r="B264" s="138"/>
      <c r="C264" s="138"/>
      <c r="D264" s="31"/>
      <c r="E264" s="31"/>
      <c r="F264" s="14"/>
      <c r="G264" s="137"/>
      <c r="H264" s="187"/>
      <c r="I264" s="187"/>
      <c r="J264" s="250"/>
      <c r="K264" s="14"/>
      <c r="L264" s="12"/>
      <c r="M264" s="198"/>
    </row>
    <row r="265" spans="1:13" x14ac:dyDescent="0.25">
      <c r="A265" s="138"/>
      <c r="B265" s="138"/>
      <c r="C265" s="138"/>
      <c r="D265" s="31"/>
      <c r="E265" s="31"/>
      <c r="F265" s="14"/>
      <c r="G265" s="137"/>
      <c r="H265" s="187"/>
      <c r="I265" s="187"/>
      <c r="J265" s="250"/>
      <c r="K265" s="14"/>
      <c r="L265" s="12"/>
      <c r="M265" s="198"/>
    </row>
    <row r="266" spans="1:13" x14ac:dyDescent="0.25">
      <c r="A266" s="138"/>
      <c r="B266" s="138"/>
      <c r="C266" s="138"/>
      <c r="D266" s="31"/>
      <c r="E266" s="31"/>
      <c r="F266" s="14"/>
      <c r="G266" s="137"/>
      <c r="H266" s="187"/>
      <c r="I266" s="187"/>
      <c r="J266" s="250"/>
      <c r="K266" s="14"/>
      <c r="L266" s="257"/>
      <c r="M266" s="198"/>
    </row>
    <row r="267" spans="1:13" x14ac:dyDescent="0.25">
      <c r="A267" s="138"/>
      <c r="B267" s="138"/>
      <c r="C267" s="138"/>
      <c r="D267" s="31"/>
      <c r="E267" s="31"/>
      <c r="F267" s="14"/>
      <c r="G267" s="137"/>
      <c r="H267" s="187"/>
      <c r="I267" s="187"/>
      <c r="J267" s="250"/>
      <c r="K267" s="14"/>
      <c r="L267" s="14"/>
      <c r="M267" s="198"/>
    </row>
    <row r="268" spans="1:13" x14ac:dyDescent="0.25">
      <c r="A268" s="138"/>
      <c r="B268" s="138"/>
      <c r="C268" s="138"/>
      <c r="D268" s="31"/>
      <c r="E268" s="31"/>
      <c r="F268" s="14"/>
      <c r="G268" s="137"/>
      <c r="H268" s="187"/>
      <c r="I268" s="187"/>
      <c r="J268" s="250"/>
      <c r="K268" s="14"/>
      <c r="L268" s="255"/>
      <c r="M268" s="198"/>
    </row>
    <row r="269" spans="1:13" x14ac:dyDescent="0.25">
      <c r="A269" s="138"/>
      <c r="B269" s="138"/>
      <c r="C269" s="138"/>
      <c r="D269" s="31"/>
      <c r="E269" s="31"/>
      <c r="F269" s="14"/>
      <c r="G269" s="137"/>
      <c r="H269" s="187"/>
      <c r="I269" s="187"/>
      <c r="J269" s="250"/>
      <c r="K269" s="14"/>
      <c r="L269" s="259"/>
      <c r="M269" s="198"/>
    </row>
    <row r="270" spans="1:13" x14ac:dyDescent="0.25">
      <c r="A270" s="138"/>
      <c r="B270" s="138"/>
      <c r="C270" s="138"/>
      <c r="D270" s="31"/>
      <c r="E270" s="31"/>
      <c r="F270" s="14"/>
      <c r="G270" s="137"/>
      <c r="H270" s="187"/>
      <c r="I270" s="187"/>
      <c r="J270" s="250"/>
      <c r="K270" s="14"/>
      <c r="M270" s="198"/>
    </row>
    <row r="271" spans="1:13" x14ac:dyDescent="0.25">
      <c r="A271" s="138"/>
      <c r="B271" s="138"/>
      <c r="C271" s="138"/>
      <c r="D271" s="31"/>
      <c r="E271" s="31"/>
      <c r="F271" s="14"/>
      <c r="G271" s="137"/>
      <c r="H271" s="187"/>
      <c r="I271" s="187"/>
      <c r="J271" s="250"/>
      <c r="K271" s="14"/>
      <c r="M271" s="198"/>
    </row>
    <row r="272" spans="1:13" x14ac:dyDescent="0.25">
      <c r="A272" s="138"/>
      <c r="B272" s="138"/>
      <c r="C272" s="138"/>
      <c r="D272" s="31"/>
      <c r="E272" s="31"/>
      <c r="F272" s="14"/>
      <c r="G272" s="137"/>
      <c r="H272" s="187"/>
      <c r="I272" s="187"/>
      <c r="J272" s="250"/>
      <c r="K272" s="14"/>
      <c r="M272" s="198"/>
    </row>
    <row r="273" spans="1:13" x14ac:dyDescent="0.25">
      <c r="A273" s="138"/>
      <c r="B273" s="138"/>
      <c r="C273" s="138"/>
      <c r="D273" s="31"/>
      <c r="E273" s="31"/>
      <c r="F273" s="14"/>
      <c r="G273" s="137"/>
      <c r="H273" s="187"/>
      <c r="I273" s="187"/>
      <c r="J273" s="250"/>
      <c r="K273" s="14"/>
      <c r="M273" s="198"/>
    </row>
    <row r="274" spans="1:13" x14ac:dyDescent="0.25">
      <c r="A274" s="138"/>
      <c r="B274" s="138"/>
      <c r="C274" s="138"/>
      <c r="D274" s="31"/>
      <c r="E274" s="31"/>
      <c r="F274" s="14"/>
      <c r="G274" s="137"/>
      <c r="H274" s="187"/>
      <c r="I274" s="187"/>
      <c r="J274" s="250"/>
      <c r="K274" s="14"/>
      <c r="M274" s="198"/>
    </row>
    <row r="275" spans="1:13" x14ac:dyDescent="0.25">
      <c r="A275" s="138"/>
      <c r="B275" s="138"/>
      <c r="C275" s="138"/>
      <c r="D275" s="31"/>
      <c r="E275" s="31"/>
      <c r="F275" s="14"/>
      <c r="G275" s="137"/>
      <c r="H275" s="187"/>
      <c r="I275" s="187"/>
      <c r="J275" s="250"/>
      <c r="K275" s="14"/>
      <c r="M275" s="198"/>
    </row>
    <row r="276" spans="1:13" x14ac:dyDescent="0.25">
      <c r="J276" s="250"/>
    </row>
    <row r="277" spans="1:13" x14ac:dyDescent="0.25">
      <c r="J277" s="250"/>
    </row>
    <row r="278" spans="1:13" x14ac:dyDescent="0.25">
      <c r="J278" s="250"/>
    </row>
    <row r="279" spans="1:13" x14ac:dyDescent="0.25">
      <c r="J279" s="250"/>
    </row>
    <row r="280" spans="1:13" x14ac:dyDescent="0.25">
      <c r="J280" s="250"/>
    </row>
    <row r="281" spans="1:13" x14ac:dyDescent="0.25">
      <c r="J281" s="250"/>
    </row>
    <row r="282" spans="1:13" x14ac:dyDescent="0.25">
      <c r="J282" s="250"/>
    </row>
    <row r="283" spans="1:13" x14ac:dyDescent="0.25">
      <c r="J283" s="250"/>
    </row>
    <row r="284" spans="1:13" x14ac:dyDescent="0.25">
      <c r="J284" s="250"/>
    </row>
    <row r="285" spans="1:13" x14ac:dyDescent="0.25">
      <c r="J285" s="250"/>
    </row>
    <row r="286" spans="1:13" x14ac:dyDescent="0.25">
      <c r="J286" s="250"/>
    </row>
    <row r="287" spans="1:13" x14ac:dyDescent="0.25">
      <c r="J287" s="250"/>
    </row>
    <row r="288" spans="1:13" x14ac:dyDescent="0.25">
      <c r="J288" s="250"/>
    </row>
    <row r="289" spans="10:10" x14ac:dyDescent="0.25">
      <c r="J289" s="250"/>
    </row>
    <row r="290" spans="10:10" x14ac:dyDescent="0.25">
      <c r="J290" s="250"/>
    </row>
    <row r="291" spans="10:10" x14ac:dyDescent="0.25">
      <c r="J291" s="250"/>
    </row>
    <row r="292" spans="10:10" x14ac:dyDescent="0.25">
      <c r="J292" s="250"/>
    </row>
    <row r="293" spans="10:10" x14ac:dyDescent="0.25">
      <c r="J293" s="250"/>
    </row>
    <row r="294" spans="10:10" x14ac:dyDescent="0.25">
      <c r="J294" s="250"/>
    </row>
    <row r="295" spans="10:10" x14ac:dyDescent="0.25">
      <c r="J295" s="250"/>
    </row>
    <row r="296" spans="10:10" x14ac:dyDescent="0.25">
      <c r="J296" s="250"/>
    </row>
    <row r="297" spans="10:10" x14ac:dyDescent="0.25">
      <c r="J297" s="250"/>
    </row>
    <row r="298" spans="10:10" x14ac:dyDescent="0.25">
      <c r="J298" s="250"/>
    </row>
    <row r="299" spans="10:10" x14ac:dyDescent="0.25">
      <c r="J299" s="250"/>
    </row>
    <row r="300" spans="10:10" x14ac:dyDescent="0.25">
      <c r="J300" s="250"/>
    </row>
    <row r="301" spans="10:10" x14ac:dyDescent="0.25">
      <c r="J301" s="250"/>
    </row>
    <row r="302" spans="10:10" x14ac:dyDescent="0.25">
      <c r="J302" s="250"/>
    </row>
    <row r="303" spans="10:10" x14ac:dyDescent="0.25">
      <c r="J303" s="250"/>
    </row>
    <row r="304" spans="10:10" x14ac:dyDescent="0.25">
      <c r="J304" s="250"/>
    </row>
    <row r="305" spans="10:10" x14ac:dyDescent="0.25">
      <c r="J305" s="250"/>
    </row>
    <row r="306" spans="10:10" x14ac:dyDescent="0.25">
      <c r="J306" s="250"/>
    </row>
    <row r="307" spans="10:10" x14ac:dyDescent="0.25">
      <c r="J307" s="250"/>
    </row>
    <row r="308" spans="10:10" x14ac:dyDescent="0.25">
      <c r="J308" s="250"/>
    </row>
    <row r="309" spans="10:10" x14ac:dyDescent="0.25">
      <c r="J309" s="250"/>
    </row>
    <row r="310" spans="10:10" x14ac:dyDescent="0.25">
      <c r="J310" s="250"/>
    </row>
    <row r="311" spans="10:10" x14ac:dyDescent="0.25">
      <c r="J311" s="250"/>
    </row>
    <row r="312" spans="10:10" x14ac:dyDescent="0.25">
      <c r="J312" s="250"/>
    </row>
    <row r="313" spans="10:10" x14ac:dyDescent="0.25">
      <c r="J313" s="250"/>
    </row>
    <row r="314" spans="10:10" x14ac:dyDescent="0.25">
      <c r="J314" s="250"/>
    </row>
    <row r="315" spans="10:10" x14ac:dyDescent="0.25">
      <c r="J315" s="250"/>
    </row>
    <row r="316" spans="10:10" x14ac:dyDescent="0.25">
      <c r="J316" s="250"/>
    </row>
    <row r="317" spans="10:10" x14ac:dyDescent="0.25">
      <c r="J317" s="250"/>
    </row>
    <row r="318" spans="10:10" x14ac:dyDescent="0.25">
      <c r="J318" s="250"/>
    </row>
    <row r="319" spans="10:10" x14ac:dyDescent="0.25">
      <c r="J319" s="250"/>
    </row>
    <row r="320" spans="10:10" x14ac:dyDescent="0.25">
      <c r="J320" s="250"/>
    </row>
    <row r="321" spans="10:10" x14ac:dyDescent="0.25">
      <c r="J321" s="250"/>
    </row>
    <row r="322" spans="10:10" x14ac:dyDescent="0.25">
      <c r="J322" s="250"/>
    </row>
    <row r="323" spans="10:10" x14ac:dyDescent="0.25">
      <c r="J323" s="250"/>
    </row>
    <row r="324" spans="10:10" x14ac:dyDescent="0.25">
      <c r="J324" s="250"/>
    </row>
    <row r="325" spans="10:10" x14ac:dyDescent="0.25">
      <c r="J325" s="250"/>
    </row>
    <row r="326" spans="10:10" x14ac:dyDescent="0.25">
      <c r="J326" s="250"/>
    </row>
    <row r="327" spans="10:10" x14ac:dyDescent="0.25">
      <c r="J327" s="250"/>
    </row>
    <row r="328" spans="10:10" x14ac:dyDescent="0.25">
      <c r="J328" s="250"/>
    </row>
    <row r="329" spans="10:10" x14ac:dyDescent="0.25">
      <c r="J329" s="250"/>
    </row>
    <row r="330" spans="10:10" x14ac:dyDescent="0.25">
      <c r="J330" s="250"/>
    </row>
    <row r="331" spans="10:10" x14ac:dyDescent="0.25">
      <c r="J331" s="250"/>
    </row>
    <row r="332" spans="10:10" x14ac:dyDescent="0.25">
      <c r="J332" s="250"/>
    </row>
    <row r="333" spans="10:10" x14ac:dyDescent="0.25">
      <c r="J333" s="250"/>
    </row>
    <row r="334" spans="10:10" x14ac:dyDescent="0.25">
      <c r="J334" s="250"/>
    </row>
    <row r="335" spans="10:10" x14ac:dyDescent="0.25">
      <c r="J335" s="250"/>
    </row>
    <row r="336" spans="10:10" x14ac:dyDescent="0.25">
      <c r="J336" s="250"/>
    </row>
    <row r="337" spans="10:10" x14ac:dyDescent="0.25">
      <c r="J337" s="250"/>
    </row>
    <row r="338" spans="10:10" x14ac:dyDescent="0.25">
      <c r="J338" s="250"/>
    </row>
    <row r="339" spans="10:10" x14ac:dyDescent="0.25">
      <c r="J339" s="250"/>
    </row>
    <row r="340" spans="10:10" x14ac:dyDescent="0.25">
      <c r="J340" s="250"/>
    </row>
    <row r="341" spans="10:10" x14ac:dyDescent="0.25">
      <c r="J341" s="250"/>
    </row>
    <row r="342" spans="10:10" x14ac:dyDescent="0.25">
      <c r="J342" s="250"/>
    </row>
    <row r="343" spans="10:10" x14ac:dyDescent="0.25">
      <c r="J343" s="250"/>
    </row>
    <row r="344" spans="10:10" x14ac:dyDescent="0.25">
      <c r="J344" s="250"/>
    </row>
    <row r="345" spans="10:10" x14ac:dyDescent="0.25">
      <c r="J345" s="250"/>
    </row>
    <row r="346" spans="10:10" x14ac:dyDescent="0.25">
      <c r="J346" s="250"/>
    </row>
    <row r="347" spans="10:10" x14ac:dyDescent="0.25">
      <c r="J347" s="250"/>
    </row>
    <row r="348" spans="10:10" x14ac:dyDescent="0.25">
      <c r="J348" s="250"/>
    </row>
    <row r="349" spans="10:10" x14ac:dyDescent="0.25">
      <c r="J349" s="250"/>
    </row>
    <row r="350" spans="10:10" x14ac:dyDescent="0.25">
      <c r="J350" s="250"/>
    </row>
    <row r="351" spans="10:10" x14ac:dyDescent="0.25">
      <c r="J351" s="250"/>
    </row>
    <row r="352" spans="10:10" x14ac:dyDescent="0.25">
      <c r="J352" s="250"/>
    </row>
    <row r="353" spans="10:10" x14ac:dyDescent="0.25">
      <c r="J353" s="250"/>
    </row>
    <row r="354" spans="10:10" x14ac:dyDescent="0.25">
      <c r="J354" s="250"/>
    </row>
    <row r="355" spans="10:10" x14ac:dyDescent="0.25">
      <c r="J355" s="250"/>
    </row>
    <row r="356" spans="10:10" x14ac:dyDescent="0.25">
      <c r="J356" s="250"/>
    </row>
    <row r="357" spans="10:10" x14ac:dyDescent="0.25">
      <c r="J357" s="250"/>
    </row>
    <row r="358" spans="10:10" x14ac:dyDescent="0.25">
      <c r="J358" s="250"/>
    </row>
    <row r="359" spans="10:10" x14ac:dyDescent="0.25">
      <c r="J359" s="250"/>
    </row>
    <row r="360" spans="10:10" x14ac:dyDescent="0.25">
      <c r="J360" s="250"/>
    </row>
    <row r="361" spans="10:10" x14ac:dyDescent="0.25">
      <c r="J361" s="250"/>
    </row>
    <row r="362" spans="10:10" x14ac:dyDescent="0.25">
      <c r="J362" s="250"/>
    </row>
    <row r="363" spans="10:10" x14ac:dyDescent="0.25">
      <c r="J363" s="250"/>
    </row>
    <row r="364" spans="10:10" x14ac:dyDescent="0.25">
      <c r="J364" s="250"/>
    </row>
    <row r="365" spans="10:10" x14ac:dyDescent="0.25">
      <c r="J365" s="250"/>
    </row>
    <row r="366" spans="10:10" x14ac:dyDescent="0.25">
      <c r="J366" s="250"/>
    </row>
    <row r="367" spans="10:10" x14ac:dyDescent="0.25">
      <c r="J367" s="250"/>
    </row>
    <row r="368" spans="10:10" x14ac:dyDescent="0.25">
      <c r="J368" s="250"/>
    </row>
    <row r="369" spans="10:10" x14ac:dyDescent="0.25">
      <c r="J369" s="250"/>
    </row>
    <row r="370" spans="10:10" x14ac:dyDescent="0.25">
      <c r="J370" s="250"/>
    </row>
    <row r="371" spans="10:10" x14ac:dyDescent="0.25">
      <c r="J371" s="250"/>
    </row>
    <row r="372" spans="10:10" x14ac:dyDescent="0.25">
      <c r="J372" s="250"/>
    </row>
    <row r="373" spans="10:10" x14ac:dyDescent="0.25">
      <c r="J373" s="250"/>
    </row>
    <row r="374" spans="10:10" x14ac:dyDescent="0.25">
      <c r="J374" s="250"/>
    </row>
    <row r="375" spans="10:10" x14ac:dyDescent="0.25">
      <c r="J375" s="250"/>
    </row>
    <row r="376" spans="10:10" x14ac:dyDescent="0.25">
      <c r="J376" s="250"/>
    </row>
    <row r="377" spans="10:10" x14ac:dyDescent="0.25">
      <c r="J377" s="250"/>
    </row>
    <row r="378" spans="10:10" x14ac:dyDescent="0.25">
      <c r="J378" s="250"/>
    </row>
    <row r="379" spans="10:10" x14ac:dyDescent="0.25">
      <c r="J379" s="250"/>
    </row>
    <row r="380" spans="10:10" x14ac:dyDescent="0.25">
      <c r="J380" s="250"/>
    </row>
    <row r="381" spans="10:10" x14ac:dyDescent="0.25">
      <c r="J381" s="250"/>
    </row>
    <row r="382" spans="10:10" x14ac:dyDescent="0.25">
      <c r="J382" s="250"/>
    </row>
    <row r="383" spans="10:10" x14ac:dyDescent="0.25">
      <c r="J383" s="250"/>
    </row>
    <row r="384" spans="10:10" x14ac:dyDescent="0.25">
      <c r="J384" s="250"/>
    </row>
    <row r="385" spans="10:10" x14ac:dyDescent="0.25">
      <c r="J385" s="250"/>
    </row>
    <row r="386" spans="10:10" x14ac:dyDescent="0.25">
      <c r="J386" s="250"/>
    </row>
    <row r="387" spans="10:10" x14ac:dyDescent="0.25">
      <c r="J387" s="250"/>
    </row>
    <row r="388" spans="10:10" x14ac:dyDescent="0.25">
      <c r="J388" s="250"/>
    </row>
    <row r="389" spans="10:10" x14ac:dyDescent="0.25">
      <c r="J389" s="250"/>
    </row>
    <row r="390" spans="10:10" x14ac:dyDescent="0.25">
      <c r="J390" s="250"/>
    </row>
    <row r="391" spans="10:10" x14ac:dyDescent="0.25">
      <c r="J391" s="250"/>
    </row>
    <row r="392" spans="10:10" x14ac:dyDescent="0.25">
      <c r="J392" s="250"/>
    </row>
    <row r="393" spans="10:10" x14ac:dyDescent="0.25">
      <c r="J393" s="250"/>
    </row>
    <row r="394" spans="10:10" x14ac:dyDescent="0.25">
      <c r="J394" s="250"/>
    </row>
    <row r="395" spans="10:10" x14ac:dyDescent="0.25">
      <c r="J395" s="250"/>
    </row>
    <row r="396" spans="10:10" x14ac:dyDescent="0.25">
      <c r="J396" s="250"/>
    </row>
    <row r="397" spans="10:10" x14ac:dyDescent="0.25">
      <c r="J397" s="250"/>
    </row>
    <row r="398" spans="10:10" x14ac:dyDescent="0.25">
      <c r="J398" s="250"/>
    </row>
    <row r="399" spans="10:10" x14ac:dyDescent="0.25">
      <c r="J399" s="250"/>
    </row>
    <row r="400" spans="10:10" x14ac:dyDescent="0.25">
      <c r="J400" s="250"/>
    </row>
    <row r="401" spans="10:10" x14ac:dyDescent="0.25">
      <c r="J401" s="250"/>
    </row>
    <row r="402" spans="10:10" x14ac:dyDescent="0.25">
      <c r="J402" s="250"/>
    </row>
    <row r="403" spans="10:10" x14ac:dyDescent="0.25">
      <c r="J403" s="250"/>
    </row>
    <row r="404" spans="10:10" x14ac:dyDescent="0.25">
      <c r="J404" s="250"/>
    </row>
    <row r="405" spans="10:10" x14ac:dyDescent="0.25">
      <c r="J405" s="250"/>
    </row>
    <row r="406" spans="10:10" x14ac:dyDescent="0.25">
      <c r="J406" s="250"/>
    </row>
    <row r="407" spans="10:10" x14ac:dyDescent="0.25">
      <c r="J407" s="250"/>
    </row>
    <row r="408" spans="10:10" x14ac:dyDescent="0.25">
      <c r="J408" s="250"/>
    </row>
    <row r="409" spans="10:10" x14ac:dyDescent="0.25">
      <c r="J409" s="250"/>
    </row>
    <row r="410" spans="10:10" x14ac:dyDescent="0.25">
      <c r="J410" s="250"/>
    </row>
    <row r="411" spans="10:10" x14ac:dyDescent="0.25">
      <c r="J411" s="250"/>
    </row>
    <row r="412" spans="10:10" x14ac:dyDescent="0.25">
      <c r="J412" s="250"/>
    </row>
    <row r="413" spans="10:10" x14ac:dyDescent="0.25">
      <c r="J413" s="250"/>
    </row>
    <row r="414" spans="10:10" x14ac:dyDescent="0.25">
      <c r="J414" s="250"/>
    </row>
    <row r="415" spans="10:10" x14ac:dyDescent="0.25">
      <c r="J415" s="250"/>
    </row>
    <row r="416" spans="10:10" x14ac:dyDescent="0.25">
      <c r="J416" s="250"/>
    </row>
    <row r="417" spans="10:10" x14ac:dyDescent="0.25">
      <c r="J417" s="250"/>
    </row>
    <row r="418" spans="10:10" x14ac:dyDescent="0.25">
      <c r="J418" s="250"/>
    </row>
    <row r="419" spans="10:10" x14ac:dyDescent="0.25">
      <c r="J419" s="250"/>
    </row>
    <row r="420" spans="10:10" x14ac:dyDescent="0.25">
      <c r="J420" s="250"/>
    </row>
    <row r="421" spans="10:10" x14ac:dyDescent="0.25">
      <c r="J421" s="250"/>
    </row>
    <row r="422" spans="10:10" x14ac:dyDescent="0.25">
      <c r="J422" s="250"/>
    </row>
    <row r="423" spans="10:10" x14ac:dyDescent="0.25">
      <c r="J423" s="250"/>
    </row>
    <row r="424" spans="10:10" x14ac:dyDescent="0.25">
      <c r="J424" s="250"/>
    </row>
    <row r="425" spans="10:10" x14ac:dyDescent="0.25">
      <c r="J425" s="250"/>
    </row>
    <row r="426" spans="10:10" x14ac:dyDescent="0.25">
      <c r="J426" s="250"/>
    </row>
    <row r="427" spans="10:10" x14ac:dyDescent="0.25">
      <c r="J427" s="250"/>
    </row>
    <row r="428" spans="10:10" x14ac:dyDescent="0.25">
      <c r="J428" s="250"/>
    </row>
    <row r="429" spans="10:10" x14ac:dyDescent="0.25">
      <c r="J429" s="250"/>
    </row>
    <row r="430" spans="10:10" x14ac:dyDescent="0.25">
      <c r="J430" s="250"/>
    </row>
    <row r="431" spans="10:10" x14ac:dyDescent="0.25">
      <c r="J431" s="250"/>
    </row>
    <row r="432" spans="10:10" x14ac:dyDescent="0.25">
      <c r="J432" s="250"/>
    </row>
    <row r="433" spans="10:10" x14ac:dyDescent="0.25">
      <c r="J433" s="250"/>
    </row>
    <row r="434" spans="10:10" x14ac:dyDescent="0.25">
      <c r="J434" s="250"/>
    </row>
    <row r="435" spans="10:10" x14ac:dyDescent="0.25">
      <c r="J435" s="250"/>
    </row>
    <row r="436" spans="10:10" x14ac:dyDescent="0.25">
      <c r="J436" s="250"/>
    </row>
    <row r="437" spans="10:10" x14ac:dyDescent="0.25">
      <c r="J437" s="250"/>
    </row>
    <row r="438" spans="10:10" x14ac:dyDescent="0.25">
      <c r="J438" s="250"/>
    </row>
    <row r="439" spans="10:10" x14ac:dyDescent="0.25">
      <c r="J439" s="250"/>
    </row>
    <row r="440" spans="10:10" x14ac:dyDescent="0.25">
      <c r="J440" s="250"/>
    </row>
    <row r="441" spans="10:10" x14ac:dyDescent="0.25">
      <c r="J441" s="250"/>
    </row>
    <row r="442" spans="10:10" x14ac:dyDescent="0.25">
      <c r="J442" s="250"/>
    </row>
    <row r="443" spans="10:10" x14ac:dyDescent="0.25">
      <c r="J443" s="250"/>
    </row>
    <row r="444" spans="10:10" x14ac:dyDescent="0.25">
      <c r="J444" s="250"/>
    </row>
    <row r="445" spans="10:10" x14ac:dyDescent="0.25">
      <c r="J445" s="250"/>
    </row>
    <row r="446" spans="10:10" x14ac:dyDescent="0.25">
      <c r="J446" s="250"/>
    </row>
    <row r="447" spans="10:10" x14ac:dyDescent="0.25">
      <c r="J447" s="250"/>
    </row>
    <row r="448" spans="10:10" x14ac:dyDescent="0.25">
      <c r="J448" s="250"/>
    </row>
    <row r="449" spans="10:10" x14ac:dyDescent="0.25">
      <c r="J449" s="250"/>
    </row>
    <row r="450" spans="10:10" x14ac:dyDescent="0.25">
      <c r="J450" s="250"/>
    </row>
    <row r="451" spans="10:10" x14ac:dyDescent="0.25">
      <c r="J451" s="250"/>
    </row>
    <row r="452" spans="10:10" x14ac:dyDescent="0.25">
      <c r="J452" s="250"/>
    </row>
    <row r="453" spans="10:10" x14ac:dyDescent="0.25">
      <c r="J453" s="250"/>
    </row>
    <row r="454" spans="10:10" x14ac:dyDescent="0.25">
      <c r="J454" s="250"/>
    </row>
    <row r="455" spans="10:10" x14ac:dyDescent="0.25">
      <c r="J455" s="250"/>
    </row>
    <row r="456" spans="10:10" x14ac:dyDescent="0.25">
      <c r="J456" s="250"/>
    </row>
    <row r="457" spans="10:10" x14ac:dyDescent="0.25">
      <c r="J457" s="250"/>
    </row>
    <row r="458" spans="10:10" x14ac:dyDescent="0.25">
      <c r="J458" s="250"/>
    </row>
    <row r="459" spans="10:10" x14ac:dyDescent="0.25">
      <c r="J459" s="250"/>
    </row>
    <row r="460" spans="10:10" x14ac:dyDescent="0.25">
      <c r="J460" s="250"/>
    </row>
    <row r="461" spans="10:10" x14ac:dyDescent="0.25">
      <c r="J461" s="250"/>
    </row>
    <row r="462" spans="10:10" x14ac:dyDescent="0.25">
      <c r="J462" s="250"/>
    </row>
    <row r="463" spans="10:10" x14ac:dyDescent="0.25">
      <c r="J463" s="250"/>
    </row>
    <row r="464" spans="10:10" x14ac:dyDescent="0.25">
      <c r="J464" s="250"/>
    </row>
    <row r="465" spans="10:10" x14ac:dyDescent="0.25">
      <c r="J465" s="250"/>
    </row>
    <row r="466" spans="10:10" x14ac:dyDescent="0.25">
      <c r="J466" s="250"/>
    </row>
    <row r="467" spans="10:10" x14ac:dyDescent="0.25">
      <c r="J467" s="250"/>
    </row>
    <row r="468" spans="10:10" x14ac:dyDescent="0.25">
      <c r="J468" s="250"/>
    </row>
    <row r="469" spans="10:10" x14ac:dyDescent="0.25">
      <c r="J469" s="250"/>
    </row>
    <row r="470" spans="10:10" x14ac:dyDescent="0.25">
      <c r="J470" s="250"/>
    </row>
    <row r="471" spans="10:10" x14ac:dyDescent="0.25">
      <c r="J471" s="250"/>
    </row>
    <row r="472" spans="10:10" x14ac:dyDescent="0.25">
      <c r="J472" s="250"/>
    </row>
    <row r="473" spans="10:10" x14ac:dyDescent="0.25">
      <c r="J473" s="250"/>
    </row>
    <row r="474" spans="10:10" x14ac:dyDescent="0.25">
      <c r="J474" s="250"/>
    </row>
    <row r="475" spans="10:10" x14ac:dyDescent="0.25">
      <c r="J475" s="250"/>
    </row>
    <row r="476" spans="10:10" x14ac:dyDescent="0.25">
      <c r="J476" s="250"/>
    </row>
    <row r="477" spans="10:10" x14ac:dyDescent="0.25">
      <c r="J477" s="250"/>
    </row>
    <row r="478" spans="10:10" x14ac:dyDescent="0.25">
      <c r="J478" s="250"/>
    </row>
    <row r="479" spans="10:10" x14ac:dyDescent="0.25">
      <c r="J479" s="250"/>
    </row>
    <row r="480" spans="10:10" x14ac:dyDescent="0.25">
      <c r="J480" s="250"/>
    </row>
    <row r="481" spans="10:10" x14ac:dyDescent="0.25">
      <c r="J481" s="250"/>
    </row>
    <row r="482" spans="10:10" x14ac:dyDescent="0.25">
      <c r="J482" s="250"/>
    </row>
    <row r="483" spans="10:10" x14ac:dyDescent="0.25">
      <c r="J483" s="250"/>
    </row>
    <row r="484" spans="10:10" x14ac:dyDescent="0.25">
      <c r="J484" s="250"/>
    </row>
    <row r="485" spans="10:10" x14ac:dyDescent="0.25">
      <c r="J485" s="250"/>
    </row>
    <row r="486" spans="10:10" x14ac:dyDescent="0.25">
      <c r="J486" s="250"/>
    </row>
    <row r="487" spans="10:10" x14ac:dyDescent="0.25">
      <c r="J487" s="250"/>
    </row>
    <row r="488" spans="10:10" x14ac:dyDescent="0.25">
      <c r="J488" s="250"/>
    </row>
  </sheetData>
  <mergeCells count="200">
    <mergeCell ref="N83:P84"/>
    <mergeCell ref="F84:F85"/>
    <mergeCell ref="J3:L3"/>
    <mergeCell ref="F149:F150"/>
    <mergeCell ref="H149:H150"/>
    <mergeCell ref="F206:F207"/>
    <mergeCell ref="A252:I252"/>
    <mergeCell ref="A238:I238"/>
    <mergeCell ref="A239:I239"/>
    <mergeCell ref="A240:I240"/>
    <mergeCell ref="C230:I230"/>
    <mergeCell ref="B231:I231"/>
    <mergeCell ref="B232:I232"/>
    <mergeCell ref="H119:H121"/>
    <mergeCell ref="F124:F126"/>
    <mergeCell ref="H126:H127"/>
    <mergeCell ref="A233:K233"/>
    <mergeCell ref="A235:I235"/>
    <mergeCell ref="C189:I189"/>
    <mergeCell ref="A237:I237"/>
    <mergeCell ref="F195:F196"/>
    <mergeCell ref="H225:H229"/>
    <mergeCell ref="K228:K229"/>
    <mergeCell ref="A236:I236"/>
    <mergeCell ref="N29:N30"/>
    <mergeCell ref="F36:F37"/>
    <mergeCell ref="N36:P37"/>
    <mergeCell ref="N80:O80"/>
    <mergeCell ref="G81:I81"/>
    <mergeCell ref="H62:H64"/>
    <mergeCell ref="F50:F52"/>
    <mergeCell ref="F67:F69"/>
    <mergeCell ref="F45:F48"/>
    <mergeCell ref="K47:K48"/>
    <mergeCell ref="F43:F44"/>
    <mergeCell ref="K43:K44"/>
    <mergeCell ref="G63:G64"/>
    <mergeCell ref="H45:H46"/>
    <mergeCell ref="H65:H69"/>
    <mergeCell ref="H47:H51"/>
    <mergeCell ref="H77:H78"/>
    <mergeCell ref="F60:F61"/>
    <mergeCell ref="F94:F95"/>
    <mergeCell ref="H94:H95"/>
    <mergeCell ref="K94:K95"/>
    <mergeCell ref="K88:K89"/>
    <mergeCell ref="F87:F89"/>
    <mergeCell ref="F90:F93"/>
    <mergeCell ref="H90:H93"/>
    <mergeCell ref="K92:K93"/>
    <mergeCell ref="A234:L234"/>
    <mergeCell ref="C190:K190"/>
    <mergeCell ref="F215:F216"/>
    <mergeCell ref="G215:G216"/>
    <mergeCell ref="K213:K214"/>
    <mergeCell ref="F221:F222"/>
    <mergeCell ref="H221:H224"/>
    <mergeCell ref="F191:F192"/>
    <mergeCell ref="H191:H192"/>
    <mergeCell ref="K221:K222"/>
    <mergeCell ref="F218:F220"/>
    <mergeCell ref="H218:H220"/>
    <mergeCell ref="A213:A214"/>
    <mergeCell ref="B213:B214"/>
    <mergeCell ref="F213:F214"/>
    <mergeCell ref="H195:H199"/>
    <mergeCell ref="M115:N115"/>
    <mergeCell ref="H98:H99"/>
    <mergeCell ref="H96:H97"/>
    <mergeCell ref="K96:K97"/>
    <mergeCell ref="F98:F99"/>
    <mergeCell ref="F115:F118"/>
    <mergeCell ref="H104:H105"/>
    <mergeCell ref="H107:H108"/>
    <mergeCell ref="F109:F111"/>
    <mergeCell ref="B102:K102"/>
    <mergeCell ref="C103:K103"/>
    <mergeCell ref="B101:I101"/>
    <mergeCell ref="H115:H117"/>
    <mergeCell ref="H109:H113"/>
    <mergeCell ref="B104:B106"/>
    <mergeCell ref="C104:C106"/>
    <mergeCell ref="F96:F97"/>
    <mergeCell ref="C100:I100"/>
    <mergeCell ref="N130:P131"/>
    <mergeCell ref="F143:F144"/>
    <mergeCell ref="I143:I144"/>
    <mergeCell ref="F145:F148"/>
    <mergeCell ref="N145:Q148"/>
    <mergeCell ref="K147:K148"/>
    <mergeCell ref="F136:F137"/>
    <mergeCell ref="H136:H137"/>
    <mergeCell ref="F138:F142"/>
    <mergeCell ref="H138:H142"/>
    <mergeCell ref="F133:F134"/>
    <mergeCell ref="F130:F132"/>
    <mergeCell ref="N153:O153"/>
    <mergeCell ref="C168:K168"/>
    <mergeCell ref="I133:I134"/>
    <mergeCell ref="N133:P134"/>
    <mergeCell ref="G156:I156"/>
    <mergeCell ref="H157:H164"/>
    <mergeCell ref="F159:F160"/>
    <mergeCell ref="F165:F166"/>
    <mergeCell ref="K165:K166"/>
    <mergeCell ref="D162:D163"/>
    <mergeCell ref="E162:E163"/>
    <mergeCell ref="I162:I163"/>
    <mergeCell ref="G162:G163"/>
    <mergeCell ref="G146:G147"/>
    <mergeCell ref="G166:I166"/>
    <mergeCell ref="J162:J163"/>
    <mergeCell ref="F162:F163"/>
    <mergeCell ref="F154:F156"/>
    <mergeCell ref="H154:H155"/>
    <mergeCell ref="A254:K254"/>
    <mergeCell ref="A249:I249"/>
    <mergeCell ref="A253:I253"/>
    <mergeCell ref="A241:I241"/>
    <mergeCell ref="A242:I242"/>
    <mergeCell ref="A243:I243"/>
    <mergeCell ref="A245:I245"/>
    <mergeCell ref="A246:I246"/>
    <mergeCell ref="A247:I247"/>
    <mergeCell ref="A250:I250"/>
    <mergeCell ref="A248:I248"/>
    <mergeCell ref="A244:I244"/>
    <mergeCell ref="A251:I251"/>
    <mergeCell ref="J1:L1"/>
    <mergeCell ref="J2:L2"/>
    <mergeCell ref="H20:H26"/>
    <mergeCell ref="F31:F33"/>
    <mergeCell ref="F53:F54"/>
    <mergeCell ref="H134:H135"/>
    <mergeCell ref="G134:G135"/>
    <mergeCell ref="A5:L5"/>
    <mergeCell ref="A6:L6"/>
    <mergeCell ref="A7:L7"/>
    <mergeCell ref="K10:L10"/>
    <mergeCell ref="K9:L9"/>
    <mergeCell ref="K124:K125"/>
    <mergeCell ref="K119:K121"/>
    <mergeCell ref="F104:F106"/>
    <mergeCell ref="G104:G106"/>
    <mergeCell ref="F23:F24"/>
    <mergeCell ref="A104:A106"/>
    <mergeCell ref="F128:F129"/>
    <mergeCell ref="H128:H129"/>
    <mergeCell ref="A13:K13"/>
    <mergeCell ref="A14:K14"/>
    <mergeCell ref="F25:F28"/>
    <mergeCell ref="D10:D12"/>
    <mergeCell ref="K11:K12"/>
    <mergeCell ref="H124:H125"/>
    <mergeCell ref="F29:F30"/>
    <mergeCell ref="F41:F42"/>
    <mergeCell ref="J10:J12"/>
    <mergeCell ref="G213:G214"/>
    <mergeCell ref="H213:H214"/>
    <mergeCell ref="F197:F198"/>
    <mergeCell ref="K197:K198"/>
    <mergeCell ref="K201:K203"/>
    <mergeCell ref="H178:H181"/>
    <mergeCell ref="F182:F183"/>
    <mergeCell ref="K126:K127"/>
    <mergeCell ref="H41:H42"/>
    <mergeCell ref="F119:F123"/>
    <mergeCell ref="F72:F73"/>
    <mergeCell ref="K78:K79"/>
    <mergeCell ref="H182:H188"/>
    <mergeCell ref="F185:F186"/>
    <mergeCell ref="K187:K188"/>
    <mergeCell ref="F77:F79"/>
    <mergeCell ref="G84:G85"/>
    <mergeCell ref="K84:K85"/>
    <mergeCell ref="H84:H85"/>
    <mergeCell ref="A8:K8"/>
    <mergeCell ref="C167:I167"/>
    <mergeCell ref="F170:F171"/>
    <mergeCell ref="F180:F181"/>
    <mergeCell ref="F172:F173"/>
    <mergeCell ref="F178:F179"/>
    <mergeCell ref="I178:I179"/>
    <mergeCell ref="H170:H173"/>
    <mergeCell ref="H174:H176"/>
    <mergeCell ref="F174:F176"/>
    <mergeCell ref="F10:F12"/>
    <mergeCell ref="G10:G12"/>
    <mergeCell ref="H10:H12"/>
    <mergeCell ref="I10:I12"/>
    <mergeCell ref="B15:K15"/>
    <mergeCell ref="C16:K16"/>
    <mergeCell ref="H17:H19"/>
    <mergeCell ref="F18:F20"/>
    <mergeCell ref="E130:E132"/>
    <mergeCell ref="A10:A12"/>
    <mergeCell ref="B10:B12"/>
    <mergeCell ref="C10:C12"/>
    <mergeCell ref="F151:F152"/>
    <mergeCell ref="E10:E12"/>
  </mergeCells>
  <phoneticPr fontId="17" type="noConversion"/>
  <pageMargins left="0.78740157480314965" right="0.39370078740157483" top="0.59055118110236227" bottom="0.39370078740157483" header="0" footer="0"/>
  <pageSetup paperSize="9" scale="70" orientation="portrait" r:id="rId1"/>
  <rowBreaks count="5" manualBreakCount="5">
    <brk id="44" max="11" man="1"/>
    <brk id="81" max="11" man="1"/>
    <brk id="123" max="11" man="1"/>
    <brk id="167" max="11" man="1"/>
    <brk id="212" max="11" man="1"/>
  </rowBreaks>
  <ignoredErrors>
    <ignoredError sqref="J215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10 programa MVP</vt:lpstr>
      <vt:lpstr>'10 programa MVP'!Print_Area</vt:lpstr>
      <vt:lpstr>'10 programa MVP'!Print_Titles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G.Uzkuriene</dc:creator>
  <cp:lastModifiedBy>Asta Česnauskienė</cp:lastModifiedBy>
  <cp:lastPrinted>2023-12-04T12:52:14Z</cp:lastPrinted>
  <dcterms:created xsi:type="dcterms:W3CDTF">2006-05-12T05:50:12Z</dcterms:created>
  <dcterms:modified xsi:type="dcterms:W3CDTF">2023-12-29T12:09:10Z</dcterms:modified>
</cp:coreProperties>
</file>