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MVP PLANAI\2023 MVP\18. Keitimas (gruodis po biudžeto)\"/>
    </mc:Choice>
  </mc:AlternateContent>
  <xr:revisionPtr revIDLastSave="0" documentId="13_ncr:1_{7CDC1EBC-792C-42F6-85DB-B5B53FDA0D92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12 programa MVP" sheetId="14" r:id="rId1"/>
  </sheets>
  <definedNames>
    <definedName name="_xlnm.Print_Area" localSheetId="0">'12 programa MVP'!$A$1:$K$258</definedName>
    <definedName name="_xlnm.Print_Titles" localSheetId="0">'12 programa MVP'!$9:$11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7" i="14" l="1"/>
  <c r="I155" i="14"/>
  <c r="I110" i="14"/>
  <c r="I96" i="14"/>
  <c r="I78" i="14"/>
  <c r="I76" i="14"/>
  <c r="I37" i="14"/>
  <c r="I27" i="14"/>
  <c r="I25" i="14"/>
  <c r="I23" i="14"/>
  <c r="I21" i="14"/>
  <c r="I19" i="14"/>
  <c r="I190" i="14"/>
  <c r="I164" i="14"/>
  <c r="I163" i="14"/>
  <c r="I162" i="14"/>
  <c r="I159" i="14"/>
  <c r="I154" i="14"/>
  <c r="I152" i="14"/>
  <c r="I156" i="14"/>
  <c r="I65" i="14"/>
  <c r="I68" i="14"/>
  <c r="I60" i="14"/>
  <c r="I52" i="14"/>
  <c r="I35" i="14"/>
  <c r="I34" i="14"/>
  <c r="I32" i="14"/>
  <c r="I31" i="14"/>
  <c r="I30" i="14"/>
  <c r="I29" i="14"/>
  <c r="I28" i="14"/>
  <c r="I200" i="14" l="1"/>
  <c r="I183" i="14"/>
  <c r="I161" i="14"/>
  <c r="I147" i="14"/>
  <c r="I141" i="14"/>
  <c r="I126" i="14"/>
  <c r="I121" i="14"/>
  <c r="I113" i="14"/>
  <c r="I111" i="14"/>
  <c r="I107" i="14"/>
  <c r="I101" i="14"/>
  <c r="I94" i="14"/>
  <c r="I93" i="14"/>
  <c r="I87" i="14"/>
  <c r="I71" i="14"/>
  <c r="I56" i="14"/>
  <c r="I43" i="14" l="1"/>
  <c r="I42" i="14"/>
  <c r="I17" i="14"/>
  <c r="I203" i="14"/>
  <c r="I54" i="14"/>
  <c r="I22" i="14"/>
  <c r="I20" i="14"/>
  <c r="I26" i="14"/>
  <c r="I197" i="14"/>
  <c r="I180" i="14"/>
  <c r="I179" i="14"/>
  <c r="I133" i="14"/>
  <c r="I128" i="14"/>
  <c r="I124" i="14"/>
  <c r="I119" i="14"/>
  <c r="I104" i="14"/>
  <c r="I98" i="14"/>
  <c r="I90" i="14"/>
  <c r="I85" i="14"/>
  <c r="I182" i="14" l="1"/>
  <c r="I46" i="14"/>
  <c r="I255" i="14" l="1"/>
  <c r="I188" i="14" l="1"/>
  <c r="I186" i="14"/>
  <c r="I247" i="14" l="1"/>
  <c r="I80" i="14"/>
  <c r="I77" i="14"/>
  <c r="I63" i="14"/>
  <c r="I50" i="14"/>
  <c r="I248" i="14" l="1"/>
  <c r="I194" i="14"/>
  <c r="I204" i="14" s="1"/>
  <c r="I36" i="14" l="1"/>
  <c r="I41" i="14"/>
  <c r="I38" i="14"/>
  <c r="I33" i="14"/>
  <c r="I44" i="14"/>
  <c r="I59" i="14"/>
  <c r="I55" i="14"/>
  <c r="I53" i="14"/>
  <c r="I62" i="14"/>
  <c r="I66" i="14"/>
  <c r="I64" i="14"/>
  <c r="I75" i="14"/>
  <c r="I73" i="14"/>
  <c r="I69" i="14"/>
  <c r="I242" i="14"/>
  <c r="I208" i="14"/>
  <c r="I212" i="14" s="1"/>
  <c r="I213" i="14"/>
  <c r="I244" i="14"/>
  <c r="I245" i="14"/>
  <c r="I246" i="14"/>
  <c r="I249" i="14"/>
  <c r="I250" i="14"/>
  <c r="I251" i="14"/>
  <c r="I178" i="14"/>
  <c r="I176" i="14"/>
  <c r="I172" i="14"/>
  <c r="I150" i="14"/>
  <c r="I145" i="14"/>
  <c r="I184" i="14"/>
  <c r="I205" i="14"/>
  <c r="I254" i="14"/>
  <c r="I253" i="14"/>
  <c r="I231" i="14"/>
  <c r="I228" i="14"/>
  <c r="I215" i="14"/>
  <c r="I243" i="14" l="1"/>
  <c r="I51" i="14"/>
  <c r="I81" i="14" s="1"/>
  <c r="I166" i="14"/>
  <c r="I191" i="14" s="1"/>
  <c r="I252" i="14"/>
  <c r="I216" i="14"/>
  <c r="I232" i="14" s="1"/>
  <c r="I241" i="14"/>
  <c r="I240" i="14" l="1"/>
  <c r="I239" i="14" s="1"/>
  <c r="I256" i="14" s="1"/>
  <c r="I233" i="14"/>
  <c r="I23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Asta Česnauskienė</author>
    <author>Snieguole Kacerauskaite</author>
  </authors>
  <commentList>
    <comment ref="F28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 xml:space="preserve">P-2.4.1.1
P-2.4.1.3
</t>
        </r>
      </text>
    </comment>
    <comment ref="E3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Pagalbą socialinę riziką patiriančioms šeimoms teikia BĮ Klaipėdos miesto šeimos ir vaiko gerovės centras.</t>
        </r>
      </text>
    </comment>
    <comment ref="F38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 xml:space="preserve">P-2.4.1.9
</t>
        </r>
      </text>
    </comment>
    <comment ref="F40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>P-2.4.1.9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42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6.3.3. Budinčių globėjų skaičius per metus </t>
        </r>
      </text>
    </comment>
    <comment ref="F43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P-2.4.1.2
</t>
        </r>
      </text>
    </comment>
    <comment ref="F66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 xml:space="preserve">P-2.4.1.1.
</t>
        </r>
      </text>
    </comment>
    <comment ref="F86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 xml:space="preserve">P-2.4.1.3
</t>
        </r>
      </text>
    </comment>
    <comment ref="F90" authorId="1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6.3. Socialinių paslaugų plėtra</t>
        </r>
      </text>
    </comment>
    <comment ref="F98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6.3.1. Pagalbos į namus paslaugas gaunančių asmenų skaičius per metus 
6.3.2. Dienos socialinės globos paslaugas namuose gaunančių asmenų skaičius per metus </t>
        </r>
      </text>
    </comment>
    <comment ref="F100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 xml:space="preserve">P-2.4.1.1
P-2.4.1.3
</t>
        </r>
      </text>
    </comment>
    <comment ref="J113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4 globos koordinatoriaus ir 2 psichologų pareigybės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26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 xml:space="preserve">P-2.4.1.3
</t>
        </r>
      </text>
    </comment>
    <comment ref="F133" authorId="0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 xml:space="preserve">P-2.4.1.2
</t>
        </r>
      </text>
    </comment>
    <comment ref="F146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 xml:space="preserve">P-2.4.1.3
</t>
        </r>
      </text>
    </comment>
    <comment ref="F152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>P-2.4.1.3</t>
        </r>
      </text>
    </comment>
    <comment ref="F154" authorId="0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 xml:space="preserve">P-2.4.1.3
</t>
        </r>
      </text>
    </comment>
    <comment ref="F155" authorId="1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>6.3. Socialinių paslaugų plėtra</t>
        </r>
      </text>
    </comment>
    <comment ref="F156" authorId="1" shapeId="0" xr:uid="{00000000-0006-0000-0000-000013000000}">
      <text>
        <r>
          <rPr>
            <sz val="9"/>
            <color indexed="81"/>
            <rFont val="Tahoma"/>
            <family val="2"/>
            <charset val="186"/>
          </rPr>
          <t>6.3. Socialinių paslaugų plėtra</t>
        </r>
      </text>
    </comment>
    <comment ref="F158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P-2.4.1.4
</t>
        </r>
      </text>
    </comment>
    <comment ref="F159" authorId="0" shapeId="0" xr:uid="{00000000-0006-0000-0000-000015000000}">
      <text>
        <r>
          <rPr>
            <sz val="9"/>
            <color indexed="81"/>
            <rFont val="Tahoma"/>
            <family val="2"/>
            <charset val="186"/>
          </rPr>
          <t xml:space="preserve">P-2.4.1.1
</t>
        </r>
      </text>
    </comment>
    <comment ref="F160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6.3.1. Pagalbos į namus paslaugas gaunančių asmenų skaičius per metus </t>
        </r>
      </text>
    </comment>
    <comment ref="F165" authorId="0" shapeId="0" xr:uid="{00000000-0006-0000-0000-000017000000}">
      <text>
        <r>
          <rPr>
            <sz val="9"/>
            <color indexed="81"/>
            <rFont val="Tahoma"/>
            <family val="2"/>
            <charset val="186"/>
          </rPr>
          <t>P-2.4.1.1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67" authorId="0" shapeId="0" xr:uid="{00000000-0006-0000-0000-000018000000}">
      <text>
        <r>
          <rPr>
            <sz val="9"/>
            <color indexed="81"/>
            <rFont val="Tahoma"/>
            <family val="2"/>
            <charset val="186"/>
          </rPr>
          <t xml:space="preserve">P-2.6.4.1
</t>
        </r>
      </text>
    </comment>
    <comment ref="F169" authorId="1" shapeId="0" xr:uid="{00000000-0006-0000-0000-000019000000}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6.3.8. Socialinių paslaugų, kurias teikia NVO, dalis bendroje savivaldybės socialinių paslaugų struktūroje, vnt.</t>
        </r>
      </text>
    </comment>
    <comment ref="F174" authorId="0" shapeId="0" xr:uid="{00000000-0006-0000-0000-00001A000000}">
      <text>
        <r>
          <rPr>
            <sz val="9"/>
            <color indexed="81"/>
            <rFont val="Tahoma"/>
            <family val="2"/>
            <charset val="186"/>
          </rPr>
          <t xml:space="preserve">P-2.4.2.3.
</t>
        </r>
      </text>
    </comment>
    <comment ref="F195" authorId="0" shapeId="0" xr:uid="{00000000-0006-0000-0000-00001B000000}">
      <text>
        <r>
          <rPr>
            <sz val="9"/>
            <color indexed="81"/>
            <rFont val="Tahoma"/>
            <family val="2"/>
            <charset val="186"/>
          </rPr>
          <t xml:space="preserve">P-2.4.1.4
</t>
        </r>
      </text>
    </comment>
    <comment ref="F198" authorId="0" shapeId="0" xr:uid="{00000000-0006-0000-0000-00001C000000}">
      <text>
        <r>
          <rPr>
            <sz val="9"/>
            <color indexed="81"/>
            <rFont val="Tahoma"/>
            <family val="2"/>
            <charset val="186"/>
          </rPr>
          <t>P-2.4.1.2</t>
        </r>
      </text>
    </comment>
    <comment ref="E200" authorId="0" shapeId="0" xr:uid="{00000000-0006-0000-0000-00001D000000}">
      <text>
        <r>
          <rPr>
            <sz val="9"/>
            <color indexed="81"/>
            <rFont val="Tahoma"/>
            <family val="2"/>
            <charset val="186"/>
          </rPr>
          <t>ankstesnis adresas - Vaivos g. 23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02" authorId="0" shapeId="0" xr:uid="{00000000-0006-0000-0000-00001E000000}">
      <text>
        <r>
          <rPr>
            <sz val="9"/>
            <color indexed="81"/>
            <rFont val="Tahoma"/>
            <family val="2"/>
            <charset val="186"/>
          </rPr>
          <t xml:space="preserve">P-2.4.1.3.
</t>
        </r>
      </text>
    </comment>
    <comment ref="K203" authorId="0" shapeId="0" xr:uid="{00000000-0006-0000-0000-000020000000}">
      <text>
        <r>
          <rPr>
            <sz val="9"/>
            <color indexed="81"/>
            <rFont val="Tahoma"/>
            <family val="2"/>
            <charset val="186"/>
          </rPr>
          <t xml:space="preserve">vaikų globos namų "Rytas" stogo remontas
</t>
        </r>
      </text>
    </comment>
    <comment ref="F208" authorId="0" shapeId="0" xr:uid="{00000000-0006-0000-0000-000021000000}">
      <text>
        <r>
          <rPr>
            <sz val="9"/>
            <color indexed="81"/>
            <rFont val="Tahoma"/>
            <family val="2"/>
            <charset val="186"/>
          </rPr>
          <t xml:space="preserve">P-2.4.1.7.
</t>
        </r>
      </text>
    </comment>
    <comment ref="F209" authorId="1" shapeId="0" xr:uid="{00000000-0006-0000-0000-000022000000}">
      <text>
        <r>
          <rPr>
            <b/>
            <sz val="9"/>
            <color indexed="81"/>
            <rFont val="Tahoma"/>
            <family val="2"/>
            <charset val="186"/>
          </rPr>
          <t>6.3. Socialinių paslaugų plėtra</t>
        </r>
        <r>
          <rPr>
            <sz val="9"/>
            <color indexed="81"/>
            <rFont val="Tahoma"/>
            <family val="2"/>
            <charset val="186"/>
          </rPr>
          <t xml:space="preserve">
6.3.9. Įsigyta ar pastatyta socialinio būsto butų,  vnt. </t>
        </r>
      </text>
    </comment>
    <comment ref="F214" authorId="0" shapeId="0" xr:uid="{00000000-0006-0000-0000-000023000000}">
      <text>
        <r>
          <rPr>
            <sz val="9"/>
            <color indexed="81"/>
            <rFont val="Tahoma"/>
            <family val="2"/>
            <charset val="186"/>
          </rPr>
          <t xml:space="preserve">P-2.4.1.7
</t>
        </r>
      </text>
    </comment>
    <comment ref="F219" authorId="0" shapeId="0" xr:uid="{00000000-0006-0000-0000-000024000000}">
      <text>
        <r>
          <rPr>
            <sz val="9"/>
            <color indexed="81"/>
            <rFont val="Tahoma"/>
            <family val="2"/>
            <charset val="186"/>
          </rPr>
          <t>P-2.4.1.7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<sst xmlns="http://schemas.openxmlformats.org/spreadsheetml/2006/main" count="692" uniqueCount="279">
  <si>
    <t>SOCIALINĖS ATSKIRTIES MAŽINIMO PROGRAMOS (NR. 12)</t>
  </si>
  <si>
    <t xml:space="preserve"> TIKSLŲ, UŽDAVINIŲ, PRIEMONIŲ, PRIEMONIŲ IŠLAIDŲ IR PRODUKTO KRITERIJŲ SUVESTINĖ</t>
  </si>
  <si>
    <t>tūkst. Eur</t>
  </si>
  <si>
    <t>Uždavinio kodas</t>
  </si>
  <si>
    <t>Priemonės kodas</t>
  </si>
  <si>
    <t>Pavadinimas</t>
  </si>
  <si>
    <t>Finansavimo šaltinis</t>
  </si>
  <si>
    <t>Produkto kriterijaus</t>
  </si>
  <si>
    <t>03 Strateginis tikslas. Užtikrinti gyventojams aukštą švietimo, kultūros, socialinių, sporto ir sveikatos apsaugos paslaugų kokybę ir prieinamumą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</si>
  <si>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</si>
  <si>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</si>
  <si>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</si>
  <si>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</si>
  <si>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SB(VB)</t>
  </si>
  <si>
    <t xml:space="preserve">Piniginės socialinės paramos nepasiturinčioms šeimoms ir vieniems gyvenantiems asmenims bei paramos mirties atveju teikimas, išmokant pašalpas ir kompensacijas </t>
  </si>
  <si>
    <t>SB</t>
  </si>
  <si>
    <t>Vidutinis išmokamų kompensacijų skaičius per mėn.</t>
  </si>
  <si>
    <t>Iš viso:</t>
  </si>
  <si>
    <t>Socialinės globos paslaugų teikimas asmenims su sunkia negalia</t>
  </si>
  <si>
    <t>Pagalbos socialinės rizikos šeimoms teikimas</t>
  </si>
  <si>
    <t>Mokinių nemokamo maitinimo ir aprūpinimo mokinio reikmenimis organizavimas</t>
  </si>
  <si>
    <t>Nemokamą maitinimą gaunančių bei aprūpinamų mokinio reikmenimis mokinių skaičius</t>
  </si>
  <si>
    <t>Mokinių iš mažas pajamas gaunančių šeimų nemokamo maitinimo gamybos išlaidų padengimas</t>
  </si>
  <si>
    <t>Iš viso priemonei:</t>
  </si>
  <si>
    <t>02</t>
  </si>
  <si>
    <t>LRVB</t>
  </si>
  <si>
    <t>03</t>
  </si>
  <si>
    <t>Išmokų vaikams skaičiavimas ir mokėjimas</t>
  </si>
  <si>
    <t>04</t>
  </si>
  <si>
    <t>05</t>
  </si>
  <si>
    <t>Iš viso uždaviniui:</t>
  </si>
  <si>
    <t xml:space="preserve">Teikti visuomenės poreikius atitinkančias socialines paslaugas įvairioms gyventojų grupėms </t>
  </si>
  <si>
    <t>SB(SP)</t>
  </si>
  <si>
    <t>BĮ Klaipėdos miesto šeimos ir vaiko gerovės centre, iš jų:</t>
  </si>
  <si>
    <t>BĮ Klaipėdos vaikų globos namuose „Rytas“</t>
  </si>
  <si>
    <t>Dienos socialinės globos, trumpalaikės socialinės globos ir socialinės priežiūros paslaugų teikimo organizavimas miesto gyventojams ne savivaldybės institucijose:</t>
  </si>
  <si>
    <t>Socialinių projektų dalinis finansavimas:</t>
  </si>
  <si>
    <t>Būsto pritaikymas neįgaliesiems</t>
  </si>
  <si>
    <t>06</t>
  </si>
  <si>
    <t>07</t>
  </si>
  <si>
    <t>ES</t>
  </si>
  <si>
    <t>Teikiamų socialinių paslaugų infrastruktūros tobulinimas siekiant atitikti keliamus reikalavimus:</t>
  </si>
  <si>
    <t>I</t>
  </si>
  <si>
    <t xml:space="preserve">Užtikrinti Klaipėdos miesto socialinio būsto fondo plėtrą ir valstybės politikos, padedančios apsirūpinti būstu, įgyvendinimą </t>
  </si>
  <si>
    <t>Socialinio būsto fondo plėtra:</t>
  </si>
  <si>
    <t>Savivaldybės gyvenamųjų patalpų  tinkamos fizinės būklės užtikrinimas ir nuomos administravimas:</t>
  </si>
  <si>
    <t xml:space="preserve">Savivaldybės gyvenamųjų patalpų techninės būklės vertinimas ir remontas </t>
  </si>
  <si>
    <t xml:space="preserve">Apmokėjimas savivaldybei tenkančia dalimi už daugiabučių namų bendrosios  nuosavybės objektų atnaujinimą ir renovaciją bei lėšų kaupimą </t>
  </si>
  <si>
    <t>Rezervo naudojimas nenumatytiems darbams apmokėti ir avarinėms situacijoms likviduoti</t>
  </si>
  <si>
    <t>Savivaldybės gyvenamųjų patalpų nuomos administravimas</t>
  </si>
  <si>
    <t xml:space="preserve">Surinkta  nuomos mokesčio  proc. nuo priskaičiuoto </t>
  </si>
  <si>
    <t>Savininkams grąžintų nuomotų patalpų vertės įskaičiavimas į nuompinigius</t>
  </si>
  <si>
    <t>Apmokėjimas už daugiabučių namų bendrųjų objektų administravimą ir nuolatinę techninę priežiūrą</t>
  </si>
  <si>
    <t>Užtikrintas privalomojo gyvenamųjų namų naudojimo ir priežiūros reikalavimų įgyvendinimas, proc.</t>
  </si>
  <si>
    <t xml:space="preserve">Politinių kalinių ir tremtinių bei jų šeimų narių sugrįžimo į Lietuvą programos įgyvendinimas: </t>
  </si>
  <si>
    <t>Iš viso tikslui:</t>
  </si>
  <si>
    <t>12</t>
  </si>
  <si>
    <t xml:space="preserve">Iš viso programai: </t>
  </si>
  <si>
    <t>Finansavimo šaltiniai</t>
  </si>
  <si>
    <t>SAVIVALDYBĖS  LĖŠOS, 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</si>
  <si>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</si>
  <si>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</si>
  <si>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</si>
  <si>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KITI ŠALTINIAI, IŠ VISO:</t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</si>
  <si>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</si>
  <si>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IŠ VISO:</t>
  </si>
  <si>
    <t>Vietų skaičius įstaigoje</t>
  </si>
  <si>
    <t>SB(SPL)</t>
  </si>
  <si>
    <t>08</t>
  </si>
  <si>
    <t>Dienos socialinės globos paslaugų teikimas asmenims su psichine negalia dienos socialinės globos centre</t>
  </si>
  <si>
    <t>Dienos socialinės globos paslaugų teikimas vaikams su negalia dienos socialinės globos centre</t>
  </si>
  <si>
    <t>Pagalbos į namus paslaugos teikimas senyvo amžiaus asmenims ir suaugusiems asmenims su negalia</t>
  </si>
  <si>
    <t>Vidutiniškai per mėn. išmokamų laidojimo pašalpų skaičius</t>
  </si>
  <si>
    <t>Būsto nuomos ar išperkamosios būsto nuomos mokesčių dalies kompensaciją gavusių asmenų skaičius</t>
  </si>
  <si>
    <t>Nemokamą maitinimą gaunančių mokinių skaičius</t>
  </si>
  <si>
    <t>Senyvo amžiaus asmenų bei asmenų su negalia, apgyvendintų globos institucijose per metus, skaičius</t>
  </si>
  <si>
    <t>Įsigyta keltuvų, skirtų neįgaliems asmenims su ryškiu judėjimo sutrikimu, skaičius</t>
  </si>
  <si>
    <t>Savivaldybės butų, kuriuose pašalintos avarijų grėsmės ar padariniai, skaičius</t>
  </si>
  <si>
    <t>Nemokamo maitinimo organizavimas labdaros valgykloje Klaipėdos mieste gyvenantiems asmenims, nepajėgiantiems maitintis savo namuose</t>
  </si>
  <si>
    <t>Socialinės srities renginių organizavimas</t>
  </si>
  <si>
    <t xml:space="preserve"> </t>
  </si>
  <si>
    <t xml:space="preserve"> - smurto artimoje aplinkoje prevencijos priemonių įgyvendinimas</t>
  </si>
  <si>
    <t xml:space="preserve">Šîldoma įstaigų, skaičius  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</si>
  <si>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</si>
  <si>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Prižiūrima eksploatuojamų keltuvų, vnt.</t>
  </si>
  <si>
    <t>Paslaugas gavusių asmenų skaičius</t>
  </si>
  <si>
    <t>BĮ Neįgaliųjų centre „Klaipėdos lakštutė“</t>
  </si>
  <si>
    <t>BĮ Klaipėdos miesto nakvynės namuose</t>
  </si>
  <si>
    <t>BĮ Klaipėdos socialinių paslaugų centre „Danė“</t>
  </si>
  <si>
    <t xml:space="preserve">Butų pirkimas politiniams kaliniams ir tremtiniams bei jų šeimų nariams </t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</si>
  <si>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</si>
  <si>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</si>
  <si>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SB(ES)</t>
  </si>
  <si>
    <t>Materialinės paramos Klaipėdos miesto savivaldybės gyventojams, atsidūrusiems sunkioje materialinėje padėtyje, teikimas</t>
  </si>
  <si>
    <t>Vidutinis materialinės paramos išmokų Klaipėdos miesto gyventojams, atsidūrusiems sunkioje materialinėje padėtyje, skaičius per mėn.</t>
  </si>
  <si>
    <r>
      <t>Priemonių, mažinančių administracinę naštą juridiniams ir fiziniams asmenims, taikymas</t>
    </r>
    <r>
      <rPr>
        <sz val="10"/>
        <rFont val="Times New Roman"/>
        <family val="1"/>
        <charset val="186"/>
      </rPr>
      <t>, projekto „Paslaugų organizavimo ir asmenų aptarnavimo kokybės gerinimas teikiant socialinę paramą Klaipėdos miesto savivaldybėje“ įgyvendinimas</t>
    </r>
  </si>
  <si>
    <t>Atlikta rangos darbų, proc.</t>
  </si>
  <si>
    <t>Vidutinis paramos gavėjo ir (ar) bendrai su juo gyvenančių asmenų skaičius per mėnesį</t>
  </si>
  <si>
    <t>Suteikta paramos rūbais, avalyne, kt., asmenų skaičius</t>
  </si>
  <si>
    <t xml:space="preserve">Dienos socialinės globos paslaugos įstaigoje gavėjų skaičius </t>
  </si>
  <si>
    <t xml:space="preserve">Vietų skaičius trumpalaikės soc. globos paslaugai gauti </t>
  </si>
  <si>
    <t>Planinis vaikų skaičius</t>
  </si>
  <si>
    <t>Dienos socialinę globą per mėn. gaunančių vaikų su negalia skaičius dienos socialinės globos centre</t>
  </si>
  <si>
    <t xml:space="preserve">Pagalbos į namus paslaugos gavėjų skaičius per mėnesį </t>
  </si>
  <si>
    <t>Vidutiniškai per dieną nemokamą maitinimą gaunančių asmenų skaičius</t>
  </si>
  <si>
    <t>Laikiniesiems darbams įdarbintų bedarbių skaičius per metus</t>
  </si>
  <si>
    <t>Darbo rinkos politikos priemonių, skirtų socialinę atskirtį patiriantiems asmenims, vykdymas</t>
  </si>
  <si>
    <t>Sutrumpėjęs nuomininkų pasirinktos valstybės garantijos įvykdymo terminas, mėnesiai</t>
  </si>
  <si>
    <t>Nupirkta butų, vnt.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</si>
  <si>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</si>
  <si>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SB'</t>
  </si>
  <si>
    <t xml:space="preserve">Budinčio globotojo veiklos organizavimas </t>
  </si>
  <si>
    <t>Suremontuotų butų skaičius</t>
  </si>
  <si>
    <t>Suorganizuota renginių, skaičius</t>
  </si>
  <si>
    <t>SB(F)</t>
  </si>
  <si>
    <r>
      <t>Savivaldybės biudžeto lėšos, gautos už parduotus savivaldybės būstus</t>
    </r>
    <r>
      <rPr>
        <b/>
        <sz val="10"/>
        <rFont val="Times New Roman"/>
        <family val="1"/>
        <charset val="186"/>
      </rPr>
      <t xml:space="preserve"> SB(F)</t>
    </r>
  </si>
  <si>
    <t>Įveiklintas globos centras</t>
  </si>
  <si>
    <t>Sukurta papildomų darbo vietų</t>
  </si>
  <si>
    <t>SB(FL)</t>
  </si>
  <si>
    <t xml:space="preserve">Vidutinis prižiūrimų vaikų skaičius per mėnesį </t>
  </si>
  <si>
    <t>Išmokų gavėjų skaičius</t>
  </si>
  <si>
    <t>Suteikta transporto paslaugų, asmenų skaičius</t>
  </si>
  <si>
    <t xml:space="preserve"> - kovos su prekyba žmonėmis prevencinių priemonių  įgyvendinimas;</t>
  </si>
  <si>
    <t>Suteikta į namus paslaugų / socialinės globos asmens namuose paslaugų, asmenų skaičius</t>
  </si>
  <si>
    <t>Išduota techninės pagalbos priemonių, vnt./asmenų skaičius</t>
  </si>
  <si>
    <t>Savivaldybės biudžetas, iš jo:</t>
  </si>
  <si>
    <t>Papriemonės kodas</t>
  </si>
  <si>
    <t>Asmenų su sunkia negalia, kuriems teikiamos socialinės globos paslaugos, skaičius  (perkamos paslaugos)</t>
  </si>
  <si>
    <t>Asmenų su sunkia negalia, kuriems teikiamos socialinės globos paslaugos, skaičius  (Socialinės paramos centras)</t>
  </si>
  <si>
    <t>Asmenų su sunkia negalia, kuriems teikiamos socialinės globos paslaugos, skaičius  (Globos namai)</t>
  </si>
  <si>
    <t>Asmenų su sunkia negalia, kuriems teikiamos socialinės globos paslaugos, skaičius  (Sutrikusio vystymosi kūdikių namai)</t>
  </si>
  <si>
    <t>P1</t>
  </si>
  <si>
    <t xml:space="preserve">Klaipėdos vaikų globos namų „Smiltelė“ patalpų ir infrastruktūros pritaikymas vaikų dienos centro veiklai </t>
  </si>
  <si>
    <t>Vidutiniškai per mėn. paslaugas gaunančių socialinę riziką patiriančių vaikų skaičius</t>
  </si>
  <si>
    <t>Socialinės paramos skyrius</t>
  </si>
  <si>
    <t xml:space="preserve">Projektų skyrius </t>
  </si>
  <si>
    <t>Projektų skyrius</t>
  </si>
  <si>
    <t xml:space="preserve">  </t>
  </si>
  <si>
    <t>Plėtoti socialinių paslaugų infrastruktūrą, įrengiant  naujus ir modernizuojant esamus socialines paslaugas teikiančių įstaigų pastatus, užtikrinti įstaigų ūkinį aptarnavimą</t>
  </si>
  <si>
    <t>Tvarkoma paviršinių (lietaus) nuotekų, įstaigų skaičius</t>
  </si>
  <si>
    <t>Tvarkomas centralizuotas vandentiekis ir kanalizacija, įstaigų skaičius</t>
  </si>
  <si>
    <r>
      <t xml:space="preserve">Pajamų įmokų likutis </t>
    </r>
    <r>
      <rPr>
        <b/>
        <sz val="10"/>
        <rFont val="Times New Roman"/>
        <family val="1"/>
        <charset val="186"/>
      </rPr>
      <t>SB(SPL)</t>
    </r>
  </si>
  <si>
    <t>Turto valdymo skyrius</t>
  </si>
  <si>
    <t>Statybos ir infrastruktūros plėtros skyrius</t>
  </si>
  <si>
    <t>1000/ 800</t>
  </si>
  <si>
    <t>Socialinio būsto skyrius</t>
  </si>
  <si>
    <t xml:space="preserve">Vaikų dienos centruose socialinių įgūdžių ir palaikymo paslaugas gaunančių vaikų skaičius </t>
  </si>
  <si>
    <t xml:space="preserve">Dienos socialinę globą per mėn. gaunančių asmenų  su psichine negalia dienos socialinės globos centre skaičius </t>
  </si>
  <si>
    <t xml:space="preserve">Statinių administravimo  skyrius  </t>
  </si>
  <si>
    <t>Dienos globos asmens namuose teikimas asmenims su negalia</t>
  </si>
  <si>
    <t>Paslaugos gavėjų skaičius per mėnesį</t>
  </si>
  <si>
    <r>
      <rPr>
        <sz val="10"/>
        <rFont val="Times New Roman"/>
        <family val="1"/>
        <charset val="186"/>
      </rPr>
      <t xml:space="preserve">Statinių administravimo </t>
    </r>
    <r>
      <rPr>
        <strike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skyrius  </t>
    </r>
  </si>
  <si>
    <t>Atlikta aplinkos sutvarkymo darbų, proc.</t>
  </si>
  <si>
    <t xml:space="preserve"> Projektų skyrius</t>
  </si>
  <si>
    <r>
      <t xml:space="preserve">Savivaldybei piniginei socialinei paramai finansuoti skirtos lėšos </t>
    </r>
    <r>
      <rPr>
        <b/>
        <sz val="10"/>
        <rFont val="Times New Roman"/>
        <family val="1"/>
        <charset val="186"/>
      </rPr>
      <t>SB(S)</t>
    </r>
  </si>
  <si>
    <t>SB(S)</t>
  </si>
  <si>
    <t>Akredituotos vaikų dienos socialinės priežiūros organizavimas</t>
  </si>
  <si>
    <t>Įstaigų skaičius</t>
  </si>
  <si>
    <t>BĮ Klaipėdos miesto globos namuose</t>
  </si>
  <si>
    <t>Asmenų su sunkia negalia, kuriems teikiamos socialinės globos paslaugos, skaičius  („Klaipėdos lakštutė“)</t>
  </si>
  <si>
    <t>Asmenų su sunkia negalia, kuriems teikiamos socialinės globos paslaugos, skaičius  („Danė“)</t>
  </si>
  <si>
    <t>Socialinių įgūdžių ugdymo, palaikymo ir (ar) atkūrimo paslaugų teikimas vaikų dienos centre</t>
  </si>
  <si>
    <t>Socialinės paramos skyrius –  priemonės vykdymas,</t>
  </si>
  <si>
    <t>Planavimo ir analizės skyrius –  programos sąmatų tvirtinimas</t>
  </si>
  <si>
    <t xml:space="preserve"> - projekto „Vaikų gerovės ir saugumo didinimo, paslaugų šeimai, globėjams (rūpintojams) kokybės didinimo bei prieinamumo plėtra“ įgyvendinimas;</t>
  </si>
  <si>
    <t>Paramos teikimas labiausiai skurstantiems asmenims, įgyvendinant projektą „Parama maisto produktais ir higienos prekėmis II“ Nr. EPSF-2020-V-07-01</t>
  </si>
  <si>
    <t>NVO projektų, gaunančių dalinį finansavimą iš savivaldybės biudžeto, skaičius</t>
  </si>
  <si>
    <t>planas</t>
  </si>
  <si>
    <t>Socialinės globos paslaugų teikimas ne savivaldybės institucijose:</t>
  </si>
  <si>
    <t xml:space="preserve">Socialinės globos paslaugų teikimas vaikams </t>
  </si>
  <si>
    <t xml:space="preserve">Socialinės globos paslaugų teikimas senyvo amžiaus asmenims ir asmenims su negalia </t>
  </si>
  <si>
    <t>Vaikų, apgyvendintų globos institucijose per metus, skaičius</t>
  </si>
  <si>
    <t>Veiklos plano tikslo kodas</t>
  </si>
  <si>
    <t>Priemonės požymis*</t>
  </si>
  <si>
    <t>Vykdytojas (skyrius/asmuo)</t>
  </si>
  <si>
    <t>2023-ieji metai</t>
  </si>
  <si>
    <t>Asmeninės pagalbos teikimo organizavimas</t>
  </si>
  <si>
    <t>Asmenų, kuriems suteikta asmeninė pagalba, skaičius</t>
  </si>
  <si>
    <t>T</t>
  </si>
  <si>
    <t>P</t>
  </si>
  <si>
    <t>Parengtas techninis projektas, vnt.</t>
  </si>
  <si>
    <t>300/65</t>
  </si>
  <si>
    <t>Įsigytos licencijos, vnt.</t>
  </si>
  <si>
    <t>Vidutinis pagalbos į namus paslaugos gavėjų skaičius per mėn.</t>
  </si>
  <si>
    <t>Vidutinis suteiktų socialinių įgūdžių ugdymo ir palaikymo paslaugų socialinę riziką patiriančiose šeimose skaičius per mėn.</t>
  </si>
  <si>
    <t>N</t>
  </si>
  <si>
    <t>Asmenų, po laikino apgyvendinimo paslaugų nutraukimo, pradėjusių gyventi savarankiškai, skaičius vidutiniškai per mėn.</t>
  </si>
  <si>
    <t>Suaugusių asmenų su negalia ir sulaukusių pilnametystės asmenų (iki 24 m.), kuriems buvo teikta socialinė globa (rūpyba) apgyvendinimas apsaugotame būste ar savarankiško gyvenimo namuose, skaičius</t>
  </si>
  <si>
    <t>Socialinių būstų pirkimas</t>
  </si>
  <si>
    <t>P1  T</t>
  </si>
  <si>
    <t>Vidutinis psichosocialinės pagalbos paslaugų gavėjų skaičius per mėn.</t>
  </si>
  <si>
    <t>Vidutinis dienos socialinės globos paslaugos asmens namuose gavėjų skaičius per mėn.</t>
  </si>
  <si>
    <t>Įstaigų, kurioms elektros energija įsigyjama centralizuotai, skaičius</t>
  </si>
  <si>
    <t xml:space="preserve">Vietų skaičius intensyvios krizių įveikimo pagalbos paslaugai gauti </t>
  </si>
  <si>
    <t>P   T</t>
  </si>
  <si>
    <t>Socialinių reklamų skaičius</t>
  </si>
  <si>
    <t>Padalinių, kuriuose taikoma fizinės apsaugos paslauga, skaičius</t>
  </si>
  <si>
    <r>
      <t>Savivaldybės biudžeto lėšų, gautų už parduotus savivaldybės būstus,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likutis </t>
    </r>
    <r>
      <rPr>
        <b/>
        <sz val="10"/>
        <rFont val="Times New Roman"/>
        <family val="1"/>
        <charset val="186"/>
      </rPr>
      <t>SB(FL)</t>
    </r>
  </si>
  <si>
    <t>Įdiegta bendra klientų konsultavimo telefonu ir internetu sistema, žinių bazė, vnt.</t>
  </si>
  <si>
    <t>Darbuotojai, dalyvavę stiprinant kompetencijas, skaičius</t>
  </si>
  <si>
    <t>Daugiabučių namų, kurių atnaujinimo darbai vykdomi, skaičius</t>
  </si>
  <si>
    <t>BĮ Klaipėdos miesto socialinės paramos centre</t>
  </si>
  <si>
    <t>Organizuota tėvystės įgūdžių/globėjų (rūpintojų) mokymų skaičius</t>
  </si>
  <si>
    <t>Pritaikyta butų neįgaliesiems, skaičius</t>
  </si>
  <si>
    <t>Išmokų neįgaliesiems, auginantiems vaikus, mokėjimas</t>
  </si>
  <si>
    <t>09</t>
  </si>
  <si>
    <t>Vidutinis išmokamų socialinių pašalpų skaičius per mėn.</t>
  </si>
  <si>
    <t>Vidutinis išmokamų kompensacijų kreditams ir kredito palūkanoms skaičius per mėn.</t>
  </si>
  <si>
    <r>
      <rPr>
        <sz val="10"/>
        <color theme="1"/>
        <rFont val="Times New Roman"/>
        <family val="1"/>
        <charset val="186"/>
      </rPr>
      <t>Vidutinis išmokamų kompensacijų nepriklausomybės gynėjams skaičius per mėn.</t>
    </r>
    <r>
      <rPr>
        <sz val="10"/>
        <color rgb="FFFF0000"/>
        <rFont val="Times New Roman"/>
        <family val="1"/>
        <charset val="186"/>
      </rPr>
      <t xml:space="preserve"> </t>
    </r>
  </si>
  <si>
    <t>Vaikų, gaunančių trumpalaikės ir ilgalaikės globos paslaugas, skaičius</t>
  </si>
  <si>
    <t>Vaikų, išvykstančių iš vaikų socialinės globos įstaigos, palydėjimas į savarankišką gyvenimą, skaičius</t>
  </si>
  <si>
    <t>Įsigytas laiptų kopiklis, vnt.</t>
  </si>
  <si>
    <t>2/4</t>
  </si>
  <si>
    <t>Socialinės reabilitacijos neįgaliesiems bendruomenėje organizavimas</t>
  </si>
  <si>
    <t>Potencialių socialinių paslaugų gavėjų paieška</t>
  </si>
  <si>
    <t>Paslaugos gavėjų skaičius</t>
  </si>
  <si>
    <t>10</t>
  </si>
  <si>
    <t>Įsigytas minkštas kampas, vnt.</t>
  </si>
  <si>
    <t>Atliktas stogo langų medinės dalies remontas, proc.</t>
  </si>
  <si>
    <t>Vidutinis paslaugos gavėjų skaičius per mėnesį</t>
  </si>
  <si>
    <t>Smurto artimoje aplinkoje prevencijos priemonių įgyvendinimas</t>
  </si>
  <si>
    <t>Socialinių paslaugų ir kitos socialinės paramos teikimas:</t>
  </si>
  <si>
    <t>Įsigyta kompiuterių, vnt.</t>
  </si>
  <si>
    <t>Įsigyta programinės įrangos, vnt.</t>
  </si>
  <si>
    <t>Įsigyta skalbimo mašinų, vnt.</t>
  </si>
  <si>
    <t>Kompleksinių paslaugų šeimai teikimas</t>
  </si>
  <si>
    <t>Prevencinių socialinių paslaugų organizavimas ir teikimas:</t>
  </si>
  <si>
    <t>Nevyriausybinių organizacijų socialinių projektų dalinis finansavimas</t>
  </si>
  <si>
    <t>Socialinių paslaugų teikimas socialinių paslaugų įstaigose:</t>
  </si>
  <si>
    <t>Projekto „Bendruomeninių vaikų globos namų steigimas Klaipėdos mieste“ įgyvendinimas (Kalvos g. 4)</t>
  </si>
  <si>
    <t>Psichosocialinės pagalbos teikimas asmenims (šeimoms), patiriančioms krizes</t>
  </si>
  <si>
    <t xml:space="preserve">Vidutinis asmenų (šeimų), patiriančių krizes, skaičius per mėn. </t>
  </si>
  <si>
    <t xml:space="preserve">Socialinio būsto plėtra Klaipėdos miesto savivaldybėje </t>
  </si>
  <si>
    <r>
      <t xml:space="preserve">Senyvo amžiaus asmenų globos paslaugų plėtra rekonstruojant pastatą, esantį Melnragės gyvenamajame rajone, </t>
    </r>
    <r>
      <rPr>
        <sz val="10"/>
        <rFont val="Times New Roman"/>
        <family val="1"/>
        <charset val="186"/>
      </rPr>
      <t>Aušros g. 41</t>
    </r>
  </si>
  <si>
    <t xml:space="preserve">Tikslinių kompensacijų skaičiavimas ir mokėjimas, siekiant neįgaliesiems kompensuoti specialiųjų poreikių tenkinimo išlaidas </t>
  </si>
  <si>
    <t>Socialinių darbuotojų pareigybių skaičius</t>
  </si>
  <si>
    <t>Individualios priežiūros darbuotojų pareigybių skaičius</t>
  </si>
  <si>
    <t>Bendruomeninių šeimos namų darbuotojų pareigybių skaičius</t>
  </si>
  <si>
    <t>Komunalinių paslaugų įsigijimas</t>
  </si>
  <si>
    <t>Iš dalies finansuotų projektų skaičius</t>
  </si>
  <si>
    <t>Finansavimo šaltinių suvestinė</t>
  </si>
  <si>
    <t>2023 M. KLAIPĖDOS MIESTO SAVIVALDYBĖS</t>
  </si>
  <si>
    <t>2023 m. asignavimų planas**</t>
  </si>
  <si>
    <t>PATVIRTINTA 
Klaipėdos miesto savivaldybės administracijos direktoriaus</t>
  </si>
  <si>
    <t>* N – nauja priemonė, T – tęstinė priemonė, I – investicijų projektas.</t>
  </si>
  <si>
    <r>
      <t xml:space="preserve"> </t>
    </r>
    <r>
      <rPr>
        <i/>
        <sz val="10"/>
        <rFont val="Times New Roman"/>
        <family val="1"/>
        <charset val="186"/>
      </rPr>
      <t>- projekto „Paslaugų, skatinančių ir efektyviai palaikančių globą šeimos aplinkoje, vystymas“ įgyvendinimas;</t>
    </r>
  </si>
  <si>
    <t>Ne savivaldybės įsteigtų įstaigų, teikiančių trumpalaikę / ilgalaikę ir (ar) dienos socialinės globos paslaugas senyvo amžiaus asmenims ir neįgaliems asmenims bei dienos socialinę globą neįgaliems asmenims institucijoje, projektų, skirtų socialinių paslaugų infrastruktūros gerinimui, dalinis finansavimas</t>
  </si>
  <si>
    <t>2023 m. vasario 7 d. įsakymu Nr. AD1-184</t>
  </si>
  <si>
    <t>Projekto „Kompleksinės paslaugos šeimai Klaipėdos mieste“ įgyvendinimas</t>
  </si>
  <si>
    <t>Paslaugų gavėjų skaičius</t>
  </si>
  <si>
    <t>Intensyvios krizių įveikimo pagalbos / psichosocialinės pagalbos teikimas smurtą patyrusiems asmenims ir smurtautojams</t>
  </si>
  <si>
    <t>SB(ESL)</t>
  </si>
  <si>
    <r>
      <t xml:space="preserve">Europos Sąjungos finansinės paramos lėšų likučio metų pradžioje lėšos </t>
    </r>
    <r>
      <rPr>
        <b/>
        <sz val="10"/>
        <rFont val="Times New Roman"/>
        <family val="1"/>
        <charset val="186"/>
      </rPr>
      <t>SB(ESL)</t>
    </r>
  </si>
  <si>
    <t>SB(VBL)</t>
  </si>
  <si>
    <t>11</t>
  </si>
  <si>
    <t>Kompensacijų už būsto suteikimą užsieniečiams, pasitraukusiems iš Ukrainos dėl Rusijos Federacijos karinių veiksmų Ukrainoje, mokėjimas</t>
  </si>
  <si>
    <t>Vienkartinių išmokų įsikurti gyvenamojoje vietoje savivaldybės teritorijoje ir (ar) mėnesinių kompensacijų vaiko ugdymo pagal ikimokyklinio ir priešmokyklinio ugdymo programą mokėjimas</t>
  </si>
  <si>
    <t>Asmenų, kuriems skirtos kompensacijos, skaičius</t>
  </si>
  <si>
    <t>Asmenų, kuriems skirtos vienkartinės išmokos įsikurti gyvenamojoje vietoje savivaldybėje, skaičius</t>
  </si>
  <si>
    <t>Asmenų, gavusių mėnesinę kompensaciją už vaikų ikimokyklinio ar priešmokyklinio ugdymo programą, skaičius</t>
  </si>
  <si>
    <r>
      <t xml:space="preserve">Valstybės biudžeto specialiosios tikslinės dotacijos likučių lėšos </t>
    </r>
    <r>
      <rPr>
        <b/>
        <sz val="10"/>
        <rFont val="Times New Roman"/>
        <family val="1"/>
        <charset val="186"/>
      </rPr>
      <t>SB(VBL)</t>
    </r>
  </si>
  <si>
    <t>Vyr. patarėjas D. Petrolevičius</t>
  </si>
  <si>
    <t>Socialinių dirbtuvių steigimo galimybių analizės atlikimas</t>
  </si>
  <si>
    <t>Parengta strategija ir patvirtinta Savivaldybės taryboje, vnt.</t>
  </si>
  <si>
    <t>Atlikta analizė, vnt.</t>
  </si>
  <si>
    <t>Asmenų su sunkia negalia, kuriems teikiamos socialinės globos paslaugos, skaičius</t>
  </si>
  <si>
    <t>Socialinių įstaigų paprastasis remontas</t>
  </si>
  <si>
    <t>Kt</t>
  </si>
  <si>
    <t>Įstaigų, kuriose atlikti remonto darbai, skaičius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</si>
  <si>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</si>
  <si>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Užsieniečių integracijos strategijos parengimas </t>
  </si>
  <si>
    <t>Asmenų, pasinaudojusių priemone „Atvejo vadyba“, skaičius per metus</t>
  </si>
  <si>
    <t xml:space="preserve"> - projekto „Integralios pagalbos teikimas ir plėtra Lietuvos savivaldybėse“ įgyvendinimas</t>
  </si>
  <si>
    <t>40</t>
  </si>
  <si>
    <t>Pareigybių, iš dalies finansuojamų projekto lėšomis, skaičius</t>
  </si>
  <si>
    <t xml:space="preserve">Paslaugas gavusių projekto dalyvių (trečiųjų valstybių piliečių) skaičius </t>
  </si>
  <si>
    <t>Projekto „Pabėgėlių iš Ukrainos priėmimas ir ankstyva integracija“ įgyvendinimas</t>
  </si>
  <si>
    <t>** Pagal Klaipėdos miesto savivaldybės tarybos sprendimus: 2023-01-26 Nr. T2-14, 2023-03-23 Nr. T2-16, 2023-05-25 Nr. T2-106, 2023-06-22 Nr. T2-144, 2023-09-28 Nr. T2-224, 2023-10-26 Nr. T2-277, 2023-11-30 Nr. T2-304, 2023-12-21 Nr. T2-333.</t>
  </si>
  <si>
    <t xml:space="preserve">(Klaipėdos miesto savivaldybės administracijos direktoriaus 
2023 m. gruodžio 27 d. įsakymo Nr. AD1-1303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</si>
</sst>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[$-409]General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86"/>
      <scheme val="minor"/>
    </font>
    <font>
      <sz val="8"/>
      <name val="Times New Roman"/>
      <family val="1"/>
    </font>
    <font>
      <i/>
      <sz val="1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trike/>
      <sz val="10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166" fontId="16" fillId="0" borderId="0" applyBorder="0" applyProtection="0"/>
  </cellStyleXfs>
  <cellXfs count="871">
    <xf numFmtId="0" fontId="0" fillId="0" borderId="0" xfId="0"/>
    <xf numFmtId="3" fontId="4" fillId="0" borderId="0" xfId="0" applyNumberFormat="1" applyFont="1" applyAlignment="1">
      <alignment vertical="top"/>
    </xf>
    <xf numFmtId="3" fontId="4" fillId="0" borderId="0" xfId="0" applyNumberFormat="1" applyFont="1" applyBorder="1" applyAlignment="1">
      <alignment vertical="top"/>
    </xf>
    <xf numFmtId="3" fontId="3" fillId="2" borderId="33" xfId="0" applyNumberFormat="1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horizontal="center" vertical="top"/>
    </xf>
    <xf numFmtId="3" fontId="3" fillId="2" borderId="14" xfId="0" applyNumberFormat="1" applyFont="1" applyFill="1" applyBorder="1" applyAlignment="1">
      <alignment horizontal="center" vertical="top"/>
    </xf>
    <xf numFmtId="3" fontId="4" fillId="0" borderId="41" xfId="0" applyNumberFormat="1" applyFont="1" applyFill="1" applyBorder="1" applyAlignment="1">
      <alignment horizontal="center" vertical="top"/>
    </xf>
    <xf numFmtId="164" fontId="3" fillId="5" borderId="41" xfId="0" applyNumberFormat="1" applyFont="1" applyFill="1" applyBorder="1" applyAlignment="1">
      <alignment horizontal="center" vertical="top"/>
    </xf>
    <xf numFmtId="3" fontId="4" fillId="3" borderId="41" xfId="0" applyNumberFormat="1" applyFont="1" applyFill="1" applyBorder="1" applyAlignment="1">
      <alignment horizontal="center" vertical="top" wrapText="1"/>
    </xf>
    <xf numFmtId="164" fontId="3" fillId="5" borderId="52" xfId="0" applyNumberFormat="1" applyFont="1" applyFill="1" applyBorder="1" applyAlignment="1">
      <alignment horizontal="center" vertical="top"/>
    </xf>
    <xf numFmtId="3" fontId="3" fillId="2" borderId="23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Border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Border="1" applyAlignment="1">
      <alignment vertical="top"/>
    </xf>
    <xf numFmtId="3" fontId="3" fillId="2" borderId="4" xfId="0" applyNumberFormat="1" applyFont="1" applyFill="1" applyBorder="1" applyAlignment="1">
      <alignment horizontal="center" vertical="top" wrapText="1"/>
    </xf>
    <xf numFmtId="3" fontId="3" fillId="2" borderId="13" xfId="0" applyNumberFormat="1" applyFont="1" applyFill="1" applyBorder="1" applyAlignment="1">
      <alignment horizontal="center" vertical="top" wrapText="1"/>
    </xf>
    <xf numFmtId="3" fontId="3" fillId="2" borderId="60" xfId="0" applyNumberFormat="1" applyFont="1" applyFill="1" applyBorder="1" applyAlignment="1">
      <alignment horizontal="center" vertical="top"/>
    </xf>
    <xf numFmtId="3" fontId="1" fillId="4" borderId="0" xfId="0" applyNumberFormat="1" applyFont="1" applyFill="1" applyBorder="1" applyAlignment="1">
      <alignment horizontal="center" vertical="top"/>
    </xf>
    <xf numFmtId="3" fontId="4" fillId="3" borderId="40" xfId="0" applyNumberFormat="1" applyFont="1" applyFill="1" applyBorder="1" applyAlignment="1">
      <alignment horizontal="center" vertical="top" wrapText="1"/>
    </xf>
    <xf numFmtId="3" fontId="12" fillId="0" borderId="0" xfId="0" applyNumberFormat="1" applyFont="1" applyAlignment="1">
      <alignment vertical="top"/>
    </xf>
    <xf numFmtId="0" fontId="13" fillId="0" borderId="0" xfId="0" applyFont="1" applyAlignment="1">
      <alignment horizontal="center"/>
    </xf>
    <xf numFmtId="3" fontId="1" fillId="2" borderId="14" xfId="0" applyNumberFormat="1" applyFont="1" applyFill="1" applyBorder="1" applyAlignment="1">
      <alignment horizontal="center" vertical="top"/>
    </xf>
    <xf numFmtId="49" fontId="1" fillId="4" borderId="14" xfId="0" applyNumberFormat="1" applyFont="1" applyFill="1" applyBorder="1" applyAlignment="1">
      <alignment horizontal="center" vertical="top"/>
    </xf>
    <xf numFmtId="3" fontId="4" fillId="4" borderId="36" xfId="0" applyNumberFormat="1" applyFont="1" applyFill="1" applyBorder="1" applyAlignment="1">
      <alignment vertical="top" wrapText="1"/>
    </xf>
    <xf numFmtId="3" fontId="4" fillId="0" borderId="36" xfId="0" applyNumberFormat="1" applyFont="1" applyFill="1" applyBorder="1" applyAlignment="1">
      <alignment horizontal="center" vertical="top" wrapText="1"/>
    </xf>
    <xf numFmtId="49" fontId="3" fillId="4" borderId="14" xfId="0" applyNumberFormat="1" applyFont="1" applyFill="1" applyBorder="1" applyAlignment="1">
      <alignment horizontal="center" vertical="top"/>
    </xf>
    <xf numFmtId="49" fontId="3" fillId="4" borderId="23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3" fontId="4" fillId="3" borderId="29" xfId="0" applyNumberFormat="1" applyFont="1" applyFill="1" applyBorder="1" applyAlignment="1">
      <alignment horizontal="center" vertical="top"/>
    </xf>
    <xf numFmtId="49" fontId="3" fillId="0" borderId="23" xfId="0" applyNumberFormat="1" applyFont="1" applyFill="1" applyBorder="1" applyAlignment="1">
      <alignment horizontal="center" vertical="top"/>
    </xf>
    <xf numFmtId="3" fontId="3" fillId="5" borderId="52" xfId="0" applyNumberFormat="1" applyFont="1" applyFill="1" applyBorder="1" applyAlignment="1">
      <alignment horizontal="center" vertical="top"/>
    </xf>
    <xf numFmtId="3" fontId="4" fillId="4" borderId="41" xfId="0" applyNumberFormat="1" applyFont="1" applyFill="1" applyBorder="1" applyAlignment="1">
      <alignment horizontal="center" vertical="top" wrapText="1"/>
    </xf>
    <xf numFmtId="3" fontId="3" fillId="5" borderId="41" xfId="0" applyNumberFormat="1" applyFont="1" applyFill="1" applyBorder="1" applyAlignment="1">
      <alignment horizontal="center" vertical="top" wrapText="1"/>
    </xf>
    <xf numFmtId="3" fontId="3" fillId="7" borderId="32" xfId="0" applyNumberFormat="1" applyFont="1" applyFill="1" applyBorder="1" applyAlignment="1">
      <alignment horizontal="center" vertical="top"/>
    </xf>
    <xf numFmtId="3" fontId="3" fillId="7" borderId="8" xfId="0" applyNumberFormat="1" applyFont="1" applyFill="1" applyBorder="1" applyAlignment="1">
      <alignment horizontal="center" vertical="top"/>
    </xf>
    <xf numFmtId="3" fontId="3" fillId="7" borderId="40" xfId="0" applyNumberFormat="1" applyFont="1" applyFill="1" applyBorder="1" applyAlignment="1">
      <alignment horizontal="center" vertical="top"/>
    </xf>
    <xf numFmtId="3" fontId="3" fillId="7" borderId="59" xfId="0" applyNumberFormat="1" applyFont="1" applyFill="1" applyBorder="1" applyAlignment="1">
      <alignment horizontal="center" vertical="top"/>
    </xf>
    <xf numFmtId="3" fontId="3" fillId="7" borderId="35" xfId="0" applyNumberFormat="1" applyFont="1" applyFill="1" applyBorder="1" applyAlignment="1">
      <alignment horizontal="center" vertical="top" wrapText="1"/>
    </xf>
    <xf numFmtId="3" fontId="3" fillId="7" borderId="38" xfId="0" applyNumberFormat="1" applyFont="1" applyFill="1" applyBorder="1" applyAlignment="1">
      <alignment horizontal="center" vertical="top" wrapText="1"/>
    </xf>
    <xf numFmtId="3" fontId="1" fillId="7" borderId="38" xfId="0" applyNumberFormat="1" applyFont="1" applyFill="1" applyBorder="1" applyAlignment="1">
      <alignment horizontal="center" vertical="top"/>
    </xf>
    <xf numFmtId="3" fontId="3" fillId="7" borderId="23" xfId="0" applyNumberFormat="1" applyFont="1" applyFill="1" applyBorder="1" applyAlignment="1">
      <alignment horizontal="center" vertical="top"/>
    </xf>
    <xf numFmtId="3" fontId="3" fillId="8" borderId="32" xfId="0" applyNumberFormat="1" applyFont="1" applyFill="1" applyBorder="1" applyAlignment="1">
      <alignment horizontal="center" vertical="top"/>
    </xf>
    <xf numFmtId="3" fontId="4" fillId="0" borderId="40" xfId="0" applyNumberFormat="1" applyFont="1" applyFill="1" applyBorder="1" applyAlignment="1">
      <alignment horizontal="center" vertical="top"/>
    </xf>
    <xf numFmtId="49" fontId="6" fillId="4" borderId="14" xfId="0" applyNumberFormat="1" applyFont="1" applyFill="1" applyBorder="1" applyAlignment="1">
      <alignment horizontal="center" vertical="top" wrapText="1"/>
    </xf>
    <xf numFmtId="3" fontId="1" fillId="3" borderId="29" xfId="0" applyNumberFormat="1" applyFont="1" applyFill="1" applyBorder="1" applyAlignment="1">
      <alignment horizontal="center" vertical="top"/>
    </xf>
    <xf numFmtId="3" fontId="4" fillId="3" borderId="29" xfId="0" applyNumberFormat="1" applyFont="1" applyFill="1" applyBorder="1" applyAlignment="1">
      <alignment vertical="top" wrapText="1"/>
    </xf>
    <xf numFmtId="3" fontId="1" fillId="3" borderId="18" xfId="0" applyNumberFormat="1" applyFont="1" applyFill="1" applyBorder="1" applyAlignment="1">
      <alignment horizontal="center" vertical="top"/>
    </xf>
    <xf numFmtId="3" fontId="1" fillId="3" borderId="30" xfId="0" applyNumberFormat="1" applyFont="1" applyFill="1" applyBorder="1" applyAlignment="1">
      <alignment horizontal="center" vertical="top"/>
    </xf>
    <xf numFmtId="3" fontId="1" fillId="0" borderId="40" xfId="0" applyNumberFormat="1" applyFont="1" applyBorder="1" applyAlignment="1">
      <alignment horizontal="center" vertical="top" wrapText="1"/>
    </xf>
    <xf numFmtId="3" fontId="1" fillId="3" borderId="41" xfId="0" applyNumberFormat="1" applyFont="1" applyFill="1" applyBorder="1" applyAlignment="1">
      <alignment horizontal="center" vertical="top"/>
    </xf>
    <xf numFmtId="3" fontId="4" fillId="0" borderId="36" xfId="0" applyNumberFormat="1" applyFont="1" applyBorder="1" applyAlignment="1">
      <alignment horizontal="center" vertical="top"/>
    </xf>
    <xf numFmtId="3" fontId="4" fillId="0" borderId="40" xfId="0" applyNumberFormat="1" applyFont="1" applyBorder="1" applyAlignment="1">
      <alignment horizontal="center" vertical="top"/>
    </xf>
    <xf numFmtId="3" fontId="6" fillId="5" borderId="52" xfId="0" applyNumberFormat="1" applyFont="1" applyFill="1" applyBorder="1" applyAlignment="1">
      <alignment horizontal="center" vertical="top"/>
    </xf>
    <xf numFmtId="3" fontId="4" fillId="0" borderId="36" xfId="0" applyNumberFormat="1" applyFont="1" applyBorder="1" applyAlignment="1">
      <alignment horizontal="center" vertical="top" wrapText="1"/>
    </xf>
    <xf numFmtId="3" fontId="4" fillId="0" borderId="40" xfId="0" applyNumberFormat="1" applyFont="1" applyBorder="1" applyAlignment="1">
      <alignment horizontal="center" vertical="top" wrapText="1"/>
    </xf>
    <xf numFmtId="3" fontId="3" fillId="5" borderId="52" xfId="0" applyNumberFormat="1" applyFont="1" applyFill="1" applyBorder="1" applyAlignment="1">
      <alignment horizontal="center" vertical="top" wrapText="1"/>
    </xf>
    <xf numFmtId="3" fontId="3" fillId="9" borderId="23" xfId="0" applyNumberFormat="1" applyFont="1" applyFill="1" applyBorder="1" applyAlignment="1">
      <alignment horizontal="center" vertical="top"/>
    </xf>
    <xf numFmtId="164" fontId="6" fillId="8" borderId="66" xfId="0" applyNumberFormat="1" applyFont="1" applyFill="1" applyBorder="1" applyAlignment="1">
      <alignment horizontal="center" vertical="top" wrapText="1"/>
    </xf>
    <xf numFmtId="3" fontId="4" fillId="3" borderId="29" xfId="0" applyNumberFormat="1" applyFont="1" applyFill="1" applyBorder="1" applyAlignment="1">
      <alignment horizontal="center" vertical="top" wrapText="1"/>
    </xf>
    <xf numFmtId="164" fontId="6" fillId="5" borderId="45" xfId="0" applyNumberFormat="1" applyFont="1" applyFill="1" applyBorder="1" applyAlignment="1">
      <alignment horizontal="center" vertical="top" wrapText="1"/>
    </xf>
    <xf numFmtId="164" fontId="1" fillId="3" borderId="16" xfId="0" applyNumberFormat="1" applyFont="1" applyFill="1" applyBorder="1" applyAlignment="1">
      <alignment horizontal="center" vertical="top" wrapText="1"/>
    </xf>
    <xf numFmtId="164" fontId="1" fillId="0" borderId="45" xfId="0" applyNumberFormat="1" applyFont="1" applyBorder="1" applyAlignment="1">
      <alignment horizontal="center" vertical="top" wrapText="1"/>
    </xf>
    <xf numFmtId="164" fontId="1" fillId="5" borderId="45" xfId="0" applyNumberFormat="1" applyFont="1" applyFill="1" applyBorder="1" applyAlignment="1">
      <alignment horizontal="center" vertical="top" wrapText="1"/>
    </xf>
    <xf numFmtId="164" fontId="1" fillId="0" borderId="46" xfId="0" applyNumberFormat="1" applyFont="1" applyBorder="1" applyAlignment="1">
      <alignment horizontal="center" vertical="top" wrapText="1"/>
    </xf>
    <xf numFmtId="164" fontId="1" fillId="0" borderId="16" xfId="0" applyNumberFormat="1" applyFont="1" applyBorder="1" applyAlignment="1">
      <alignment horizontal="center" vertical="top" wrapText="1"/>
    </xf>
    <xf numFmtId="164" fontId="3" fillId="5" borderId="55" xfId="0" applyNumberFormat="1" applyFont="1" applyFill="1" applyBorder="1" applyAlignment="1">
      <alignment horizontal="center" vertical="top"/>
    </xf>
    <xf numFmtId="164" fontId="1" fillId="3" borderId="45" xfId="0" applyNumberFormat="1" applyFont="1" applyFill="1" applyBorder="1" applyAlignment="1">
      <alignment horizontal="center" vertical="top" wrapText="1"/>
    </xf>
    <xf numFmtId="49" fontId="6" fillId="4" borderId="5" xfId="0" applyNumberFormat="1" applyFont="1" applyFill="1" applyBorder="1" applyAlignment="1">
      <alignment horizontal="center" vertical="top" wrapText="1"/>
    </xf>
    <xf numFmtId="164" fontId="6" fillId="5" borderId="66" xfId="0" applyNumberFormat="1" applyFont="1" applyFill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14" xfId="0" applyNumberFormat="1" applyFont="1" applyFill="1" applyBorder="1" applyAlignment="1">
      <alignment horizontal="center" vertical="top"/>
    </xf>
    <xf numFmtId="49" fontId="1" fillId="4" borderId="5" xfId="0" applyNumberFormat="1" applyFont="1" applyFill="1" applyBorder="1" applyAlignment="1">
      <alignment horizontal="center" vertical="top" wrapText="1"/>
    </xf>
    <xf numFmtId="3" fontId="1" fillId="3" borderId="49" xfId="0" applyNumberFormat="1" applyFont="1" applyFill="1" applyBorder="1" applyAlignment="1">
      <alignment horizontal="center" vertical="top"/>
    </xf>
    <xf numFmtId="164" fontId="6" fillId="8" borderId="7" xfId="0" applyNumberFormat="1" applyFont="1" applyFill="1" applyBorder="1" applyAlignment="1">
      <alignment horizontal="center" vertical="top" wrapText="1"/>
    </xf>
    <xf numFmtId="3" fontId="1" fillId="3" borderId="41" xfId="0" applyNumberFormat="1" applyFont="1" applyFill="1" applyBorder="1" applyAlignment="1">
      <alignment horizontal="center" vertical="top" wrapText="1"/>
    </xf>
    <xf numFmtId="3" fontId="1" fillId="3" borderId="49" xfId="0" applyNumberFormat="1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/>
    </xf>
    <xf numFmtId="3" fontId="4" fillId="3" borderId="49" xfId="0" applyNumberFormat="1" applyFont="1" applyFill="1" applyBorder="1" applyAlignment="1">
      <alignment horizontal="center" vertical="top"/>
    </xf>
    <xf numFmtId="0" fontId="4" fillId="3" borderId="49" xfId="0" applyFont="1" applyFill="1" applyBorder="1" applyAlignment="1">
      <alignment vertical="top" wrapText="1"/>
    </xf>
    <xf numFmtId="3" fontId="4" fillId="0" borderId="34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3" fontId="1" fillId="3" borderId="29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49" xfId="0" applyNumberFormat="1" applyFont="1" applyFill="1" applyBorder="1" applyAlignment="1">
      <alignment horizontal="center" vertical="top"/>
    </xf>
    <xf numFmtId="3" fontId="3" fillId="5" borderId="30" xfId="0" applyNumberFormat="1" applyFont="1" applyFill="1" applyBorder="1" applyAlignment="1">
      <alignment horizontal="center" vertical="top"/>
    </xf>
    <xf numFmtId="3" fontId="4" fillId="0" borderId="30" xfId="0" applyNumberFormat="1" applyFont="1" applyFill="1" applyBorder="1" applyAlignment="1">
      <alignment horizontal="center" vertical="top"/>
    </xf>
    <xf numFmtId="3" fontId="3" fillId="5" borderId="18" xfId="0" applyNumberFormat="1" applyFont="1" applyFill="1" applyBorder="1" applyAlignment="1">
      <alignment horizontal="center" vertical="top"/>
    </xf>
    <xf numFmtId="3" fontId="3" fillId="5" borderId="18" xfId="0" applyNumberFormat="1" applyFont="1" applyFill="1" applyBorder="1" applyAlignment="1">
      <alignment horizontal="center" vertical="top" wrapText="1"/>
    </xf>
    <xf numFmtId="3" fontId="1" fillId="3" borderId="0" xfId="0" applyNumberFormat="1" applyFont="1" applyFill="1" applyBorder="1" applyAlignment="1">
      <alignment horizontal="center" vertical="top"/>
    </xf>
    <xf numFmtId="0" fontId="4" fillId="0" borderId="41" xfId="0" applyFont="1" applyFill="1" applyBorder="1" applyAlignment="1">
      <alignment vertical="top" wrapText="1"/>
    </xf>
    <xf numFmtId="3" fontId="1" fillId="3" borderId="30" xfId="0" applyNumberFormat="1" applyFont="1" applyFill="1" applyBorder="1" applyAlignment="1">
      <alignment horizontal="center" vertical="top" wrapText="1"/>
    </xf>
    <xf numFmtId="3" fontId="1" fillId="3" borderId="40" xfId="0" applyNumberFormat="1" applyFont="1" applyFill="1" applyBorder="1" applyAlignment="1">
      <alignment horizontal="center" vertical="top" wrapText="1"/>
    </xf>
    <xf numFmtId="3" fontId="1" fillId="3" borderId="47" xfId="0" applyNumberFormat="1" applyFont="1" applyFill="1" applyBorder="1" applyAlignment="1">
      <alignment horizontal="center" vertical="top" wrapText="1"/>
    </xf>
    <xf numFmtId="3" fontId="1" fillId="3" borderId="29" xfId="0" applyNumberFormat="1" applyFont="1" applyFill="1" applyBorder="1" applyAlignment="1">
      <alignment horizontal="center" vertical="top" wrapText="1"/>
    </xf>
    <xf numFmtId="3" fontId="1" fillId="3" borderId="0" xfId="0" applyNumberFormat="1" applyFont="1" applyFill="1" applyBorder="1" applyAlignment="1">
      <alignment vertical="top" wrapText="1"/>
    </xf>
    <xf numFmtId="3" fontId="1" fillId="3" borderId="18" xfId="0" applyNumberFormat="1" applyFont="1" applyFill="1" applyBorder="1" applyAlignment="1">
      <alignment horizontal="left" vertical="top" wrapText="1"/>
    </xf>
    <xf numFmtId="3" fontId="1" fillId="3" borderId="30" xfId="0" applyNumberFormat="1" applyFont="1" applyFill="1" applyBorder="1" applyAlignment="1">
      <alignment horizontal="left" vertical="top" wrapText="1"/>
    </xf>
    <xf numFmtId="3" fontId="1" fillId="3" borderId="18" xfId="0" applyNumberFormat="1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 wrapText="1"/>
    </xf>
    <xf numFmtId="3" fontId="4" fillId="4" borderId="59" xfId="0" applyNumberFormat="1" applyFont="1" applyFill="1" applyBorder="1" applyAlignment="1">
      <alignment horizontal="left" vertical="top" wrapText="1"/>
    </xf>
    <xf numFmtId="3" fontId="2" fillId="0" borderId="0" xfId="0" applyNumberFormat="1" applyFont="1" applyAlignment="1"/>
    <xf numFmtId="0" fontId="13" fillId="0" borderId="0" xfId="0" applyFont="1" applyAlignment="1"/>
    <xf numFmtId="0" fontId="13" fillId="3" borderId="0" xfId="0" applyFont="1" applyFill="1" applyAlignment="1"/>
    <xf numFmtId="0" fontId="18" fillId="3" borderId="0" xfId="0" applyFont="1" applyFill="1" applyBorder="1" applyAlignment="1"/>
    <xf numFmtId="49" fontId="6" fillId="0" borderId="14" xfId="0" applyNumberFormat="1" applyFont="1" applyBorder="1" applyAlignment="1">
      <alignment vertical="top"/>
    </xf>
    <xf numFmtId="49" fontId="6" fillId="0" borderId="23" xfId="0" applyNumberFormat="1" applyFont="1" applyBorder="1" applyAlignment="1">
      <alignment vertical="top"/>
    </xf>
    <xf numFmtId="3" fontId="6" fillId="2" borderId="13" xfId="0" applyNumberFormat="1" applyFont="1" applyFill="1" applyBorder="1" applyAlignment="1">
      <alignment vertical="top"/>
    </xf>
    <xf numFmtId="3" fontId="6" fillId="2" borderId="22" xfId="0" applyNumberFormat="1" applyFont="1" applyFill="1" applyBorder="1" applyAlignment="1">
      <alignment vertical="top"/>
    </xf>
    <xf numFmtId="3" fontId="6" fillId="7" borderId="38" xfId="0" applyNumberFormat="1" applyFont="1" applyFill="1" applyBorder="1" applyAlignment="1">
      <alignment vertical="top"/>
    </xf>
    <xf numFmtId="3" fontId="6" fillId="7" borderId="56" xfId="0" applyNumberFormat="1" applyFont="1" applyFill="1" applyBorder="1" applyAlignment="1">
      <alignment vertical="top"/>
    </xf>
    <xf numFmtId="3" fontId="4" fillId="0" borderId="13" xfId="0" applyNumberFormat="1" applyFont="1" applyBorder="1" applyAlignment="1">
      <alignment horizontal="center" vertical="top" textRotation="90"/>
    </xf>
    <xf numFmtId="3" fontId="4" fillId="0" borderId="22" xfId="0" applyNumberFormat="1" applyFont="1" applyBorder="1" applyAlignment="1">
      <alignment horizontal="center" vertical="top" textRotation="90"/>
    </xf>
    <xf numFmtId="3" fontId="4" fillId="0" borderId="57" xfId="0" applyNumberFormat="1" applyFont="1" applyFill="1" applyBorder="1" applyAlignment="1">
      <alignment horizontal="center" vertical="top" wrapText="1"/>
    </xf>
    <xf numFmtId="3" fontId="6" fillId="3" borderId="27" xfId="0" applyNumberFormat="1" applyFont="1" applyFill="1" applyBorder="1" applyAlignment="1">
      <alignment horizontal="right" vertical="top" wrapText="1"/>
    </xf>
    <xf numFmtId="3" fontId="6" fillId="5" borderId="53" xfId="0" applyNumberFormat="1" applyFont="1" applyFill="1" applyBorder="1" applyAlignment="1">
      <alignment horizontal="center" vertical="top"/>
    </xf>
    <xf numFmtId="3" fontId="4" fillId="3" borderId="30" xfId="0" applyNumberFormat="1" applyFont="1" applyFill="1" applyBorder="1" applyAlignment="1">
      <alignment horizontal="center" vertical="top"/>
    </xf>
    <xf numFmtId="3" fontId="1" fillId="3" borderId="45" xfId="0" applyNumberFormat="1" applyFont="1" applyFill="1" applyBorder="1" applyAlignment="1">
      <alignment horizontal="center" vertical="top" wrapText="1"/>
    </xf>
    <xf numFmtId="3" fontId="4" fillId="0" borderId="7" xfId="0" applyNumberFormat="1" applyFont="1" applyFill="1" applyBorder="1" applyAlignment="1">
      <alignment horizontal="center" vertical="top"/>
    </xf>
    <xf numFmtId="164" fontId="4" fillId="3" borderId="37" xfId="0" applyNumberFormat="1" applyFont="1" applyFill="1" applyBorder="1" applyAlignment="1">
      <alignment horizontal="center" vertical="top" wrapText="1"/>
    </xf>
    <xf numFmtId="164" fontId="4" fillId="3" borderId="39" xfId="0" applyNumberFormat="1" applyFont="1" applyFill="1" applyBorder="1" applyAlignment="1">
      <alignment horizontal="center" vertical="top"/>
    </xf>
    <xf numFmtId="164" fontId="4" fillId="3" borderId="45" xfId="0" applyNumberFormat="1" applyFont="1" applyFill="1" applyBorder="1" applyAlignment="1">
      <alignment horizontal="center" vertical="top"/>
    </xf>
    <xf numFmtId="164" fontId="1" fillId="3" borderId="39" xfId="0" applyNumberFormat="1" applyFont="1" applyFill="1" applyBorder="1" applyAlignment="1">
      <alignment horizontal="center" vertical="top" wrapText="1"/>
    </xf>
    <xf numFmtId="164" fontId="3" fillId="2" borderId="66" xfId="0" applyNumberFormat="1" applyFont="1" applyFill="1" applyBorder="1" applyAlignment="1">
      <alignment horizontal="center" vertical="top"/>
    </xf>
    <xf numFmtId="164" fontId="4" fillId="3" borderId="45" xfId="0" applyNumberFormat="1" applyFont="1" applyFill="1" applyBorder="1" applyAlignment="1">
      <alignment horizontal="center" vertical="top" wrapText="1"/>
    </xf>
    <xf numFmtId="165" fontId="1" fillId="3" borderId="45" xfId="0" applyNumberFormat="1" applyFont="1" applyFill="1" applyBorder="1" applyAlignment="1">
      <alignment horizontal="center" vertical="top"/>
    </xf>
    <xf numFmtId="165" fontId="1" fillId="3" borderId="46" xfId="0" applyNumberFormat="1" applyFont="1" applyFill="1" applyBorder="1" applyAlignment="1">
      <alignment horizontal="center" vertical="top"/>
    </xf>
    <xf numFmtId="165" fontId="1" fillId="3" borderId="39" xfId="0" applyNumberFormat="1" applyFont="1" applyFill="1" applyBorder="1" applyAlignment="1">
      <alignment horizontal="center" vertical="top"/>
    </xf>
    <xf numFmtId="164" fontId="4" fillId="3" borderId="16" xfId="0" applyNumberFormat="1" applyFont="1" applyFill="1" applyBorder="1" applyAlignment="1">
      <alignment horizontal="center" vertical="top"/>
    </xf>
    <xf numFmtId="164" fontId="6" fillId="5" borderId="55" xfId="0" applyNumberFormat="1" applyFont="1" applyFill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 wrapText="1"/>
    </xf>
    <xf numFmtId="165" fontId="1" fillId="3" borderId="46" xfId="0" applyNumberFormat="1" applyFont="1" applyFill="1" applyBorder="1" applyAlignment="1">
      <alignment horizontal="center" vertical="top" wrapText="1"/>
    </xf>
    <xf numFmtId="49" fontId="1" fillId="3" borderId="61" xfId="0" applyNumberFormat="1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49" fontId="1" fillId="3" borderId="62" xfId="0" applyNumberFormat="1" applyFont="1" applyFill="1" applyBorder="1" applyAlignment="1">
      <alignment horizontal="center" vertical="top"/>
    </xf>
    <xf numFmtId="164" fontId="1" fillId="3" borderId="46" xfId="0" applyNumberFormat="1" applyFont="1" applyFill="1" applyBorder="1" applyAlignment="1">
      <alignment horizontal="center" vertical="top" wrapText="1"/>
    </xf>
    <xf numFmtId="3" fontId="1" fillId="3" borderId="41" xfId="0" applyNumberFormat="1" applyFont="1" applyFill="1" applyBorder="1" applyAlignment="1">
      <alignment vertical="top" wrapText="1"/>
    </xf>
    <xf numFmtId="3" fontId="3" fillId="5" borderId="30" xfId="0" applyNumberFormat="1" applyFont="1" applyFill="1" applyBorder="1" applyAlignment="1">
      <alignment horizontal="center" vertical="top" wrapText="1"/>
    </xf>
    <xf numFmtId="3" fontId="4" fillId="3" borderId="26" xfId="0" applyNumberFormat="1" applyFont="1" applyFill="1" applyBorder="1" applyAlignment="1">
      <alignment horizontal="center" vertical="top" wrapText="1"/>
    </xf>
    <xf numFmtId="3" fontId="3" fillId="5" borderId="59" xfId="0" applyNumberFormat="1" applyFont="1" applyFill="1" applyBorder="1" applyAlignment="1">
      <alignment horizontal="center" vertical="top"/>
    </xf>
    <xf numFmtId="164" fontId="4" fillId="3" borderId="46" xfId="0" applyNumberFormat="1" applyFont="1" applyFill="1" applyBorder="1" applyAlignment="1">
      <alignment horizontal="center" vertical="top" wrapText="1"/>
    </xf>
    <xf numFmtId="3" fontId="6" fillId="0" borderId="4" xfId="0" applyNumberFormat="1" applyFont="1" applyBorder="1" applyAlignment="1">
      <alignment horizontal="center" vertical="top"/>
    </xf>
    <xf numFmtId="3" fontId="6" fillId="0" borderId="13" xfId="0" applyNumberFormat="1" applyFont="1" applyBorder="1" applyAlignment="1">
      <alignment horizontal="center" vertical="top"/>
    </xf>
    <xf numFmtId="3" fontId="1" fillId="3" borderId="0" xfId="0" applyNumberFormat="1" applyFont="1" applyFill="1" applyBorder="1" applyAlignment="1">
      <alignment horizontal="center" vertical="top" wrapText="1"/>
    </xf>
    <xf numFmtId="49" fontId="3" fillId="3" borderId="23" xfId="0" applyNumberFormat="1" applyFont="1" applyFill="1" applyBorder="1" applyAlignment="1">
      <alignment horizontal="center" vertical="top"/>
    </xf>
    <xf numFmtId="3" fontId="15" fillId="3" borderId="0" xfId="0" applyNumberFormat="1" applyFont="1" applyFill="1" applyBorder="1" applyAlignment="1">
      <alignment horizontal="center" vertical="top"/>
    </xf>
    <xf numFmtId="3" fontId="15" fillId="3" borderId="41" xfId="0" applyNumberFormat="1" applyFont="1" applyFill="1" applyBorder="1" applyAlignment="1">
      <alignment horizontal="center" vertical="top"/>
    </xf>
    <xf numFmtId="3" fontId="1" fillId="0" borderId="41" xfId="0" applyNumberFormat="1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3" fontId="4" fillId="0" borderId="40" xfId="0" applyNumberFormat="1" applyFont="1" applyFill="1" applyBorder="1" applyAlignment="1">
      <alignment horizontal="center" vertical="top" wrapText="1"/>
    </xf>
    <xf numFmtId="0" fontId="13" fillId="0" borderId="49" xfId="0" applyFont="1" applyBorder="1" applyAlignment="1"/>
    <xf numFmtId="0" fontId="13" fillId="0" borderId="49" xfId="0" applyFont="1" applyBorder="1" applyAlignment="1">
      <alignment horizontal="center" vertical="top"/>
    </xf>
    <xf numFmtId="3" fontId="1" fillId="3" borderId="34" xfId="0" applyNumberFormat="1" applyFont="1" applyFill="1" applyBorder="1" applyAlignment="1">
      <alignment horizontal="center" vertical="top" wrapText="1"/>
    </xf>
    <xf numFmtId="3" fontId="4" fillId="3" borderId="37" xfId="0" applyNumberFormat="1" applyFont="1" applyFill="1" applyBorder="1" applyAlignment="1">
      <alignment horizontal="center" vertical="top" wrapText="1"/>
    </xf>
    <xf numFmtId="3" fontId="1" fillId="3" borderId="39" xfId="0" applyNumberFormat="1" applyFont="1" applyFill="1" applyBorder="1" applyAlignment="1">
      <alignment horizontal="center" vertical="top" wrapText="1"/>
    </xf>
    <xf numFmtId="3" fontId="1" fillId="3" borderId="16" xfId="0" applyNumberFormat="1" applyFont="1" applyFill="1" applyBorder="1" applyAlignment="1">
      <alignment horizontal="center" vertical="top" wrapText="1"/>
    </xf>
    <xf numFmtId="3" fontId="1" fillId="3" borderId="46" xfId="0" applyNumberFormat="1" applyFont="1" applyFill="1" applyBorder="1" applyAlignment="1">
      <alignment horizontal="center" vertical="top" wrapText="1"/>
    </xf>
    <xf numFmtId="3" fontId="3" fillId="7" borderId="18" xfId="0" applyNumberFormat="1" applyFont="1" applyFill="1" applyBorder="1" applyAlignment="1">
      <alignment vertical="top"/>
    </xf>
    <xf numFmtId="3" fontId="3" fillId="7" borderId="17" xfId="0" applyNumberFormat="1" applyFont="1" applyFill="1" applyBorder="1" applyAlignment="1">
      <alignment vertical="top"/>
    </xf>
    <xf numFmtId="3" fontId="3" fillId="2" borderId="9" xfId="0" applyNumberFormat="1" applyFont="1" applyFill="1" applyBorder="1" applyAlignment="1">
      <alignment vertical="top"/>
    </xf>
    <xf numFmtId="3" fontId="3" fillId="2" borderId="60" xfId="0" applyNumberFormat="1" applyFont="1" applyFill="1" applyBorder="1" applyAlignment="1">
      <alignment vertical="top"/>
    </xf>
    <xf numFmtId="3" fontId="4" fillId="0" borderId="29" xfId="0" applyNumberFormat="1" applyFont="1" applyFill="1" applyBorder="1" applyAlignment="1">
      <alignment horizontal="center" vertical="top"/>
    </xf>
    <xf numFmtId="3" fontId="3" fillId="7" borderId="29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Border="1" applyAlignment="1">
      <alignment horizontal="center" vertical="top"/>
    </xf>
    <xf numFmtId="3" fontId="4" fillId="4" borderId="26" xfId="0" applyNumberFormat="1" applyFont="1" applyFill="1" applyBorder="1" applyAlignment="1">
      <alignment horizontal="center" vertical="top" wrapText="1"/>
    </xf>
    <xf numFmtId="164" fontId="4" fillId="3" borderId="16" xfId="0" applyNumberFormat="1" applyFont="1" applyFill="1" applyBorder="1" applyAlignment="1">
      <alignment horizontal="center" vertical="top" wrapText="1"/>
    </xf>
    <xf numFmtId="3" fontId="4" fillId="3" borderId="18" xfId="0" applyNumberFormat="1" applyFont="1" applyFill="1" applyBorder="1" applyAlignment="1">
      <alignment vertical="top" wrapText="1"/>
    </xf>
    <xf numFmtId="3" fontId="4" fillId="3" borderId="30" xfId="0" applyNumberFormat="1" applyFont="1" applyFill="1" applyBorder="1" applyAlignment="1">
      <alignment vertical="top" wrapText="1"/>
    </xf>
    <xf numFmtId="3" fontId="1" fillId="3" borderId="27" xfId="0" applyNumberFormat="1" applyFont="1" applyFill="1" applyBorder="1" applyAlignment="1">
      <alignment horizontal="left" vertical="top" wrapText="1"/>
    </xf>
    <xf numFmtId="165" fontId="1" fillId="3" borderId="16" xfId="0" applyNumberFormat="1" applyFont="1" applyFill="1" applyBorder="1" applyAlignment="1">
      <alignment horizontal="center" vertical="top"/>
    </xf>
    <xf numFmtId="165" fontId="15" fillId="3" borderId="39" xfId="0" applyNumberFormat="1" applyFont="1" applyFill="1" applyBorder="1" applyAlignment="1">
      <alignment horizontal="center" vertical="top"/>
    </xf>
    <xf numFmtId="165" fontId="15" fillId="3" borderId="16" xfId="0" applyNumberFormat="1" applyFont="1" applyFill="1" applyBorder="1" applyAlignment="1">
      <alignment horizontal="center" vertical="top"/>
    </xf>
    <xf numFmtId="3" fontId="6" fillId="3" borderId="37" xfId="0" applyNumberFormat="1" applyFont="1" applyFill="1" applyBorder="1" applyAlignment="1">
      <alignment horizontal="right" vertical="top" wrapText="1"/>
    </xf>
    <xf numFmtId="164" fontId="4" fillId="0" borderId="16" xfId="0" applyNumberFormat="1" applyFont="1" applyBorder="1" applyAlignment="1">
      <alignment horizontal="center" vertical="top" wrapText="1"/>
    </xf>
    <xf numFmtId="3" fontId="1" fillId="3" borderId="30" xfId="0" applyNumberFormat="1" applyFont="1" applyFill="1" applyBorder="1" applyAlignment="1">
      <alignment vertical="top" wrapText="1"/>
    </xf>
    <xf numFmtId="3" fontId="6" fillId="0" borderId="48" xfId="0" applyNumberFormat="1" applyFont="1" applyFill="1" applyBorder="1" applyAlignment="1">
      <alignment horizontal="center" vertical="top" wrapText="1"/>
    </xf>
    <xf numFmtId="3" fontId="4" fillId="3" borderId="3" xfId="0" applyNumberFormat="1" applyFont="1" applyFill="1" applyBorder="1" applyAlignment="1">
      <alignment horizontal="center" vertical="center" textRotation="90" wrapText="1"/>
    </xf>
    <xf numFmtId="3" fontId="4" fillId="0" borderId="48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61" xfId="0" applyNumberFormat="1" applyFont="1" applyBorder="1" applyAlignment="1">
      <alignment horizontal="center" vertical="top"/>
    </xf>
    <xf numFmtId="49" fontId="4" fillId="0" borderId="14" xfId="0" applyNumberFormat="1" applyFont="1" applyBorder="1" applyAlignment="1">
      <alignment horizontal="center" vertical="top"/>
    </xf>
    <xf numFmtId="49" fontId="4" fillId="0" borderId="62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1" fillId="0" borderId="14" xfId="0" applyNumberFormat="1" applyFont="1" applyBorder="1" applyAlignment="1">
      <alignment horizontal="center" vertical="top"/>
    </xf>
    <xf numFmtId="49" fontId="1" fillId="3" borderId="61" xfId="0" applyNumberFormat="1" applyFont="1" applyFill="1" applyBorder="1" applyAlignment="1">
      <alignment horizontal="center" vertical="top" wrapText="1"/>
    </xf>
    <xf numFmtId="49" fontId="1" fillId="3" borderId="14" xfId="0" applyNumberFormat="1" applyFont="1" applyFill="1" applyBorder="1" applyAlignment="1">
      <alignment horizontal="center" vertical="top" wrapText="1"/>
    </xf>
    <xf numFmtId="3" fontId="6" fillId="3" borderId="48" xfId="0" applyNumberFormat="1" applyFont="1" applyFill="1" applyBorder="1" applyAlignment="1">
      <alignment vertical="center" wrapText="1"/>
    </xf>
    <xf numFmtId="3" fontId="4" fillId="0" borderId="48" xfId="0" applyNumberFormat="1" applyFont="1" applyBorder="1" applyAlignment="1">
      <alignment horizontal="center" vertical="top" textRotation="90"/>
    </xf>
    <xf numFmtId="49" fontId="4" fillId="0" borderId="23" xfId="0" applyNumberFormat="1" applyFont="1" applyFill="1" applyBorder="1" applyAlignment="1">
      <alignment horizontal="center" vertical="top"/>
    </xf>
    <xf numFmtId="49" fontId="4" fillId="0" borderId="63" xfId="0" applyNumberFormat="1" applyFont="1" applyFill="1" applyBorder="1" applyAlignment="1">
      <alignment vertical="top"/>
    </xf>
    <xf numFmtId="49" fontId="1" fillId="0" borderId="23" xfId="0" applyNumberFormat="1" applyFont="1" applyBorder="1" applyAlignment="1">
      <alignment vertical="top"/>
    </xf>
    <xf numFmtId="49" fontId="4" fillId="3" borderId="23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62" xfId="0" applyNumberFormat="1" applyFont="1" applyFill="1" applyBorder="1" applyAlignment="1">
      <alignment horizontal="center" vertical="top"/>
    </xf>
    <xf numFmtId="49" fontId="4" fillId="4" borderId="14" xfId="0" applyNumberFormat="1" applyFont="1" applyFill="1" applyBorder="1" applyAlignment="1">
      <alignment horizontal="center" vertical="top"/>
    </xf>
    <xf numFmtId="49" fontId="4" fillId="4" borderId="17" xfId="0" applyNumberFormat="1" applyFont="1" applyFill="1" applyBorder="1" applyAlignment="1">
      <alignment horizontal="center" vertical="top"/>
    </xf>
    <xf numFmtId="49" fontId="4" fillId="4" borderId="61" xfId="0" applyNumberFormat="1" applyFont="1" applyFill="1" applyBorder="1" applyAlignment="1">
      <alignment horizontal="center" vertical="top"/>
    </xf>
    <xf numFmtId="49" fontId="4" fillId="4" borderId="23" xfId="0" applyNumberFormat="1" applyFont="1" applyFill="1" applyBorder="1" applyAlignment="1">
      <alignment horizontal="center" vertical="top"/>
    </xf>
    <xf numFmtId="3" fontId="1" fillId="3" borderId="0" xfId="0" applyNumberFormat="1" applyFont="1" applyFill="1" applyBorder="1" applyAlignment="1">
      <alignment horizontal="left" vertical="top"/>
    </xf>
    <xf numFmtId="3" fontId="1" fillId="3" borderId="26" xfId="0" applyNumberFormat="1" applyFont="1" applyFill="1" applyBorder="1" applyAlignment="1">
      <alignment horizontal="center" vertical="top"/>
    </xf>
    <xf numFmtId="164" fontId="1" fillId="3" borderId="37" xfId="0" applyNumberFormat="1" applyFont="1" applyFill="1" applyBorder="1" applyAlignment="1">
      <alignment horizontal="center" vertical="top"/>
    </xf>
    <xf numFmtId="3" fontId="9" fillId="0" borderId="0" xfId="0" applyNumberFormat="1" applyFont="1" applyAlignment="1">
      <alignment horizontal="left" vertical="top" wrapText="1"/>
    </xf>
    <xf numFmtId="3" fontId="5" fillId="8" borderId="19" xfId="0" applyNumberFormat="1" applyFont="1" applyFill="1" applyBorder="1" applyAlignment="1">
      <alignment horizontal="left" vertical="top" wrapText="1"/>
    </xf>
    <xf numFmtId="3" fontId="1" fillId="3" borderId="0" xfId="0" applyNumberFormat="1" applyFont="1" applyFill="1" applyBorder="1" applyAlignment="1">
      <alignment horizontal="left" vertical="top"/>
    </xf>
    <xf numFmtId="3" fontId="1" fillId="3" borderId="34" xfId="0" applyNumberFormat="1" applyFont="1" applyFill="1" applyBorder="1" applyAlignment="1">
      <alignment horizontal="left" vertical="top"/>
    </xf>
    <xf numFmtId="164" fontId="1" fillId="3" borderId="0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center" wrapText="1"/>
    </xf>
    <xf numFmtId="3" fontId="1" fillId="3" borderId="0" xfId="0" applyNumberFormat="1" applyFont="1" applyFill="1" applyAlignment="1">
      <alignment horizontal="left" vertical="top"/>
    </xf>
    <xf numFmtId="0" fontId="13" fillId="0" borderId="0" xfId="0" applyFont="1"/>
    <xf numFmtId="0" fontId="13" fillId="3" borderId="0" xfId="0" applyFont="1" applyFill="1"/>
    <xf numFmtId="3" fontId="10" fillId="0" borderId="0" xfId="0" applyNumberFormat="1" applyFont="1"/>
    <xf numFmtId="3" fontId="4" fillId="3" borderId="22" xfId="0" applyNumberFormat="1" applyFont="1" applyFill="1" applyBorder="1" applyAlignment="1">
      <alignment horizontal="center" vertical="top" wrapText="1"/>
    </xf>
    <xf numFmtId="164" fontId="1" fillId="3" borderId="42" xfId="0" applyNumberFormat="1" applyFont="1" applyFill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center" vertical="top"/>
    </xf>
    <xf numFmtId="164" fontId="4" fillId="3" borderId="38" xfId="0" applyNumberFormat="1" applyFont="1" applyFill="1" applyBorder="1" applyAlignment="1">
      <alignment horizontal="center" vertical="top"/>
    </xf>
    <xf numFmtId="164" fontId="1" fillId="3" borderId="42" xfId="0" applyNumberFormat="1" applyFont="1" applyFill="1" applyBorder="1" applyAlignment="1">
      <alignment horizontal="center" vertical="top" wrapText="1"/>
    </xf>
    <xf numFmtId="164" fontId="1" fillId="3" borderId="50" xfId="0" applyNumberFormat="1" applyFont="1" applyFill="1" applyBorder="1" applyAlignment="1">
      <alignment horizontal="center" vertical="top" wrapText="1"/>
    </xf>
    <xf numFmtId="3" fontId="4" fillId="0" borderId="27" xfId="0" applyNumberFormat="1" applyFont="1" applyFill="1" applyBorder="1" applyAlignment="1">
      <alignment horizontal="left" vertical="top" wrapText="1"/>
    </xf>
    <xf numFmtId="3" fontId="4" fillId="4" borderId="35" xfId="0" applyNumberFormat="1" applyFont="1" applyFill="1" applyBorder="1" applyAlignment="1">
      <alignment horizontal="center" vertical="top" wrapText="1"/>
    </xf>
    <xf numFmtId="164" fontId="4" fillId="3" borderId="42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3" fillId="2" borderId="32" xfId="0" applyNumberFormat="1" applyFont="1" applyFill="1" applyBorder="1" applyAlignment="1">
      <alignment horizontal="center" vertical="top"/>
    </xf>
    <xf numFmtId="3" fontId="1" fillId="3" borderId="35" xfId="0" applyNumberFormat="1" applyFont="1" applyFill="1" applyBorder="1" applyAlignment="1">
      <alignment horizontal="center" vertical="top" wrapText="1"/>
    </xf>
    <xf numFmtId="164" fontId="4" fillId="0" borderId="35" xfId="0" applyNumberFormat="1" applyFont="1" applyFill="1" applyBorder="1" applyAlignment="1">
      <alignment horizontal="center" vertical="top"/>
    </xf>
    <xf numFmtId="164" fontId="4" fillId="3" borderId="11" xfId="0" applyNumberFormat="1" applyFont="1" applyFill="1" applyBorder="1" applyAlignment="1">
      <alignment horizontal="center" vertical="top"/>
    </xf>
    <xf numFmtId="164" fontId="6" fillId="3" borderId="0" xfId="0" applyNumberFormat="1" applyFont="1" applyFill="1" applyBorder="1" applyAlignment="1">
      <alignment horizontal="center" vertical="top" wrapText="1"/>
    </xf>
    <xf numFmtId="0" fontId="13" fillId="3" borderId="0" xfId="0" applyFont="1" applyFill="1" applyBorder="1" applyAlignment="1"/>
    <xf numFmtId="164" fontId="3" fillId="5" borderId="1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vertical="top"/>
    </xf>
    <xf numFmtId="0" fontId="4" fillId="9" borderId="10" xfId="0" applyFont="1" applyFill="1" applyBorder="1" applyAlignment="1">
      <alignment horizontal="center" vertical="top" wrapText="1"/>
    </xf>
    <xf numFmtId="3" fontId="3" fillId="9" borderId="10" xfId="0" applyNumberFormat="1" applyFont="1" applyFill="1" applyBorder="1" applyAlignment="1">
      <alignment vertical="top"/>
    </xf>
    <xf numFmtId="165" fontId="3" fillId="5" borderId="20" xfId="0" applyNumberFormat="1" applyFont="1" applyFill="1" applyBorder="1" applyAlignment="1">
      <alignment horizontal="center" vertical="top" wrapText="1"/>
    </xf>
    <xf numFmtId="3" fontId="1" fillId="9" borderId="10" xfId="0" applyNumberFormat="1" applyFont="1" applyFill="1" applyBorder="1" applyAlignment="1">
      <alignment horizontal="center" vertical="top" wrapText="1"/>
    </xf>
    <xf numFmtId="49" fontId="1" fillId="3" borderId="43" xfId="0" applyNumberFormat="1" applyFont="1" applyFill="1" applyBorder="1" applyAlignment="1">
      <alignment horizontal="center" vertical="top" wrapText="1"/>
    </xf>
    <xf numFmtId="3" fontId="4" fillId="10" borderId="10" xfId="0" applyNumberFormat="1" applyFont="1" applyFill="1" applyBorder="1" applyAlignment="1">
      <alignment horizontal="center" vertical="top"/>
    </xf>
    <xf numFmtId="164" fontId="6" fillId="3" borderId="34" xfId="0" applyNumberFormat="1" applyFont="1" applyFill="1" applyBorder="1" applyAlignment="1">
      <alignment horizontal="center" vertical="top" wrapText="1"/>
    </xf>
    <xf numFmtId="3" fontId="1" fillId="3" borderId="0" xfId="0" applyNumberFormat="1" applyFont="1" applyFill="1" applyBorder="1" applyAlignment="1">
      <alignment horizontal="left" vertical="top"/>
    </xf>
    <xf numFmtId="3" fontId="1" fillId="3" borderId="25" xfId="0" applyNumberFormat="1" applyFont="1" applyFill="1" applyBorder="1" applyAlignment="1">
      <alignment horizontal="center" vertical="top" wrapText="1"/>
    </xf>
    <xf numFmtId="0" fontId="1" fillId="3" borderId="49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" fontId="1" fillId="3" borderId="39" xfId="0" applyNumberFormat="1" applyFont="1" applyFill="1" applyBorder="1" applyAlignment="1">
      <alignment horizontal="center" vertical="top" wrapText="1"/>
    </xf>
    <xf numFmtId="0" fontId="4" fillId="3" borderId="45" xfId="0" applyFont="1" applyFill="1" applyBorder="1" applyAlignment="1">
      <alignment horizontal="center" vertical="top" wrapText="1"/>
    </xf>
    <xf numFmtId="49" fontId="4" fillId="3" borderId="46" xfId="0" applyNumberFormat="1" applyFont="1" applyFill="1" applyBorder="1" applyAlignment="1">
      <alignment horizontal="center" vertical="top" wrapText="1"/>
    </xf>
    <xf numFmtId="3" fontId="4" fillId="3" borderId="45" xfId="0" applyNumberFormat="1" applyFont="1" applyFill="1" applyBorder="1" applyAlignment="1">
      <alignment horizontal="center" vertical="top" wrapText="1"/>
    </xf>
    <xf numFmtId="0" fontId="1" fillId="3" borderId="46" xfId="0" applyFont="1" applyFill="1" applyBorder="1" applyAlignment="1">
      <alignment horizontal="center" vertical="top" wrapText="1"/>
    </xf>
    <xf numFmtId="3" fontId="4" fillId="3" borderId="25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/>
    <xf numFmtId="3" fontId="1" fillId="0" borderId="15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Fill="1" applyBorder="1" applyAlignment="1">
      <alignment horizontal="center" vertical="top" wrapText="1"/>
    </xf>
    <xf numFmtId="3" fontId="4" fillId="0" borderId="67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/>
    </xf>
    <xf numFmtId="3" fontId="1" fillId="3" borderId="15" xfId="0" applyNumberFormat="1" applyFont="1" applyFill="1" applyBorder="1" applyAlignment="1">
      <alignment horizontal="center" vertical="top"/>
    </xf>
    <xf numFmtId="3" fontId="4" fillId="0" borderId="15" xfId="0" applyNumberFormat="1" applyFont="1" applyBorder="1" applyAlignment="1">
      <alignment vertical="top"/>
    </xf>
    <xf numFmtId="3" fontId="4" fillId="0" borderId="24" xfId="0" applyNumberFormat="1" applyFont="1" applyBorder="1" applyAlignment="1">
      <alignment vertical="top" wrapText="1"/>
    </xf>
    <xf numFmtId="3" fontId="4" fillId="0" borderId="24" xfId="0" applyNumberFormat="1" applyFont="1" applyBorder="1" applyAlignment="1">
      <alignment horizontal="center" vertical="top"/>
    </xf>
    <xf numFmtId="3" fontId="4" fillId="3" borderId="24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Border="1" applyAlignment="1">
      <alignment horizontal="center" vertical="top"/>
    </xf>
    <xf numFmtId="3" fontId="1" fillId="3" borderId="31" xfId="0" applyNumberFormat="1" applyFont="1" applyFill="1" applyBorder="1" applyAlignment="1">
      <alignment horizontal="center" vertical="center" wrapText="1"/>
    </xf>
    <xf numFmtId="3" fontId="6" fillId="3" borderId="13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3" fontId="14" fillId="0" borderId="13" xfId="0" applyNumberFormat="1" applyFont="1" applyFill="1" applyBorder="1" applyAlignment="1">
      <alignment vertical="center" textRotation="90" wrapText="1"/>
    </xf>
    <xf numFmtId="3" fontId="14" fillId="0" borderId="48" xfId="0" applyNumberFormat="1" applyFont="1" applyFill="1" applyBorder="1" applyAlignment="1">
      <alignment vertical="center" textRotation="90" wrapText="1"/>
    </xf>
    <xf numFmtId="3" fontId="6" fillId="3" borderId="13" xfId="0" applyNumberFormat="1" applyFont="1" applyFill="1" applyBorder="1" applyAlignment="1">
      <alignment vertical="center" wrapText="1"/>
    </xf>
    <xf numFmtId="3" fontId="1" fillId="0" borderId="13" xfId="0" applyNumberFormat="1" applyFont="1" applyFill="1" applyBorder="1" applyAlignment="1">
      <alignment vertical="center" textRotation="90" wrapText="1"/>
    </xf>
    <xf numFmtId="3" fontId="4" fillId="0" borderId="13" xfId="0" applyNumberFormat="1" applyFont="1" applyBorder="1" applyAlignment="1">
      <alignment vertical="top"/>
    </xf>
    <xf numFmtId="3" fontId="6" fillId="0" borderId="13" xfId="0" applyNumberFormat="1" applyFont="1" applyFill="1" applyBorder="1" applyAlignment="1">
      <alignment horizontal="center" vertical="center" wrapText="1"/>
    </xf>
    <xf numFmtId="3" fontId="1" fillId="3" borderId="48" xfId="0" applyNumberFormat="1" applyFont="1" applyFill="1" applyBorder="1" applyAlignment="1">
      <alignment horizontal="center" vertical="top" textRotation="180" wrapText="1"/>
    </xf>
    <xf numFmtId="3" fontId="6" fillId="3" borderId="3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Fill="1" applyBorder="1" applyAlignment="1">
      <alignment vertical="center" textRotation="90" wrapText="1"/>
    </xf>
    <xf numFmtId="3" fontId="4" fillId="3" borderId="13" xfId="0" applyNumberFormat="1" applyFont="1" applyFill="1" applyBorder="1" applyAlignment="1">
      <alignment vertical="center" textRotation="90" wrapText="1"/>
    </xf>
    <xf numFmtId="3" fontId="4" fillId="3" borderId="22" xfId="0" applyNumberFormat="1" applyFont="1" applyFill="1" applyBorder="1" applyAlignment="1">
      <alignment vertical="center" textRotation="90" wrapText="1"/>
    </xf>
    <xf numFmtId="3" fontId="6" fillId="3" borderId="4" xfId="0" applyNumberFormat="1" applyFont="1" applyFill="1" applyBorder="1" applyAlignment="1">
      <alignment horizontal="center" vertical="top" wrapText="1"/>
    </xf>
    <xf numFmtId="3" fontId="6" fillId="0" borderId="12" xfId="0" applyNumberFormat="1" applyFont="1" applyBorder="1" applyAlignment="1">
      <alignment horizontal="center" vertical="top"/>
    </xf>
    <xf numFmtId="3" fontId="4" fillId="0" borderId="12" xfId="0" applyNumberFormat="1" applyFont="1" applyBorder="1" applyAlignment="1">
      <alignment horizontal="center" vertical="top" textRotation="90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top"/>
    </xf>
    <xf numFmtId="3" fontId="1" fillId="3" borderId="0" xfId="0" applyNumberFormat="1" applyFont="1" applyFill="1" applyBorder="1" applyAlignment="1">
      <alignment horizontal="left" vertical="top"/>
    </xf>
    <xf numFmtId="3" fontId="1" fillId="3" borderId="14" xfId="0" applyNumberFormat="1" applyFont="1" applyFill="1" applyBorder="1" applyAlignment="1">
      <alignment vertical="top" wrapText="1"/>
    </xf>
    <xf numFmtId="3" fontId="4" fillId="3" borderId="14" xfId="0" applyNumberFormat="1" applyFont="1" applyFill="1" applyBorder="1" applyAlignment="1">
      <alignment vertical="top" wrapText="1"/>
    </xf>
    <xf numFmtId="3" fontId="6" fillId="3" borderId="63" xfId="0" applyNumberFormat="1" applyFont="1" applyFill="1" applyBorder="1" applyAlignment="1">
      <alignment horizontal="left" vertical="top" wrapText="1"/>
    </xf>
    <xf numFmtId="3" fontId="1" fillId="0" borderId="14" xfId="0" applyNumberFormat="1" applyFont="1" applyFill="1" applyBorder="1" applyAlignment="1">
      <alignment vertical="top" wrapText="1"/>
    </xf>
    <xf numFmtId="3" fontId="1" fillId="0" borderId="23" xfId="0" applyNumberFormat="1" applyFont="1" applyFill="1" applyBorder="1" applyAlignment="1">
      <alignment vertical="top" wrapText="1"/>
    </xf>
    <xf numFmtId="3" fontId="4" fillId="3" borderId="23" xfId="0" applyNumberFormat="1" applyFont="1" applyFill="1" applyBorder="1" applyAlignment="1">
      <alignment vertical="top" wrapText="1"/>
    </xf>
    <xf numFmtId="3" fontId="4" fillId="3" borderId="5" xfId="0" applyNumberFormat="1" applyFont="1" applyFill="1" applyBorder="1" applyAlignment="1">
      <alignment vertical="top" wrapText="1"/>
    </xf>
    <xf numFmtId="3" fontId="6" fillId="4" borderId="63" xfId="0" applyNumberFormat="1" applyFont="1" applyFill="1" applyBorder="1" applyAlignment="1">
      <alignment vertical="top" wrapText="1"/>
    </xf>
    <xf numFmtId="3" fontId="6" fillId="0" borderId="5" xfId="0" applyNumberFormat="1" applyFont="1" applyBorder="1" applyAlignment="1">
      <alignment vertical="top" wrapText="1"/>
    </xf>
    <xf numFmtId="3" fontId="4" fillId="0" borderId="17" xfId="0" applyNumberFormat="1" applyFont="1" applyFill="1" applyBorder="1" applyAlignment="1">
      <alignment horizontal="left" vertical="top" wrapText="1"/>
    </xf>
    <xf numFmtId="3" fontId="3" fillId="7" borderId="0" xfId="0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3" fontId="4" fillId="0" borderId="14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Border="1" applyAlignment="1">
      <alignment horizontal="center" vertical="top" wrapText="1"/>
    </xf>
    <xf numFmtId="3" fontId="6" fillId="3" borderId="13" xfId="0" applyNumberFormat="1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top" wrapText="1"/>
    </xf>
    <xf numFmtId="3" fontId="1" fillId="0" borderId="58" xfId="0" applyNumberFormat="1" applyFont="1" applyFill="1" applyBorder="1" applyAlignment="1">
      <alignment horizontal="center" vertical="top" wrapText="1"/>
    </xf>
    <xf numFmtId="3" fontId="1" fillId="0" borderId="57" xfId="0" applyNumberFormat="1" applyFont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3" fontId="3" fillId="3" borderId="62" xfId="0" applyNumberFormat="1" applyFont="1" applyFill="1" applyBorder="1" applyAlignment="1">
      <alignment horizontal="left" vertical="top" wrapText="1"/>
    </xf>
    <xf numFmtId="3" fontId="3" fillId="5" borderId="41" xfId="0" applyNumberFormat="1" applyFont="1" applyFill="1" applyBorder="1" applyAlignment="1">
      <alignment horizontal="center" vertical="top"/>
    </xf>
    <xf numFmtId="164" fontId="6" fillId="5" borderId="39" xfId="0" applyNumberFormat="1" applyFont="1" applyFill="1" applyBorder="1" applyAlignment="1">
      <alignment horizontal="center" vertical="top"/>
    </xf>
    <xf numFmtId="3" fontId="6" fillId="3" borderId="3" xfId="0" applyNumberFormat="1" applyFont="1" applyFill="1" applyBorder="1" applyAlignment="1">
      <alignment horizontal="center" vertical="top"/>
    </xf>
    <xf numFmtId="3" fontId="3" fillId="7" borderId="56" xfId="0" applyNumberFormat="1" applyFont="1" applyFill="1" applyBorder="1" applyAlignment="1">
      <alignment horizontal="center" vertical="top" wrapText="1"/>
    </xf>
    <xf numFmtId="3" fontId="3" fillId="2" borderId="22" xfId="0" applyNumberFormat="1" applyFont="1" applyFill="1" applyBorder="1" applyAlignment="1">
      <alignment horizontal="center" vertical="top" wrapText="1"/>
    </xf>
    <xf numFmtId="3" fontId="6" fillId="5" borderId="41" xfId="0" applyNumberFormat="1" applyFont="1" applyFill="1" applyBorder="1" applyAlignment="1">
      <alignment horizontal="center" vertical="top"/>
    </xf>
    <xf numFmtId="164" fontId="3" fillId="5" borderId="39" xfId="0" applyNumberFormat="1" applyFont="1" applyFill="1" applyBorder="1" applyAlignment="1">
      <alignment horizontal="center" vertical="top"/>
    </xf>
    <xf numFmtId="3" fontId="4" fillId="3" borderId="40" xfId="0" applyNumberFormat="1" applyFont="1" applyFill="1" applyBorder="1" applyAlignment="1">
      <alignment horizontal="center" vertical="top"/>
    </xf>
    <xf numFmtId="3" fontId="1" fillId="0" borderId="3" xfId="0" applyNumberFormat="1" applyFont="1" applyFill="1" applyBorder="1" applyAlignment="1">
      <alignment horizontal="center" vertical="top" textRotation="180" wrapText="1"/>
    </xf>
    <xf numFmtId="3" fontId="3" fillId="3" borderId="12" xfId="0" applyNumberFormat="1" applyFont="1" applyFill="1" applyBorder="1" applyAlignment="1">
      <alignment horizontal="center" vertical="top" wrapText="1"/>
    </xf>
    <xf numFmtId="3" fontId="3" fillId="2" borderId="5" xfId="0" applyNumberFormat="1" applyFont="1" applyFill="1" applyBorder="1" applyAlignment="1">
      <alignment vertical="top"/>
    </xf>
    <xf numFmtId="3" fontId="3" fillId="2" borderId="34" xfId="0" applyNumberFormat="1" applyFont="1" applyFill="1" applyBorder="1" applyAlignment="1">
      <alignment vertical="top"/>
    </xf>
    <xf numFmtId="3" fontId="4" fillId="0" borderId="3" xfId="0" applyNumberFormat="1" applyFont="1" applyBorder="1" applyAlignment="1">
      <alignment horizontal="center" vertical="top" textRotation="90"/>
    </xf>
    <xf numFmtId="3" fontId="6" fillId="0" borderId="48" xfId="0" applyNumberFormat="1" applyFont="1" applyBorder="1" applyAlignment="1">
      <alignment vertical="top"/>
    </xf>
    <xf numFmtId="3" fontId="6" fillId="0" borderId="14" xfId="0" applyNumberFormat="1" applyFont="1" applyBorder="1" applyAlignment="1">
      <alignment vertical="top" wrapText="1"/>
    </xf>
    <xf numFmtId="3" fontId="4" fillId="4" borderId="40" xfId="0" applyNumberFormat="1" applyFont="1" applyFill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/>
    </xf>
    <xf numFmtId="49" fontId="4" fillId="4" borderId="5" xfId="0" applyNumberFormat="1" applyFont="1" applyFill="1" applyBorder="1" applyAlignment="1">
      <alignment horizontal="center" vertical="top"/>
    </xf>
    <xf numFmtId="3" fontId="6" fillId="0" borderId="43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Border="1" applyAlignment="1">
      <alignment vertical="top"/>
    </xf>
    <xf numFmtId="3" fontId="4" fillId="0" borderId="28" xfId="0" applyNumberFormat="1" applyFont="1" applyBorder="1" applyAlignment="1">
      <alignment vertical="top"/>
    </xf>
    <xf numFmtId="3" fontId="4" fillId="0" borderId="37" xfId="0" applyNumberFormat="1" applyFont="1" applyBorder="1" applyAlignment="1">
      <alignment vertical="top"/>
    </xf>
    <xf numFmtId="3" fontId="4" fillId="0" borderId="68" xfId="0" applyNumberFormat="1" applyFont="1" applyBorder="1" applyAlignment="1">
      <alignment vertical="top"/>
    </xf>
    <xf numFmtId="49" fontId="4" fillId="0" borderId="3" xfId="0" applyNumberFormat="1" applyFont="1" applyBorder="1" applyAlignment="1">
      <alignment horizontal="center" vertical="top" wrapText="1"/>
    </xf>
    <xf numFmtId="3" fontId="6" fillId="3" borderId="3" xfId="0" applyNumberFormat="1" applyFont="1" applyFill="1" applyBorder="1" applyAlignment="1">
      <alignment vertical="top" wrapText="1"/>
    </xf>
    <xf numFmtId="3" fontId="6" fillId="3" borderId="3" xfId="0" applyNumberFormat="1" applyFont="1" applyFill="1" applyBorder="1" applyAlignment="1">
      <alignment horizontal="center" vertical="center" wrapText="1"/>
    </xf>
    <xf numFmtId="165" fontId="1" fillId="3" borderId="30" xfId="0" applyNumberFormat="1" applyFont="1" applyFill="1" applyBorder="1" applyAlignment="1">
      <alignment vertical="top" wrapText="1"/>
    </xf>
    <xf numFmtId="164" fontId="1" fillId="3" borderId="45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/>
    </xf>
    <xf numFmtId="49" fontId="4" fillId="0" borderId="3" xfId="0" applyNumberFormat="1" applyFont="1" applyBorder="1" applyAlignment="1">
      <alignment vertical="top"/>
    </xf>
    <xf numFmtId="3" fontId="4" fillId="3" borderId="12" xfId="0" applyNumberFormat="1" applyFont="1" applyFill="1" applyBorder="1" applyAlignment="1">
      <alignment vertical="top" wrapText="1"/>
    </xf>
    <xf numFmtId="49" fontId="4" fillId="0" borderId="12" xfId="0" applyNumberFormat="1" applyFont="1" applyBorder="1" applyAlignment="1">
      <alignment horizontal="center" vertical="top"/>
    </xf>
    <xf numFmtId="3" fontId="6" fillId="0" borderId="13" xfId="0" applyNumberFormat="1" applyFont="1" applyFill="1" applyBorder="1" applyAlignment="1">
      <alignment vertical="top" wrapText="1"/>
    </xf>
    <xf numFmtId="3" fontId="6" fillId="0" borderId="22" xfId="0" applyNumberFormat="1" applyFont="1" applyFill="1" applyBorder="1" applyAlignment="1">
      <alignment vertical="top" wrapText="1"/>
    </xf>
    <xf numFmtId="164" fontId="4" fillId="3" borderId="39" xfId="0" applyNumberFormat="1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vertical="top" wrapText="1"/>
    </xf>
    <xf numFmtId="164" fontId="4" fillId="3" borderId="7" xfId="0" applyNumberFormat="1" applyFont="1" applyFill="1" applyBorder="1" applyAlignment="1">
      <alignment horizontal="center" vertical="top" wrapText="1"/>
    </xf>
    <xf numFmtId="3" fontId="2" fillId="0" borderId="22" xfId="0" applyNumberFormat="1" applyFont="1" applyBorder="1" applyAlignment="1">
      <alignment horizontal="center" vertical="top" wrapText="1"/>
    </xf>
    <xf numFmtId="3" fontId="1" fillId="3" borderId="47" xfId="0" applyNumberFormat="1" applyFont="1" applyFill="1" applyBorder="1" applyAlignment="1">
      <alignment vertical="top" wrapText="1"/>
    </xf>
    <xf numFmtId="3" fontId="20" fillId="0" borderId="0" xfId="0" applyNumberFormat="1" applyFont="1" applyAlignment="1">
      <alignment horizontal="left" vertical="top"/>
    </xf>
    <xf numFmtId="3" fontId="4" fillId="3" borderId="26" xfId="0" applyNumberFormat="1" applyFont="1" applyFill="1" applyBorder="1" applyAlignment="1">
      <alignment horizontal="center" vertical="top"/>
    </xf>
    <xf numFmtId="164" fontId="1" fillId="3" borderId="46" xfId="0" applyNumberFormat="1" applyFont="1" applyFill="1" applyBorder="1" applyAlignment="1">
      <alignment horizontal="center" vertical="top"/>
    </xf>
    <xf numFmtId="3" fontId="4" fillId="3" borderId="13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center" vertical="top" wrapText="1"/>
    </xf>
    <xf numFmtId="3" fontId="4" fillId="8" borderId="10" xfId="0" applyNumberFormat="1" applyFont="1" applyFill="1" applyBorder="1" applyAlignment="1">
      <alignment horizontal="center" vertical="center" wrapText="1"/>
    </xf>
    <xf numFmtId="3" fontId="6" fillId="3" borderId="48" xfId="0" applyNumberFormat="1" applyFont="1" applyFill="1" applyBorder="1" applyAlignment="1">
      <alignment vertical="top" wrapText="1"/>
    </xf>
    <xf numFmtId="3" fontId="6" fillId="5" borderId="59" xfId="0" applyNumberFormat="1" applyFont="1" applyFill="1" applyBorder="1" applyAlignment="1">
      <alignment horizontal="center" vertical="top"/>
    </xf>
    <xf numFmtId="164" fontId="3" fillId="5" borderId="20" xfId="0" applyNumberFormat="1" applyFont="1" applyFill="1" applyBorder="1" applyAlignment="1">
      <alignment horizontal="center" vertical="top" wrapText="1"/>
    </xf>
    <xf numFmtId="49" fontId="4" fillId="3" borderId="14" xfId="0" applyNumberFormat="1" applyFont="1" applyFill="1" applyBorder="1" applyAlignment="1">
      <alignment horizontal="center" vertical="top" wrapText="1"/>
    </xf>
    <xf numFmtId="49" fontId="3" fillId="7" borderId="38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49" fontId="3" fillId="0" borderId="23" xfId="0" applyNumberFormat="1" applyFont="1" applyBorder="1" applyAlignment="1">
      <alignment horizontal="center" vertical="top"/>
    </xf>
    <xf numFmtId="3" fontId="1" fillId="3" borderId="14" xfId="0" applyNumberFormat="1" applyFont="1" applyFill="1" applyBorder="1" applyAlignment="1">
      <alignment horizontal="left" vertical="top" wrapText="1"/>
    </xf>
    <xf numFmtId="3" fontId="6" fillId="0" borderId="4" xfId="0" applyNumberFormat="1" applyFont="1" applyFill="1" applyBorder="1" applyAlignment="1">
      <alignment horizontal="center" vertical="top" wrapText="1"/>
    </xf>
    <xf numFmtId="3" fontId="6" fillId="0" borderId="13" xfId="0" applyNumberFormat="1" applyFont="1" applyFill="1" applyBorder="1" applyAlignment="1">
      <alignment horizontal="center" vertical="top" wrapText="1"/>
    </xf>
    <xf numFmtId="3" fontId="6" fillId="0" borderId="22" xfId="0" applyNumberFormat="1" applyFont="1" applyFill="1" applyBorder="1" applyAlignment="1">
      <alignment horizontal="center" vertical="top" wrapText="1"/>
    </xf>
    <xf numFmtId="3" fontId="4" fillId="3" borderId="39" xfId="0" applyNumberFormat="1" applyFont="1" applyFill="1" applyBorder="1" applyAlignment="1">
      <alignment horizontal="center" vertical="top" wrapText="1"/>
    </xf>
    <xf numFmtId="3" fontId="4" fillId="3" borderId="46" xfId="0" applyNumberFormat="1" applyFont="1" applyFill="1" applyBorder="1" applyAlignment="1">
      <alignment horizontal="center" vertical="top" wrapText="1"/>
    </xf>
    <xf numFmtId="3" fontId="4" fillId="3" borderId="61" xfId="0" applyNumberFormat="1" applyFont="1" applyFill="1" applyBorder="1" applyAlignment="1">
      <alignment horizontal="left" vertical="top" wrapText="1"/>
    </xf>
    <xf numFmtId="3" fontId="4" fillId="3" borderId="14" xfId="0" applyNumberFormat="1" applyFont="1" applyFill="1" applyBorder="1" applyAlignment="1">
      <alignment horizontal="left" vertical="top" wrapText="1"/>
    </xf>
    <xf numFmtId="3" fontId="4" fillId="3" borderId="62" xfId="0" applyNumberFormat="1" applyFont="1" applyFill="1" applyBorder="1" applyAlignment="1">
      <alignment horizontal="left" vertical="top" wrapText="1"/>
    </xf>
    <xf numFmtId="3" fontId="4" fillId="3" borderId="30" xfId="0" applyNumberFormat="1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>
      <alignment horizontal="left" vertical="top" wrapText="1"/>
    </xf>
    <xf numFmtId="3" fontId="4" fillId="3" borderId="49" xfId="0" applyNumberFormat="1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top" wrapText="1"/>
    </xf>
    <xf numFmtId="49" fontId="4" fillId="3" borderId="61" xfId="0" applyNumberFormat="1" applyFont="1" applyFill="1" applyBorder="1" applyAlignment="1">
      <alignment horizontal="center" vertical="top"/>
    </xf>
    <xf numFmtId="49" fontId="4" fillId="3" borderId="14" xfId="0" applyNumberFormat="1" applyFont="1" applyFill="1" applyBorder="1" applyAlignment="1">
      <alignment horizontal="center" vertical="top"/>
    </xf>
    <xf numFmtId="0" fontId="4" fillId="3" borderId="30" xfId="0" applyFont="1" applyFill="1" applyBorder="1" applyAlignment="1">
      <alignment horizontal="left" vertical="top" wrapText="1"/>
    </xf>
    <xf numFmtId="3" fontId="1" fillId="0" borderId="24" xfId="0" applyNumberFormat="1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left" vertical="top" wrapText="1"/>
    </xf>
    <xf numFmtId="3" fontId="3" fillId="7" borderId="38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4" fillId="0" borderId="6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left" vertical="top" wrapText="1"/>
    </xf>
    <xf numFmtId="3" fontId="6" fillId="7" borderId="38" xfId="0" applyNumberFormat="1" applyFont="1" applyFill="1" applyBorder="1" applyAlignment="1">
      <alignment horizontal="center" vertical="top"/>
    </xf>
    <xf numFmtId="3" fontId="6" fillId="2" borderId="13" xfId="0" applyNumberFormat="1" applyFont="1" applyFill="1" applyBorder="1" applyAlignment="1">
      <alignment horizontal="center" vertical="top"/>
    </xf>
    <xf numFmtId="49" fontId="4" fillId="0" borderId="61" xfId="0" applyNumberFormat="1" applyFont="1" applyBorder="1" applyAlignment="1">
      <alignment horizontal="center" vertical="top" wrapText="1"/>
    </xf>
    <xf numFmtId="3" fontId="6" fillId="3" borderId="43" xfId="0" applyNumberFormat="1" applyFont="1" applyFill="1" applyBorder="1" applyAlignment="1">
      <alignment horizontal="center" vertical="top" wrapText="1"/>
    </xf>
    <xf numFmtId="3" fontId="6" fillId="3" borderId="48" xfId="0" applyNumberFormat="1" applyFont="1" applyFill="1" applyBorder="1" applyAlignment="1">
      <alignment horizontal="center" vertical="top" wrapText="1"/>
    </xf>
    <xf numFmtId="3" fontId="4" fillId="0" borderId="61" xfId="0" applyNumberFormat="1" applyFont="1" applyFill="1" applyBorder="1" applyAlignment="1">
      <alignment horizontal="left" vertical="top" wrapText="1"/>
    </xf>
    <xf numFmtId="3" fontId="3" fillId="3" borderId="13" xfId="0" applyNumberFormat="1" applyFont="1" applyFill="1" applyBorder="1" applyAlignment="1">
      <alignment horizontal="center" vertical="top" wrapText="1"/>
    </xf>
    <xf numFmtId="3" fontId="3" fillId="3" borderId="48" xfId="0" applyNumberFormat="1" applyFont="1" applyFill="1" applyBorder="1" applyAlignment="1">
      <alignment horizontal="center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3" fontId="4" fillId="3" borderId="15" xfId="0" applyNumberFormat="1" applyFont="1" applyFill="1" applyBorder="1" applyAlignment="1">
      <alignment horizontal="center" vertical="top" wrapText="1"/>
    </xf>
    <xf numFmtId="3" fontId="4" fillId="2" borderId="8" xfId="0" applyNumberFormat="1" applyFont="1" applyFill="1" applyBorder="1" applyAlignment="1">
      <alignment horizontal="center" vertical="top"/>
    </xf>
    <xf numFmtId="3" fontId="4" fillId="2" borderId="9" xfId="0" applyNumberFormat="1" applyFont="1" applyFill="1" applyBorder="1" applyAlignment="1">
      <alignment horizontal="center" vertical="top"/>
    </xf>
    <xf numFmtId="3" fontId="4" fillId="7" borderId="9" xfId="0" applyNumberFormat="1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3" fontId="4" fillId="8" borderId="9" xfId="0" applyNumberFormat="1" applyFont="1" applyFill="1" applyBorder="1" applyAlignment="1">
      <alignment horizontal="center" vertical="center" wrapText="1"/>
    </xf>
    <xf numFmtId="3" fontId="4" fillId="3" borderId="18" xfId="0" applyNumberFormat="1" applyFont="1" applyFill="1" applyBorder="1" applyAlignment="1">
      <alignment horizontal="left" vertical="top" wrapText="1"/>
    </xf>
    <xf numFmtId="3" fontId="4" fillId="3" borderId="16" xfId="0" applyNumberFormat="1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2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3" fontId="3" fillId="7" borderId="35" xfId="0" applyNumberFormat="1" applyFont="1" applyFill="1" applyBorder="1" applyAlignment="1">
      <alignment horizontal="center" vertical="top"/>
    </xf>
    <xf numFmtId="3" fontId="3" fillId="7" borderId="56" xfId="0" applyNumberFormat="1" applyFont="1" applyFill="1" applyBorder="1" applyAlignment="1">
      <alignment horizontal="center" vertical="top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3" fontId="4" fillId="0" borderId="25" xfId="0" applyNumberFormat="1" applyFont="1" applyBorder="1" applyAlignment="1">
      <alignment horizontal="center" vertical="center" textRotation="90" wrapText="1"/>
    </xf>
    <xf numFmtId="3" fontId="6" fillId="3" borderId="13" xfId="0" applyNumberFormat="1" applyFont="1" applyFill="1" applyBorder="1" applyAlignment="1">
      <alignment horizontal="center" vertical="top" wrapText="1"/>
    </xf>
    <xf numFmtId="3" fontId="6" fillId="0" borderId="5" xfId="0" applyNumberFormat="1" applyFont="1" applyFill="1" applyBorder="1" applyAlignment="1">
      <alignment horizontal="center" vertical="top" wrapText="1"/>
    </xf>
    <xf numFmtId="3" fontId="4" fillId="3" borderId="41" xfId="0" applyNumberFormat="1" applyFont="1" applyFill="1" applyBorder="1" applyAlignment="1">
      <alignment horizontal="left" vertical="top" wrapText="1"/>
    </xf>
    <xf numFmtId="0" fontId="4" fillId="3" borderId="41" xfId="0" applyFont="1" applyFill="1" applyBorder="1" applyAlignment="1">
      <alignment horizontal="left" vertical="top" wrapText="1"/>
    </xf>
    <xf numFmtId="3" fontId="1" fillId="0" borderId="58" xfId="0" applyNumberFormat="1" applyFont="1" applyBorder="1" applyAlignment="1">
      <alignment horizontal="center" vertical="top" wrapText="1"/>
    </xf>
    <xf numFmtId="3" fontId="1" fillId="0" borderId="51" xfId="0" applyNumberFormat="1" applyFont="1" applyBorder="1" applyAlignment="1">
      <alignment horizontal="center" vertical="top" wrapText="1"/>
    </xf>
    <xf numFmtId="49" fontId="4" fillId="0" borderId="48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23" xfId="0" applyNumberFormat="1" applyFont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/>
    </xf>
    <xf numFmtId="0" fontId="4" fillId="3" borderId="43" xfId="0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top" wrapText="1"/>
    </xf>
    <xf numFmtId="3" fontId="3" fillId="6" borderId="28" xfId="0" applyNumberFormat="1" applyFont="1" applyFill="1" applyBorder="1" applyAlignment="1">
      <alignment horizontal="left" vertical="top" wrapText="1"/>
    </xf>
    <xf numFmtId="3" fontId="3" fillId="9" borderId="54" xfId="0" applyNumberFormat="1" applyFont="1" applyFill="1" applyBorder="1" applyAlignment="1">
      <alignment horizontal="left" vertical="top" wrapText="1"/>
    </xf>
    <xf numFmtId="3" fontId="1" fillId="3" borderId="25" xfId="0" applyNumberFormat="1" applyFont="1" applyFill="1" applyBorder="1" applyAlignment="1">
      <alignment horizontal="left" vertical="top" wrapText="1"/>
    </xf>
    <xf numFmtId="3" fontId="6" fillId="0" borderId="14" xfId="0" applyNumberFormat="1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left" vertical="top" wrapText="1"/>
    </xf>
    <xf numFmtId="3" fontId="9" fillId="0" borderId="0" xfId="0" applyNumberFormat="1" applyFont="1" applyAlignment="1">
      <alignment vertical="top" wrapText="1"/>
    </xf>
    <xf numFmtId="3" fontId="9" fillId="0" borderId="0" xfId="0" applyNumberFormat="1" applyFont="1" applyAlignment="1">
      <alignment horizontal="left" vertical="top" wrapText="1"/>
    </xf>
    <xf numFmtId="0" fontId="4" fillId="3" borderId="49" xfId="0" applyFont="1" applyFill="1" applyBorder="1" applyAlignment="1">
      <alignment horizontal="left" vertical="top" wrapText="1"/>
    </xf>
    <xf numFmtId="3" fontId="1" fillId="3" borderId="13" xfId="0" applyNumberFormat="1" applyFont="1" applyFill="1" applyBorder="1" applyAlignment="1">
      <alignment horizontal="left" vertical="top" wrapText="1"/>
    </xf>
    <xf numFmtId="3" fontId="1" fillId="3" borderId="61" xfId="0" applyNumberFormat="1" applyFont="1" applyFill="1" applyBorder="1" applyAlignment="1">
      <alignment horizontal="left" vertical="top" wrapText="1"/>
    </xf>
    <xf numFmtId="3" fontId="1" fillId="3" borderId="14" xfId="0" applyNumberFormat="1" applyFont="1" applyFill="1" applyBorder="1" applyAlignment="1">
      <alignment horizontal="left" vertical="top" wrapText="1"/>
    </xf>
    <xf numFmtId="3" fontId="20" fillId="0" borderId="0" xfId="0" applyNumberFormat="1" applyFont="1" applyBorder="1" applyAlignment="1">
      <alignment horizontal="left" vertical="top"/>
    </xf>
    <xf numFmtId="3" fontId="3" fillId="7" borderId="19" xfId="0" applyNumberFormat="1" applyFont="1" applyFill="1" applyBorder="1" applyAlignment="1">
      <alignment vertical="top"/>
    </xf>
    <xf numFmtId="3" fontId="4" fillId="3" borderId="72" xfId="0" applyNumberFormat="1" applyFont="1" applyFill="1" applyBorder="1" applyAlignment="1">
      <alignment horizontal="center" vertical="top" wrapText="1"/>
    </xf>
    <xf numFmtId="3" fontId="1" fillId="3" borderId="7" xfId="0" applyNumberFormat="1" applyFont="1" applyFill="1" applyBorder="1" applyAlignment="1">
      <alignment horizontal="center" vertical="top" wrapText="1"/>
    </xf>
    <xf numFmtId="1" fontId="1" fillId="3" borderId="45" xfId="0" applyNumberFormat="1" applyFont="1" applyFill="1" applyBorder="1" applyAlignment="1">
      <alignment horizontal="center" vertical="top" wrapText="1"/>
    </xf>
    <xf numFmtId="49" fontId="1" fillId="3" borderId="45" xfId="0" applyNumberFormat="1" applyFont="1" applyFill="1" applyBorder="1" applyAlignment="1">
      <alignment horizontal="center" vertical="top" wrapText="1"/>
    </xf>
    <xf numFmtId="0" fontId="1" fillId="3" borderId="45" xfId="0" applyFont="1" applyFill="1" applyBorder="1" applyAlignment="1">
      <alignment horizontal="center" vertical="top" wrapText="1"/>
    </xf>
    <xf numFmtId="3" fontId="1" fillId="3" borderId="16" xfId="0" applyNumberFormat="1" applyFont="1" applyFill="1" applyBorder="1" applyAlignment="1">
      <alignment vertical="top" wrapText="1"/>
    </xf>
    <xf numFmtId="0" fontId="4" fillId="3" borderId="37" xfId="0" applyFont="1" applyFill="1" applyBorder="1" applyAlignment="1">
      <alignment horizontal="center" vertical="top" wrapText="1"/>
    </xf>
    <xf numFmtId="0" fontId="20" fillId="3" borderId="16" xfId="0" applyFont="1" applyFill="1" applyBorder="1" applyAlignment="1">
      <alignment horizontal="center" vertical="top" wrapText="1"/>
    </xf>
    <xf numFmtId="3" fontId="4" fillId="3" borderId="7" xfId="0" applyNumberFormat="1" applyFont="1" applyFill="1" applyBorder="1" applyAlignment="1">
      <alignment horizontal="center" vertical="top" wrapText="1"/>
    </xf>
    <xf numFmtId="3" fontId="4" fillId="9" borderId="10" xfId="0" applyNumberFormat="1" applyFont="1" applyFill="1" applyBorder="1" applyAlignment="1">
      <alignment horizontal="center" vertical="top" wrapText="1"/>
    </xf>
    <xf numFmtId="3" fontId="21" fillId="3" borderId="46" xfId="0" applyNumberFormat="1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3" fontId="4" fillId="9" borderId="15" xfId="0" applyNumberFormat="1" applyFont="1" applyFill="1" applyBorder="1" applyAlignment="1">
      <alignment horizontal="center" vertical="top" wrapText="1"/>
    </xf>
    <xf numFmtId="3" fontId="1" fillId="3" borderId="47" xfId="0" applyNumberFormat="1" applyFont="1" applyFill="1" applyBorder="1" applyAlignment="1">
      <alignment horizontal="center" vertical="top"/>
    </xf>
    <xf numFmtId="3" fontId="1" fillId="3" borderId="40" xfId="0" applyNumberFormat="1" applyFont="1" applyFill="1" applyBorder="1" applyAlignment="1">
      <alignment horizontal="center" vertical="top"/>
    </xf>
    <xf numFmtId="3" fontId="23" fillId="0" borderId="30" xfId="0" applyNumberFormat="1" applyFont="1" applyFill="1" applyBorder="1" applyAlignment="1">
      <alignment horizontal="left" vertical="top" wrapText="1"/>
    </xf>
    <xf numFmtId="3" fontId="21" fillId="0" borderId="18" xfId="0" applyNumberFormat="1" applyFont="1" applyFill="1" applyBorder="1" applyAlignment="1">
      <alignment vertical="top" wrapText="1"/>
    </xf>
    <xf numFmtId="3" fontId="23" fillId="4" borderId="30" xfId="0" applyNumberFormat="1" applyFont="1" applyFill="1" applyBorder="1" applyAlignment="1">
      <alignment vertical="top" wrapText="1"/>
    </xf>
    <xf numFmtId="3" fontId="4" fillId="0" borderId="18" xfId="0" applyNumberFormat="1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vertical="top" wrapText="1"/>
    </xf>
    <xf numFmtId="0" fontId="4" fillId="3" borderId="34" xfId="0" applyFont="1" applyFill="1" applyBorder="1" applyAlignment="1">
      <alignment vertical="top" wrapText="1"/>
    </xf>
    <xf numFmtId="0" fontId="4" fillId="3" borderId="18" xfId="0" applyFont="1" applyFill="1" applyBorder="1" applyAlignment="1">
      <alignment vertical="top" wrapText="1"/>
    </xf>
    <xf numFmtId="165" fontId="1" fillId="3" borderId="18" xfId="0" applyNumberFormat="1" applyFont="1" applyFill="1" applyBorder="1" applyAlignment="1">
      <alignment horizontal="left" vertical="top" wrapText="1"/>
    </xf>
    <xf numFmtId="164" fontId="1" fillId="3" borderId="16" xfId="0" applyNumberFormat="1" applyFont="1" applyFill="1" applyBorder="1" applyAlignment="1">
      <alignment horizontal="center" vertical="top"/>
    </xf>
    <xf numFmtId="164" fontId="1" fillId="3" borderId="39" xfId="0" applyNumberFormat="1" applyFont="1" applyFill="1" applyBorder="1" applyAlignment="1">
      <alignment horizontal="center" vertical="top"/>
    </xf>
    <xf numFmtId="164" fontId="3" fillId="5" borderId="45" xfId="0" applyNumberFormat="1" applyFont="1" applyFill="1" applyBorder="1" applyAlignment="1">
      <alignment horizontal="center" vertical="top"/>
    </xf>
    <xf numFmtId="164" fontId="3" fillId="3" borderId="45" xfId="0" applyNumberFormat="1" applyFont="1" applyFill="1" applyBorder="1" applyAlignment="1">
      <alignment horizontal="center" vertical="top"/>
    </xf>
    <xf numFmtId="164" fontId="4" fillId="3" borderId="37" xfId="0" applyNumberFormat="1" applyFont="1" applyFill="1" applyBorder="1" applyAlignment="1">
      <alignment horizontal="center" vertical="top"/>
    </xf>
    <xf numFmtId="164" fontId="4" fillId="0" borderId="16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164" fontId="3" fillId="5" borderId="25" xfId="0" applyNumberFormat="1" applyFont="1" applyFill="1" applyBorder="1" applyAlignment="1">
      <alignment horizontal="center" vertical="top"/>
    </xf>
    <xf numFmtId="164" fontId="6" fillId="2" borderId="66" xfId="0" applyNumberFormat="1" applyFont="1" applyFill="1" applyBorder="1" applyAlignment="1">
      <alignment horizontal="center" vertical="top"/>
    </xf>
    <xf numFmtId="3" fontId="3" fillId="2" borderId="25" xfId="0" applyNumberFormat="1" applyFont="1" applyFill="1" applyBorder="1" applyAlignment="1">
      <alignment vertical="top"/>
    </xf>
    <xf numFmtId="0" fontId="4" fillId="3" borderId="27" xfId="0" applyFont="1" applyFill="1" applyBorder="1" applyAlignment="1">
      <alignment vertical="top" wrapText="1"/>
    </xf>
    <xf numFmtId="0" fontId="4" fillId="3" borderId="47" xfId="0" applyFont="1" applyFill="1" applyBorder="1" applyAlignment="1">
      <alignment vertical="top" wrapText="1"/>
    </xf>
    <xf numFmtId="3" fontId="1" fillId="0" borderId="37" xfId="0" applyNumberFormat="1" applyFont="1" applyBorder="1" applyAlignment="1">
      <alignment horizontal="center" vertical="center"/>
    </xf>
    <xf numFmtId="3" fontId="1" fillId="3" borderId="31" xfId="0" applyNumberFormat="1" applyFont="1" applyFill="1" applyBorder="1" applyAlignment="1">
      <alignment vertical="top" wrapText="1"/>
    </xf>
    <xf numFmtId="49" fontId="1" fillId="3" borderId="22" xfId="0" applyNumberFormat="1" applyFont="1" applyFill="1" applyBorder="1" applyAlignment="1">
      <alignment horizontal="center" vertical="top" wrapText="1"/>
    </xf>
    <xf numFmtId="3" fontId="4" fillId="4" borderId="34" xfId="0" applyNumberFormat="1" applyFont="1" applyFill="1" applyBorder="1" applyAlignment="1">
      <alignment vertical="top" wrapText="1"/>
    </xf>
    <xf numFmtId="3" fontId="4" fillId="4" borderId="49" xfId="0" applyNumberFormat="1" applyFont="1" applyFill="1" applyBorder="1" applyAlignment="1">
      <alignment horizontal="left" vertical="top" wrapText="1"/>
    </xf>
    <xf numFmtId="164" fontId="4" fillId="4" borderId="7" xfId="0" applyNumberFormat="1" applyFont="1" applyFill="1" applyBorder="1" applyAlignment="1">
      <alignment horizontal="center" vertical="top" wrapText="1"/>
    </xf>
    <xf numFmtId="164" fontId="3" fillId="7" borderId="66" xfId="0" applyNumberFormat="1" applyFont="1" applyFill="1" applyBorder="1" applyAlignment="1">
      <alignment horizontal="center" vertical="top"/>
    </xf>
    <xf numFmtId="164" fontId="3" fillId="8" borderId="25" xfId="0" applyNumberFormat="1" applyFont="1" applyFill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center" wrapText="1"/>
    </xf>
    <xf numFmtId="49" fontId="4" fillId="0" borderId="61" xfId="0" applyNumberFormat="1" applyFont="1" applyFill="1" applyBorder="1" applyAlignment="1">
      <alignment horizontal="center" vertical="top"/>
    </xf>
    <xf numFmtId="49" fontId="4" fillId="0" borderId="62" xfId="0" applyNumberFormat="1" applyFont="1" applyFill="1" applyBorder="1" applyAlignment="1">
      <alignment horizontal="center" vertical="top"/>
    </xf>
    <xf numFmtId="3" fontId="6" fillId="3" borderId="22" xfId="0" applyNumberFormat="1" applyFont="1" applyFill="1" applyBorder="1" applyAlignment="1">
      <alignment vertical="top" wrapText="1"/>
    </xf>
    <xf numFmtId="3" fontId="6" fillId="3" borderId="23" xfId="0" applyNumberFormat="1" applyFont="1" applyFill="1" applyBorder="1" applyAlignment="1">
      <alignment vertical="top" wrapText="1"/>
    </xf>
    <xf numFmtId="3" fontId="3" fillId="3" borderId="23" xfId="0" applyNumberFormat="1" applyFont="1" applyFill="1" applyBorder="1" applyAlignment="1">
      <alignment vertical="top" wrapText="1"/>
    </xf>
    <xf numFmtId="164" fontId="6" fillId="5" borderId="55" xfId="0" applyNumberFormat="1" applyFont="1" applyFill="1" applyBorder="1" applyAlignment="1">
      <alignment horizontal="center" vertical="top" wrapText="1"/>
    </xf>
    <xf numFmtId="3" fontId="3" fillId="2" borderId="13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3" fontId="3" fillId="7" borderId="38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left" vertical="top" wrapText="1"/>
    </xf>
    <xf numFmtId="3" fontId="4" fillId="0" borderId="51" xfId="0" applyNumberFormat="1" applyFont="1" applyBorder="1" applyAlignment="1">
      <alignment vertical="top"/>
    </xf>
    <xf numFmtId="3" fontId="1" fillId="3" borderId="15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center" vertical="top"/>
    </xf>
    <xf numFmtId="3" fontId="6" fillId="0" borderId="13" xfId="0" applyNumberFormat="1" applyFont="1" applyFill="1" applyBorder="1" applyAlignment="1">
      <alignment horizontal="center" vertical="top" wrapText="1"/>
    </xf>
    <xf numFmtId="3" fontId="1" fillId="3" borderId="14" xfId="0" applyNumberFormat="1" applyFont="1" applyFill="1" applyBorder="1" applyAlignment="1">
      <alignment horizontal="left" vertical="top" wrapText="1"/>
    </xf>
    <xf numFmtId="3" fontId="3" fillId="7" borderId="38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3" fontId="4" fillId="3" borderId="48" xfId="0" applyNumberFormat="1" applyFont="1" applyFill="1" applyBorder="1" applyAlignment="1">
      <alignment horizontal="left" vertical="top" wrapText="1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23" xfId="0" applyNumberFormat="1" applyFont="1" applyBorder="1" applyAlignment="1">
      <alignment horizontal="center" vertical="top"/>
    </xf>
    <xf numFmtId="3" fontId="3" fillId="7" borderId="35" xfId="0" applyNumberFormat="1" applyFont="1" applyFill="1" applyBorder="1" applyAlignment="1">
      <alignment horizontal="center" vertical="top"/>
    </xf>
    <xf numFmtId="3" fontId="3" fillId="7" borderId="56" xfId="0" applyNumberFormat="1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3" fontId="4" fillId="0" borderId="14" xfId="0" applyNumberFormat="1" applyFont="1" applyBorder="1" applyAlignment="1">
      <alignment vertical="top"/>
    </xf>
    <xf numFmtId="3" fontId="4" fillId="0" borderId="62" xfId="0" applyNumberFormat="1" applyFont="1" applyBorder="1" applyAlignment="1">
      <alignment vertical="top"/>
    </xf>
    <xf numFmtId="3" fontId="3" fillId="3" borderId="41" xfId="0" applyNumberFormat="1" applyFont="1" applyFill="1" applyBorder="1" applyAlignment="1">
      <alignment horizontal="center" vertical="top"/>
    </xf>
    <xf numFmtId="3" fontId="3" fillId="5" borderId="47" xfId="0" applyNumberFormat="1" applyFont="1" applyFill="1" applyBorder="1" applyAlignment="1">
      <alignment horizontal="center" vertical="top"/>
    </xf>
    <xf numFmtId="0" fontId="4" fillId="3" borderId="51" xfId="0" applyFont="1" applyFill="1" applyBorder="1" applyAlignment="1">
      <alignment horizontal="center" vertical="top" wrapText="1"/>
    </xf>
    <xf numFmtId="0" fontId="4" fillId="3" borderId="57" xfId="0" applyFont="1" applyFill="1" applyBorder="1" applyAlignment="1">
      <alignment horizontal="center" vertical="top" wrapText="1"/>
    </xf>
    <xf numFmtId="0" fontId="4" fillId="3" borderId="37" xfId="0" applyFont="1" applyFill="1" applyBorder="1" applyAlignment="1">
      <alignment vertical="top" wrapText="1"/>
    </xf>
    <xf numFmtId="0" fontId="4" fillId="3" borderId="68" xfId="0" applyFont="1" applyFill="1" applyBorder="1" applyAlignment="1">
      <alignment horizontal="center" vertical="top" wrapText="1"/>
    </xf>
    <xf numFmtId="3" fontId="6" fillId="3" borderId="13" xfId="0" applyNumberFormat="1" applyFont="1" applyFill="1" applyBorder="1" applyAlignment="1">
      <alignment vertical="top" wrapText="1"/>
    </xf>
    <xf numFmtId="49" fontId="4" fillId="0" borderId="48" xfId="0" applyNumberFormat="1" applyFont="1" applyBorder="1" applyAlignment="1">
      <alignment horizontal="center" vertical="top"/>
    </xf>
    <xf numFmtId="3" fontId="1" fillId="3" borderId="48" xfId="0" applyNumberFormat="1" applyFont="1" applyFill="1" applyBorder="1" applyAlignment="1">
      <alignment vertical="top" wrapText="1"/>
    </xf>
    <xf numFmtId="3" fontId="3" fillId="7" borderId="38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1" fillId="3" borderId="43" xfId="0" applyNumberFormat="1" applyFont="1" applyFill="1" applyBorder="1" applyAlignment="1">
      <alignment horizontal="left" vertical="top" wrapText="1"/>
    </xf>
    <xf numFmtId="3" fontId="6" fillId="3" borderId="26" xfId="0" applyNumberFormat="1" applyFont="1" applyFill="1" applyBorder="1" applyAlignment="1">
      <alignment horizontal="center" vertical="top"/>
    </xf>
    <xf numFmtId="3" fontId="6" fillId="5" borderId="1" xfId="0" applyNumberFormat="1" applyFont="1" applyFill="1" applyBorder="1" applyAlignment="1">
      <alignment horizontal="center" vertical="top"/>
    </xf>
    <xf numFmtId="3" fontId="6" fillId="0" borderId="34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3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3" fontId="3" fillId="7" borderId="38" xfId="0" applyNumberFormat="1" applyFont="1" applyFill="1" applyBorder="1" applyAlignment="1">
      <alignment horizontal="center" vertical="top"/>
    </xf>
    <xf numFmtId="3" fontId="6" fillId="0" borderId="13" xfId="0" applyNumberFormat="1" applyFont="1" applyFill="1" applyBorder="1" applyAlignment="1">
      <alignment horizontal="center" vertical="top" wrapText="1"/>
    </xf>
    <xf numFmtId="3" fontId="4" fillId="3" borderId="22" xfId="0" applyNumberFormat="1" applyFont="1" applyFill="1" applyBorder="1" applyAlignment="1">
      <alignment vertical="top" wrapText="1"/>
    </xf>
    <xf numFmtId="3" fontId="6" fillId="3" borderId="14" xfId="0" applyNumberFormat="1" applyFont="1" applyFill="1" applyBorder="1" applyAlignment="1">
      <alignment horizontal="center" vertical="top" wrapText="1"/>
    </xf>
    <xf numFmtId="164" fontId="4" fillId="3" borderId="40" xfId="0" applyNumberFormat="1" applyFont="1" applyFill="1" applyBorder="1" applyAlignment="1">
      <alignment horizontal="center" vertical="top" wrapText="1"/>
    </xf>
    <xf numFmtId="3" fontId="1" fillId="3" borderId="16" xfId="0" applyNumberFormat="1" applyFont="1" applyFill="1" applyBorder="1" applyAlignment="1">
      <alignment horizontal="left" vertical="top" wrapText="1"/>
    </xf>
    <xf numFmtId="3" fontId="4" fillId="0" borderId="16" xfId="0" applyNumberFormat="1" applyFont="1" applyBorder="1" applyAlignment="1">
      <alignment horizontal="center" vertical="top"/>
    </xf>
    <xf numFmtId="3" fontId="1" fillId="3" borderId="17" xfId="0" applyNumberFormat="1" applyFont="1" applyFill="1" applyBorder="1" applyAlignment="1">
      <alignment horizontal="center" vertical="top" wrapText="1"/>
    </xf>
    <xf numFmtId="164" fontId="4" fillId="3" borderId="7" xfId="0" applyNumberFormat="1" applyFont="1" applyFill="1" applyBorder="1" applyAlignment="1">
      <alignment horizontal="center" vertical="top"/>
    </xf>
    <xf numFmtId="164" fontId="4" fillId="3" borderId="46" xfId="0" applyNumberFormat="1" applyFont="1" applyFill="1" applyBorder="1" applyAlignment="1">
      <alignment horizontal="center" vertical="top"/>
    </xf>
    <xf numFmtId="3" fontId="1" fillId="3" borderId="46" xfId="0" applyNumberFormat="1" applyFont="1" applyFill="1" applyBorder="1" applyAlignment="1">
      <alignment vertical="top" wrapText="1"/>
    </xf>
    <xf numFmtId="3" fontId="1" fillId="3" borderId="39" xfId="0" applyNumberFormat="1" applyFont="1" applyFill="1" applyBorder="1" applyAlignment="1">
      <alignment vertical="top" wrapText="1"/>
    </xf>
    <xf numFmtId="3" fontId="4" fillId="3" borderId="47" xfId="0" applyNumberFormat="1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center" vertical="top"/>
    </xf>
    <xf numFmtId="0" fontId="4" fillId="3" borderId="47" xfId="0" applyFont="1" applyFill="1" applyBorder="1" applyAlignment="1">
      <alignment horizontal="center" vertical="top"/>
    </xf>
    <xf numFmtId="0" fontId="4" fillId="3" borderId="19" xfId="0" applyFont="1" applyFill="1" applyBorder="1" applyAlignment="1">
      <alignment horizontal="left" vertical="top" wrapText="1"/>
    </xf>
    <xf numFmtId="3" fontId="4" fillId="3" borderId="15" xfId="0" applyNumberFormat="1" applyFont="1" applyFill="1" applyBorder="1" applyAlignment="1">
      <alignment horizontal="left" vertical="top" wrapText="1"/>
    </xf>
    <xf numFmtId="3" fontId="4" fillId="3" borderId="67" xfId="0" applyNumberFormat="1" applyFont="1" applyFill="1" applyBorder="1" applyAlignment="1">
      <alignment horizontal="left" vertical="top" wrapText="1"/>
    </xf>
    <xf numFmtId="0" fontId="4" fillId="3" borderId="28" xfId="0" applyFont="1" applyFill="1" applyBorder="1" applyAlignment="1">
      <alignment horizontal="left" vertical="top" wrapText="1"/>
    </xf>
    <xf numFmtId="3" fontId="4" fillId="3" borderId="24" xfId="0" applyNumberFormat="1" applyFont="1" applyFill="1" applyBorder="1" applyAlignment="1">
      <alignment horizontal="left" vertical="top" wrapText="1"/>
    </xf>
    <xf numFmtId="3" fontId="1" fillId="4" borderId="7" xfId="0" applyNumberFormat="1" applyFont="1" applyFill="1" applyBorder="1" applyAlignment="1">
      <alignment horizontal="center" vertical="top"/>
    </xf>
    <xf numFmtId="165" fontId="1" fillId="3" borderId="45" xfId="0" applyNumberFormat="1" applyFont="1" applyFill="1" applyBorder="1" applyAlignment="1">
      <alignment horizontal="center" vertical="top" wrapText="1"/>
    </xf>
    <xf numFmtId="165" fontId="1" fillId="3" borderId="16" xfId="0" applyNumberFormat="1" applyFont="1" applyFill="1" applyBorder="1" applyAlignment="1">
      <alignment horizontal="center" vertical="top" wrapText="1"/>
    </xf>
    <xf numFmtId="164" fontId="3" fillId="3" borderId="37" xfId="0" applyNumberFormat="1" applyFont="1" applyFill="1" applyBorder="1" applyAlignment="1">
      <alignment horizontal="center" vertical="top"/>
    </xf>
    <xf numFmtId="3" fontId="6" fillId="0" borderId="13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3" fillId="2" borderId="13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3" fontId="3" fillId="7" borderId="38" xfId="0" applyNumberFormat="1" applyFont="1" applyFill="1" applyBorder="1" applyAlignment="1">
      <alignment horizontal="center" vertical="top"/>
    </xf>
    <xf numFmtId="3" fontId="6" fillId="3" borderId="48" xfId="0" applyNumberFormat="1" applyFont="1" applyFill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/>
    </xf>
    <xf numFmtId="3" fontId="1" fillId="3" borderId="30" xfId="0" applyNumberFormat="1" applyFont="1" applyFill="1" applyBorder="1" applyAlignment="1">
      <alignment horizontal="left" vertical="top" wrapText="1"/>
    </xf>
    <xf numFmtId="3" fontId="6" fillId="3" borderId="13" xfId="0" applyNumberFormat="1" applyFont="1" applyFill="1" applyBorder="1" applyAlignment="1">
      <alignment horizontal="center" vertical="top" wrapText="1"/>
    </xf>
    <xf numFmtId="3" fontId="1" fillId="3" borderId="48" xfId="0" applyNumberFormat="1" applyFont="1" applyFill="1" applyBorder="1" applyAlignment="1">
      <alignment horizontal="left" vertical="top" wrapText="1"/>
    </xf>
    <xf numFmtId="49" fontId="3" fillId="7" borderId="38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3" fontId="1" fillId="3" borderId="45" xfId="0" applyNumberFormat="1" applyFont="1" applyFill="1" applyBorder="1" applyAlignment="1">
      <alignment horizontal="center" vertical="top"/>
    </xf>
    <xf numFmtId="49" fontId="1" fillId="3" borderId="39" xfId="0" applyNumberFormat="1" applyFont="1" applyFill="1" applyBorder="1" applyAlignment="1">
      <alignment horizontal="center" vertical="top" wrapText="1"/>
    </xf>
    <xf numFmtId="3" fontId="15" fillId="3" borderId="14" xfId="0" applyNumberFormat="1" applyFont="1" applyFill="1" applyBorder="1" applyAlignment="1">
      <alignment horizontal="left" vertical="top" wrapText="1"/>
    </xf>
    <xf numFmtId="49" fontId="4" fillId="0" borderId="22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3" fontId="1" fillId="3" borderId="40" xfId="0" applyNumberFormat="1" applyFont="1" applyFill="1" applyBorder="1" applyAlignment="1">
      <alignment vertical="top" wrapText="1"/>
    </xf>
    <xf numFmtId="3" fontId="1" fillId="3" borderId="25" xfId="0" applyNumberFormat="1" applyFont="1" applyFill="1" applyBorder="1" applyAlignment="1">
      <alignment vertical="top" wrapText="1"/>
    </xf>
    <xf numFmtId="3" fontId="1" fillId="0" borderId="29" xfId="0" applyNumberFormat="1" applyFont="1" applyBorder="1" applyAlignment="1">
      <alignment horizontal="center" vertical="top" wrapText="1"/>
    </xf>
    <xf numFmtId="3" fontId="4" fillId="3" borderId="16" xfId="0" applyNumberFormat="1" applyFont="1" applyFill="1" applyBorder="1" applyAlignment="1">
      <alignment horizontal="center" vertical="top" wrapText="1"/>
    </xf>
    <xf numFmtId="3" fontId="3" fillId="7" borderId="38" xfId="0" applyNumberFormat="1" applyFont="1" applyFill="1" applyBorder="1" applyAlignment="1">
      <alignment horizontal="center" vertical="top"/>
    </xf>
    <xf numFmtId="3" fontId="1" fillId="3" borderId="46" xfId="0" applyNumberFormat="1" applyFont="1" applyFill="1" applyBorder="1" applyAlignment="1">
      <alignment horizontal="center" vertical="top"/>
    </xf>
    <xf numFmtId="3" fontId="4" fillId="3" borderId="30" xfId="0" applyNumberFormat="1" applyFont="1" applyFill="1" applyBorder="1" applyAlignment="1">
      <alignment horizontal="center" vertical="top" wrapText="1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49" fontId="3" fillId="0" borderId="23" xfId="0" applyNumberFormat="1" applyFont="1" applyBorder="1" applyAlignment="1">
      <alignment horizontal="center" vertical="top"/>
    </xf>
    <xf numFmtId="3" fontId="3" fillId="7" borderId="38" xfId="0" applyNumberFormat="1" applyFont="1" applyFill="1" applyBorder="1" applyAlignment="1">
      <alignment horizontal="center" vertical="top"/>
    </xf>
    <xf numFmtId="3" fontId="3" fillId="7" borderId="35" xfId="0" applyNumberFormat="1" applyFont="1" applyFill="1" applyBorder="1" applyAlignment="1">
      <alignment horizontal="center" vertical="top"/>
    </xf>
    <xf numFmtId="3" fontId="3" fillId="7" borderId="56" xfId="0" applyNumberFormat="1" applyFont="1" applyFill="1" applyBorder="1" applyAlignment="1">
      <alignment horizontal="center" vertical="top"/>
    </xf>
    <xf numFmtId="3" fontId="6" fillId="0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/>
    </xf>
    <xf numFmtId="49" fontId="4" fillId="0" borderId="14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vertical="top"/>
    </xf>
    <xf numFmtId="3" fontId="1" fillId="3" borderId="8" xfId="0" applyNumberFormat="1" applyFont="1" applyFill="1" applyBorder="1" applyAlignment="1">
      <alignment horizontal="center" vertical="top"/>
    </xf>
    <xf numFmtId="164" fontId="1" fillId="3" borderId="66" xfId="0" applyNumberFormat="1" applyFont="1" applyFill="1" applyBorder="1" applyAlignment="1">
      <alignment horizontal="center" vertical="top"/>
    </xf>
    <xf numFmtId="3" fontId="9" fillId="0" borderId="0" xfId="0" applyNumberFormat="1" applyFont="1" applyAlignment="1">
      <alignment horizontal="left" vertical="top" wrapText="1"/>
    </xf>
    <xf numFmtId="3" fontId="4" fillId="0" borderId="34" xfId="0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3" fontId="6" fillId="0" borderId="4" xfId="0" applyNumberFormat="1" applyFont="1" applyFill="1" applyBorder="1" applyAlignment="1">
      <alignment horizontal="center" vertical="top" wrapText="1"/>
    </xf>
    <xf numFmtId="3" fontId="6" fillId="0" borderId="13" xfId="0" applyNumberFormat="1" applyFont="1" applyFill="1" applyBorder="1" applyAlignment="1">
      <alignment horizontal="center" vertical="top" wrapText="1"/>
    </xf>
    <xf numFmtId="3" fontId="6" fillId="0" borderId="22" xfId="0" applyNumberFormat="1" applyFont="1" applyFill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0" fontId="4" fillId="3" borderId="3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3" fontId="4" fillId="0" borderId="5" xfId="0" applyNumberFormat="1" applyFont="1" applyFill="1" applyBorder="1" applyAlignment="1">
      <alignment horizontal="left" vertical="top" wrapText="1"/>
    </xf>
    <xf numFmtId="3" fontId="4" fillId="0" borderId="14" xfId="0" applyNumberFormat="1" applyFont="1" applyFill="1" applyBorder="1" applyAlignment="1">
      <alignment horizontal="left" vertical="top" wrapText="1"/>
    </xf>
    <xf numFmtId="3" fontId="4" fillId="0" borderId="23" xfId="0" applyNumberFormat="1" applyFont="1" applyFill="1" applyBorder="1" applyAlignment="1">
      <alignment horizontal="left" vertical="top" wrapText="1"/>
    </xf>
    <xf numFmtId="3" fontId="1" fillId="0" borderId="58" xfId="0" applyNumberFormat="1" applyFont="1" applyBorder="1" applyAlignment="1">
      <alignment horizontal="center" vertical="top" wrapText="1"/>
    </xf>
    <xf numFmtId="3" fontId="1" fillId="0" borderId="51" xfId="0" applyNumberFormat="1" applyFont="1" applyBorder="1" applyAlignment="1">
      <alignment horizontal="center" vertical="top" wrapText="1"/>
    </xf>
    <xf numFmtId="3" fontId="1" fillId="0" borderId="57" xfId="0" applyNumberFormat="1" applyFont="1" applyBorder="1" applyAlignment="1">
      <alignment horizontal="center" vertical="top" wrapText="1"/>
    </xf>
    <xf numFmtId="3" fontId="4" fillId="0" borderId="34" xfId="0" applyNumberFormat="1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left" vertical="top" wrapText="1"/>
    </xf>
    <xf numFmtId="3" fontId="4" fillId="3" borderId="5" xfId="0" applyNumberFormat="1" applyFont="1" applyFill="1" applyBorder="1" applyAlignment="1">
      <alignment horizontal="left" vertical="top" wrapText="1"/>
    </xf>
    <xf numFmtId="3" fontId="4" fillId="3" borderId="14" xfId="0" applyNumberFormat="1" applyFont="1" applyFill="1" applyBorder="1" applyAlignment="1">
      <alignment horizontal="left" vertical="top" wrapText="1"/>
    </xf>
    <xf numFmtId="3" fontId="4" fillId="3" borderId="23" xfId="0" applyNumberFormat="1" applyFont="1" applyFill="1" applyBorder="1" applyAlignment="1">
      <alignment horizontal="left" vertical="top" wrapText="1"/>
    </xf>
    <xf numFmtId="3" fontId="4" fillId="4" borderId="30" xfId="0" applyNumberFormat="1" applyFont="1" applyFill="1" applyBorder="1" applyAlignment="1">
      <alignment horizontal="left" vertical="top" wrapText="1"/>
    </xf>
    <xf numFmtId="3" fontId="4" fillId="4" borderId="0" xfId="0" applyNumberFormat="1" applyFont="1" applyFill="1" applyBorder="1" applyAlignment="1">
      <alignment horizontal="left" vertical="top" wrapText="1"/>
    </xf>
    <xf numFmtId="3" fontId="22" fillId="3" borderId="13" xfId="0" applyNumberFormat="1" applyFont="1" applyFill="1" applyBorder="1" applyAlignment="1">
      <alignment horizontal="center" vertical="top" wrapText="1"/>
    </xf>
    <xf numFmtId="3" fontId="4" fillId="0" borderId="30" xfId="0" applyNumberFormat="1" applyFont="1" applyFill="1" applyBorder="1" applyAlignment="1">
      <alignment horizontal="left" vertical="top" wrapText="1"/>
    </xf>
    <xf numFmtId="3" fontId="4" fillId="0" borderId="49" xfId="0" applyNumberFormat="1" applyFont="1" applyFill="1" applyBorder="1" applyAlignment="1">
      <alignment horizontal="left" vertical="top" wrapText="1"/>
    </xf>
    <xf numFmtId="3" fontId="4" fillId="3" borderId="43" xfId="0" applyNumberFormat="1" applyFont="1" applyFill="1" applyBorder="1" applyAlignment="1">
      <alignment horizontal="left" vertical="top" wrapText="1"/>
    </xf>
    <xf numFmtId="3" fontId="4" fillId="3" borderId="48" xfId="0" applyNumberFormat="1" applyFont="1" applyFill="1" applyBorder="1" applyAlignment="1">
      <alignment horizontal="left" vertical="top" wrapText="1"/>
    </xf>
    <xf numFmtId="3" fontId="4" fillId="3" borderId="62" xfId="0" applyNumberFormat="1" applyFont="1" applyFill="1" applyBorder="1" applyAlignment="1">
      <alignment horizontal="left" vertical="top" wrapText="1"/>
    </xf>
    <xf numFmtId="3" fontId="1" fillId="0" borderId="44" xfId="0" applyNumberFormat="1" applyFont="1" applyFill="1" applyBorder="1" applyAlignment="1">
      <alignment horizontal="center" vertical="top" wrapText="1"/>
    </xf>
    <xf numFmtId="3" fontId="1" fillId="0" borderId="51" xfId="0" applyNumberFormat="1" applyFont="1" applyFill="1" applyBorder="1" applyAlignment="1">
      <alignment horizontal="center" vertical="top" wrapText="1"/>
    </xf>
    <xf numFmtId="3" fontId="1" fillId="3" borderId="13" xfId="0" applyNumberFormat="1" applyFont="1" applyFill="1" applyBorder="1" applyAlignment="1">
      <alignment horizontal="left" vertical="top" wrapText="1"/>
    </xf>
    <xf numFmtId="3" fontId="1" fillId="3" borderId="48" xfId="0" applyNumberFormat="1" applyFont="1" applyFill="1" applyBorder="1" applyAlignment="1">
      <alignment horizontal="left" vertical="top" wrapText="1"/>
    </xf>
    <xf numFmtId="0" fontId="4" fillId="3" borderId="30" xfId="0" applyFont="1" applyFill="1" applyBorder="1" applyAlignment="1">
      <alignment horizontal="left" vertical="top" wrapText="1"/>
    </xf>
    <xf numFmtId="3" fontId="3" fillId="2" borderId="4" xfId="0" applyNumberFormat="1" applyFont="1" applyFill="1" applyBorder="1" applyAlignment="1">
      <alignment horizontal="center" vertical="top"/>
    </xf>
    <xf numFmtId="3" fontId="3" fillId="2" borderId="13" xfId="0" applyNumberFormat="1" applyFont="1" applyFill="1" applyBorder="1" applyAlignment="1">
      <alignment horizontal="center" vertical="top"/>
    </xf>
    <xf numFmtId="3" fontId="3" fillId="2" borderId="22" xfId="0" applyNumberFormat="1" applyFont="1" applyFill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49" fontId="3" fillId="0" borderId="23" xfId="0" applyNumberFormat="1" applyFont="1" applyBorder="1" applyAlignment="1">
      <alignment horizontal="center" vertical="top"/>
    </xf>
    <xf numFmtId="3" fontId="3" fillId="7" borderId="35" xfId="0" applyNumberFormat="1" applyFont="1" applyFill="1" applyBorder="1" applyAlignment="1">
      <alignment horizontal="center" vertical="top"/>
    </xf>
    <xf numFmtId="3" fontId="3" fillId="7" borderId="38" xfId="0" applyNumberFormat="1" applyFont="1" applyFill="1" applyBorder="1" applyAlignment="1">
      <alignment horizontal="center" vertical="top"/>
    </xf>
    <xf numFmtId="3" fontId="3" fillId="7" borderId="56" xfId="0" applyNumberFormat="1" applyFont="1" applyFill="1" applyBorder="1" applyAlignment="1">
      <alignment horizontal="center" vertical="top"/>
    </xf>
    <xf numFmtId="3" fontId="20" fillId="0" borderId="0" xfId="0" applyNumberFormat="1" applyFont="1" applyBorder="1" applyAlignment="1">
      <alignment horizontal="left"/>
    </xf>
    <xf numFmtId="3" fontId="20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3" fontId="23" fillId="0" borderId="3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center" vertical="center" textRotation="90" wrapText="1"/>
    </xf>
    <xf numFmtId="3" fontId="4" fillId="0" borderId="11" xfId="0" applyNumberFormat="1" applyFont="1" applyBorder="1" applyAlignment="1">
      <alignment horizontal="center" vertical="center" textRotation="90" wrapText="1"/>
    </xf>
    <xf numFmtId="3" fontId="4" fillId="0" borderId="20" xfId="0" applyNumberFormat="1" applyFont="1" applyBorder="1" applyAlignment="1">
      <alignment horizontal="center" vertical="center" textRotation="90" wrapText="1"/>
    </xf>
    <xf numFmtId="3" fontId="4" fillId="0" borderId="3" xfId="0" applyNumberFormat="1" applyFont="1" applyBorder="1" applyAlignment="1">
      <alignment horizontal="center" vertical="center" textRotation="90" wrapText="1"/>
    </xf>
    <xf numFmtId="3" fontId="4" fillId="0" borderId="12" xfId="0" applyNumberFormat="1" applyFont="1" applyBorder="1" applyAlignment="1">
      <alignment horizontal="center" vertical="center" textRotation="90" wrapText="1"/>
    </xf>
    <xf numFmtId="3" fontId="4" fillId="0" borderId="21" xfId="0" applyNumberFormat="1" applyFont="1" applyBorder="1" applyAlignment="1">
      <alignment horizontal="center" vertical="center" textRotation="90" wrapText="1"/>
    </xf>
    <xf numFmtId="49" fontId="4" fillId="0" borderId="4" xfId="0" applyNumberFormat="1" applyFont="1" applyBorder="1" applyAlignment="1">
      <alignment horizontal="center" vertical="center" textRotation="90" wrapText="1"/>
    </xf>
    <xf numFmtId="49" fontId="4" fillId="0" borderId="13" xfId="0" applyNumberFormat="1" applyFont="1" applyBorder="1" applyAlignment="1">
      <alignment horizontal="center" vertical="center" textRotation="90" wrapText="1"/>
    </xf>
    <xf numFmtId="49" fontId="4" fillId="0" borderId="22" xfId="0" applyNumberFormat="1" applyFont="1" applyBorder="1" applyAlignment="1">
      <alignment horizontal="center" vertical="center" textRotation="90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4" fillId="0" borderId="69" xfId="0" applyNumberFormat="1" applyFont="1" applyBorder="1" applyAlignment="1">
      <alignment horizontal="center" vertical="center" textRotation="90" wrapText="1"/>
    </xf>
    <xf numFmtId="3" fontId="4" fillId="0" borderId="65" xfId="0" applyNumberFormat="1" applyFont="1" applyBorder="1" applyAlignment="1">
      <alignment horizontal="center" vertical="center" textRotation="90" wrapText="1"/>
    </xf>
    <xf numFmtId="3" fontId="4" fillId="0" borderId="70" xfId="0" applyNumberFormat="1" applyFont="1" applyBorder="1" applyAlignment="1">
      <alignment horizontal="center" vertical="center" textRotation="90" wrapText="1"/>
    </xf>
    <xf numFmtId="3" fontId="4" fillId="0" borderId="7" xfId="0" applyNumberFormat="1" applyFont="1" applyBorder="1" applyAlignment="1">
      <alignment horizontal="center" vertical="center" textRotation="90" wrapText="1"/>
    </xf>
    <xf numFmtId="3" fontId="4" fillId="0" borderId="16" xfId="0" applyNumberFormat="1" applyFont="1" applyBorder="1" applyAlignment="1">
      <alignment horizontal="center" vertical="center" textRotation="90" wrapText="1"/>
    </xf>
    <xf numFmtId="3" fontId="4" fillId="0" borderId="25" xfId="0" applyNumberFormat="1" applyFont="1" applyBorder="1" applyAlignment="1">
      <alignment horizontal="center" vertical="center" textRotation="90" wrapText="1"/>
    </xf>
    <xf numFmtId="3" fontId="3" fillId="9" borderId="64" xfId="0" applyNumberFormat="1" applyFont="1" applyFill="1" applyBorder="1" applyAlignment="1">
      <alignment horizontal="left" vertical="top" wrapText="1"/>
    </xf>
    <xf numFmtId="3" fontId="3" fillId="9" borderId="53" xfId="0" applyNumberFormat="1" applyFont="1" applyFill="1" applyBorder="1" applyAlignment="1">
      <alignment horizontal="left" vertical="top" wrapText="1"/>
    </xf>
    <xf numFmtId="3" fontId="3" fillId="6" borderId="26" xfId="0" applyNumberFormat="1" applyFont="1" applyFill="1" applyBorder="1" applyAlignment="1">
      <alignment horizontal="left" vertical="top" wrapText="1"/>
    </xf>
    <xf numFmtId="3" fontId="3" fillId="6" borderId="27" xfId="0" applyNumberFormat="1" applyFont="1" applyFill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3" fontId="1" fillId="3" borderId="31" xfId="0" applyNumberFormat="1" applyFont="1" applyFill="1" applyBorder="1" applyAlignment="1">
      <alignment horizontal="left" vertical="top" wrapText="1"/>
    </xf>
    <xf numFmtId="3" fontId="1" fillId="3" borderId="24" xfId="0" applyNumberFormat="1" applyFont="1" applyFill="1" applyBorder="1" applyAlignment="1">
      <alignment horizontal="left" vertical="top" wrapText="1"/>
    </xf>
    <xf numFmtId="3" fontId="6" fillId="5" borderId="64" xfId="0" applyNumberFormat="1" applyFont="1" applyFill="1" applyBorder="1" applyAlignment="1">
      <alignment horizontal="right" vertical="top" wrapText="1"/>
    </xf>
    <xf numFmtId="3" fontId="6" fillId="5" borderId="53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left" vertical="top" wrapText="1"/>
    </xf>
    <xf numFmtId="3" fontId="4" fillId="3" borderId="67" xfId="0" applyNumberFormat="1" applyFont="1" applyFill="1" applyBorder="1" applyAlignment="1">
      <alignment horizontal="left" vertical="top" wrapText="1"/>
    </xf>
    <xf numFmtId="3" fontId="4" fillId="3" borderId="39" xfId="0" applyNumberFormat="1" applyFont="1" applyFill="1" applyBorder="1" applyAlignment="1">
      <alignment horizontal="left" vertical="top" wrapText="1"/>
    </xf>
    <xf numFmtId="3" fontId="4" fillId="3" borderId="46" xfId="0" applyNumberFormat="1" applyFont="1" applyFill="1" applyBorder="1" applyAlignment="1">
      <alignment horizontal="left" vertical="top" wrapText="1"/>
    </xf>
    <xf numFmtId="0" fontId="4" fillId="3" borderId="61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3" fontId="4" fillId="3" borderId="61" xfId="0" applyNumberFormat="1" applyFont="1" applyFill="1" applyBorder="1" applyAlignment="1">
      <alignment horizontal="left" vertical="top" wrapText="1"/>
    </xf>
    <xf numFmtId="3" fontId="3" fillId="2" borderId="9" xfId="0" applyNumberFormat="1" applyFont="1" applyFill="1" applyBorder="1" applyAlignment="1">
      <alignment horizontal="right" vertical="top"/>
    </xf>
    <xf numFmtId="3" fontId="6" fillId="2" borderId="60" xfId="0" applyNumberFormat="1" applyFont="1" applyFill="1" applyBorder="1" applyAlignment="1">
      <alignment horizontal="left" vertical="top" wrapText="1"/>
    </xf>
    <xf numFmtId="3" fontId="6" fillId="2" borderId="9" xfId="0" applyNumberFormat="1" applyFont="1" applyFill="1" applyBorder="1" applyAlignment="1">
      <alignment horizontal="left" vertical="top" wrapText="1"/>
    </xf>
    <xf numFmtId="3" fontId="1" fillId="3" borderId="14" xfId="0" applyNumberFormat="1" applyFont="1" applyFill="1" applyBorder="1" applyAlignment="1">
      <alignment horizontal="left" vertical="top" wrapText="1"/>
    </xf>
    <xf numFmtId="49" fontId="4" fillId="3" borderId="61" xfId="0" applyNumberFormat="1" applyFont="1" applyFill="1" applyBorder="1" applyAlignment="1">
      <alignment horizontal="center" vertical="top"/>
    </xf>
    <xf numFmtId="49" fontId="4" fillId="3" borderId="14" xfId="0" applyNumberFormat="1" applyFont="1" applyFill="1" applyBorder="1" applyAlignment="1">
      <alignment horizontal="center" vertical="top"/>
    </xf>
    <xf numFmtId="3" fontId="4" fillId="3" borderId="16" xfId="0" applyNumberFormat="1" applyFont="1" applyFill="1" applyBorder="1" applyAlignment="1">
      <alignment horizontal="left" vertical="top" wrapText="1"/>
    </xf>
    <xf numFmtId="3" fontId="1" fillId="3" borderId="4" xfId="0" applyNumberFormat="1" applyFont="1" applyFill="1" applyBorder="1" applyAlignment="1">
      <alignment horizontal="left" vertical="top" wrapText="1"/>
    </xf>
    <xf numFmtId="3" fontId="1" fillId="3" borderId="22" xfId="0" applyNumberFormat="1" applyFont="1" applyFill="1" applyBorder="1" applyAlignment="1">
      <alignment horizontal="left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48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22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3" fontId="1" fillId="3" borderId="61" xfId="0" applyNumberFormat="1" applyFont="1" applyFill="1" applyBorder="1" applyAlignment="1">
      <alignment horizontal="left" vertical="top" wrapText="1"/>
    </xf>
    <xf numFmtId="3" fontId="1" fillId="3" borderId="62" xfId="0" applyNumberFormat="1" applyFont="1" applyFill="1" applyBorder="1" applyAlignment="1">
      <alignment horizontal="left" vertical="top" wrapText="1"/>
    </xf>
    <xf numFmtId="3" fontId="1" fillId="3" borderId="31" xfId="0" applyNumberFormat="1" applyFont="1" applyFill="1" applyBorder="1" applyAlignment="1">
      <alignment horizontal="center" vertical="top" wrapText="1"/>
    </xf>
    <xf numFmtId="3" fontId="1" fillId="3" borderId="15" xfId="0" applyNumberFormat="1" applyFont="1" applyFill="1" applyBorder="1" applyAlignment="1">
      <alignment horizontal="center" vertical="top" wrapText="1"/>
    </xf>
    <xf numFmtId="3" fontId="1" fillId="3" borderId="67" xfId="0" applyNumberFormat="1" applyFont="1" applyFill="1" applyBorder="1" applyAlignment="1">
      <alignment horizontal="center" vertical="top" wrapText="1"/>
    </xf>
    <xf numFmtId="3" fontId="1" fillId="3" borderId="41" xfId="0" applyNumberFormat="1" applyFont="1" applyFill="1" applyBorder="1" applyAlignment="1">
      <alignment horizontal="left" vertical="top" wrapText="1"/>
    </xf>
    <xf numFmtId="3" fontId="1" fillId="3" borderId="47" xfId="0" applyNumberFormat="1" applyFont="1" applyFill="1" applyBorder="1" applyAlignment="1">
      <alignment horizontal="left" vertical="top" wrapText="1"/>
    </xf>
    <xf numFmtId="3" fontId="6" fillId="3" borderId="43" xfId="0" applyNumberFormat="1" applyFont="1" applyFill="1" applyBorder="1" applyAlignment="1">
      <alignment horizontal="center" vertical="top" wrapText="1"/>
    </xf>
    <xf numFmtId="3" fontId="6" fillId="3" borderId="48" xfId="0" applyNumberFormat="1" applyFont="1" applyFill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horizontal="left" vertical="top" wrapText="1"/>
    </xf>
    <xf numFmtId="3" fontId="4" fillId="3" borderId="22" xfId="0" applyNumberFormat="1" applyFont="1" applyFill="1" applyBorder="1" applyAlignment="1">
      <alignment horizontal="left" vertical="top" wrapText="1"/>
    </xf>
    <xf numFmtId="3" fontId="3" fillId="0" borderId="4" xfId="0" applyNumberFormat="1" applyFont="1" applyFill="1" applyBorder="1" applyAlignment="1">
      <alignment horizontal="center" vertical="top" wrapText="1"/>
    </xf>
    <xf numFmtId="3" fontId="3" fillId="0" borderId="22" xfId="0" applyNumberFormat="1" applyFont="1" applyFill="1" applyBorder="1" applyAlignment="1">
      <alignment horizontal="center" vertical="top" wrapText="1"/>
    </xf>
    <xf numFmtId="3" fontId="4" fillId="0" borderId="58" xfId="0" applyNumberFormat="1" applyFont="1" applyBorder="1" applyAlignment="1">
      <alignment horizontal="center" vertical="top" wrapText="1"/>
    </xf>
    <xf numFmtId="3" fontId="4" fillId="0" borderId="57" xfId="0" applyNumberFormat="1" applyFont="1" applyBorder="1" applyAlignment="1">
      <alignment horizontal="center" vertical="top" wrapText="1"/>
    </xf>
    <xf numFmtId="0" fontId="1" fillId="3" borderId="39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3" fontId="4" fillId="3" borderId="36" xfId="0" applyNumberFormat="1" applyFont="1" applyFill="1" applyBorder="1" applyAlignment="1">
      <alignment horizontal="center" vertical="top"/>
    </xf>
    <xf numFmtId="3" fontId="4" fillId="3" borderId="47" xfId="0" applyNumberFormat="1" applyFont="1" applyFill="1" applyBorder="1" applyAlignment="1">
      <alignment horizontal="center" vertical="top"/>
    </xf>
    <xf numFmtId="3" fontId="3" fillId="2" borderId="71" xfId="0" applyNumberFormat="1" applyFont="1" applyFill="1" applyBorder="1" applyAlignment="1">
      <alignment horizontal="right" vertical="top"/>
    </xf>
    <xf numFmtId="3" fontId="4" fillId="2" borderId="33" xfId="0" applyNumberFormat="1" applyFont="1" applyFill="1" applyBorder="1" applyAlignment="1">
      <alignment horizontal="right" vertical="top"/>
    </xf>
    <xf numFmtId="3" fontId="4" fillId="2" borderId="60" xfId="0" applyNumberFormat="1" applyFont="1" applyFill="1" applyBorder="1" applyAlignment="1">
      <alignment horizontal="right" vertical="top"/>
    </xf>
    <xf numFmtId="3" fontId="6" fillId="3" borderId="14" xfId="0" applyNumberFormat="1" applyFont="1" applyFill="1" applyBorder="1" applyAlignment="1">
      <alignment horizontal="left" vertical="top" wrapText="1"/>
    </xf>
    <xf numFmtId="164" fontId="4" fillId="3" borderId="7" xfId="0" applyNumberFormat="1" applyFont="1" applyFill="1" applyBorder="1" applyAlignment="1">
      <alignment horizontal="center" vertical="top"/>
    </xf>
    <xf numFmtId="164" fontId="4" fillId="3" borderId="46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left" vertical="top" wrapText="1"/>
    </xf>
    <xf numFmtId="0" fontId="4" fillId="3" borderId="25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0" fontId="4" fillId="3" borderId="31" xfId="0" applyFont="1" applyFill="1" applyBorder="1" applyAlignment="1">
      <alignment horizontal="left" vertical="top" wrapText="1"/>
    </xf>
    <xf numFmtId="0" fontId="4" fillId="3" borderId="67" xfId="0" applyFont="1" applyFill="1" applyBorder="1" applyAlignment="1">
      <alignment horizontal="left" vertical="top" wrapText="1"/>
    </xf>
    <xf numFmtId="3" fontId="4" fillId="3" borderId="13" xfId="0" applyNumberFormat="1" applyFont="1" applyFill="1" applyBorder="1" applyAlignment="1">
      <alignment horizontal="left" vertical="top" wrapText="1"/>
    </xf>
    <xf numFmtId="3" fontId="1" fillId="3" borderId="30" xfId="0" applyNumberFormat="1" applyFont="1" applyFill="1" applyBorder="1" applyAlignment="1">
      <alignment horizontal="left" vertical="top" wrapText="1"/>
    </xf>
    <xf numFmtId="3" fontId="1" fillId="3" borderId="0" xfId="0" applyNumberFormat="1" applyFont="1" applyFill="1" applyBorder="1" applyAlignment="1">
      <alignment horizontal="left" vertical="top" wrapText="1"/>
    </xf>
    <xf numFmtId="3" fontId="6" fillId="3" borderId="13" xfId="0" applyNumberFormat="1" applyFont="1" applyFill="1" applyBorder="1" applyAlignment="1">
      <alignment horizontal="center" vertical="top" wrapText="1"/>
    </xf>
    <xf numFmtId="3" fontId="3" fillId="5" borderId="64" xfId="0" applyNumberFormat="1" applyFont="1" applyFill="1" applyBorder="1" applyAlignment="1">
      <alignment horizontal="right" vertical="top" wrapText="1"/>
    </xf>
    <xf numFmtId="3" fontId="3" fillId="5" borderId="1" xfId="0" applyNumberFormat="1" applyFont="1" applyFill="1" applyBorder="1" applyAlignment="1">
      <alignment horizontal="right" vertical="top" wrapText="1"/>
    </xf>
    <xf numFmtId="3" fontId="1" fillId="3" borderId="16" xfId="0" applyNumberFormat="1" applyFont="1" applyFill="1" applyBorder="1" applyAlignment="1">
      <alignment horizontal="left" vertical="top" wrapText="1"/>
    </xf>
    <xf numFmtId="3" fontId="1" fillId="3" borderId="46" xfId="0" applyNumberFormat="1" applyFont="1" applyFill="1" applyBorder="1" applyAlignment="1">
      <alignment horizontal="left" vertical="top" wrapText="1"/>
    </xf>
    <xf numFmtId="3" fontId="6" fillId="0" borderId="5" xfId="0" applyNumberFormat="1" applyFont="1" applyFill="1" applyBorder="1" applyAlignment="1">
      <alignment horizontal="center" vertical="top" wrapText="1"/>
    </xf>
    <xf numFmtId="3" fontId="6" fillId="0" borderId="23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23" xfId="0" applyNumberFormat="1" applyFont="1" applyBorder="1" applyAlignment="1">
      <alignment horizontal="center" vertical="top" wrapText="1"/>
    </xf>
    <xf numFmtId="3" fontId="4" fillId="0" borderId="29" xfId="0" applyNumberFormat="1" applyFont="1" applyBorder="1" applyAlignment="1">
      <alignment horizontal="left" vertical="top" wrapText="1"/>
    </xf>
    <xf numFmtId="3" fontId="4" fillId="0" borderId="18" xfId="0" applyNumberFormat="1" applyFont="1" applyBorder="1" applyAlignment="1">
      <alignment horizontal="left" vertical="top" wrapText="1"/>
    </xf>
    <xf numFmtId="3" fontId="3" fillId="8" borderId="60" xfId="0" applyNumberFormat="1" applyFont="1" applyFill="1" applyBorder="1" applyAlignment="1">
      <alignment horizontal="right" vertical="center"/>
    </xf>
    <xf numFmtId="3" fontId="3" fillId="8" borderId="9" xfId="0" applyNumberFormat="1" applyFont="1" applyFill="1" applyBorder="1" applyAlignment="1">
      <alignment horizontal="right" vertical="center"/>
    </xf>
    <xf numFmtId="3" fontId="6" fillId="0" borderId="35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3" fillId="8" borderId="35" xfId="0" applyNumberFormat="1" applyFont="1" applyFill="1" applyBorder="1" applyAlignment="1">
      <alignment horizontal="right" vertical="top" wrapText="1"/>
    </xf>
    <xf numFmtId="3" fontId="3" fillId="8" borderId="4" xfId="0" applyNumberFormat="1" applyFont="1" applyFill="1" applyBorder="1" applyAlignment="1">
      <alignment horizontal="right" vertical="top" wrapText="1"/>
    </xf>
    <xf numFmtId="3" fontId="3" fillId="8" borderId="5" xfId="0" applyNumberFormat="1" applyFont="1" applyFill="1" applyBorder="1" applyAlignment="1">
      <alignment horizontal="right" vertical="top" wrapText="1"/>
    </xf>
    <xf numFmtId="3" fontId="3" fillId="5" borderId="29" xfId="0" applyNumberFormat="1" applyFont="1" applyFill="1" applyBorder="1" applyAlignment="1">
      <alignment horizontal="right" vertical="top" wrapText="1"/>
    </xf>
    <xf numFmtId="3" fontId="3" fillId="5" borderId="18" xfId="0" applyNumberFormat="1" applyFont="1" applyFill="1" applyBorder="1" applyAlignment="1">
      <alignment horizontal="right" vertical="top" wrapText="1"/>
    </xf>
    <xf numFmtId="3" fontId="4" fillId="3" borderId="38" xfId="0" applyNumberFormat="1" applyFont="1" applyFill="1" applyBorder="1" applyAlignment="1">
      <alignment horizontal="left" vertical="top" wrapText="1"/>
    </xf>
    <xf numFmtId="3" fontId="4" fillId="3" borderId="29" xfId="0" applyNumberFormat="1" applyFont="1" applyFill="1" applyBorder="1" applyAlignment="1">
      <alignment horizontal="left" vertical="top" wrapText="1"/>
    </xf>
    <xf numFmtId="3" fontId="4" fillId="3" borderId="18" xfId="0" applyNumberFormat="1" applyFont="1" applyFill="1" applyBorder="1" applyAlignment="1">
      <alignment horizontal="left" vertical="top" wrapText="1"/>
    </xf>
    <xf numFmtId="3" fontId="1" fillId="3" borderId="34" xfId="0" applyNumberFormat="1" applyFont="1" applyFill="1" applyBorder="1" applyAlignment="1">
      <alignment horizontal="left" vertical="top" wrapText="1"/>
    </xf>
    <xf numFmtId="3" fontId="1" fillId="3" borderId="34" xfId="0" applyNumberFormat="1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3" fontId="3" fillId="7" borderId="1" xfId="0" applyNumberFormat="1" applyFont="1" applyFill="1" applyBorder="1" applyAlignment="1">
      <alignment horizontal="right" vertical="top"/>
    </xf>
    <xf numFmtId="3" fontId="4" fillId="0" borderId="61" xfId="0" applyNumberFormat="1" applyFont="1" applyFill="1" applyBorder="1" applyAlignment="1">
      <alignment horizontal="left" vertical="top" wrapText="1"/>
    </xf>
    <xf numFmtId="3" fontId="4" fillId="0" borderId="62" xfId="0" applyNumberFormat="1" applyFont="1" applyFill="1" applyBorder="1" applyAlignment="1">
      <alignment horizontal="left" vertical="top" wrapText="1"/>
    </xf>
    <xf numFmtId="0" fontId="4" fillId="0" borderId="41" xfId="0" applyFont="1" applyFill="1" applyBorder="1" applyAlignment="1">
      <alignment horizontal="left" vertical="top" wrapText="1"/>
    </xf>
    <xf numFmtId="0" fontId="4" fillId="0" borderId="40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lef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3" fontId="4" fillId="3" borderId="15" xfId="0" applyNumberFormat="1" applyFont="1" applyFill="1" applyBorder="1" applyAlignment="1">
      <alignment horizontal="center" vertical="top" wrapText="1"/>
    </xf>
    <xf numFmtId="3" fontId="4" fillId="3" borderId="67" xfId="0" applyNumberFormat="1" applyFont="1" applyFill="1" applyBorder="1" applyAlignment="1">
      <alignment horizontal="center" vertical="top" wrapText="1"/>
    </xf>
    <xf numFmtId="3" fontId="3" fillId="4" borderId="5" xfId="0" applyNumberFormat="1" applyFont="1" applyFill="1" applyBorder="1" applyAlignment="1">
      <alignment horizontal="left" vertical="top" wrapText="1"/>
    </xf>
    <xf numFmtId="3" fontId="3" fillId="4" borderId="14" xfId="0" applyNumberFormat="1" applyFont="1" applyFill="1" applyBorder="1" applyAlignment="1">
      <alignment horizontal="left" vertical="top" wrapText="1"/>
    </xf>
    <xf numFmtId="3" fontId="4" fillId="0" borderId="6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wrapText="1"/>
    </xf>
    <xf numFmtId="0" fontId="4" fillId="3" borderId="40" xfId="0" applyFont="1" applyFill="1" applyBorder="1" applyAlignment="1">
      <alignment horizontal="left" vertical="top" wrapText="1"/>
    </xf>
    <xf numFmtId="3" fontId="6" fillId="5" borderId="54" xfId="0" applyNumberFormat="1" applyFont="1" applyFill="1" applyBorder="1" applyAlignment="1">
      <alignment horizontal="right" vertical="top" wrapText="1"/>
    </xf>
    <xf numFmtId="0" fontId="4" fillId="0" borderId="59" xfId="0" applyFont="1" applyFill="1" applyBorder="1" applyAlignment="1">
      <alignment horizontal="left" vertical="top" wrapText="1"/>
    </xf>
    <xf numFmtId="3" fontId="1" fillId="3" borderId="23" xfId="0" applyNumberFormat="1" applyFont="1" applyFill="1" applyBorder="1" applyAlignment="1">
      <alignment horizontal="left" vertical="top" wrapText="1"/>
    </xf>
    <xf numFmtId="3" fontId="1" fillId="0" borderId="31" xfId="0" applyNumberFormat="1" applyFont="1" applyBorder="1" applyAlignment="1">
      <alignment horizontal="center" vertical="top" wrapText="1"/>
    </xf>
    <xf numFmtId="3" fontId="3" fillId="5" borderId="32" xfId="0" applyNumberFormat="1" applyFont="1" applyFill="1" applyBorder="1" applyAlignment="1">
      <alignment horizontal="right" vertical="top" wrapText="1"/>
    </xf>
    <xf numFmtId="3" fontId="3" fillId="5" borderId="33" xfId="0" applyNumberFormat="1" applyFont="1" applyFill="1" applyBorder="1" applyAlignment="1">
      <alignment horizontal="right" vertical="top" wrapText="1"/>
    </xf>
    <xf numFmtId="3" fontId="3" fillId="5" borderId="60" xfId="0" applyNumberFormat="1" applyFont="1" applyFill="1" applyBorder="1" applyAlignment="1">
      <alignment horizontal="right" vertical="top" wrapText="1"/>
    </xf>
    <xf numFmtId="3" fontId="4" fillId="5" borderId="29" xfId="0" applyNumberFormat="1" applyFont="1" applyFill="1" applyBorder="1" applyAlignment="1">
      <alignment horizontal="left" vertical="top" wrapText="1"/>
    </xf>
    <xf numFmtId="3" fontId="4" fillId="5" borderId="18" xfId="0" applyNumberFormat="1" applyFont="1" applyFill="1" applyBorder="1" applyAlignment="1">
      <alignment horizontal="left" vertical="top" wrapText="1"/>
    </xf>
    <xf numFmtId="3" fontId="3" fillId="8" borderId="32" xfId="0" applyNumberFormat="1" applyFont="1" applyFill="1" applyBorder="1" applyAlignment="1">
      <alignment horizontal="right" vertical="top" wrapText="1"/>
    </xf>
    <xf numFmtId="3" fontId="3" fillId="8" borderId="33" xfId="0" applyNumberFormat="1" applyFont="1" applyFill="1" applyBorder="1" applyAlignment="1">
      <alignment horizontal="right" vertical="top" wrapText="1"/>
    </xf>
    <xf numFmtId="3" fontId="3" fillId="8" borderId="60" xfId="0" applyNumberFormat="1" applyFont="1" applyFill="1" applyBorder="1" applyAlignment="1">
      <alignment horizontal="right" vertical="top" wrapText="1"/>
    </xf>
    <xf numFmtId="3" fontId="4" fillId="0" borderId="50" xfId="0" applyNumberFormat="1" applyFont="1" applyBorder="1" applyAlignment="1">
      <alignment horizontal="left" vertical="top" wrapText="1"/>
    </xf>
    <xf numFmtId="3" fontId="4" fillId="0" borderId="48" xfId="0" applyNumberFormat="1" applyFont="1" applyBorder="1" applyAlignment="1">
      <alignment horizontal="left" vertical="top" wrapText="1"/>
    </xf>
    <xf numFmtId="3" fontId="4" fillId="0" borderId="62" xfId="0" applyNumberFormat="1" applyFont="1" applyBorder="1" applyAlignment="1">
      <alignment horizontal="left" vertical="top" wrapText="1"/>
    </xf>
    <xf numFmtId="3" fontId="4" fillId="0" borderId="11" xfId="0" applyNumberFormat="1" applyFont="1" applyBorder="1" applyAlignment="1">
      <alignment horizontal="left" vertical="top" wrapText="1"/>
    </xf>
    <xf numFmtId="3" fontId="4" fillId="0" borderId="12" xfId="0" applyNumberFormat="1" applyFont="1" applyBorder="1" applyAlignment="1">
      <alignment horizontal="left" vertical="top" wrapText="1"/>
    </xf>
    <xf numFmtId="3" fontId="4" fillId="0" borderId="17" xfId="0" applyNumberFormat="1" applyFont="1" applyBorder="1" applyAlignment="1">
      <alignment horizontal="left" vertical="top" wrapText="1"/>
    </xf>
    <xf numFmtId="3" fontId="4" fillId="5" borderId="11" xfId="0" applyNumberFormat="1" applyFont="1" applyFill="1" applyBorder="1" applyAlignment="1">
      <alignment horizontal="left" vertical="top" wrapText="1"/>
    </xf>
    <xf numFmtId="3" fontId="4" fillId="5" borderId="12" xfId="0" applyNumberFormat="1" applyFont="1" applyFill="1" applyBorder="1" applyAlignment="1">
      <alignment horizontal="left" vertical="top" wrapText="1"/>
    </xf>
    <xf numFmtId="3" fontId="4" fillId="5" borderId="17" xfId="0" applyNumberFormat="1" applyFont="1" applyFill="1" applyBorder="1" applyAlignment="1">
      <alignment horizontal="left" vertical="top" wrapText="1"/>
    </xf>
    <xf numFmtId="3" fontId="4" fillId="0" borderId="19" xfId="0" applyNumberFormat="1" applyFont="1" applyBorder="1" applyAlignment="1">
      <alignment horizontal="left" vertical="top" wrapText="1"/>
    </xf>
    <xf numFmtId="3" fontId="4" fillId="5" borderId="19" xfId="0" applyNumberFormat="1" applyFont="1" applyFill="1" applyBorder="1" applyAlignment="1">
      <alignment horizontal="left" vertical="top" wrapText="1"/>
    </xf>
    <xf numFmtId="3" fontId="4" fillId="0" borderId="59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3" fontId="4" fillId="0" borderId="24" xfId="0" applyNumberFormat="1" applyFont="1" applyBorder="1" applyAlignment="1">
      <alignment horizontal="left" vertical="top" wrapText="1"/>
    </xf>
    <xf numFmtId="3" fontId="3" fillId="2" borderId="60" xfId="0" applyNumberFormat="1" applyFont="1" applyFill="1" applyBorder="1" applyAlignment="1">
      <alignment horizontal="right" vertical="top"/>
    </xf>
    <xf numFmtId="3" fontId="3" fillId="3" borderId="13" xfId="0" applyNumberFormat="1" applyFont="1" applyFill="1" applyBorder="1" applyAlignment="1">
      <alignment horizontal="center" vertical="top" wrapText="1"/>
    </xf>
    <xf numFmtId="3" fontId="3" fillId="3" borderId="48" xfId="0" applyNumberFormat="1" applyFont="1" applyFill="1" applyBorder="1" applyAlignment="1">
      <alignment horizontal="center" vertical="top" wrapText="1"/>
    </xf>
    <xf numFmtId="3" fontId="3" fillId="5" borderId="53" xfId="0" applyNumberFormat="1" applyFont="1" applyFill="1" applyBorder="1" applyAlignment="1">
      <alignment horizontal="right" vertical="top" wrapText="1"/>
    </xf>
    <xf numFmtId="3" fontId="3" fillId="5" borderId="54" xfId="0" applyNumberFormat="1" applyFont="1" applyFill="1" applyBorder="1" applyAlignment="1">
      <alignment horizontal="right" vertical="top" wrapText="1"/>
    </xf>
    <xf numFmtId="3" fontId="20" fillId="0" borderId="0" xfId="0" applyNumberFormat="1" applyFont="1" applyBorder="1" applyAlignment="1">
      <alignment horizontal="left" vertical="top"/>
    </xf>
    <xf numFmtId="3" fontId="20" fillId="0" borderId="0" xfId="0" applyNumberFormat="1" applyFont="1" applyAlignment="1">
      <alignment horizontal="left" vertical="top"/>
    </xf>
    <xf numFmtId="3" fontId="1" fillId="3" borderId="43" xfId="0" applyNumberFormat="1" applyFont="1" applyFill="1" applyBorder="1" applyAlignment="1">
      <alignment horizontal="left" vertical="top" wrapText="1"/>
    </xf>
    <xf numFmtId="3" fontId="20" fillId="0" borderId="0" xfId="0" applyNumberFormat="1" applyFont="1" applyBorder="1" applyAlignment="1">
      <alignment horizontal="left" vertical="top" wrapText="1"/>
    </xf>
    <xf numFmtId="3" fontId="15" fillId="3" borderId="61" xfId="0" applyNumberFormat="1" applyFont="1" applyFill="1" applyBorder="1" applyAlignment="1">
      <alignment horizontal="left" vertical="top" wrapText="1"/>
    </xf>
    <xf numFmtId="3" fontId="15" fillId="3" borderId="62" xfId="0" applyNumberFormat="1" applyFont="1" applyFill="1" applyBorder="1" applyAlignment="1">
      <alignment horizontal="left" vertical="top" wrapText="1"/>
    </xf>
    <xf numFmtId="3" fontId="1" fillId="0" borderId="30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left" vertical="top" wrapText="1"/>
    </xf>
    <xf numFmtId="3" fontId="4" fillId="3" borderId="30" xfId="0" applyNumberFormat="1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>
      <alignment horizontal="left" vertical="top" wrapText="1"/>
    </xf>
    <xf numFmtId="165" fontId="1" fillId="3" borderId="15" xfId="0" applyNumberFormat="1" applyFont="1" applyFill="1" applyBorder="1" applyAlignment="1">
      <alignment horizontal="left" vertical="top" wrapText="1"/>
    </xf>
    <xf numFmtId="49" fontId="1" fillId="3" borderId="16" xfId="0" applyNumberFormat="1" applyFont="1" applyFill="1" applyBorder="1" applyAlignment="1">
      <alignment horizontal="center" vertical="top"/>
    </xf>
    <xf numFmtId="3" fontId="1" fillId="3" borderId="13" xfId="0" applyNumberFormat="1" applyFont="1" applyFill="1" applyBorder="1" applyAlignment="1">
      <alignment horizontal="center" vertical="center" textRotation="90" wrapText="1"/>
    </xf>
    <xf numFmtId="3" fontId="1" fillId="0" borderId="61" xfId="0" applyNumberFormat="1" applyFont="1" applyFill="1" applyBorder="1" applyAlignment="1">
      <alignment horizontal="left" vertical="top" wrapText="1"/>
    </xf>
    <xf numFmtId="3" fontId="1" fillId="0" borderId="14" xfId="0" applyNumberFormat="1" applyFont="1" applyFill="1" applyBorder="1" applyAlignment="1">
      <alignment horizontal="left" vertical="top" wrapText="1"/>
    </xf>
    <xf numFmtId="0" fontId="4" fillId="3" borderId="49" xfId="0" applyFont="1" applyFill="1" applyBorder="1" applyAlignment="1">
      <alignment horizontal="left" vertical="top" wrapText="1"/>
    </xf>
    <xf numFmtId="49" fontId="3" fillId="7" borderId="38" xfId="0" applyNumberFormat="1" applyFont="1" applyFill="1" applyBorder="1" applyAlignment="1">
      <alignment horizontal="center" vertical="top"/>
    </xf>
    <xf numFmtId="49" fontId="3" fillId="7" borderId="56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2" borderId="22" xfId="0" applyNumberFormat="1" applyFont="1" applyFill="1" applyBorder="1" applyAlignment="1">
      <alignment horizontal="center" vertical="top"/>
    </xf>
    <xf numFmtId="3" fontId="19" fillId="3" borderId="6" xfId="0" applyNumberFormat="1" applyFont="1" applyFill="1" applyBorder="1" applyAlignment="1">
      <alignment horizontal="center" vertical="top" wrapText="1"/>
    </xf>
    <xf numFmtId="3" fontId="19" fillId="3" borderId="15" xfId="0" applyNumberFormat="1" applyFont="1" applyFill="1" applyBorder="1" applyAlignment="1">
      <alignment horizontal="center" vertical="top" wrapText="1"/>
    </xf>
    <xf numFmtId="3" fontId="15" fillId="3" borderId="43" xfId="0" applyNumberFormat="1" applyFont="1" applyFill="1" applyBorder="1" applyAlignment="1">
      <alignment horizontal="left" vertical="top" wrapText="1"/>
    </xf>
    <xf numFmtId="3" fontId="17" fillId="3" borderId="48" xfId="0" applyNumberFormat="1" applyFont="1" applyFill="1" applyBorder="1" applyAlignment="1">
      <alignment horizontal="left" vertical="top" wrapText="1"/>
    </xf>
    <xf numFmtId="3" fontId="3" fillId="3" borderId="5" xfId="0" applyNumberFormat="1" applyFont="1" applyFill="1" applyBorder="1" applyAlignment="1">
      <alignment horizontal="left" vertical="top" wrapText="1"/>
    </xf>
    <xf numFmtId="3" fontId="3" fillId="3" borderId="14" xfId="0" applyNumberFormat="1" applyFont="1" applyFill="1" applyBorder="1" applyAlignment="1">
      <alignment horizontal="left" vertical="top" wrapText="1"/>
    </xf>
    <xf numFmtId="3" fontId="17" fillId="3" borderId="43" xfId="0" applyNumberFormat="1" applyFont="1" applyFill="1" applyBorder="1" applyAlignment="1">
      <alignment horizontal="left" vertical="top" wrapText="1"/>
    </xf>
    <xf numFmtId="3" fontId="17" fillId="3" borderId="13" xfId="0" applyNumberFormat="1" applyFont="1" applyFill="1" applyBorder="1" applyAlignment="1">
      <alignment horizontal="left" vertical="top" wrapText="1"/>
    </xf>
    <xf numFmtId="3" fontId="6" fillId="7" borderId="35" xfId="0" applyNumberFormat="1" applyFont="1" applyFill="1" applyBorder="1" applyAlignment="1">
      <alignment horizontal="center" vertical="top"/>
    </xf>
    <xf numFmtId="3" fontId="6" fillId="7" borderId="38" xfId="0" applyNumberFormat="1" applyFont="1" applyFill="1" applyBorder="1" applyAlignment="1">
      <alignment horizontal="center" vertical="top"/>
    </xf>
    <xf numFmtId="3" fontId="6" fillId="2" borderId="4" xfId="0" applyNumberFormat="1" applyFont="1" applyFill="1" applyBorder="1" applyAlignment="1">
      <alignment horizontal="center" vertical="top"/>
    </xf>
    <xf numFmtId="3" fontId="6" fillId="2" borderId="13" xfId="0" applyNumberFormat="1" applyFont="1" applyFill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center" vertical="top"/>
    </xf>
    <xf numFmtId="0" fontId="1" fillId="3" borderId="3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3" fontId="1" fillId="0" borderId="62" xfId="0" applyNumberFormat="1" applyFont="1" applyFill="1" applyBorder="1" applyAlignment="1">
      <alignment horizontal="left" vertical="top" wrapText="1"/>
    </xf>
    <xf numFmtId="3" fontId="4" fillId="3" borderId="49" xfId="0" applyNumberFormat="1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 wrapText="1"/>
    </xf>
    <xf numFmtId="0" fontId="1" fillId="0" borderId="49" xfId="0" applyFont="1" applyFill="1" applyBorder="1" applyAlignment="1">
      <alignment horizontal="left" vertical="top" wrapText="1"/>
    </xf>
    <xf numFmtId="3" fontId="23" fillId="3" borderId="15" xfId="0" applyNumberFormat="1" applyFont="1" applyFill="1" applyBorder="1" applyAlignment="1">
      <alignment horizontal="left" vertical="top" wrapText="1"/>
    </xf>
    <xf numFmtId="3" fontId="23" fillId="3" borderId="67" xfId="0" applyNumberFormat="1" applyFont="1" applyFill="1" applyBorder="1" applyAlignment="1">
      <alignment horizontal="left" vertical="top" wrapText="1"/>
    </xf>
    <xf numFmtId="3" fontId="4" fillId="0" borderId="40" xfId="0" applyNumberFormat="1" applyFont="1" applyBorder="1" applyAlignment="1">
      <alignment horizontal="center" vertical="center" wrapText="1"/>
    </xf>
    <xf numFmtId="3" fontId="4" fillId="0" borderId="59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textRotation="90" wrapText="1"/>
    </xf>
    <xf numFmtId="3" fontId="4" fillId="0" borderId="13" xfId="0" applyNumberFormat="1" applyFont="1" applyBorder="1" applyAlignment="1">
      <alignment horizontal="center" vertical="center" textRotation="90" wrapText="1"/>
    </xf>
    <xf numFmtId="3" fontId="4" fillId="0" borderId="22" xfId="0" applyNumberFormat="1" applyFont="1" applyBorder="1" applyAlignment="1">
      <alignment horizontal="center" vertical="center" textRotation="90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3" fontId="3" fillId="8" borderId="29" xfId="0" applyNumberFormat="1" applyFont="1" applyFill="1" applyBorder="1" applyAlignment="1">
      <alignment horizontal="left" vertical="top" wrapText="1"/>
    </xf>
    <xf numFmtId="3" fontId="3" fillId="8" borderId="18" xfId="0" applyNumberFormat="1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3" fontId="4" fillId="0" borderId="7" xfId="0" applyNumberFormat="1" applyFont="1" applyFill="1" applyBorder="1" applyAlignment="1">
      <alignment horizontal="left" vertical="top" wrapText="1"/>
    </xf>
    <xf numFmtId="3" fontId="4" fillId="0" borderId="25" xfId="0" applyNumberFormat="1" applyFont="1" applyFill="1" applyBorder="1" applyAlignment="1">
      <alignment horizontal="left" vertical="top" wrapText="1"/>
    </xf>
    <xf numFmtId="3" fontId="4" fillId="3" borderId="7" xfId="0" applyNumberFormat="1" applyFont="1" applyFill="1" applyBorder="1" applyAlignment="1">
      <alignment horizontal="center" vertical="top" wrapText="1"/>
    </xf>
    <xf numFmtId="3" fontId="4" fillId="3" borderId="25" xfId="0" applyNumberFormat="1" applyFont="1" applyFill="1" applyBorder="1" applyAlignment="1">
      <alignment horizontal="center" vertical="top" wrapText="1"/>
    </xf>
    <xf numFmtId="3" fontId="1" fillId="3" borderId="5" xfId="0" applyNumberFormat="1" applyFont="1" applyFill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center" vertical="top" wrapText="1"/>
    </xf>
    <xf numFmtId="3" fontId="6" fillId="0" borderId="22" xfId="0" applyNumberFormat="1" applyFont="1" applyBorder="1" applyAlignment="1">
      <alignment horizontal="center" vertical="top" wrapText="1"/>
    </xf>
    <xf numFmtId="3" fontId="3" fillId="0" borderId="13" xfId="0" applyNumberFormat="1" applyFont="1" applyFill="1" applyBorder="1" applyAlignment="1">
      <alignment horizontal="center" vertical="top" wrapText="1"/>
    </xf>
    <xf numFmtId="3" fontId="4" fillId="0" borderId="51" xfId="0" applyNumberFormat="1" applyFont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left" vertical="top" wrapText="1"/>
    </xf>
    <xf numFmtId="3" fontId="1" fillId="0" borderId="23" xfId="0" applyNumberFormat="1" applyFont="1" applyFill="1" applyBorder="1" applyAlignment="1">
      <alignment horizontal="left" vertical="top" wrapText="1"/>
    </xf>
    <xf numFmtId="3" fontId="4" fillId="3" borderId="39" xfId="0" applyNumberFormat="1" applyFont="1" applyFill="1" applyBorder="1" applyAlignment="1">
      <alignment horizontal="center" vertical="top" wrapText="1"/>
    </xf>
    <xf numFmtId="3" fontId="4" fillId="3" borderId="16" xfId="0" applyNumberFormat="1" applyFont="1" applyFill="1" applyBorder="1" applyAlignment="1">
      <alignment horizontal="center" vertical="top" wrapText="1"/>
    </xf>
    <xf numFmtId="3" fontId="4" fillId="3" borderId="46" xfId="0" applyNumberFormat="1" applyFont="1" applyFill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mruColors>
      <color rgb="FFFFFF99"/>
      <color rgb="FFCCFFCC"/>
      <color rgb="FFFFCCFF"/>
      <color rgb="FFFFFF66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7"/>
  <sheetViews>
    <sheetView tabSelected="1" zoomScaleNormal="100" zoomScaleSheetLayoutView="100" workbookViewId="0">
      <selection activeCell="A5" sqref="A5:K5"/>
    </sheetView>
  </sheetViews>
  <sheetFormatPr defaultColWidth="9.33203125" defaultRowHeight="14.4" x14ac:dyDescent="0.3"/>
  <cols>
    <col min="1" max="4" width="3.33203125" style="20" customWidth="1"/>
    <col min="5" max="5" width="35.5546875" style="102" customWidth="1"/>
    <col min="6" max="6" width="4" style="291" customWidth="1"/>
    <col min="7" max="7" width="14.33203125" style="148" customWidth="1"/>
    <col min="8" max="8" width="8.5546875" style="102" customWidth="1"/>
    <col min="9" max="9" width="9.6640625" style="102" customWidth="1"/>
    <col min="10" max="10" width="37.88671875" style="102" customWidth="1"/>
    <col min="11" max="11" width="7.44140625" style="210" customWidth="1"/>
    <col min="12" max="16384" width="9.33203125" style="102"/>
  </cols>
  <sheetData>
    <row r="1" spans="1:11" s="27" customFormat="1" ht="31.5" customHeight="1" x14ac:dyDescent="0.3">
      <c r="F1" s="276"/>
      <c r="G1" s="277"/>
      <c r="H1" s="426"/>
      <c r="I1" s="590" t="s">
        <v>243</v>
      </c>
      <c r="J1" s="590"/>
      <c r="K1" s="590"/>
    </row>
    <row r="2" spans="1:11" s="27" customFormat="1" ht="18" customHeight="1" x14ac:dyDescent="0.3">
      <c r="F2" s="276"/>
      <c r="G2" s="277"/>
      <c r="H2" s="203"/>
      <c r="I2" s="590" t="s">
        <v>247</v>
      </c>
      <c r="J2" s="590"/>
      <c r="K2" s="590"/>
    </row>
    <row r="3" spans="1:11" s="27" customFormat="1" ht="33" customHeight="1" x14ac:dyDescent="0.3">
      <c r="F3" s="276"/>
      <c r="G3" s="277"/>
      <c r="H3" s="488"/>
      <c r="I3" s="590" t="s">
        <v>278</v>
      </c>
      <c r="J3" s="590"/>
      <c r="K3" s="590"/>
    </row>
    <row r="4" spans="1:11" s="27" customFormat="1" ht="18" customHeight="1" x14ac:dyDescent="0.3">
      <c r="F4" s="276"/>
      <c r="G4" s="277"/>
      <c r="H4" s="427"/>
      <c r="I4" s="427"/>
      <c r="J4" s="427"/>
      <c r="K4" s="427"/>
    </row>
    <row r="5" spans="1:11" s="212" customFormat="1" ht="16.5" customHeight="1" x14ac:dyDescent="0.3">
      <c r="A5" s="638" t="s">
        <v>241</v>
      </c>
      <c r="B5" s="638"/>
      <c r="C5" s="638"/>
      <c r="D5" s="638"/>
      <c r="E5" s="638"/>
      <c r="F5" s="638"/>
      <c r="G5" s="638"/>
      <c r="H5" s="638"/>
      <c r="I5" s="638"/>
      <c r="J5" s="638"/>
      <c r="K5" s="638"/>
    </row>
    <row r="6" spans="1:11" s="19" customFormat="1" ht="16.5" customHeight="1" x14ac:dyDescent="0.3">
      <c r="A6" s="639" t="s">
        <v>0</v>
      </c>
      <c r="B6" s="639"/>
      <c r="C6" s="639"/>
      <c r="D6" s="639"/>
      <c r="E6" s="639"/>
      <c r="F6" s="639"/>
      <c r="G6" s="639"/>
      <c r="H6" s="639"/>
      <c r="I6" s="639"/>
      <c r="J6" s="639"/>
      <c r="K6" s="639"/>
    </row>
    <row r="7" spans="1:11" s="19" customFormat="1" ht="16.5" customHeight="1" x14ac:dyDescent="0.3">
      <c r="A7" s="640" t="s">
        <v>1</v>
      </c>
      <c r="B7" s="640"/>
      <c r="C7" s="640"/>
      <c r="D7" s="640"/>
      <c r="E7" s="640"/>
      <c r="F7" s="640"/>
      <c r="G7" s="640"/>
      <c r="H7" s="640"/>
      <c r="I7" s="640"/>
      <c r="J7" s="640"/>
      <c r="K7" s="640"/>
    </row>
    <row r="8" spans="1:11" s="1" customFormat="1" ht="21.75" customHeight="1" thickBot="1" x14ac:dyDescent="0.3">
      <c r="A8" s="655" t="s">
        <v>2</v>
      </c>
      <c r="B8" s="655"/>
      <c r="C8" s="655"/>
      <c r="D8" s="655"/>
      <c r="E8" s="655"/>
      <c r="F8" s="655"/>
      <c r="G8" s="655"/>
      <c r="H8" s="655"/>
      <c r="I8" s="655"/>
      <c r="J8" s="655"/>
      <c r="K8" s="655"/>
    </row>
    <row r="9" spans="1:11" s="2" customFormat="1" ht="16.95" customHeight="1" thickBot="1" x14ac:dyDescent="0.35">
      <c r="A9" s="643" t="s">
        <v>172</v>
      </c>
      <c r="B9" s="646" t="s">
        <v>3</v>
      </c>
      <c r="C9" s="649" t="s">
        <v>4</v>
      </c>
      <c r="D9" s="649" t="s">
        <v>126</v>
      </c>
      <c r="E9" s="652" t="s">
        <v>5</v>
      </c>
      <c r="F9" s="848" t="s">
        <v>173</v>
      </c>
      <c r="G9" s="851" t="s">
        <v>174</v>
      </c>
      <c r="H9" s="661" t="s">
        <v>6</v>
      </c>
      <c r="I9" s="658" t="s">
        <v>242</v>
      </c>
      <c r="J9" s="656" t="s">
        <v>7</v>
      </c>
      <c r="K9" s="657"/>
    </row>
    <row r="10" spans="1:11" s="2" customFormat="1" ht="17.25" customHeight="1" x14ac:dyDescent="0.3">
      <c r="A10" s="644"/>
      <c r="B10" s="647"/>
      <c r="C10" s="650"/>
      <c r="D10" s="650"/>
      <c r="E10" s="653"/>
      <c r="F10" s="849"/>
      <c r="G10" s="852"/>
      <c r="H10" s="662"/>
      <c r="I10" s="659"/>
      <c r="J10" s="846" t="s">
        <v>5</v>
      </c>
      <c r="K10" s="469" t="s">
        <v>167</v>
      </c>
    </row>
    <row r="11" spans="1:11" s="2" customFormat="1" ht="95.25" customHeight="1" thickBot="1" x14ac:dyDescent="0.35">
      <c r="A11" s="645"/>
      <c r="B11" s="648"/>
      <c r="C11" s="651"/>
      <c r="D11" s="651"/>
      <c r="E11" s="654"/>
      <c r="F11" s="850"/>
      <c r="G11" s="853"/>
      <c r="H11" s="663"/>
      <c r="I11" s="660"/>
      <c r="J11" s="847"/>
      <c r="K11" s="406" t="s">
        <v>175</v>
      </c>
    </row>
    <row r="12" spans="1:11" s="1" customFormat="1" ht="18" customHeight="1" x14ac:dyDescent="0.3">
      <c r="A12" s="666" t="s">
        <v>8</v>
      </c>
      <c r="B12" s="667"/>
      <c r="C12" s="667"/>
      <c r="D12" s="667"/>
      <c r="E12" s="667"/>
      <c r="F12" s="667"/>
      <c r="G12" s="667"/>
      <c r="H12" s="667"/>
      <c r="I12" s="667"/>
      <c r="J12" s="667"/>
      <c r="K12" s="421"/>
    </row>
    <row r="13" spans="1:11" s="1" customFormat="1" ht="16.95" customHeight="1" x14ac:dyDescent="0.3">
      <c r="A13" s="854" t="s">
        <v>9</v>
      </c>
      <c r="B13" s="855"/>
      <c r="C13" s="855"/>
      <c r="D13" s="855"/>
      <c r="E13" s="855"/>
      <c r="F13" s="855"/>
      <c r="G13" s="855"/>
      <c r="H13" s="855"/>
      <c r="I13" s="855"/>
      <c r="J13" s="855"/>
      <c r="K13" s="204"/>
    </row>
    <row r="14" spans="1:11" s="2" customFormat="1" ht="16.95" customHeight="1" x14ac:dyDescent="0.3">
      <c r="A14" s="163" t="s">
        <v>10</v>
      </c>
      <c r="B14" s="159" t="s">
        <v>11</v>
      </c>
      <c r="C14" s="158"/>
      <c r="D14" s="158"/>
      <c r="E14" s="158"/>
      <c r="F14" s="289"/>
      <c r="G14" s="158"/>
      <c r="H14" s="158"/>
      <c r="I14" s="158"/>
      <c r="J14" s="158"/>
      <c r="K14" s="433"/>
    </row>
    <row r="15" spans="1:11" s="2" customFormat="1" ht="28.2" customHeight="1" thickBot="1" x14ac:dyDescent="0.35">
      <c r="A15" s="36" t="s">
        <v>10</v>
      </c>
      <c r="B15" s="56" t="s">
        <v>10</v>
      </c>
      <c r="C15" s="664" t="s">
        <v>12</v>
      </c>
      <c r="D15" s="665"/>
      <c r="E15" s="665"/>
      <c r="F15" s="665"/>
      <c r="G15" s="665"/>
      <c r="H15" s="665"/>
      <c r="I15" s="665"/>
      <c r="J15" s="665"/>
      <c r="K15" s="422"/>
    </row>
    <row r="16" spans="1:11" s="2" customFormat="1" ht="27.75" customHeight="1" x14ac:dyDescent="0.3">
      <c r="A16" s="372" t="s">
        <v>10</v>
      </c>
      <c r="B16" s="5" t="s">
        <v>10</v>
      </c>
      <c r="C16" s="343" t="s">
        <v>10</v>
      </c>
      <c r="D16" s="323"/>
      <c r="E16" s="324" t="s">
        <v>221</v>
      </c>
      <c r="F16" s="325"/>
      <c r="G16" s="322"/>
      <c r="H16" s="319"/>
      <c r="I16" s="321"/>
      <c r="J16" s="320"/>
      <c r="K16" s="321"/>
    </row>
    <row r="17" spans="1:11" s="2" customFormat="1" ht="15" customHeight="1" x14ac:dyDescent="0.3">
      <c r="A17" s="372"/>
      <c r="B17" s="5"/>
      <c r="C17" s="343"/>
      <c r="D17" s="856" t="s">
        <v>10</v>
      </c>
      <c r="E17" s="624" t="s">
        <v>14</v>
      </c>
      <c r="F17" s="594" t="s">
        <v>178</v>
      </c>
      <c r="G17" s="622" t="s">
        <v>134</v>
      </c>
      <c r="H17" s="562" t="s">
        <v>155</v>
      </c>
      <c r="I17" s="327">
        <f>1649.5+100+30.2</f>
        <v>1779.7</v>
      </c>
      <c r="J17" s="844" t="s">
        <v>206</v>
      </c>
      <c r="K17" s="394">
        <v>1360</v>
      </c>
    </row>
    <row r="18" spans="1:11" s="2" customFormat="1" ht="15" customHeight="1" x14ac:dyDescent="0.3">
      <c r="A18" s="571"/>
      <c r="B18" s="5"/>
      <c r="C18" s="343"/>
      <c r="D18" s="856"/>
      <c r="E18" s="624"/>
      <c r="F18" s="594"/>
      <c r="G18" s="623"/>
      <c r="H18" s="562" t="s">
        <v>15</v>
      </c>
      <c r="I18" s="327">
        <v>281.8</v>
      </c>
      <c r="J18" s="844"/>
      <c r="K18" s="570"/>
    </row>
    <row r="19" spans="1:11" s="2" customFormat="1" ht="15" customHeight="1" x14ac:dyDescent="0.3">
      <c r="A19" s="372"/>
      <c r="B19" s="5"/>
      <c r="C19" s="343"/>
      <c r="D19" s="856"/>
      <c r="E19" s="624"/>
      <c r="F19" s="594"/>
      <c r="G19" s="623"/>
      <c r="H19" s="89" t="s">
        <v>13</v>
      </c>
      <c r="I19" s="457">
        <f>39.4+63.3+47.5+52</f>
        <v>202.2</v>
      </c>
      <c r="J19" s="845"/>
      <c r="K19" s="359"/>
    </row>
    <row r="20" spans="1:11" s="2" customFormat="1" ht="15.75" customHeight="1" x14ac:dyDescent="0.3">
      <c r="A20" s="372"/>
      <c r="B20" s="5"/>
      <c r="C20" s="343"/>
      <c r="D20" s="856"/>
      <c r="E20" s="624"/>
      <c r="F20" s="594"/>
      <c r="G20" s="623"/>
      <c r="H20" s="562" t="s">
        <v>155</v>
      </c>
      <c r="I20" s="327">
        <f>2728.2+313.5-90.8</f>
        <v>2950.8999999999996</v>
      </c>
      <c r="J20" s="641" t="s">
        <v>16</v>
      </c>
      <c r="K20" s="358">
        <v>7221</v>
      </c>
    </row>
    <row r="21" spans="1:11" s="2" customFormat="1" ht="12" customHeight="1" x14ac:dyDescent="0.3">
      <c r="A21" s="372"/>
      <c r="B21" s="5"/>
      <c r="C21" s="343"/>
      <c r="D21" s="856"/>
      <c r="E21" s="624"/>
      <c r="F21" s="594"/>
      <c r="G21" s="249"/>
      <c r="H21" s="447" t="s">
        <v>13</v>
      </c>
      <c r="I21" s="341">
        <f>0.7+8.2+0.8</f>
        <v>9.6999999999999993</v>
      </c>
      <c r="J21" s="642"/>
      <c r="K21" s="359"/>
    </row>
    <row r="22" spans="1:11" s="2" customFormat="1" ht="27.75" customHeight="1" x14ac:dyDescent="0.3">
      <c r="A22" s="372"/>
      <c r="B22" s="5"/>
      <c r="C22" s="343"/>
      <c r="D22" s="856"/>
      <c r="E22" s="624"/>
      <c r="F22" s="594"/>
      <c r="G22" s="250"/>
      <c r="H22" s="46" t="s">
        <v>155</v>
      </c>
      <c r="I22" s="458">
        <f>335.4+90.8</f>
        <v>426.2</v>
      </c>
      <c r="J22" s="449" t="s">
        <v>207</v>
      </c>
      <c r="K22" s="358">
        <v>70</v>
      </c>
    </row>
    <row r="23" spans="1:11" s="2" customFormat="1" ht="27" customHeight="1" x14ac:dyDescent="0.3">
      <c r="A23" s="372"/>
      <c r="B23" s="5"/>
      <c r="C23" s="343"/>
      <c r="D23" s="856"/>
      <c r="E23" s="624"/>
      <c r="F23" s="594"/>
      <c r="G23" s="250"/>
      <c r="H23" s="147" t="s">
        <v>13</v>
      </c>
      <c r="I23" s="458">
        <f>1045.4+0.8-87.5-96.7-7</f>
        <v>855</v>
      </c>
      <c r="J23" s="450" t="s">
        <v>208</v>
      </c>
      <c r="K23" s="245">
        <v>4</v>
      </c>
    </row>
    <row r="24" spans="1:11" s="2" customFormat="1" ht="26.25" customHeight="1" x14ac:dyDescent="0.3">
      <c r="A24" s="372"/>
      <c r="B24" s="5"/>
      <c r="C24" s="343"/>
      <c r="D24" s="856"/>
      <c r="E24" s="624"/>
      <c r="F24" s="594"/>
      <c r="G24" s="251"/>
      <c r="H24" s="83"/>
      <c r="I24" s="128"/>
      <c r="J24" s="451" t="s">
        <v>72</v>
      </c>
      <c r="K24" s="245">
        <v>170</v>
      </c>
    </row>
    <row r="25" spans="1:11" s="2" customFormat="1" ht="27.75" customHeight="1" x14ac:dyDescent="0.3">
      <c r="A25" s="372"/>
      <c r="B25" s="5"/>
      <c r="C25" s="343"/>
      <c r="D25" s="856"/>
      <c r="E25" s="624"/>
      <c r="F25" s="261"/>
      <c r="G25" s="386" t="s">
        <v>145</v>
      </c>
      <c r="H25" s="47" t="s">
        <v>13</v>
      </c>
      <c r="I25" s="327">
        <f>473.8+317.5+459.1+515.3+442.5</f>
        <v>2208.1999999999998</v>
      </c>
      <c r="J25" s="614" t="s">
        <v>73</v>
      </c>
      <c r="K25" s="358">
        <v>1011</v>
      </c>
    </row>
    <row r="26" spans="1:11" s="2" customFormat="1" ht="13.5" customHeight="1" x14ac:dyDescent="0.3">
      <c r="A26" s="372"/>
      <c r="B26" s="5"/>
      <c r="C26" s="343"/>
      <c r="D26" s="691"/>
      <c r="E26" s="625"/>
      <c r="F26" s="178"/>
      <c r="G26" s="251"/>
      <c r="H26" s="85" t="s">
        <v>17</v>
      </c>
      <c r="I26" s="459">
        <f>SUM(I17:I25)</f>
        <v>8713.6999999999989</v>
      </c>
      <c r="J26" s="615"/>
      <c r="K26" s="359"/>
    </row>
    <row r="27" spans="1:11" s="2" customFormat="1" ht="42" customHeight="1" x14ac:dyDescent="0.3">
      <c r="A27" s="372"/>
      <c r="B27" s="5"/>
      <c r="C27" s="343"/>
      <c r="D27" s="179" t="s">
        <v>24</v>
      </c>
      <c r="E27" s="361" t="s">
        <v>18</v>
      </c>
      <c r="F27" s="356" t="s">
        <v>178</v>
      </c>
      <c r="G27" s="250" t="s">
        <v>134</v>
      </c>
      <c r="H27" s="86" t="s">
        <v>13</v>
      </c>
      <c r="I27" s="128">
        <f>1079.7+2022.4+1859.5+613+542.1</f>
        <v>6116.7000000000007</v>
      </c>
      <c r="J27" s="363" t="s">
        <v>127</v>
      </c>
      <c r="K27" s="394">
        <v>723</v>
      </c>
    </row>
    <row r="28" spans="1:11" s="2" customFormat="1" ht="42" customHeight="1" x14ac:dyDescent="0.3">
      <c r="A28" s="372"/>
      <c r="B28" s="5"/>
      <c r="C28" s="343"/>
      <c r="D28" s="179"/>
      <c r="E28" s="361"/>
      <c r="F28" s="616" t="s">
        <v>179</v>
      </c>
      <c r="G28" s="250"/>
      <c r="H28" s="86" t="s">
        <v>13</v>
      </c>
      <c r="I28" s="121">
        <f>1031.8-454+293.7+160.3</f>
        <v>1031.8</v>
      </c>
      <c r="J28" s="452" t="s">
        <v>128</v>
      </c>
      <c r="K28" s="358">
        <v>65</v>
      </c>
    </row>
    <row r="29" spans="1:11" s="2" customFormat="1" ht="40.5" customHeight="1" x14ac:dyDescent="0.3">
      <c r="A29" s="372"/>
      <c r="B29" s="5"/>
      <c r="C29" s="343"/>
      <c r="D29" s="179"/>
      <c r="E29" s="361"/>
      <c r="F29" s="616"/>
      <c r="G29" s="250"/>
      <c r="H29" s="86" t="s">
        <v>13</v>
      </c>
      <c r="I29" s="128">
        <f>1818.6-800.2+517.7+263.5</f>
        <v>1799.6</v>
      </c>
      <c r="J29" s="418" t="s">
        <v>159</v>
      </c>
      <c r="K29" s="245">
        <v>123</v>
      </c>
    </row>
    <row r="30" spans="1:11" s="2" customFormat="1" ht="39" customHeight="1" x14ac:dyDescent="0.3">
      <c r="A30" s="372"/>
      <c r="B30" s="5"/>
      <c r="C30" s="343"/>
      <c r="D30" s="179"/>
      <c r="E30" s="361"/>
      <c r="F30" s="262"/>
      <c r="G30" s="250"/>
      <c r="H30" s="86" t="s">
        <v>13</v>
      </c>
      <c r="I30" s="121">
        <f>322-141.7+91.7+50</f>
        <v>322</v>
      </c>
      <c r="J30" s="393" t="s">
        <v>129</v>
      </c>
      <c r="K30" s="359">
        <v>32</v>
      </c>
    </row>
    <row r="31" spans="1:11" s="2" customFormat="1" ht="28.5" customHeight="1" x14ac:dyDescent="0.3">
      <c r="A31" s="372"/>
      <c r="B31" s="5"/>
      <c r="C31" s="343"/>
      <c r="D31" s="179"/>
      <c r="E31" s="361"/>
      <c r="F31" s="262"/>
      <c r="G31" s="250"/>
      <c r="H31" s="86" t="s">
        <v>13</v>
      </c>
      <c r="I31" s="120">
        <f>598.1-263.2+170.3+72.7</f>
        <v>577.90000000000009</v>
      </c>
      <c r="J31" s="452" t="s">
        <v>160</v>
      </c>
      <c r="K31" s="359">
        <v>35</v>
      </c>
    </row>
    <row r="32" spans="1:11" s="2" customFormat="1" ht="32.25" customHeight="1" x14ac:dyDescent="0.3">
      <c r="A32" s="372"/>
      <c r="B32" s="5"/>
      <c r="C32" s="343"/>
      <c r="D32" s="179"/>
      <c r="E32" s="361"/>
      <c r="F32" s="262"/>
      <c r="G32" s="250"/>
      <c r="H32" s="86" t="s">
        <v>13</v>
      </c>
      <c r="I32" s="120">
        <f>52.7-23.2+15+8.2</f>
        <v>52.7</v>
      </c>
      <c r="J32" s="617" t="s">
        <v>130</v>
      </c>
      <c r="K32" s="358">
        <v>8</v>
      </c>
    </row>
    <row r="33" spans="1:11" s="2" customFormat="1" ht="16.5" customHeight="1" x14ac:dyDescent="0.3">
      <c r="A33" s="372"/>
      <c r="B33" s="5"/>
      <c r="C33" s="343"/>
      <c r="D33" s="179"/>
      <c r="E33" s="362"/>
      <c r="F33" s="263"/>
      <c r="G33" s="250"/>
      <c r="H33" s="87" t="s">
        <v>17</v>
      </c>
      <c r="I33" s="459">
        <f t="shared" ref="I33" si="0">SUM(I27:I32)</f>
        <v>9900.7000000000007</v>
      </c>
      <c r="J33" s="618"/>
      <c r="K33" s="359"/>
    </row>
    <row r="34" spans="1:11" s="2" customFormat="1" ht="18" customHeight="1" x14ac:dyDescent="0.3">
      <c r="A34" s="372"/>
      <c r="B34" s="5"/>
      <c r="C34" s="343"/>
      <c r="D34" s="379" t="s">
        <v>26</v>
      </c>
      <c r="E34" s="612" t="s">
        <v>19</v>
      </c>
      <c r="F34" s="356" t="s">
        <v>178</v>
      </c>
      <c r="G34" s="250"/>
      <c r="H34" s="77" t="s">
        <v>13</v>
      </c>
      <c r="I34" s="121">
        <f>1360.4-340.1+220+120.1</f>
        <v>1360.4</v>
      </c>
      <c r="J34" s="167" t="s">
        <v>235</v>
      </c>
      <c r="K34" s="245">
        <v>53</v>
      </c>
    </row>
    <row r="35" spans="1:11" s="2" customFormat="1" ht="19.5" customHeight="1" x14ac:dyDescent="0.3">
      <c r="A35" s="372"/>
      <c r="B35" s="5"/>
      <c r="C35" s="343"/>
      <c r="D35" s="179"/>
      <c r="E35" s="612"/>
      <c r="F35" s="356"/>
      <c r="G35" s="250"/>
      <c r="H35" s="77" t="s">
        <v>13</v>
      </c>
      <c r="I35" s="128">
        <f>272-242</f>
        <v>30</v>
      </c>
      <c r="J35" s="676" t="s">
        <v>236</v>
      </c>
      <c r="K35" s="394">
        <v>14</v>
      </c>
    </row>
    <row r="36" spans="1:11" s="2" customFormat="1" ht="15" customHeight="1" x14ac:dyDescent="0.3">
      <c r="A36" s="372"/>
      <c r="B36" s="5"/>
      <c r="C36" s="343"/>
      <c r="D36" s="179"/>
      <c r="E36" s="621"/>
      <c r="F36" s="176"/>
      <c r="G36" s="250"/>
      <c r="H36" s="87" t="s">
        <v>17</v>
      </c>
      <c r="I36" s="459">
        <f>SUM(I34:I35)</f>
        <v>1390.4</v>
      </c>
      <c r="J36" s="677"/>
      <c r="K36" s="359"/>
    </row>
    <row r="37" spans="1:11" s="2" customFormat="1" ht="23.25" customHeight="1" x14ac:dyDescent="0.3">
      <c r="A37" s="372"/>
      <c r="B37" s="5"/>
      <c r="C37" s="343"/>
      <c r="D37" s="379" t="s">
        <v>28</v>
      </c>
      <c r="E37" s="612" t="s">
        <v>20</v>
      </c>
      <c r="F37" s="407" t="s">
        <v>178</v>
      </c>
      <c r="G37" s="250"/>
      <c r="H37" s="84" t="s">
        <v>13</v>
      </c>
      <c r="I37" s="128">
        <f>2582.2+71.3+72.8+40.6-75.7</f>
        <v>2691.2000000000003</v>
      </c>
      <c r="J37" s="609" t="s">
        <v>21</v>
      </c>
      <c r="K37" s="434">
        <v>7000</v>
      </c>
    </row>
    <row r="38" spans="1:11" s="2" customFormat="1" ht="16.5" customHeight="1" x14ac:dyDescent="0.3">
      <c r="A38" s="372"/>
      <c r="B38" s="5"/>
      <c r="C38" s="343"/>
      <c r="D38" s="179"/>
      <c r="E38" s="612"/>
      <c r="F38" s="381" t="s">
        <v>179</v>
      </c>
      <c r="G38" s="250"/>
      <c r="H38" s="87" t="s">
        <v>17</v>
      </c>
      <c r="I38" s="306">
        <f t="shared" ref="I38" si="1">+I37</f>
        <v>2691.2000000000003</v>
      </c>
      <c r="J38" s="609"/>
      <c r="K38" s="359">
        <v>1100</v>
      </c>
    </row>
    <row r="39" spans="1:11" s="2" customFormat="1" ht="16.95" customHeight="1" x14ac:dyDescent="0.3">
      <c r="A39" s="634"/>
      <c r="B39" s="628"/>
      <c r="C39" s="352"/>
      <c r="D39" s="180" t="s">
        <v>29</v>
      </c>
      <c r="E39" s="680" t="s">
        <v>22</v>
      </c>
      <c r="F39" s="407" t="s">
        <v>178</v>
      </c>
      <c r="G39" s="252"/>
      <c r="H39" s="116" t="s">
        <v>15</v>
      </c>
      <c r="I39" s="120">
        <v>584.29999999999995</v>
      </c>
      <c r="J39" s="729" t="s">
        <v>74</v>
      </c>
      <c r="K39" s="358">
        <v>6429</v>
      </c>
    </row>
    <row r="40" spans="1:11" s="2" customFormat="1" ht="7.5" customHeight="1" x14ac:dyDescent="0.3">
      <c r="A40" s="634"/>
      <c r="B40" s="628"/>
      <c r="C40" s="352"/>
      <c r="D40" s="181"/>
      <c r="E40" s="612"/>
      <c r="F40" s="731" t="s">
        <v>179</v>
      </c>
      <c r="G40" s="252"/>
      <c r="H40" s="77"/>
      <c r="I40" s="128"/>
      <c r="J40" s="730"/>
      <c r="K40" s="394"/>
    </row>
    <row r="41" spans="1:11" s="2" customFormat="1" ht="15" customHeight="1" x14ac:dyDescent="0.3">
      <c r="A41" s="634"/>
      <c r="B41" s="628"/>
      <c r="C41" s="352"/>
      <c r="D41" s="182"/>
      <c r="E41" s="621"/>
      <c r="F41" s="706"/>
      <c r="G41" s="252"/>
      <c r="H41" s="88" t="s">
        <v>17</v>
      </c>
      <c r="I41" s="459">
        <f t="shared" ref="I41" si="2">SUM(I39:I40)</f>
        <v>584.29999999999995</v>
      </c>
      <c r="J41" s="453"/>
      <c r="K41" s="156"/>
    </row>
    <row r="42" spans="1:11" s="1" customFormat="1" ht="15.75" customHeight="1" x14ac:dyDescent="0.3">
      <c r="A42" s="372"/>
      <c r="B42" s="373"/>
      <c r="C42" s="352"/>
      <c r="D42" s="180" t="s">
        <v>38</v>
      </c>
      <c r="E42" s="612" t="s">
        <v>111</v>
      </c>
      <c r="F42" s="407" t="s">
        <v>131</v>
      </c>
      <c r="G42" s="252"/>
      <c r="H42" s="72" t="s">
        <v>155</v>
      </c>
      <c r="I42" s="327">
        <f>148.8-12</f>
        <v>136.80000000000001</v>
      </c>
      <c r="J42" s="537" t="s">
        <v>119</v>
      </c>
      <c r="K42" s="358">
        <v>14</v>
      </c>
    </row>
    <row r="43" spans="1:11" s="1" customFormat="1" ht="15" customHeight="1" x14ac:dyDescent="0.3">
      <c r="A43" s="372"/>
      <c r="B43" s="373"/>
      <c r="C43" s="352"/>
      <c r="D43" s="181"/>
      <c r="E43" s="612"/>
      <c r="F43" s="407" t="s">
        <v>179</v>
      </c>
      <c r="G43" s="252"/>
      <c r="H43" s="49" t="s">
        <v>155</v>
      </c>
      <c r="I43" s="457">
        <f>95.8-17</f>
        <v>78.8</v>
      </c>
      <c r="J43" s="734"/>
      <c r="K43" s="394"/>
    </row>
    <row r="44" spans="1:11" s="1" customFormat="1" ht="15.75" customHeight="1" x14ac:dyDescent="0.3">
      <c r="A44" s="372"/>
      <c r="B44" s="373"/>
      <c r="C44" s="352"/>
      <c r="D44" s="182"/>
      <c r="E44" s="621"/>
      <c r="F44" s="381" t="s">
        <v>178</v>
      </c>
      <c r="G44" s="252"/>
      <c r="H44" s="85" t="s">
        <v>17</v>
      </c>
      <c r="I44" s="301">
        <f t="shared" ref="I44" si="3">SUM(I42:I43)</f>
        <v>215.60000000000002</v>
      </c>
      <c r="J44" s="735"/>
      <c r="K44" s="157"/>
    </row>
    <row r="45" spans="1:11" s="1" customFormat="1" ht="40.5" customHeight="1" x14ac:dyDescent="0.3">
      <c r="A45" s="372"/>
      <c r="B45" s="373"/>
      <c r="C45" s="352"/>
      <c r="D45" s="416" t="s">
        <v>39</v>
      </c>
      <c r="E45" s="619" t="s">
        <v>165</v>
      </c>
      <c r="F45" s="527" t="s">
        <v>178</v>
      </c>
      <c r="G45" s="506"/>
      <c r="H45" s="508"/>
      <c r="I45" s="460"/>
      <c r="J45" s="175" t="s">
        <v>97</v>
      </c>
      <c r="K45" s="155">
        <v>3200</v>
      </c>
    </row>
    <row r="46" spans="1:11" s="1" customFormat="1" ht="15.75" customHeight="1" x14ac:dyDescent="0.3">
      <c r="A46" s="526"/>
      <c r="B46" s="524"/>
      <c r="C46" s="525"/>
      <c r="D46" s="515"/>
      <c r="E46" s="620"/>
      <c r="F46" s="176"/>
      <c r="G46" s="506"/>
      <c r="H46" s="300" t="s">
        <v>17</v>
      </c>
      <c r="I46" s="306">
        <f>I45</f>
        <v>0</v>
      </c>
      <c r="J46" s="536"/>
      <c r="K46" s="157"/>
    </row>
    <row r="47" spans="1:11" s="1" customFormat="1" ht="15.75" customHeight="1" x14ac:dyDescent="0.3">
      <c r="A47" s="486"/>
      <c r="B47" s="484"/>
      <c r="C47" s="485"/>
      <c r="D47" s="487" t="s">
        <v>68</v>
      </c>
      <c r="E47" s="619" t="s">
        <v>248</v>
      </c>
      <c r="F47" s="424" t="s">
        <v>178</v>
      </c>
      <c r="G47" s="506"/>
      <c r="H47" s="28" t="s">
        <v>253</v>
      </c>
      <c r="I47" s="120">
        <v>0.1</v>
      </c>
      <c r="J47" s="95" t="s">
        <v>249</v>
      </c>
      <c r="K47" s="156">
        <v>24</v>
      </c>
    </row>
    <row r="48" spans="1:11" s="1" customFormat="1" ht="15" customHeight="1" x14ac:dyDescent="0.3">
      <c r="A48" s="494"/>
      <c r="B48" s="495"/>
      <c r="C48" s="491"/>
      <c r="D48" s="496"/>
      <c r="E48" s="728"/>
      <c r="F48" s="424"/>
      <c r="G48" s="489"/>
      <c r="H48" s="28" t="s">
        <v>92</v>
      </c>
      <c r="I48" s="120">
        <v>80.3</v>
      </c>
      <c r="J48" s="95"/>
      <c r="K48" s="156"/>
    </row>
    <row r="49" spans="1:13" s="1" customFormat="1" ht="15.75" customHeight="1" x14ac:dyDescent="0.3">
      <c r="A49" s="494"/>
      <c r="B49" s="495"/>
      <c r="C49" s="491"/>
      <c r="D49" s="496"/>
      <c r="E49" s="728"/>
      <c r="F49" s="424"/>
      <c r="G49" s="506"/>
      <c r="H49" s="28" t="s">
        <v>251</v>
      </c>
      <c r="I49" s="121">
        <v>1.1000000000000001</v>
      </c>
      <c r="J49" s="95"/>
      <c r="K49" s="156"/>
    </row>
    <row r="50" spans="1:13" s="1" customFormat="1" ht="14.25" customHeight="1" x14ac:dyDescent="0.3">
      <c r="A50" s="494"/>
      <c r="B50" s="495"/>
      <c r="C50" s="491"/>
      <c r="D50" s="566"/>
      <c r="E50" s="728"/>
      <c r="F50" s="176"/>
      <c r="G50" s="507"/>
      <c r="H50" s="509" t="s">
        <v>17</v>
      </c>
      <c r="I50" s="459">
        <f>SUM(I47:I49)</f>
        <v>81.499999999999986</v>
      </c>
      <c r="J50" s="567"/>
      <c r="K50" s="156"/>
    </row>
    <row r="51" spans="1:13" s="1" customFormat="1" ht="15" customHeight="1" thickBot="1" x14ac:dyDescent="0.35">
      <c r="A51" s="399"/>
      <c r="B51" s="401"/>
      <c r="C51" s="353"/>
      <c r="D51" s="565"/>
      <c r="E51" s="528"/>
      <c r="F51" s="732" t="s">
        <v>23</v>
      </c>
      <c r="G51" s="733"/>
      <c r="H51" s="733"/>
      <c r="I51" s="464">
        <f>+I41+I38+I36+I33+I26+I44+I50+I46</f>
        <v>23577.399999999998</v>
      </c>
      <c r="J51" s="568"/>
      <c r="K51" s="239"/>
    </row>
    <row r="52" spans="1:13" s="2" customFormat="1" ht="40.5" customHeight="1" x14ac:dyDescent="0.3">
      <c r="A52" s="633" t="s">
        <v>10</v>
      </c>
      <c r="B52" s="627" t="s">
        <v>10</v>
      </c>
      <c r="C52" s="738" t="s">
        <v>24</v>
      </c>
      <c r="D52" s="184"/>
      <c r="E52" s="611" t="s">
        <v>234</v>
      </c>
      <c r="F52" s="736" t="s">
        <v>178</v>
      </c>
      <c r="G52" s="296" t="s">
        <v>134</v>
      </c>
      <c r="H52" s="42" t="s">
        <v>25</v>
      </c>
      <c r="I52" s="461">
        <f>10700.9+14.3+20.6+25.1</f>
        <v>10760.9</v>
      </c>
      <c r="J52" s="80" t="s">
        <v>120</v>
      </c>
      <c r="K52" s="435">
        <v>4269</v>
      </c>
    </row>
    <row r="53" spans="1:13" s="2" customFormat="1" ht="16.5" customHeight="1" thickBot="1" x14ac:dyDescent="0.35">
      <c r="A53" s="635"/>
      <c r="B53" s="629"/>
      <c r="C53" s="739"/>
      <c r="D53" s="183"/>
      <c r="E53" s="613"/>
      <c r="F53" s="737"/>
      <c r="G53" s="113"/>
      <c r="H53" s="30" t="s">
        <v>17</v>
      </c>
      <c r="I53" s="65">
        <f t="shared" ref="I53" si="4">+I52</f>
        <v>10760.9</v>
      </c>
      <c r="J53" s="81"/>
      <c r="K53" s="239"/>
    </row>
    <row r="54" spans="1:13" s="2" customFormat="1" ht="18.75" customHeight="1" x14ac:dyDescent="0.3">
      <c r="A54" s="398" t="s">
        <v>10</v>
      </c>
      <c r="B54" s="4" t="s">
        <v>10</v>
      </c>
      <c r="C54" s="414" t="s">
        <v>26</v>
      </c>
      <c r="D54" s="184"/>
      <c r="E54" s="611" t="s">
        <v>27</v>
      </c>
      <c r="F54" s="408" t="s">
        <v>178</v>
      </c>
      <c r="G54" s="605" t="s">
        <v>134</v>
      </c>
      <c r="H54" s="24" t="s">
        <v>25</v>
      </c>
      <c r="I54" s="336">
        <f>36621.8+559.6+601.3</f>
        <v>37782.700000000004</v>
      </c>
      <c r="J54" s="591" t="s">
        <v>120</v>
      </c>
      <c r="K54" s="435">
        <v>33000</v>
      </c>
    </row>
    <row r="55" spans="1:13" s="2" customFormat="1" ht="16.5" customHeight="1" thickBot="1" x14ac:dyDescent="0.35">
      <c r="A55" s="399"/>
      <c r="B55" s="10"/>
      <c r="C55" s="415"/>
      <c r="D55" s="183"/>
      <c r="E55" s="613"/>
      <c r="F55" s="295"/>
      <c r="G55" s="607"/>
      <c r="H55" s="30" t="s">
        <v>17</v>
      </c>
      <c r="I55" s="306">
        <f t="shared" ref="I55" si="5">+I54</f>
        <v>37782.700000000004</v>
      </c>
      <c r="J55" s="592"/>
      <c r="K55" s="239"/>
    </row>
    <row r="56" spans="1:13" s="1" customFormat="1" ht="15" customHeight="1" x14ac:dyDescent="0.3">
      <c r="A56" s="633" t="s">
        <v>10</v>
      </c>
      <c r="B56" s="627" t="s">
        <v>10</v>
      </c>
      <c r="C56" s="630" t="s">
        <v>28</v>
      </c>
      <c r="D56" s="402"/>
      <c r="E56" s="602" t="s">
        <v>93</v>
      </c>
      <c r="F56" s="408" t="s">
        <v>178</v>
      </c>
      <c r="G56" s="605" t="s">
        <v>134</v>
      </c>
      <c r="H56" s="340" t="s">
        <v>15</v>
      </c>
      <c r="I56" s="461">
        <f>1455.4+100</f>
        <v>1555.4</v>
      </c>
      <c r="J56" s="608" t="s">
        <v>94</v>
      </c>
      <c r="K56" s="435">
        <v>980</v>
      </c>
      <c r="L56" s="803"/>
      <c r="M56" s="804"/>
    </row>
    <row r="57" spans="1:13" s="1" customFormat="1" ht="16.5" customHeight="1" x14ac:dyDescent="0.3">
      <c r="A57" s="634"/>
      <c r="B57" s="628"/>
      <c r="C57" s="631"/>
      <c r="D57" s="181"/>
      <c r="E57" s="603"/>
      <c r="F57" s="424"/>
      <c r="G57" s="606"/>
      <c r="H57" s="307" t="s">
        <v>90</v>
      </c>
      <c r="I57" s="128">
        <v>50</v>
      </c>
      <c r="J57" s="609"/>
      <c r="K57" s="156"/>
      <c r="L57" s="432"/>
      <c r="M57" s="339"/>
    </row>
    <row r="58" spans="1:13" s="1" customFormat="1" ht="15" customHeight="1" x14ac:dyDescent="0.25">
      <c r="A58" s="634"/>
      <c r="B58" s="628"/>
      <c r="C58" s="631"/>
      <c r="D58" s="181"/>
      <c r="E58" s="603"/>
      <c r="F58" s="292"/>
      <c r="G58" s="606"/>
      <c r="H58" s="28" t="s">
        <v>155</v>
      </c>
      <c r="I58" s="121">
        <v>69.5</v>
      </c>
      <c r="J58" s="609"/>
      <c r="K58" s="394"/>
      <c r="L58" s="636"/>
      <c r="M58" s="637"/>
    </row>
    <row r="59" spans="1:13" s="2" customFormat="1" ht="14.25" customHeight="1" thickBot="1" x14ac:dyDescent="0.35">
      <c r="A59" s="635"/>
      <c r="B59" s="629"/>
      <c r="C59" s="632"/>
      <c r="D59" s="403"/>
      <c r="E59" s="604"/>
      <c r="F59" s="295"/>
      <c r="G59" s="607"/>
      <c r="H59" s="30" t="s">
        <v>17</v>
      </c>
      <c r="I59" s="65">
        <f>SUM(I56:I58)</f>
        <v>1674.9</v>
      </c>
      <c r="J59" s="610"/>
      <c r="K59" s="247"/>
    </row>
    <row r="60" spans="1:13" s="1" customFormat="1" ht="29.25" customHeight="1" x14ac:dyDescent="0.3">
      <c r="A60" s="633" t="s">
        <v>10</v>
      </c>
      <c r="B60" s="627" t="s">
        <v>10</v>
      </c>
      <c r="C60" s="630" t="s">
        <v>29</v>
      </c>
      <c r="D60" s="402"/>
      <c r="E60" s="611" t="s">
        <v>106</v>
      </c>
      <c r="F60" s="408" t="s">
        <v>178</v>
      </c>
      <c r="G60" s="411" t="s">
        <v>134</v>
      </c>
      <c r="H60" s="50" t="s">
        <v>13</v>
      </c>
      <c r="I60" s="534">
        <f>437.3-6.9</f>
        <v>430.40000000000003</v>
      </c>
      <c r="J60" s="454" t="s">
        <v>105</v>
      </c>
      <c r="K60" s="154">
        <v>40</v>
      </c>
    </row>
    <row r="61" spans="1:13" s="1" customFormat="1" ht="21.75" customHeight="1" x14ac:dyDescent="0.3">
      <c r="A61" s="634"/>
      <c r="B61" s="628"/>
      <c r="C61" s="631"/>
      <c r="D61" s="181"/>
      <c r="E61" s="612"/>
      <c r="F61" s="292"/>
      <c r="G61" s="412"/>
      <c r="H61" s="51"/>
      <c r="I61" s="462"/>
      <c r="J61" s="626" t="s">
        <v>271</v>
      </c>
      <c r="K61" s="156">
        <v>210</v>
      </c>
    </row>
    <row r="62" spans="1:13" s="2" customFormat="1" ht="13.5" customHeight="1" thickBot="1" x14ac:dyDescent="0.35">
      <c r="A62" s="635"/>
      <c r="B62" s="629"/>
      <c r="C62" s="632"/>
      <c r="D62" s="403"/>
      <c r="E62" s="613"/>
      <c r="F62" s="295"/>
      <c r="G62" s="297"/>
      <c r="H62" s="30" t="s">
        <v>17</v>
      </c>
      <c r="I62" s="65">
        <f t="shared" ref="I62" si="6">+I60+I61</f>
        <v>430.40000000000003</v>
      </c>
      <c r="J62" s="601"/>
      <c r="K62" s="247"/>
    </row>
    <row r="63" spans="1:13" s="1" customFormat="1" ht="24" customHeight="1" x14ac:dyDescent="0.3">
      <c r="A63" s="633" t="s">
        <v>10</v>
      </c>
      <c r="B63" s="627" t="s">
        <v>10</v>
      </c>
      <c r="C63" s="692" t="s">
        <v>38</v>
      </c>
      <c r="D63" s="668"/>
      <c r="E63" s="611" t="s">
        <v>156</v>
      </c>
      <c r="F63" s="593" t="s">
        <v>178</v>
      </c>
      <c r="G63" s="596" t="s">
        <v>134</v>
      </c>
      <c r="H63" s="164" t="s">
        <v>13</v>
      </c>
      <c r="I63" s="463">
        <f>57.9+41.8</f>
        <v>99.699999999999989</v>
      </c>
      <c r="J63" s="599" t="s">
        <v>157</v>
      </c>
      <c r="K63" s="394">
        <v>5</v>
      </c>
    </row>
    <row r="64" spans="1:13" s="1" customFormat="1" ht="13.8" thickBot="1" x14ac:dyDescent="0.35">
      <c r="A64" s="635"/>
      <c r="B64" s="629"/>
      <c r="C64" s="694"/>
      <c r="D64" s="669"/>
      <c r="E64" s="613"/>
      <c r="F64" s="595"/>
      <c r="G64" s="598"/>
      <c r="H64" s="346" t="s">
        <v>17</v>
      </c>
      <c r="I64" s="129">
        <f t="shared" ref="I64" si="7">I63</f>
        <v>99.699999999999989</v>
      </c>
      <c r="J64" s="601"/>
      <c r="K64" s="247"/>
    </row>
    <row r="65" spans="1:11" s="1" customFormat="1" ht="19.5" customHeight="1" x14ac:dyDescent="0.3">
      <c r="A65" s="633" t="s">
        <v>10</v>
      </c>
      <c r="B65" s="627" t="s">
        <v>10</v>
      </c>
      <c r="C65" s="692" t="s">
        <v>39</v>
      </c>
      <c r="D65" s="402"/>
      <c r="E65" s="611" t="s">
        <v>176</v>
      </c>
      <c r="F65" s="355" t="s">
        <v>178</v>
      </c>
      <c r="G65" s="596" t="s">
        <v>134</v>
      </c>
      <c r="H65" s="307" t="s">
        <v>13</v>
      </c>
      <c r="I65" s="128">
        <f>300.8+95.9+126.7</f>
        <v>523.40000000000009</v>
      </c>
      <c r="J65" s="599" t="s">
        <v>177</v>
      </c>
      <c r="K65" s="395">
        <v>38</v>
      </c>
    </row>
    <row r="66" spans="1:11" s="2" customFormat="1" ht="16.5" customHeight="1" thickBot="1" x14ac:dyDescent="0.35">
      <c r="A66" s="635"/>
      <c r="B66" s="629"/>
      <c r="C66" s="694"/>
      <c r="D66" s="403"/>
      <c r="E66" s="613"/>
      <c r="F66" s="357" t="s">
        <v>179</v>
      </c>
      <c r="G66" s="598"/>
      <c r="H66" s="30" t="s">
        <v>17</v>
      </c>
      <c r="I66" s="65">
        <f>I65</f>
        <v>523.40000000000009</v>
      </c>
      <c r="J66" s="601"/>
      <c r="K66" s="396"/>
    </row>
    <row r="67" spans="1:11" s="2" customFormat="1" ht="16.5" customHeight="1" x14ac:dyDescent="0.3">
      <c r="A67" s="633" t="s">
        <v>10</v>
      </c>
      <c r="B67" s="627" t="s">
        <v>10</v>
      </c>
      <c r="C67" s="692" t="s">
        <v>68</v>
      </c>
      <c r="D67" s="695"/>
      <c r="E67" s="602" t="s">
        <v>213</v>
      </c>
      <c r="F67" s="593" t="s">
        <v>185</v>
      </c>
      <c r="G67" s="596" t="s">
        <v>134</v>
      </c>
      <c r="H67" s="201" t="s">
        <v>15</v>
      </c>
      <c r="I67" s="202">
        <v>54</v>
      </c>
      <c r="J67" s="599" t="s">
        <v>219</v>
      </c>
      <c r="K67" s="397">
        <v>100</v>
      </c>
    </row>
    <row r="68" spans="1:11" s="2" customFormat="1" ht="15" customHeight="1" x14ac:dyDescent="0.3">
      <c r="A68" s="634"/>
      <c r="B68" s="628"/>
      <c r="C68" s="693"/>
      <c r="D68" s="696"/>
      <c r="E68" s="603"/>
      <c r="F68" s="594"/>
      <c r="G68" s="597"/>
      <c r="H68" s="447" t="s">
        <v>13</v>
      </c>
      <c r="I68" s="341">
        <f>149.4-38.5-9.3</f>
        <v>101.60000000000001</v>
      </c>
      <c r="J68" s="600"/>
      <c r="K68" s="397"/>
    </row>
    <row r="69" spans="1:11" s="2" customFormat="1" ht="15.75" customHeight="1" thickBot="1" x14ac:dyDescent="0.35">
      <c r="A69" s="635"/>
      <c r="B69" s="629"/>
      <c r="C69" s="694"/>
      <c r="D69" s="697"/>
      <c r="E69" s="604"/>
      <c r="F69" s="595"/>
      <c r="G69" s="598"/>
      <c r="H69" s="139" t="s">
        <v>17</v>
      </c>
      <c r="I69" s="65">
        <f>I67+I68</f>
        <v>155.60000000000002</v>
      </c>
      <c r="J69" s="601"/>
      <c r="K69" s="396"/>
    </row>
    <row r="70" spans="1:11" s="2" customFormat="1" ht="25.5" customHeight="1" x14ac:dyDescent="0.3">
      <c r="A70" s="633" t="s">
        <v>10</v>
      </c>
      <c r="B70" s="627" t="s">
        <v>10</v>
      </c>
      <c r="C70" s="692" t="s">
        <v>205</v>
      </c>
      <c r="D70" s="329"/>
      <c r="E70" s="324" t="s">
        <v>226</v>
      </c>
      <c r="F70" s="355" t="s">
        <v>185</v>
      </c>
      <c r="G70" s="605" t="s">
        <v>134</v>
      </c>
      <c r="H70" s="201"/>
      <c r="I70" s="202"/>
      <c r="J70" s="467"/>
      <c r="K70" s="440"/>
    </row>
    <row r="71" spans="1:11" s="2" customFormat="1" ht="27" customHeight="1" x14ac:dyDescent="0.3">
      <c r="A71" s="634"/>
      <c r="B71" s="628"/>
      <c r="C71" s="693"/>
      <c r="D71" s="331" t="s">
        <v>10</v>
      </c>
      <c r="E71" s="330" t="s">
        <v>214</v>
      </c>
      <c r="F71" s="332"/>
      <c r="G71" s="606"/>
      <c r="H71" s="44" t="s">
        <v>15</v>
      </c>
      <c r="I71" s="327">
        <f>17.1-13.3</f>
        <v>3.8000000000000007</v>
      </c>
      <c r="J71" s="455" t="s">
        <v>215</v>
      </c>
      <c r="K71" s="243">
        <v>70</v>
      </c>
    </row>
    <row r="72" spans="1:11" s="2" customFormat="1" ht="17.25" customHeight="1" x14ac:dyDescent="0.3">
      <c r="A72" s="634"/>
      <c r="B72" s="628"/>
      <c r="C72" s="693"/>
      <c r="D72" s="404" t="s">
        <v>24</v>
      </c>
      <c r="E72" s="280" t="s">
        <v>225</v>
      </c>
      <c r="F72" s="332"/>
      <c r="G72" s="606"/>
      <c r="H72" s="44" t="s">
        <v>13</v>
      </c>
      <c r="I72" s="457">
        <v>61.7</v>
      </c>
      <c r="J72" s="626" t="s">
        <v>237</v>
      </c>
      <c r="K72" s="397">
        <v>2.5</v>
      </c>
    </row>
    <row r="73" spans="1:11" s="2" customFormat="1" ht="14.25" customHeight="1" thickBot="1" x14ac:dyDescent="0.35">
      <c r="A73" s="635"/>
      <c r="B73" s="629"/>
      <c r="C73" s="694"/>
      <c r="D73" s="328"/>
      <c r="E73" s="284"/>
      <c r="F73" s="333"/>
      <c r="G73" s="607"/>
      <c r="H73" s="139" t="s">
        <v>17</v>
      </c>
      <c r="I73" s="65">
        <f>I71+I72</f>
        <v>65.5</v>
      </c>
      <c r="J73" s="601"/>
      <c r="K73" s="396"/>
    </row>
    <row r="74" spans="1:11" s="2" customFormat="1" ht="18.75" customHeight="1" x14ac:dyDescent="0.3">
      <c r="A74" s="633" t="s">
        <v>10</v>
      </c>
      <c r="B74" s="627" t="s">
        <v>10</v>
      </c>
      <c r="C74" s="692" t="s">
        <v>216</v>
      </c>
      <c r="D74" s="695"/>
      <c r="E74" s="611" t="s">
        <v>204</v>
      </c>
      <c r="F74" s="593" t="s">
        <v>178</v>
      </c>
      <c r="G74" s="596" t="s">
        <v>134</v>
      </c>
      <c r="H74" s="44" t="s">
        <v>13</v>
      </c>
      <c r="I74" s="457">
        <v>0.2</v>
      </c>
      <c r="J74" s="599" t="s">
        <v>120</v>
      </c>
      <c r="K74" s="397">
        <v>1</v>
      </c>
    </row>
    <row r="75" spans="1:11" s="2" customFormat="1" ht="15" customHeight="1" thickBot="1" x14ac:dyDescent="0.35">
      <c r="A75" s="635"/>
      <c r="B75" s="629"/>
      <c r="C75" s="694"/>
      <c r="D75" s="697"/>
      <c r="E75" s="613"/>
      <c r="F75" s="595"/>
      <c r="G75" s="598"/>
      <c r="H75" s="139" t="s">
        <v>17</v>
      </c>
      <c r="I75" s="65">
        <f>I74</f>
        <v>0.2</v>
      </c>
      <c r="J75" s="601"/>
      <c r="K75" s="396"/>
    </row>
    <row r="76" spans="1:11" s="2" customFormat="1" ht="40.5" customHeight="1" x14ac:dyDescent="0.3">
      <c r="A76" s="633" t="s">
        <v>10</v>
      </c>
      <c r="B76" s="627" t="s">
        <v>10</v>
      </c>
      <c r="C76" s="692" t="s">
        <v>254</v>
      </c>
      <c r="D76" s="695"/>
      <c r="E76" s="707" t="s">
        <v>255</v>
      </c>
      <c r="F76" s="709" t="s">
        <v>178</v>
      </c>
      <c r="G76" s="711" t="s">
        <v>145</v>
      </c>
      <c r="H76" s="28" t="s">
        <v>13</v>
      </c>
      <c r="I76" s="461">
        <f>275.5+79.4+168.1+170.6+79+157.6+75.9</f>
        <v>1006.1</v>
      </c>
      <c r="J76" s="723" t="s">
        <v>257</v>
      </c>
      <c r="K76" s="510">
        <v>401</v>
      </c>
    </row>
    <row r="77" spans="1:11" s="2" customFormat="1" ht="15" customHeight="1" thickBot="1" x14ac:dyDescent="0.35">
      <c r="A77" s="635"/>
      <c r="B77" s="629"/>
      <c r="C77" s="694"/>
      <c r="D77" s="697"/>
      <c r="E77" s="708"/>
      <c r="F77" s="710"/>
      <c r="G77" s="712"/>
      <c r="H77" s="139" t="s">
        <v>17</v>
      </c>
      <c r="I77" s="65">
        <f>I76</f>
        <v>1006.1</v>
      </c>
      <c r="J77" s="724"/>
      <c r="K77" s="511"/>
    </row>
    <row r="78" spans="1:11" s="2" customFormat="1" ht="38.25" customHeight="1" x14ac:dyDescent="0.3">
      <c r="A78" s="633" t="s">
        <v>10</v>
      </c>
      <c r="B78" s="627" t="s">
        <v>10</v>
      </c>
      <c r="C78" s="692" t="s">
        <v>56</v>
      </c>
      <c r="D78" s="695"/>
      <c r="E78" s="707" t="s">
        <v>256</v>
      </c>
      <c r="F78" s="709" t="s">
        <v>178</v>
      </c>
      <c r="G78" s="711" t="s">
        <v>134</v>
      </c>
      <c r="H78" s="715" t="s">
        <v>13</v>
      </c>
      <c r="I78" s="721">
        <f>36.6+34.1+109+80.9+21.5+36.5+26</f>
        <v>344.6</v>
      </c>
      <c r="J78" s="512" t="s">
        <v>258</v>
      </c>
      <c r="K78" s="513">
        <v>949</v>
      </c>
    </row>
    <row r="79" spans="1:11" s="2" customFormat="1" ht="30.75" customHeight="1" x14ac:dyDescent="0.3">
      <c r="A79" s="634"/>
      <c r="B79" s="628"/>
      <c r="C79" s="693"/>
      <c r="D79" s="696"/>
      <c r="E79" s="728"/>
      <c r="F79" s="864"/>
      <c r="G79" s="865"/>
      <c r="H79" s="716"/>
      <c r="I79" s="722"/>
      <c r="J79" s="725" t="s">
        <v>259</v>
      </c>
      <c r="K79" s="510">
        <v>94</v>
      </c>
    </row>
    <row r="80" spans="1:11" s="2" customFormat="1" ht="15" customHeight="1" thickBot="1" x14ac:dyDescent="0.35">
      <c r="A80" s="635"/>
      <c r="B80" s="629"/>
      <c r="C80" s="694"/>
      <c r="D80" s="697"/>
      <c r="E80" s="708"/>
      <c r="F80" s="710"/>
      <c r="G80" s="712"/>
      <c r="H80" s="139" t="s">
        <v>17</v>
      </c>
      <c r="I80" s="65">
        <f>I78</f>
        <v>344.6</v>
      </c>
      <c r="J80" s="724"/>
      <c r="K80" s="511"/>
    </row>
    <row r="81" spans="1:13" s="1" customFormat="1" ht="16.5" customHeight="1" thickBot="1" x14ac:dyDescent="0.35">
      <c r="A81" s="33" t="s">
        <v>10</v>
      </c>
      <c r="B81" s="3" t="s">
        <v>10</v>
      </c>
      <c r="C81" s="717" t="s">
        <v>30</v>
      </c>
      <c r="D81" s="717"/>
      <c r="E81" s="718"/>
      <c r="F81" s="718"/>
      <c r="G81" s="719"/>
      <c r="H81" s="719"/>
      <c r="I81" s="465">
        <f>I59+I55+I53+I51+I62+I66+I64+I75+I73+I69+I77+I80</f>
        <v>76421.400000000009</v>
      </c>
      <c r="J81" s="388"/>
      <c r="K81" s="231"/>
    </row>
    <row r="82" spans="1:13" s="1" customFormat="1" ht="16.5" customHeight="1" thickBot="1" x14ac:dyDescent="0.35">
      <c r="A82" s="34" t="s">
        <v>10</v>
      </c>
      <c r="B82" s="3" t="s">
        <v>24</v>
      </c>
      <c r="C82" s="161" t="s">
        <v>31</v>
      </c>
      <c r="D82" s="160"/>
      <c r="E82" s="160"/>
      <c r="F82" s="230"/>
      <c r="G82" s="160"/>
      <c r="H82" s="160"/>
      <c r="I82" s="466"/>
      <c r="J82" s="160"/>
      <c r="K82" s="232"/>
    </row>
    <row r="83" spans="1:13" s="2" customFormat="1" ht="15" customHeight="1" x14ac:dyDescent="0.3">
      <c r="A83" s="372" t="s">
        <v>10</v>
      </c>
      <c r="B83" s="373" t="s">
        <v>24</v>
      </c>
      <c r="C83" s="149" t="s">
        <v>10</v>
      </c>
      <c r="D83" s="185"/>
      <c r="E83" s="720" t="s">
        <v>228</v>
      </c>
      <c r="F83" s="264"/>
      <c r="G83" s="701" t="s">
        <v>162</v>
      </c>
      <c r="H83" s="17"/>
      <c r="I83" s="546"/>
      <c r="J83" s="298"/>
      <c r="K83" s="435"/>
    </row>
    <row r="84" spans="1:13" s="2" customFormat="1" ht="12" customHeight="1" x14ac:dyDescent="0.3">
      <c r="A84" s="372"/>
      <c r="B84" s="373"/>
      <c r="C84" s="149"/>
      <c r="D84" s="185"/>
      <c r="E84" s="720"/>
      <c r="F84" s="188"/>
      <c r="G84" s="701"/>
      <c r="H84" s="89"/>
      <c r="I84" s="170"/>
      <c r="J84" s="95"/>
      <c r="K84" s="156"/>
    </row>
    <row r="85" spans="1:13" s="2" customFormat="1" ht="16.95" customHeight="1" x14ac:dyDescent="0.3">
      <c r="A85" s="372"/>
      <c r="B85" s="373"/>
      <c r="C85" s="352"/>
      <c r="D85" s="180" t="s">
        <v>10</v>
      </c>
      <c r="E85" s="698" t="s">
        <v>158</v>
      </c>
      <c r="F85" s="260" t="s">
        <v>178</v>
      </c>
      <c r="G85" s="701"/>
      <c r="H85" s="49" t="s">
        <v>15</v>
      </c>
      <c r="I85" s="127">
        <f>789.7-22.7</f>
        <v>767</v>
      </c>
      <c r="J85" s="812" t="s">
        <v>66</v>
      </c>
      <c r="K85" s="155">
        <v>82</v>
      </c>
    </row>
    <row r="86" spans="1:13" s="2" customFormat="1" ht="15.75" customHeight="1" x14ac:dyDescent="0.3">
      <c r="A86" s="372"/>
      <c r="B86" s="373"/>
      <c r="C86" s="352"/>
      <c r="D86" s="181"/>
      <c r="E86" s="684"/>
      <c r="F86" s="407" t="s">
        <v>179</v>
      </c>
      <c r="G86" s="701"/>
      <c r="H86" s="49" t="s">
        <v>155</v>
      </c>
      <c r="I86" s="125">
        <v>36.1</v>
      </c>
      <c r="J86" s="813"/>
      <c r="K86" s="394"/>
    </row>
    <row r="87" spans="1:13" s="2" customFormat="1" ht="16.95" customHeight="1" x14ac:dyDescent="0.3">
      <c r="A87" s="372"/>
      <c r="B87" s="373"/>
      <c r="C87" s="352"/>
      <c r="D87" s="181"/>
      <c r="E87" s="684"/>
      <c r="F87" s="264"/>
      <c r="G87" s="701"/>
      <c r="H87" s="44" t="s">
        <v>32</v>
      </c>
      <c r="I87" s="125">
        <f>460+63.5</f>
        <v>523.5</v>
      </c>
      <c r="J87" s="99"/>
      <c r="K87" s="394"/>
    </row>
    <row r="88" spans="1:13" s="2" customFormat="1" ht="15" customHeight="1" x14ac:dyDescent="0.3">
      <c r="A88" s="494"/>
      <c r="B88" s="495"/>
      <c r="C88" s="491"/>
      <c r="D88" s="181"/>
      <c r="E88" s="493"/>
      <c r="F88" s="264"/>
      <c r="G88" s="490"/>
      <c r="H88" s="72" t="s">
        <v>67</v>
      </c>
      <c r="I88" s="127">
        <v>31.5</v>
      </c>
      <c r="J88" s="99"/>
      <c r="K88" s="394"/>
    </row>
    <row r="89" spans="1:13" s="2" customFormat="1" ht="13.5" customHeight="1" x14ac:dyDescent="0.3">
      <c r="A89" s="494"/>
      <c r="B89" s="495"/>
      <c r="C89" s="491"/>
      <c r="D89" s="181"/>
      <c r="E89" s="493"/>
      <c r="F89" s="188"/>
      <c r="G89" s="490"/>
      <c r="H89" s="72" t="s">
        <v>13</v>
      </c>
      <c r="I89" s="127">
        <v>22.7</v>
      </c>
      <c r="J89" s="99"/>
      <c r="K89" s="394"/>
    </row>
    <row r="90" spans="1:13" s="2" customFormat="1" ht="15.6" customHeight="1" x14ac:dyDescent="0.3">
      <c r="A90" s="372"/>
      <c r="B90" s="373"/>
      <c r="C90" s="352"/>
      <c r="D90" s="180" t="s">
        <v>24</v>
      </c>
      <c r="E90" s="805" t="s">
        <v>201</v>
      </c>
      <c r="F90" s="407" t="s">
        <v>131</v>
      </c>
      <c r="G90" s="701" t="s">
        <v>163</v>
      </c>
      <c r="H90" s="72" t="s">
        <v>15</v>
      </c>
      <c r="I90" s="127">
        <f>1706-97.4</f>
        <v>1608.6</v>
      </c>
      <c r="J90" s="326" t="s">
        <v>121</v>
      </c>
      <c r="K90" s="358">
        <v>160</v>
      </c>
    </row>
    <row r="91" spans="1:13" s="2" customFormat="1" ht="15.6" customHeight="1" x14ac:dyDescent="0.3">
      <c r="A91" s="372"/>
      <c r="B91" s="373"/>
      <c r="C91" s="352"/>
      <c r="D91" s="181"/>
      <c r="E91" s="624"/>
      <c r="F91" s="407" t="s">
        <v>178</v>
      </c>
      <c r="G91" s="701"/>
      <c r="H91" s="72" t="s">
        <v>15</v>
      </c>
      <c r="I91" s="125">
        <v>3.4</v>
      </c>
      <c r="J91" s="456" t="s">
        <v>211</v>
      </c>
      <c r="K91" s="436">
        <v>1</v>
      </c>
      <c r="L91" s="806"/>
      <c r="M91" s="806"/>
    </row>
    <row r="92" spans="1:13" s="2" customFormat="1" ht="15.6" customHeight="1" x14ac:dyDescent="0.3">
      <c r="A92" s="372"/>
      <c r="B92" s="373"/>
      <c r="C92" s="352"/>
      <c r="D92" s="181"/>
      <c r="E92" s="354"/>
      <c r="F92" s="407"/>
      <c r="G92" s="701"/>
      <c r="H92" s="72" t="s">
        <v>15</v>
      </c>
      <c r="I92" s="125">
        <v>2.2000000000000002</v>
      </c>
      <c r="J92" s="456" t="s">
        <v>222</v>
      </c>
      <c r="K92" s="436">
        <v>2</v>
      </c>
      <c r="L92" s="806"/>
      <c r="M92" s="806"/>
    </row>
    <row r="93" spans="1:13" s="2" customFormat="1" ht="15.6" customHeight="1" x14ac:dyDescent="0.3">
      <c r="A93" s="372"/>
      <c r="B93" s="373"/>
      <c r="C93" s="352"/>
      <c r="D93" s="181"/>
      <c r="E93" s="354"/>
      <c r="F93" s="407"/>
      <c r="G93" s="701"/>
      <c r="H93" s="72" t="s">
        <v>155</v>
      </c>
      <c r="I93" s="125">
        <f>134.9-0.9</f>
        <v>134</v>
      </c>
      <c r="J93" s="814" t="s">
        <v>123</v>
      </c>
      <c r="K93" s="815" t="s">
        <v>181</v>
      </c>
    </row>
    <row r="94" spans="1:13" s="2" customFormat="1" ht="12.75" customHeight="1" x14ac:dyDescent="0.3">
      <c r="A94" s="372"/>
      <c r="B94" s="373"/>
      <c r="C94" s="352"/>
      <c r="D94" s="181"/>
      <c r="E94" s="354"/>
      <c r="F94" s="407"/>
      <c r="G94" s="701"/>
      <c r="H94" s="44" t="s">
        <v>32</v>
      </c>
      <c r="I94" s="125">
        <f>131+20.3</f>
        <v>151.30000000000001</v>
      </c>
      <c r="J94" s="814"/>
      <c r="K94" s="815"/>
    </row>
    <row r="95" spans="1:13" s="2" customFormat="1" ht="26.25" customHeight="1" x14ac:dyDescent="0.3">
      <c r="A95" s="372"/>
      <c r="B95" s="373"/>
      <c r="C95" s="352"/>
      <c r="D95" s="181"/>
      <c r="E95" s="354"/>
      <c r="F95" s="816"/>
      <c r="G95" s="253"/>
      <c r="H95" s="44" t="s">
        <v>67</v>
      </c>
      <c r="I95" s="125">
        <v>4.5</v>
      </c>
      <c r="J95" s="96" t="s">
        <v>98</v>
      </c>
      <c r="K95" s="117">
        <v>250</v>
      </c>
    </row>
    <row r="96" spans="1:13" s="2" customFormat="1" ht="28.5" customHeight="1" x14ac:dyDescent="0.3">
      <c r="A96" s="372"/>
      <c r="B96" s="373"/>
      <c r="C96" s="352"/>
      <c r="D96" s="181"/>
      <c r="E96" s="559"/>
      <c r="F96" s="816"/>
      <c r="G96" s="253"/>
      <c r="H96" s="562" t="s">
        <v>13</v>
      </c>
      <c r="I96" s="126">
        <f>134.4+1+1</f>
        <v>136.4</v>
      </c>
      <c r="J96" s="97" t="s">
        <v>124</v>
      </c>
      <c r="K96" s="437" t="s">
        <v>144</v>
      </c>
    </row>
    <row r="97" spans="1:11" s="2" customFormat="1" ht="41.25" customHeight="1" x14ac:dyDescent="0.3">
      <c r="A97" s="554"/>
      <c r="B97" s="552"/>
      <c r="C97" s="553"/>
      <c r="D97" s="181"/>
      <c r="E97" s="564" t="s">
        <v>272</v>
      </c>
      <c r="F97" s="555" t="s">
        <v>185</v>
      </c>
      <c r="G97" s="253"/>
      <c r="H97" s="448" t="s">
        <v>40</v>
      </c>
      <c r="I97" s="170">
        <v>167.1</v>
      </c>
      <c r="J97" s="557" t="s">
        <v>265</v>
      </c>
      <c r="K97" s="563" t="s">
        <v>273</v>
      </c>
    </row>
    <row r="98" spans="1:11" s="2" customFormat="1" ht="14.25" customHeight="1" x14ac:dyDescent="0.3">
      <c r="A98" s="372"/>
      <c r="B98" s="373"/>
      <c r="C98" s="352"/>
      <c r="D98" s="180" t="s">
        <v>26</v>
      </c>
      <c r="E98" s="817" t="s">
        <v>86</v>
      </c>
      <c r="F98" s="407" t="s">
        <v>131</v>
      </c>
      <c r="G98" s="253"/>
      <c r="H98" s="44" t="s">
        <v>15</v>
      </c>
      <c r="I98" s="127">
        <f>989.2-38.2</f>
        <v>951</v>
      </c>
      <c r="J98" s="626" t="s">
        <v>99</v>
      </c>
      <c r="K98" s="242">
        <v>70</v>
      </c>
    </row>
    <row r="99" spans="1:11" s="2" customFormat="1" ht="14.25" customHeight="1" x14ac:dyDescent="0.3">
      <c r="A99" s="372"/>
      <c r="B99" s="373"/>
      <c r="C99" s="352"/>
      <c r="D99" s="181"/>
      <c r="E99" s="818"/>
      <c r="F99" s="407" t="s">
        <v>178</v>
      </c>
      <c r="G99" s="253"/>
      <c r="H99" s="44" t="s">
        <v>155</v>
      </c>
      <c r="I99" s="125">
        <v>59.9</v>
      </c>
      <c r="J99" s="819"/>
      <c r="K99" s="246"/>
    </row>
    <row r="100" spans="1:11" s="2" customFormat="1" ht="26.25" customHeight="1" x14ac:dyDescent="0.3">
      <c r="A100" s="372"/>
      <c r="B100" s="373"/>
      <c r="C100" s="352"/>
      <c r="D100" s="181"/>
      <c r="E100" s="376"/>
      <c r="F100" s="407" t="s">
        <v>179</v>
      </c>
      <c r="G100" s="253"/>
      <c r="H100" s="44" t="s">
        <v>15</v>
      </c>
      <c r="I100" s="126">
        <v>14.1</v>
      </c>
      <c r="J100" s="541" t="s">
        <v>218</v>
      </c>
      <c r="K100" s="366">
        <v>100</v>
      </c>
    </row>
    <row r="101" spans="1:11" s="2" customFormat="1" ht="31.2" customHeight="1" x14ac:dyDescent="0.3">
      <c r="A101" s="372"/>
      <c r="B101" s="373"/>
      <c r="C101" s="352"/>
      <c r="D101" s="181"/>
      <c r="E101" s="354"/>
      <c r="F101" s="407"/>
      <c r="G101" s="253"/>
      <c r="H101" s="44" t="s">
        <v>32</v>
      </c>
      <c r="I101" s="125">
        <f>110.1+64.6</f>
        <v>174.7</v>
      </c>
      <c r="J101" s="428" t="s">
        <v>183</v>
      </c>
      <c r="K101" s="117">
        <v>42</v>
      </c>
    </row>
    <row r="102" spans="1:11" s="2" customFormat="1" ht="17.25" customHeight="1" x14ac:dyDescent="0.3">
      <c r="A102" s="372"/>
      <c r="B102" s="373"/>
      <c r="C102" s="352"/>
      <c r="D102" s="181"/>
      <c r="E102" s="279"/>
      <c r="F102" s="514"/>
      <c r="G102" s="253"/>
      <c r="H102" s="44" t="s">
        <v>67</v>
      </c>
      <c r="I102" s="125">
        <v>55.3</v>
      </c>
      <c r="J102" s="726" t="s">
        <v>191</v>
      </c>
      <c r="K102" s="155">
        <v>70</v>
      </c>
    </row>
    <row r="103" spans="1:11" s="2" customFormat="1" ht="15" customHeight="1" x14ac:dyDescent="0.3">
      <c r="A103" s="494"/>
      <c r="B103" s="495"/>
      <c r="C103" s="491"/>
      <c r="D103" s="515"/>
      <c r="E103" s="516"/>
      <c r="F103" s="345"/>
      <c r="G103" s="253"/>
      <c r="H103" s="448" t="s">
        <v>13</v>
      </c>
      <c r="I103" s="170">
        <v>38.200000000000003</v>
      </c>
      <c r="J103" s="727"/>
      <c r="K103" s="157"/>
    </row>
    <row r="104" spans="1:11" s="2" customFormat="1" ht="41.4" customHeight="1" x14ac:dyDescent="0.3">
      <c r="A104" s="372"/>
      <c r="B104" s="373"/>
      <c r="C104" s="352"/>
      <c r="D104" s="181" t="s">
        <v>28</v>
      </c>
      <c r="E104" s="280" t="s">
        <v>33</v>
      </c>
      <c r="F104" s="356" t="s">
        <v>178</v>
      </c>
      <c r="G104" s="252"/>
      <c r="H104" s="49" t="s">
        <v>15</v>
      </c>
      <c r="I104" s="127">
        <f>1397.5-54.1</f>
        <v>1343.4</v>
      </c>
      <c r="J104" s="98" t="s">
        <v>184</v>
      </c>
      <c r="K104" s="117">
        <v>450</v>
      </c>
    </row>
    <row r="105" spans="1:11" s="2" customFormat="1" ht="15" customHeight="1" x14ac:dyDescent="0.3">
      <c r="A105" s="372"/>
      <c r="B105" s="373"/>
      <c r="C105" s="352"/>
      <c r="D105" s="181"/>
      <c r="E105" s="280"/>
      <c r="F105" s="356"/>
      <c r="G105" s="252"/>
      <c r="H105" s="44" t="s">
        <v>15</v>
      </c>
      <c r="I105" s="125">
        <v>4.0999999999999996</v>
      </c>
      <c r="J105" s="98" t="s">
        <v>222</v>
      </c>
      <c r="K105" s="117">
        <v>5</v>
      </c>
    </row>
    <row r="106" spans="1:11" s="2" customFormat="1" ht="15" customHeight="1" x14ac:dyDescent="0.3">
      <c r="A106" s="372"/>
      <c r="B106" s="373"/>
      <c r="C106" s="352"/>
      <c r="D106" s="181"/>
      <c r="E106" s="280"/>
      <c r="F106" s="356"/>
      <c r="G106" s="252"/>
      <c r="H106" s="44" t="s">
        <v>15</v>
      </c>
      <c r="I106" s="125">
        <v>1.5</v>
      </c>
      <c r="J106" s="95" t="s">
        <v>223</v>
      </c>
      <c r="K106" s="156">
        <v>6</v>
      </c>
    </row>
    <row r="107" spans="1:11" s="2" customFormat="1" ht="26.25" customHeight="1" x14ac:dyDescent="0.3">
      <c r="A107" s="372"/>
      <c r="B107" s="373"/>
      <c r="C107" s="352"/>
      <c r="D107" s="181"/>
      <c r="E107" s="280"/>
      <c r="F107" s="265"/>
      <c r="G107" s="252"/>
      <c r="H107" s="44" t="s">
        <v>155</v>
      </c>
      <c r="I107" s="125">
        <f>101-0.3</f>
        <v>100.7</v>
      </c>
      <c r="J107" s="470" t="s">
        <v>100</v>
      </c>
      <c r="K107" s="155">
        <v>8</v>
      </c>
    </row>
    <row r="108" spans="1:11" s="2" customFormat="1" ht="29.25" customHeight="1" x14ac:dyDescent="0.3">
      <c r="A108" s="372"/>
      <c r="B108" s="373"/>
      <c r="C108" s="352"/>
      <c r="D108" s="181"/>
      <c r="E108" s="280"/>
      <c r="F108" s="266"/>
      <c r="G108" s="254"/>
      <c r="H108" s="44" t="s">
        <v>32</v>
      </c>
      <c r="I108" s="125">
        <v>0.3</v>
      </c>
      <c r="J108" s="98" t="s">
        <v>193</v>
      </c>
      <c r="K108" s="117">
        <v>4</v>
      </c>
    </row>
    <row r="109" spans="1:11" s="2" customFormat="1" ht="28.5" customHeight="1" x14ac:dyDescent="0.3">
      <c r="A109" s="372"/>
      <c r="B109" s="373"/>
      <c r="C109" s="352"/>
      <c r="D109" s="181"/>
      <c r="E109" s="280"/>
      <c r="F109" s="265"/>
      <c r="G109" s="252"/>
      <c r="H109" s="94" t="s">
        <v>67</v>
      </c>
      <c r="I109" s="547">
        <v>0.2</v>
      </c>
      <c r="J109" s="98" t="s">
        <v>202</v>
      </c>
      <c r="K109" s="244" t="s">
        <v>212</v>
      </c>
    </row>
    <row r="110" spans="1:11" s="2" customFormat="1" ht="29.25" customHeight="1" x14ac:dyDescent="0.3">
      <c r="A110" s="372"/>
      <c r="B110" s="373"/>
      <c r="C110" s="352"/>
      <c r="D110" s="181"/>
      <c r="E110" s="280"/>
      <c r="F110" s="265"/>
      <c r="G110" s="252"/>
      <c r="H110" s="75" t="s">
        <v>13</v>
      </c>
      <c r="I110" s="548">
        <f>85.3+0.3+0.6</f>
        <v>86.199999999999989</v>
      </c>
      <c r="J110" s="97" t="s">
        <v>190</v>
      </c>
      <c r="K110" s="438">
        <v>250</v>
      </c>
    </row>
    <row r="111" spans="1:11" s="1" customFormat="1" ht="16.5" customHeight="1" x14ac:dyDescent="0.3">
      <c r="A111" s="820"/>
      <c r="B111" s="822"/>
      <c r="C111" s="631"/>
      <c r="D111" s="181"/>
      <c r="E111" s="826" t="s">
        <v>164</v>
      </c>
      <c r="F111" s="594" t="s">
        <v>178</v>
      </c>
      <c r="G111" s="252"/>
      <c r="H111" s="47" t="s">
        <v>92</v>
      </c>
      <c r="I111" s="127">
        <f>41.9+3.1</f>
        <v>45</v>
      </c>
      <c r="J111" s="371" t="s">
        <v>116</v>
      </c>
      <c r="K111" s="358">
        <v>1</v>
      </c>
    </row>
    <row r="112" spans="1:11" s="1" customFormat="1" ht="38.25" customHeight="1" x14ac:dyDescent="0.3">
      <c r="A112" s="820"/>
      <c r="B112" s="822"/>
      <c r="C112" s="631"/>
      <c r="D112" s="181"/>
      <c r="E112" s="827"/>
      <c r="F112" s="594"/>
      <c r="G112" s="252"/>
      <c r="H112" s="572"/>
      <c r="I112" s="170"/>
      <c r="J112" s="371" t="s">
        <v>117</v>
      </c>
      <c r="K112" s="358">
        <v>6</v>
      </c>
    </row>
    <row r="113" spans="1:11" s="1" customFormat="1" ht="18.75" customHeight="1" x14ac:dyDescent="0.3">
      <c r="A113" s="349"/>
      <c r="B113" s="350"/>
      <c r="C113" s="352"/>
      <c r="D113" s="181"/>
      <c r="E113" s="830" t="s">
        <v>245</v>
      </c>
      <c r="F113" s="407" t="s">
        <v>185</v>
      </c>
      <c r="G113" s="252"/>
      <c r="H113" s="47" t="s">
        <v>15</v>
      </c>
      <c r="I113" s="127">
        <f>31.9+21</f>
        <v>52.9</v>
      </c>
      <c r="J113" s="713" t="s">
        <v>274</v>
      </c>
      <c r="K113" s="868">
        <v>6</v>
      </c>
    </row>
    <row r="114" spans="1:11" s="1" customFormat="1" ht="24.75" customHeight="1" x14ac:dyDescent="0.3">
      <c r="A114" s="560"/>
      <c r="B114" s="561"/>
      <c r="C114" s="553"/>
      <c r="D114" s="181"/>
      <c r="E114" s="831"/>
      <c r="F114" s="558"/>
      <c r="G114" s="252"/>
      <c r="H114" s="47" t="s">
        <v>92</v>
      </c>
      <c r="I114" s="127">
        <v>56.5</v>
      </c>
      <c r="J114" s="714"/>
      <c r="K114" s="869"/>
    </row>
    <row r="115" spans="1:11" s="2" customFormat="1" ht="17.25" customHeight="1" x14ac:dyDescent="0.3">
      <c r="A115" s="372"/>
      <c r="B115" s="373"/>
      <c r="C115" s="352"/>
      <c r="D115" s="181"/>
      <c r="E115" s="807" t="s">
        <v>122</v>
      </c>
      <c r="F115" s="356" t="s">
        <v>178</v>
      </c>
      <c r="G115" s="252"/>
      <c r="H115" s="146" t="s">
        <v>110</v>
      </c>
      <c r="I115" s="171">
        <v>1.4</v>
      </c>
      <c r="J115" s="167" t="s">
        <v>195</v>
      </c>
      <c r="K115" s="245">
        <v>5</v>
      </c>
    </row>
    <row r="116" spans="1:11" s="2" customFormat="1" ht="20.25" customHeight="1" x14ac:dyDescent="0.3">
      <c r="A116" s="372"/>
      <c r="B116" s="373"/>
      <c r="C116" s="352"/>
      <c r="D116" s="181"/>
      <c r="E116" s="808"/>
      <c r="F116" s="356"/>
      <c r="G116" s="252"/>
      <c r="H116" s="145"/>
      <c r="I116" s="172"/>
      <c r="J116" s="167" t="s">
        <v>113</v>
      </c>
      <c r="K116" s="359">
        <v>1</v>
      </c>
    </row>
    <row r="117" spans="1:11" s="2" customFormat="1" ht="18.75" customHeight="1" x14ac:dyDescent="0.3">
      <c r="A117" s="372"/>
      <c r="B117" s="373"/>
      <c r="C117" s="352"/>
      <c r="D117" s="181"/>
      <c r="E117" s="807" t="s">
        <v>81</v>
      </c>
      <c r="F117" s="356" t="s">
        <v>178</v>
      </c>
      <c r="G117" s="252"/>
      <c r="H117" s="146" t="s">
        <v>110</v>
      </c>
      <c r="I117" s="171">
        <v>2.1</v>
      </c>
      <c r="J117" s="393" t="s">
        <v>195</v>
      </c>
      <c r="K117" s="359">
        <v>5</v>
      </c>
    </row>
    <row r="118" spans="1:11" s="2" customFormat="1" ht="16.5" customHeight="1" x14ac:dyDescent="0.3">
      <c r="A118" s="372"/>
      <c r="B118" s="373"/>
      <c r="C118" s="352"/>
      <c r="D118" s="181"/>
      <c r="E118" s="808"/>
      <c r="F118" s="176"/>
      <c r="G118" s="252"/>
      <c r="H118" s="145"/>
      <c r="I118" s="172"/>
      <c r="J118" s="364" t="s">
        <v>113</v>
      </c>
      <c r="K118" s="245">
        <v>3</v>
      </c>
    </row>
    <row r="119" spans="1:11" s="2" customFormat="1" ht="18" customHeight="1" x14ac:dyDescent="0.3">
      <c r="A119" s="372"/>
      <c r="B119" s="373"/>
      <c r="C119" s="352"/>
      <c r="D119" s="180" t="s">
        <v>29</v>
      </c>
      <c r="E119" s="619" t="s">
        <v>87</v>
      </c>
      <c r="F119" s="267" t="s">
        <v>178</v>
      </c>
      <c r="G119" s="252"/>
      <c r="H119" s="44" t="s">
        <v>15</v>
      </c>
      <c r="I119" s="127">
        <f>872.2-47.4</f>
        <v>824.80000000000007</v>
      </c>
      <c r="J119" s="168" t="s">
        <v>66</v>
      </c>
      <c r="K119" s="245">
        <v>171</v>
      </c>
    </row>
    <row r="120" spans="1:11" s="2" customFormat="1" ht="15.75" customHeight="1" x14ac:dyDescent="0.3">
      <c r="A120" s="372"/>
      <c r="B120" s="373"/>
      <c r="C120" s="352"/>
      <c r="D120" s="181"/>
      <c r="E120" s="728"/>
      <c r="F120" s="356"/>
      <c r="G120" s="252"/>
      <c r="H120" s="47" t="s">
        <v>155</v>
      </c>
      <c r="I120" s="125">
        <v>56.8</v>
      </c>
      <c r="J120" s="674" t="s">
        <v>196</v>
      </c>
      <c r="K120" s="394">
        <v>3</v>
      </c>
    </row>
    <row r="121" spans="1:11" s="2" customFormat="1" ht="14.25" customHeight="1" x14ac:dyDescent="0.3">
      <c r="A121" s="372"/>
      <c r="B121" s="373"/>
      <c r="C121" s="352"/>
      <c r="D121" s="181"/>
      <c r="E121" s="280"/>
      <c r="F121" s="265"/>
      <c r="G121" s="252"/>
      <c r="H121" s="44" t="s">
        <v>32</v>
      </c>
      <c r="I121" s="125">
        <f>8.8+4</f>
        <v>12.8</v>
      </c>
      <c r="J121" s="675"/>
      <c r="K121" s="394"/>
    </row>
    <row r="122" spans="1:11" s="2" customFormat="1" ht="21" customHeight="1" x14ac:dyDescent="0.3">
      <c r="A122" s="372"/>
      <c r="B122" s="373"/>
      <c r="C122" s="352"/>
      <c r="D122" s="181"/>
      <c r="E122" s="280"/>
      <c r="F122" s="265"/>
      <c r="G122" s="252"/>
      <c r="H122" s="447" t="s">
        <v>67</v>
      </c>
      <c r="I122" s="126">
        <v>0.6</v>
      </c>
      <c r="J122" s="674" t="s">
        <v>186</v>
      </c>
      <c r="K122" s="868">
        <v>15</v>
      </c>
    </row>
    <row r="123" spans="1:11" s="2" customFormat="1" ht="19.5" customHeight="1" x14ac:dyDescent="0.3">
      <c r="A123" s="494"/>
      <c r="B123" s="495"/>
      <c r="C123" s="491"/>
      <c r="D123" s="181"/>
      <c r="E123" s="280"/>
      <c r="F123" s="265"/>
      <c r="G123" s="252"/>
      <c r="H123" s="72" t="s">
        <v>13</v>
      </c>
      <c r="I123" s="170">
        <v>29.5</v>
      </c>
      <c r="J123" s="675"/>
      <c r="K123" s="870"/>
    </row>
    <row r="124" spans="1:11" s="2" customFormat="1" ht="18.600000000000001" customHeight="1" x14ac:dyDescent="0.3">
      <c r="A124" s="372"/>
      <c r="B124" s="373"/>
      <c r="C124" s="352"/>
      <c r="D124" s="180" t="s">
        <v>38</v>
      </c>
      <c r="E124" s="680" t="s">
        <v>88</v>
      </c>
      <c r="F124" s="318" t="s">
        <v>178</v>
      </c>
      <c r="G124" s="252"/>
      <c r="H124" s="46" t="s">
        <v>155</v>
      </c>
      <c r="I124" s="127">
        <f>1017.2-342.2</f>
        <v>675</v>
      </c>
      <c r="J124" s="168" t="s">
        <v>85</v>
      </c>
      <c r="K124" s="358">
        <v>60</v>
      </c>
    </row>
    <row r="125" spans="1:11" s="2" customFormat="1" ht="18.600000000000001" customHeight="1" x14ac:dyDescent="0.3">
      <c r="A125" s="554"/>
      <c r="B125" s="552"/>
      <c r="C125" s="553"/>
      <c r="D125" s="181"/>
      <c r="E125" s="612"/>
      <c r="F125" s="550"/>
      <c r="G125" s="252"/>
      <c r="H125" s="72" t="s">
        <v>15</v>
      </c>
      <c r="I125" s="127">
        <v>307.8</v>
      </c>
      <c r="J125" s="99"/>
      <c r="K125" s="394"/>
    </row>
    <row r="126" spans="1:11" s="2" customFormat="1" ht="15.75" customHeight="1" x14ac:dyDescent="0.3">
      <c r="A126" s="372"/>
      <c r="B126" s="373"/>
      <c r="C126" s="352"/>
      <c r="D126" s="181"/>
      <c r="E126" s="612"/>
      <c r="F126" s="356" t="s">
        <v>179</v>
      </c>
      <c r="G126" s="252"/>
      <c r="H126" s="72" t="s">
        <v>32</v>
      </c>
      <c r="I126" s="125">
        <f>64+33.7</f>
        <v>97.7</v>
      </c>
      <c r="J126" s="99"/>
      <c r="K126" s="394"/>
    </row>
    <row r="127" spans="1:11" s="2" customFormat="1" ht="15.75" customHeight="1" x14ac:dyDescent="0.3">
      <c r="A127" s="494"/>
      <c r="B127" s="495"/>
      <c r="C127" s="491"/>
      <c r="D127" s="181"/>
      <c r="E127" s="612"/>
      <c r="F127" s="492"/>
      <c r="G127" s="252"/>
      <c r="H127" s="72" t="s">
        <v>67</v>
      </c>
      <c r="I127" s="125">
        <v>33</v>
      </c>
      <c r="J127" s="99"/>
      <c r="K127" s="394"/>
    </row>
    <row r="128" spans="1:11" s="2" customFormat="1" ht="28.8" customHeight="1" x14ac:dyDescent="0.3">
      <c r="A128" s="372"/>
      <c r="B128" s="373"/>
      <c r="C128" s="352"/>
      <c r="D128" s="181"/>
      <c r="E128" s="612"/>
      <c r="F128" s="356"/>
      <c r="G128" s="252"/>
      <c r="H128" s="46" t="s">
        <v>15</v>
      </c>
      <c r="I128" s="125">
        <f>432.3-87.2</f>
        <v>345.1</v>
      </c>
      <c r="J128" s="167" t="s">
        <v>209</v>
      </c>
      <c r="K128" s="245">
        <v>12</v>
      </c>
    </row>
    <row r="129" spans="1:11" s="2" customFormat="1" ht="17.25" customHeight="1" x14ac:dyDescent="0.3">
      <c r="A129" s="372"/>
      <c r="B129" s="373"/>
      <c r="C129" s="352"/>
      <c r="D129" s="181"/>
      <c r="E129" s="612"/>
      <c r="F129" s="356"/>
      <c r="G129" s="252"/>
      <c r="H129" s="46" t="s">
        <v>15</v>
      </c>
      <c r="I129" s="170">
        <v>2.5</v>
      </c>
      <c r="J129" s="168" t="s">
        <v>182</v>
      </c>
      <c r="K129" s="358">
        <v>25</v>
      </c>
    </row>
    <row r="130" spans="1:11" s="2" customFormat="1" ht="17.25" customHeight="1" x14ac:dyDescent="0.3">
      <c r="A130" s="372"/>
      <c r="B130" s="373"/>
      <c r="C130" s="352"/>
      <c r="D130" s="181"/>
      <c r="E130" s="612"/>
      <c r="F130" s="492"/>
      <c r="G130" s="252"/>
      <c r="H130" s="46" t="s">
        <v>155</v>
      </c>
      <c r="I130" s="127">
        <v>28.7</v>
      </c>
      <c r="J130" s="542"/>
      <c r="K130" s="156"/>
    </row>
    <row r="131" spans="1:11" s="2" customFormat="1" ht="17.25" customHeight="1" x14ac:dyDescent="0.3">
      <c r="A131" s="494"/>
      <c r="B131" s="495"/>
      <c r="C131" s="491"/>
      <c r="D131" s="515"/>
      <c r="E131" s="497"/>
      <c r="F131" s="176"/>
      <c r="G131" s="252"/>
      <c r="H131" s="72" t="s">
        <v>13</v>
      </c>
      <c r="I131" s="127">
        <v>50.4</v>
      </c>
      <c r="J131" s="543"/>
      <c r="K131" s="157"/>
    </row>
    <row r="132" spans="1:11" s="2" customFormat="1" ht="16.5" customHeight="1" x14ac:dyDescent="0.3">
      <c r="A132" s="372"/>
      <c r="B132" s="373"/>
      <c r="C132" s="352"/>
      <c r="D132" s="181" t="s">
        <v>39</v>
      </c>
      <c r="E132" s="612" t="s">
        <v>34</v>
      </c>
      <c r="F132" s="356" t="s">
        <v>178</v>
      </c>
      <c r="G132" s="252"/>
      <c r="H132" s="72" t="s">
        <v>15</v>
      </c>
      <c r="I132" s="125">
        <v>1487.4</v>
      </c>
      <c r="J132" s="812" t="s">
        <v>101</v>
      </c>
      <c r="K132" s="155">
        <v>56</v>
      </c>
    </row>
    <row r="133" spans="1:11" s="2" customFormat="1" ht="12.75" customHeight="1" x14ac:dyDescent="0.3">
      <c r="A133" s="35"/>
      <c r="B133" s="373"/>
      <c r="C133" s="352"/>
      <c r="D133" s="181"/>
      <c r="E133" s="612"/>
      <c r="F133" s="356" t="s">
        <v>179</v>
      </c>
      <c r="G133" s="252"/>
      <c r="H133" s="44" t="s">
        <v>155</v>
      </c>
      <c r="I133" s="125">
        <f>147.6-71.3</f>
        <v>76.3</v>
      </c>
      <c r="J133" s="841"/>
      <c r="K133" s="157"/>
    </row>
    <row r="134" spans="1:11" s="2" customFormat="1" ht="12.75" customHeight="1" x14ac:dyDescent="0.3">
      <c r="A134" s="35"/>
      <c r="B134" s="373"/>
      <c r="C134" s="352"/>
      <c r="D134" s="181"/>
      <c r="E134" s="612"/>
      <c r="F134" s="356"/>
      <c r="G134" s="252"/>
      <c r="H134" s="72" t="s">
        <v>15</v>
      </c>
      <c r="I134" s="125">
        <v>0.9</v>
      </c>
      <c r="J134" s="365" t="s">
        <v>217</v>
      </c>
      <c r="K134" s="157">
        <v>1</v>
      </c>
    </row>
    <row r="135" spans="1:11" s="2" customFormat="1" ht="12.75" customHeight="1" x14ac:dyDescent="0.3">
      <c r="A135" s="35"/>
      <c r="B135" s="373"/>
      <c r="C135" s="352"/>
      <c r="D135" s="181"/>
      <c r="E135" s="612"/>
      <c r="F135" s="356"/>
      <c r="G135" s="252"/>
      <c r="H135" s="72" t="s">
        <v>15</v>
      </c>
      <c r="I135" s="125">
        <v>1.2</v>
      </c>
      <c r="J135" s="365" t="s">
        <v>224</v>
      </c>
      <c r="K135" s="157">
        <v>2</v>
      </c>
    </row>
    <row r="136" spans="1:11" s="2" customFormat="1" ht="12.75" customHeight="1" x14ac:dyDescent="0.3">
      <c r="A136" s="35"/>
      <c r="B136" s="373"/>
      <c r="C136" s="352"/>
      <c r="D136" s="181"/>
      <c r="E136" s="612"/>
      <c r="F136" s="356"/>
      <c r="G136" s="252"/>
      <c r="H136" s="72" t="s">
        <v>15</v>
      </c>
      <c r="I136" s="125">
        <v>2.4</v>
      </c>
      <c r="J136" s="365" t="s">
        <v>222</v>
      </c>
      <c r="K136" s="157">
        <v>4</v>
      </c>
    </row>
    <row r="137" spans="1:11" s="2" customFormat="1" ht="16.5" customHeight="1" x14ac:dyDescent="0.3">
      <c r="A137" s="35"/>
      <c r="B137" s="373"/>
      <c r="C137" s="352"/>
      <c r="D137" s="181"/>
      <c r="E137" s="612"/>
      <c r="F137" s="356"/>
      <c r="G137" s="252"/>
      <c r="H137" s="44" t="s">
        <v>13</v>
      </c>
      <c r="I137" s="125">
        <v>20.2</v>
      </c>
      <c r="J137" s="812" t="s">
        <v>187</v>
      </c>
      <c r="K137" s="155">
        <v>3</v>
      </c>
    </row>
    <row r="138" spans="1:11" s="2" customFormat="1" ht="16.5" customHeight="1" x14ac:dyDescent="0.3">
      <c r="A138" s="35"/>
      <c r="B138" s="373"/>
      <c r="C138" s="352"/>
      <c r="D138" s="181"/>
      <c r="E138" s="612"/>
      <c r="F138" s="356"/>
      <c r="G138" s="252"/>
      <c r="H138" s="448" t="s">
        <v>13</v>
      </c>
      <c r="I138" s="170">
        <v>71.3</v>
      </c>
      <c r="J138" s="813"/>
      <c r="K138" s="394"/>
    </row>
    <row r="139" spans="1:11" s="2" customFormat="1" ht="33.75" customHeight="1" x14ac:dyDescent="0.3">
      <c r="A139" s="35"/>
      <c r="B139" s="373"/>
      <c r="C139" s="352"/>
      <c r="D139" s="181"/>
      <c r="E139" s="612"/>
      <c r="F139" s="356"/>
      <c r="G139" s="252"/>
      <c r="H139" s="448"/>
      <c r="I139" s="170"/>
      <c r="J139" s="841"/>
      <c r="K139" s="359"/>
    </row>
    <row r="140" spans="1:11" s="2" customFormat="1" ht="40.799999999999997" customHeight="1" x14ac:dyDescent="0.3">
      <c r="A140" s="35"/>
      <c r="B140" s="373"/>
      <c r="C140" s="352"/>
      <c r="D140" s="181"/>
      <c r="E140" s="612"/>
      <c r="F140" s="176"/>
      <c r="G140" s="252"/>
      <c r="H140" s="447"/>
      <c r="I140" s="126"/>
      <c r="J140" s="365" t="s">
        <v>210</v>
      </c>
      <c r="K140" s="359">
        <v>35</v>
      </c>
    </row>
    <row r="141" spans="1:11" s="2" customFormat="1" ht="15.75" customHeight="1" x14ac:dyDescent="0.3">
      <c r="A141" s="372"/>
      <c r="B141" s="373"/>
      <c r="C141" s="43"/>
      <c r="D141" s="186" t="s">
        <v>68</v>
      </c>
      <c r="E141" s="430" t="s">
        <v>238</v>
      </c>
      <c r="F141" s="407" t="s">
        <v>178</v>
      </c>
      <c r="G141" s="700" t="s">
        <v>148</v>
      </c>
      <c r="H141" s="74" t="s">
        <v>15</v>
      </c>
      <c r="I141" s="122">
        <f>588-100-130</f>
        <v>358</v>
      </c>
      <c r="J141" s="168" t="s">
        <v>82</v>
      </c>
      <c r="K141" s="243">
        <v>9</v>
      </c>
    </row>
    <row r="142" spans="1:11" s="2" customFormat="1" ht="25.5" customHeight="1" x14ac:dyDescent="0.3">
      <c r="A142" s="372"/>
      <c r="B142" s="373"/>
      <c r="C142" s="43"/>
      <c r="D142" s="187"/>
      <c r="E142" s="429"/>
      <c r="F142" s="407"/>
      <c r="G142" s="701"/>
      <c r="H142" s="74" t="s">
        <v>90</v>
      </c>
      <c r="I142" s="122">
        <v>71.7</v>
      </c>
      <c r="J142" s="167" t="s">
        <v>139</v>
      </c>
      <c r="K142" s="246">
        <v>5</v>
      </c>
    </row>
    <row r="143" spans="1:11" s="2" customFormat="1" ht="27.75" customHeight="1" x14ac:dyDescent="0.3">
      <c r="A143" s="372"/>
      <c r="B143" s="373"/>
      <c r="C143" s="43"/>
      <c r="D143" s="187"/>
      <c r="E143" s="279"/>
      <c r="F143" s="407"/>
      <c r="G143" s="701"/>
      <c r="H143" s="92"/>
      <c r="I143" s="60"/>
      <c r="J143" s="98" t="s">
        <v>140</v>
      </c>
      <c r="K143" s="246">
        <v>3</v>
      </c>
    </row>
    <row r="144" spans="1:11" s="2" customFormat="1" ht="18.75" customHeight="1" x14ac:dyDescent="0.3">
      <c r="A144" s="372"/>
      <c r="B144" s="373"/>
      <c r="C144" s="43"/>
      <c r="D144" s="187"/>
      <c r="E144" s="431"/>
      <c r="F144" s="268"/>
      <c r="G144" s="702"/>
      <c r="H144" s="93"/>
      <c r="I144" s="131"/>
      <c r="J144" s="670" t="s">
        <v>192</v>
      </c>
      <c r="K144" s="419">
        <v>7</v>
      </c>
    </row>
    <row r="145" spans="1:11" s="11" customFormat="1" ht="16.5" customHeight="1" thickBot="1" x14ac:dyDescent="0.35">
      <c r="A145" s="36"/>
      <c r="B145" s="401"/>
      <c r="C145" s="29"/>
      <c r="D145" s="190"/>
      <c r="E145" s="480"/>
      <c r="F145" s="672" t="s">
        <v>23</v>
      </c>
      <c r="G145" s="673"/>
      <c r="H145" s="673"/>
      <c r="I145" s="483">
        <f>SUM(I84:I144)-I115-I117</f>
        <v>11126.400000000001</v>
      </c>
      <c r="J145" s="671"/>
      <c r="K145" s="396"/>
    </row>
    <row r="146" spans="1:11" s="11" customFormat="1" ht="29.25" customHeight="1" x14ac:dyDescent="0.3">
      <c r="A146" s="832" t="s">
        <v>10</v>
      </c>
      <c r="B146" s="834" t="s">
        <v>24</v>
      </c>
      <c r="C146" s="836" t="s">
        <v>24</v>
      </c>
      <c r="D146" s="191"/>
      <c r="E146" s="281" t="s">
        <v>168</v>
      </c>
      <c r="F146" s="269" t="s">
        <v>179</v>
      </c>
      <c r="G146" s="769" t="s">
        <v>134</v>
      </c>
      <c r="H146" s="114"/>
      <c r="I146" s="173"/>
      <c r="J146" s="169"/>
      <c r="K146" s="395"/>
    </row>
    <row r="147" spans="1:11" s="12" customFormat="1" ht="15.75" customHeight="1" x14ac:dyDescent="0.3">
      <c r="A147" s="833"/>
      <c r="B147" s="835"/>
      <c r="C147" s="837"/>
      <c r="D147" s="478" t="s">
        <v>10</v>
      </c>
      <c r="E147" s="817" t="s">
        <v>170</v>
      </c>
      <c r="F147" s="318" t="s">
        <v>178</v>
      </c>
      <c r="G147" s="770"/>
      <c r="H147" s="94" t="s">
        <v>15</v>
      </c>
      <c r="I147" s="66">
        <f>977.5+70</f>
        <v>1047.5</v>
      </c>
      <c r="J147" s="809" t="s">
        <v>75</v>
      </c>
      <c r="K147" s="419">
        <v>149</v>
      </c>
    </row>
    <row r="148" spans="1:11" s="12" customFormat="1" ht="25.5" customHeight="1" x14ac:dyDescent="0.3">
      <c r="A148" s="377"/>
      <c r="B148" s="378"/>
      <c r="C148" s="149"/>
      <c r="D148" s="479"/>
      <c r="E148" s="840"/>
      <c r="F148" s="176"/>
      <c r="G148" s="375"/>
      <c r="H148" s="143" t="s">
        <v>90</v>
      </c>
      <c r="I148" s="60">
        <v>200</v>
      </c>
      <c r="J148" s="810"/>
      <c r="K148" s="397"/>
    </row>
    <row r="149" spans="1:11" s="12" customFormat="1" ht="22.5" customHeight="1" x14ac:dyDescent="0.3">
      <c r="A149" s="109"/>
      <c r="B149" s="107"/>
      <c r="C149" s="105"/>
      <c r="D149" s="185" t="s">
        <v>24</v>
      </c>
      <c r="E149" s="282" t="s">
        <v>169</v>
      </c>
      <c r="F149" s="356" t="s">
        <v>178</v>
      </c>
      <c r="G149" s="375"/>
      <c r="H149" s="91" t="s">
        <v>155</v>
      </c>
      <c r="I149" s="122">
        <v>12.2</v>
      </c>
      <c r="J149" s="809" t="s">
        <v>171</v>
      </c>
      <c r="K149" s="419">
        <v>1</v>
      </c>
    </row>
    <row r="150" spans="1:11" s="13" customFormat="1" ht="15.75" customHeight="1" thickBot="1" x14ac:dyDescent="0.35">
      <c r="A150" s="110"/>
      <c r="B150" s="108"/>
      <c r="C150" s="106"/>
      <c r="D150" s="192"/>
      <c r="E150" s="283"/>
      <c r="F150" s="270"/>
      <c r="G150" s="255"/>
      <c r="H150" s="115" t="s">
        <v>17</v>
      </c>
      <c r="I150" s="129">
        <f>SUM(I147:I149)</f>
        <v>1259.7</v>
      </c>
      <c r="J150" s="811"/>
      <c r="K150" s="397"/>
    </row>
    <row r="151" spans="1:11" s="1" customFormat="1" ht="54" customHeight="1" x14ac:dyDescent="0.3">
      <c r="A151" s="38" t="s">
        <v>10</v>
      </c>
      <c r="B151" s="15" t="s">
        <v>24</v>
      </c>
      <c r="C151" s="343" t="s">
        <v>26</v>
      </c>
      <c r="D151" s="179"/>
      <c r="E151" s="299" t="s">
        <v>35</v>
      </c>
      <c r="F151" s="177"/>
      <c r="G151" s="375" t="s">
        <v>134</v>
      </c>
      <c r="H151" s="48"/>
      <c r="I151" s="64"/>
      <c r="J151" s="219"/>
      <c r="K151" s="440"/>
    </row>
    <row r="152" spans="1:11" s="1" customFormat="1" ht="15.75" customHeight="1" x14ac:dyDescent="0.3">
      <c r="A152" s="38"/>
      <c r="B152" s="15"/>
      <c r="C152" s="343"/>
      <c r="D152" s="690" t="s">
        <v>10</v>
      </c>
      <c r="E152" s="619" t="s">
        <v>69</v>
      </c>
      <c r="F152" s="705" t="s">
        <v>194</v>
      </c>
      <c r="G152" s="375"/>
      <c r="H152" s="74" t="s">
        <v>15</v>
      </c>
      <c r="I152" s="122">
        <f>77.7-7.7+9</f>
        <v>79</v>
      </c>
      <c r="J152" s="617" t="s">
        <v>147</v>
      </c>
      <c r="K152" s="394">
        <v>12</v>
      </c>
    </row>
    <row r="153" spans="1:11" s="1" customFormat="1" ht="26.25" customHeight="1" x14ac:dyDescent="0.3">
      <c r="A153" s="38"/>
      <c r="B153" s="15"/>
      <c r="C153" s="343"/>
      <c r="D153" s="691"/>
      <c r="E153" s="620"/>
      <c r="F153" s="706"/>
      <c r="G153" s="375"/>
      <c r="H153" s="93"/>
      <c r="I153" s="135"/>
      <c r="J153" s="618"/>
      <c r="K153" s="394"/>
    </row>
    <row r="154" spans="1:11" s="1" customFormat="1" ht="25.5" customHeight="1" x14ac:dyDescent="0.3">
      <c r="A154" s="38"/>
      <c r="B154" s="15"/>
      <c r="C154" s="343"/>
      <c r="D154" s="179" t="s">
        <v>24</v>
      </c>
      <c r="E154" s="680" t="s">
        <v>70</v>
      </c>
      <c r="F154" s="407" t="s">
        <v>194</v>
      </c>
      <c r="G154" s="375"/>
      <c r="H154" s="569" t="s">
        <v>15</v>
      </c>
      <c r="I154" s="66">
        <f>86.7-35.7+39.9-13.4-3</f>
        <v>74.5</v>
      </c>
      <c r="J154" s="842" t="s">
        <v>102</v>
      </c>
      <c r="K154" s="358">
        <v>12</v>
      </c>
    </row>
    <row r="155" spans="1:11" s="1" customFormat="1" ht="16.5" customHeight="1" x14ac:dyDescent="0.3">
      <c r="A155" s="38"/>
      <c r="B155" s="15"/>
      <c r="C155" s="343"/>
      <c r="D155" s="179"/>
      <c r="E155" s="621"/>
      <c r="F155" s="381" t="s">
        <v>131</v>
      </c>
      <c r="G155" s="375"/>
      <c r="H155" s="48" t="s">
        <v>13</v>
      </c>
      <c r="I155" s="64">
        <f>13.4+18.8</f>
        <v>32.200000000000003</v>
      </c>
      <c r="J155" s="843"/>
      <c r="K155" s="394"/>
    </row>
    <row r="156" spans="1:11" s="1" customFormat="1" ht="17.25" customHeight="1" x14ac:dyDescent="0.3">
      <c r="A156" s="38"/>
      <c r="B156" s="15"/>
      <c r="C156" s="343"/>
      <c r="D156" s="379" t="s">
        <v>26</v>
      </c>
      <c r="E156" s="680" t="s">
        <v>161</v>
      </c>
      <c r="F156" s="407" t="s">
        <v>131</v>
      </c>
      <c r="G156" s="375"/>
      <c r="H156" s="94" t="s">
        <v>15</v>
      </c>
      <c r="I156" s="66">
        <f>588-88+199.8</f>
        <v>699.8</v>
      </c>
      <c r="J156" s="838" t="s">
        <v>133</v>
      </c>
      <c r="K156" s="358">
        <v>140</v>
      </c>
    </row>
    <row r="157" spans="1:11" s="1" customFormat="1" ht="14.25" customHeight="1" x14ac:dyDescent="0.3">
      <c r="A157" s="38"/>
      <c r="B157" s="15"/>
      <c r="C157" s="343"/>
      <c r="D157" s="179"/>
      <c r="E157" s="612"/>
      <c r="F157" s="407" t="s">
        <v>178</v>
      </c>
      <c r="G157" s="375"/>
      <c r="H157" s="92" t="s">
        <v>13</v>
      </c>
      <c r="I157" s="60">
        <f>1.4+1.6+3.3</f>
        <v>6.3</v>
      </c>
      <c r="J157" s="839"/>
      <c r="K157" s="397"/>
    </row>
    <row r="158" spans="1:11" s="1" customFormat="1" ht="15" customHeight="1" x14ac:dyDescent="0.3">
      <c r="A158" s="38"/>
      <c r="B158" s="15"/>
      <c r="C158" s="343"/>
      <c r="D158" s="179"/>
      <c r="E158" s="612"/>
      <c r="F158" s="381" t="s">
        <v>179</v>
      </c>
      <c r="G158" s="375"/>
      <c r="H158" s="93"/>
      <c r="I158" s="135"/>
      <c r="J158" s="240"/>
      <c r="K158" s="397"/>
    </row>
    <row r="159" spans="1:11" s="1" customFormat="1" ht="15.75" customHeight="1" x14ac:dyDescent="0.3">
      <c r="A159" s="38"/>
      <c r="B159" s="15"/>
      <c r="C159" s="343"/>
      <c r="D159" s="379" t="s">
        <v>28</v>
      </c>
      <c r="E159" s="680" t="s">
        <v>71</v>
      </c>
      <c r="F159" s="407" t="s">
        <v>179</v>
      </c>
      <c r="G159" s="375"/>
      <c r="H159" s="94" t="s">
        <v>15</v>
      </c>
      <c r="I159" s="66">
        <f>703.5-39</f>
        <v>664.5</v>
      </c>
      <c r="J159" s="626" t="s">
        <v>103</v>
      </c>
      <c r="K159" s="419">
        <v>355</v>
      </c>
    </row>
    <row r="160" spans="1:11" s="1" customFormat="1" ht="25.5" customHeight="1" x14ac:dyDescent="0.3">
      <c r="A160" s="38"/>
      <c r="B160" s="15"/>
      <c r="C160" s="343"/>
      <c r="D160" s="179"/>
      <c r="E160" s="621"/>
      <c r="F160" s="381" t="s">
        <v>189</v>
      </c>
      <c r="G160" s="375"/>
      <c r="H160" s="93" t="s">
        <v>90</v>
      </c>
      <c r="I160" s="135">
        <v>343.6</v>
      </c>
      <c r="J160" s="819"/>
      <c r="K160" s="397"/>
    </row>
    <row r="161" spans="1:11" s="1" customFormat="1" ht="58.2" customHeight="1" x14ac:dyDescent="0.3">
      <c r="A161" s="38"/>
      <c r="B161" s="15"/>
      <c r="C161" s="343"/>
      <c r="D161" s="379" t="s">
        <v>29</v>
      </c>
      <c r="E161" s="360" t="s">
        <v>78</v>
      </c>
      <c r="F161" s="380" t="s">
        <v>178</v>
      </c>
      <c r="G161" s="375"/>
      <c r="H161" s="93" t="s">
        <v>15</v>
      </c>
      <c r="I161" s="135">
        <f>35.1-7</f>
        <v>28.1</v>
      </c>
      <c r="J161" s="369" t="s">
        <v>104</v>
      </c>
      <c r="K161" s="419">
        <v>130</v>
      </c>
    </row>
    <row r="162" spans="1:11" s="1" customFormat="1" ht="28.5" customHeight="1" x14ac:dyDescent="0.3">
      <c r="A162" s="372"/>
      <c r="B162" s="373"/>
      <c r="C162" s="352"/>
      <c r="D162" s="416" t="s">
        <v>38</v>
      </c>
      <c r="E162" s="417" t="s">
        <v>230</v>
      </c>
      <c r="F162" s="380" t="s">
        <v>178</v>
      </c>
      <c r="G162" s="252"/>
      <c r="H162" s="92" t="s">
        <v>15</v>
      </c>
      <c r="I162" s="66">
        <f>28.8+2</f>
        <v>30.8</v>
      </c>
      <c r="J162" s="369" t="s">
        <v>231</v>
      </c>
      <c r="K162" s="419">
        <v>10</v>
      </c>
    </row>
    <row r="163" spans="1:11" s="1" customFormat="1" ht="43.2" customHeight="1" x14ac:dyDescent="0.3">
      <c r="A163" s="372"/>
      <c r="B163" s="373"/>
      <c r="C163" s="352"/>
      <c r="D163" s="180" t="s">
        <v>39</v>
      </c>
      <c r="E163" s="417" t="s">
        <v>250</v>
      </c>
      <c r="F163" s="309" t="s">
        <v>185</v>
      </c>
      <c r="G163" s="252"/>
      <c r="H163" s="8" t="s">
        <v>15</v>
      </c>
      <c r="I163" s="334">
        <f>21.4-6+2.5</f>
        <v>17.899999999999999</v>
      </c>
      <c r="J163" s="335" t="s">
        <v>219</v>
      </c>
      <c r="K163" s="243">
        <v>7</v>
      </c>
    </row>
    <row r="164" spans="1:11" s="1" customFormat="1" ht="15" customHeight="1" x14ac:dyDescent="0.3">
      <c r="A164" s="372"/>
      <c r="B164" s="373"/>
      <c r="C164" s="352"/>
      <c r="D164" s="180" t="s">
        <v>68</v>
      </c>
      <c r="E164" s="678" t="s">
        <v>149</v>
      </c>
      <c r="F164" s="407" t="s">
        <v>178</v>
      </c>
      <c r="G164" s="252"/>
      <c r="H164" s="94" t="s">
        <v>15</v>
      </c>
      <c r="I164" s="66">
        <f>830.8-30.8+28.5</f>
        <v>828.5</v>
      </c>
      <c r="J164" s="626" t="s">
        <v>150</v>
      </c>
      <c r="K164" s="397">
        <v>98</v>
      </c>
    </row>
    <row r="165" spans="1:11" s="1" customFormat="1" ht="18" customHeight="1" x14ac:dyDescent="0.3">
      <c r="A165" s="372"/>
      <c r="B165" s="373"/>
      <c r="C165" s="352"/>
      <c r="D165" s="181"/>
      <c r="E165" s="679"/>
      <c r="F165" s="407" t="s">
        <v>179</v>
      </c>
      <c r="G165" s="252"/>
      <c r="H165" s="93" t="s">
        <v>90</v>
      </c>
      <c r="I165" s="60">
        <v>409.5</v>
      </c>
      <c r="J165" s="600"/>
      <c r="K165" s="441"/>
    </row>
    <row r="166" spans="1:11" s="1" customFormat="1" ht="16.2" customHeight="1" thickBot="1" x14ac:dyDescent="0.35">
      <c r="A166" s="372"/>
      <c r="B166" s="373"/>
      <c r="C166" s="352"/>
      <c r="D166" s="181"/>
      <c r="E166" s="679"/>
      <c r="F166" s="407"/>
      <c r="G166" s="252"/>
      <c r="H166" s="300" t="s">
        <v>17</v>
      </c>
      <c r="I166" s="301">
        <f>SUM(I152:I165)</f>
        <v>3214.7</v>
      </c>
      <c r="J166" s="601"/>
      <c r="K166" s="441"/>
    </row>
    <row r="167" spans="1:11" s="1" customFormat="1" ht="15.75" customHeight="1" x14ac:dyDescent="0.3">
      <c r="A167" s="37" t="s">
        <v>10</v>
      </c>
      <c r="B167" s="14" t="s">
        <v>24</v>
      </c>
      <c r="C167" s="414" t="s">
        <v>28</v>
      </c>
      <c r="D167" s="184"/>
      <c r="E167" s="828" t="s">
        <v>36</v>
      </c>
      <c r="F167" s="302" t="s">
        <v>179</v>
      </c>
      <c r="G167" s="769" t="s">
        <v>134</v>
      </c>
      <c r="H167" s="53"/>
      <c r="I167" s="130"/>
      <c r="J167" s="79"/>
      <c r="K167" s="440"/>
    </row>
    <row r="168" spans="1:11" s="1" customFormat="1" ht="0.75" customHeight="1" x14ac:dyDescent="0.3">
      <c r="A168" s="38"/>
      <c r="B168" s="15"/>
      <c r="C168" s="343"/>
      <c r="D168" s="179"/>
      <c r="E168" s="829"/>
      <c r="F168" s="271"/>
      <c r="G168" s="770"/>
      <c r="H168" s="54"/>
      <c r="I168" s="174"/>
      <c r="J168" s="80"/>
      <c r="K168" s="394"/>
    </row>
    <row r="169" spans="1:11" s="1" customFormat="1" ht="14.25" customHeight="1" x14ac:dyDescent="0.3">
      <c r="A169" s="38"/>
      <c r="B169" s="15"/>
      <c r="C169" s="343"/>
      <c r="D169" s="379" t="s">
        <v>10</v>
      </c>
      <c r="E169" s="680" t="s">
        <v>227</v>
      </c>
      <c r="F169" s="407" t="s">
        <v>131</v>
      </c>
      <c r="G169" s="770"/>
      <c r="H169" s="8" t="s">
        <v>15</v>
      </c>
      <c r="I169" s="334">
        <v>100</v>
      </c>
      <c r="J169" s="617" t="s">
        <v>166</v>
      </c>
      <c r="K169" s="394">
        <v>20</v>
      </c>
    </row>
    <row r="170" spans="1:11" s="1" customFormat="1" ht="14.25" customHeight="1" x14ac:dyDescent="0.3">
      <c r="A170" s="38"/>
      <c r="B170" s="15"/>
      <c r="C170" s="343"/>
      <c r="D170" s="413"/>
      <c r="E170" s="621"/>
      <c r="F170" s="381" t="s">
        <v>178</v>
      </c>
      <c r="G170" s="375"/>
      <c r="H170" s="538"/>
      <c r="I170" s="140"/>
      <c r="J170" s="618"/>
      <c r="K170" s="359"/>
    </row>
    <row r="171" spans="1:11" s="1" customFormat="1" ht="93" customHeight="1" x14ac:dyDescent="0.3">
      <c r="A171" s="38"/>
      <c r="B171" s="15"/>
      <c r="C171" s="343"/>
      <c r="D171" s="348" t="s">
        <v>24</v>
      </c>
      <c r="E171" s="619" t="s">
        <v>246</v>
      </c>
      <c r="F171" s="380" t="s">
        <v>178</v>
      </c>
      <c r="G171" s="386"/>
      <c r="H171" s="58" t="s">
        <v>90</v>
      </c>
      <c r="I171" s="124">
        <v>28</v>
      </c>
      <c r="J171" s="364" t="s">
        <v>239</v>
      </c>
      <c r="K171" s="394">
        <v>1</v>
      </c>
    </row>
    <row r="172" spans="1:11" s="1" customFormat="1" ht="15.75" customHeight="1" thickBot="1" x14ac:dyDescent="0.35">
      <c r="A172" s="399"/>
      <c r="B172" s="401"/>
      <c r="C172" s="144"/>
      <c r="D172" s="193"/>
      <c r="E172" s="708"/>
      <c r="F172" s="272"/>
      <c r="G172" s="370"/>
      <c r="H172" s="52" t="s">
        <v>17</v>
      </c>
      <c r="I172" s="129">
        <f>SUM(I169:I171)</f>
        <v>128</v>
      </c>
      <c r="J172" s="241"/>
      <c r="K172" s="247"/>
    </row>
    <row r="173" spans="1:11" s="1" customFormat="1" ht="16.2" customHeight="1" x14ac:dyDescent="0.3">
      <c r="A173" s="37" t="s">
        <v>10</v>
      </c>
      <c r="B173" s="14" t="s">
        <v>24</v>
      </c>
      <c r="C173" s="69" t="s">
        <v>29</v>
      </c>
      <c r="D173" s="194"/>
      <c r="E173" s="285" t="s">
        <v>37</v>
      </c>
      <c r="F173" s="273" t="s">
        <v>178</v>
      </c>
      <c r="G173" s="824" t="s">
        <v>151</v>
      </c>
      <c r="H173" s="138" t="s">
        <v>15</v>
      </c>
      <c r="I173" s="119">
        <v>222.5</v>
      </c>
      <c r="J173" s="544" t="s">
        <v>203</v>
      </c>
      <c r="K173" s="442">
        <v>26</v>
      </c>
    </row>
    <row r="174" spans="1:11" s="1" customFormat="1" ht="27" customHeight="1" x14ac:dyDescent="0.3">
      <c r="A174" s="38"/>
      <c r="B174" s="15"/>
      <c r="C174" s="70"/>
      <c r="D174" s="368"/>
      <c r="E174" s="280"/>
      <c r="F174" s="407" t="s">
        <v>179</v>
      </c>
      <c r="G174" s="825"/>
      <c r="H174" s="539" t="s">
        <v>13</v>
      </c>
      <c r="I174" s="128">
        <v>324.2</v>
      </c>
      <c r="J174" s="78" t="s">
        <v>76</v>
      </c>
      <c r="K174" s="358">
        <v>10</v>
      </c>
    </row>
    <row r="175" spans="1:11" s="1" customFormat="1" ht="12" customHeight="1" x14ac:dyDescent="0.3">
      <c r="A175" s="38"/>
      <c r="B175" s="15"/>
      <c r="C175" s="70"/>
      <c r="D175" s="368"/>
      <c r="E175" s="280"/>
      <c r="F175" s="342"/>
      <c r="G175" s="386"/>
      <c r="H175" s="540"/>
      <c r="I175" s="535"/>
      <c r="J175" s="626" t="s">
        <v>84</v>
      </c>
      <c r="K175" s="358">
        <v>36</v>
      </c>
    </row>
    <row r="176" spans="1:11" s="1" customFormat="1" ht="16.5" customHeight="1" thickBot="1" x14ac:dyDescent="0.35">
      <c r="A176" s="303"/>
      <c r="B176" s="304"/>
      <c r="C176" s="144"/>
      <c r="D176" s="193"/>
      <c r="E176" s="284"/>
      <c r="F176" s="213"/>
      <c r="G176" s="257"/>
      <c r="H176" s="55" t="s">
        <v>17</v>
      </c>
      <c r="I176" s="65">
        <f>SUM(I173:I175)</f>
        <v>546.70000000000005</v>
      </c>
      <c r="J176" s="601"/>
      <c r="K176" s="396"/>
    </row>
    <row r="177" spans="1:11" s="1" customFormat="1" ht="21.75" customHeight="1" x14ac:dyDescent="0.3">
      <c r="A177" s="398" t="s">
        <v>10</v>
      </c>
      <c r="B177" s="400" t="s">
        <v>24</v>
      </c>
      <c r="C177" s="351" t="s">
        <v>38</v>
      </c>
      <c r="D177" s="402"/>
      <c r="E177" s="866" t="s">
        <v>79</v>
      </c>
      <c r="F177" s="355" t="s">
        <v>178</v>
      </c>
      <c r="G177" s="596" t="s">
        <v>134</v>
      </c>
      <c r="H177" s="53" t="s">
        <v>15</v>
      </c>
      <c r="I177" s="336">
        <v>6</v>
      </c>
      <c r="J177" s="608" t="s">
        <v>113</v>
      </c>
      <c r="K177" s="442">
        <v>2</v>
      </c>
    </row>
    <row r="178" spans="1:11" s="1" customFormat="1" ht="16.5" customHeight="1" thickBot="1" x14ac:dyDescent="0.35">
      <c r="A178" s="399"/>
      <c r="B178" s="401"/>
      <c r="C178" s="353"/>
      <c r="D178" s="403"/>
      <c r="E178" s="867"/>
      <c r="F178" s="337"/>
      <c r="G178" s="598"/>
      <c r="H178" s="52" t="s">
        <v>17</v>
      </c>
      <c r="I178" s="65">
        <f t="shared" ref="I178" si="8">I177</f>
        <v>6</v>
      </c>
      <c r="J178" s="610"/>
      <c r="K178" s="247"/>
    </row>
    <row r="179" spans="1:11" s="1" customFormat="1" ht="28.5" customHeight="1" x14ac:dyDescent="0.3">
      <c r="A179" s="820" t="s">
        <v>10</v>
      </c>
      <c r="B179" s="822" t="s">
        <v>24</v>
      </c>
      <c r="C179" s="631" t="s">
        <v>39</v>
      </c>
      <c r="D179" s="404"/>
      <c r="E179" s="720" t="s">
        <v>95</v>
      </c>
      <c r="F179" s="594" t="s">
        <v>178</v>
      </c>
      <c r="G179" s="597" t="s">
        <v>134</v>
      </c>
      <c r="H179" s="307" t="s">
        <v>15</v>
      </c>
      <c r="I179" s="128">
        <f>4.2+7.3</f>
        <v>11.5</v>
      </c>
      <c r="J179" s="365" t="s">
        <v>199</v>
      </c>
      <c r="K179" s="394">
        <v>60</v>
      </c>
    </row>
    <row r="180" spans="1:11" s="1" customFormat="1" ht="19.5" customHeight="1" x14ac:dyDescent="0.3">
      <c r="A180" s="820"/>
      <c r="B180" s="822"/>
      <c r="C180" s="631"/>
      <c r="D180" s="404"/>
      <c r="E180" s="720"/>
      <c r="F180" s="594"/>
      <c r="G180" s="597"/>
      <c r="H180" s="162" t="s">
        <v>92</v>
      </c>
      <c r="I180" s="121">
        <f>23.8+41.6-40.9</f>
        <v>24.500000000000007</v>
      </c>
      <c r="J180" s="676" t="s">
        <v>198</v>
      </c>
      <c r="K180" s="358">
        <v>1</v>
      </c>
    </row>
    <row r="181" spans="1:11" s="1" customFormat="1" ht="30" customHeight="1" x14ac:dyDescent="0.3">
      <c r="A181" s="820"/>
      <c r="B181" s="822"/>
      <c r="C181" s="631"/>
      <c r="D181" s="556"/>
      <c r="E181" s="720"/>
      <c r="F181" s="594"/>
      <c r="G181" s="551"/>
      <c r="H181" s="162" t="s">
        <v>251</v>
      </c>
      <c r="I181" s="121">
        <v>40.9</v>
      </c>
      <c r="J181" s="687"/>
      <c r="K181" s="394"/>
    </row>
    <row r="182" spans="1:11" s="1" customFormat="1" ht="15.75" customHeight="1" thickBot="1" x14ac:dyDescent="0.35">
      <c r="A182" s="821"/>
      <c r="B182" s="823"/>
      <c r="C182" s="632"/>
      <c r="D182" s="405"/>
      <c r="E182" s="774"/>
      <c r="F182" s="595"/>
      <c r="G182" s="256"/>
      <c r="H182" s="139" t="s">
        <v>17</v>
      </c>
      <c r="I182" s="464">
        <f>SUM(I179:I181)</f>
        <v>76.900000000000006</v>
      </c>
      <c r="J182" s="545"/>
      <c r="K182" s="239"/>
    </row>
    <row r="183" spans="1:11" s="1" customFormat="1" ht="18.75" customHeight="1" x14ac:dyDescent="0.3">
      <c r="A183" s="372" t="s">
        <v>10</v>
      </c>
      <c r="B183" s="373" t="s">
        <v>24</v>
      </c>
      <c r="C183" s="352" t="s">
        <v>68</v>
      </c>
      <c r="D183" s="181"/>
      <c r="E183" s="684" t="s">
        <v>220</v>
      </c>
      <c r="F183" s="356" t="s">
        <v>185</v>
      </c>
      <c r="G183" s="597" t="s">
        <v>134</v>
      </c>
      <c r="H183" s="54" t="s">
        <v>15</v>
      </c>
      <c r="I183" s="166">
        <f>6.9-4</f>
        <v>2.9000000000000004</v>
      </c>
      <c r="J183" s="608" t="s">
        <v>113</v>
      </c>
      <c r="K183" s="394">
        <v>1</v>
      </c>
    </row>
    <row r="184" spans="1:11" s="1" customFormat="1" ht="16.5" customHeight="1" thickBot="1" x14ac:dyDescent="0.35">
      <c r="A184" s="372"/>
      <c r="B184" s="373"/>
      <c r="C184" s="352"/>
      <c r="D184" s="181"/>
      <c r="E184" s="684"/>
      <c r="F184" s="293"/>
      <c r="G184" s="597"/>
      <c r="H184" s="305" t="s">
        <v>17</v>
      </c>
      <c r="I184" s="306">
        <f t="shared" ref="I184" si="9">I183</f>
        <v>2.9000000000000004</v>
      </c>
      <c r="J184" s="610"/>
      <c r="K184" s="247"/>
    </row>
    <row r="185" spans="1:11" s="1" customFormat="1" ht="19.5" customHeight="1" x14ac:dyDescent="0.3">
      <c r="A185" s="502" t="s">
        <v>10</v>
      </c>
      <c r="B185" s="498" t="s">
        <v>24</v>
      </c>
      <c r="C185" s="500" t="s">
        <v>205</v>
      </c>
      <c r="D185" s="504"/>
      <c r="E185" s="688" t="s">
        <v>270</v>
      </c>
      <c r="F185" s="522" t="s">
        <v>185</v>
      </c>
      <c r="G185" s="605" t="s">
        <v>261</v>
      </c>
      <c r="H185" s="520"/>
      <c r="I185" s="549"/>
      <c r="J185" s="608" t="s">
        <v>263</v>
      </c>
      <c r="K185" s="859">
        <v>1</v>
      </c>
    </row>
    <row r="186" spans="1:11" s="1" customFormat="1" ht="15" customHeight="1" thickBot="1" x14ac:dyDescent="0.35">
      <c r="A186" s="503"/>
      <c r="B186" s="499"/>
      <c r="C186" s="501"/>
      <c r="D186" s="505"/>
      <c r="E186" s="689"/>
      <c r="F186" s="523"/>
      <c r="G186" s="607"/>
      <c r="H186" s="346" t="s">
        <v>17</v>
      </c>
      <c r="I186" s="464">
        <f>I185</f>
        <v>0</v>
      </c>
      <c r="J186" s="610"/>
      <c r="K186" s="860"/>
    </row>
    <row r="187" spans="1:11" s="1" customFormat="1" ht="19.5" customHeight="1" x14ac:dyDescent="0.3">
      <c r="A187" s="579" t="s">
        <v>10</v>
      </c>
      <c r="B187" s="574" t="s">
        <v>24</v>
      </c>
      <c r="C187" s="582" t="s">
        <v>216</v>
      </c>
      <c r="D187" s="585"/>
      <c r="E187" s="688" t="s">
        <v>262</v>
      </c>
      <c r="F187" s="581" t="s">
        <v>185</v>
      </c>
      <c r="G187" s="605" t="s">
        <v>261</v>
      </c>
      <c r="H187" s="520"/>
      <c r="I187" s="549"/>
      <c r="J187" s="608" t="s">
        <v>264</v>
      </c>
      <c r="K187" s="859">
        <v>1</v>
      </c>
    </row>
    <row r="188" spans="1:11" s="1" customFormat="1" ht="15" customHeight="1" thickBot="1" x14ac:dyDescent="0.35">
      <c r="A188" s="580"/>
      <c r="B188" s="576"/>
      <c r="C188" s="577"/>
      <c r="D188" s="587"/>
      <c r="E188" s="689"/>
      <c r="F188" s="584"/>
      <c r="G188" s="607"/>
      <c r="H188" s="521" t="s">
        <v>17</v>
      </c>
      <c r="I188" s="464">
        <f>I187</f>
        <v>0</v>
      </c>
      <c r="J188" s="610"/>
      <c r="K188" s="860"/>
    </row>
    <row r="189" spans="1:11" s="1" customFormat="1" ht="25.8" customHeight="1" thickBot="1" x14ac:dyDescent="0.35">
      <c r="A189" s="579" t="s">
        <v>10</v>
      </c>
      <c r="B189" s="574" t="s">
        <v>24</v>
      </c>
      <c r="C189" s="582" t="s">
        <v>254</v>
      </c>
      <c r="D189" s="586"/>
      <c r="E189" s="861" t="s">
        <v>276</v>
      </c>
      <c r="F189" s="862" t="s">
        <v>185</v>
      </c>
      <c r="G189" s="597" t="s">
        <v>134</v>
      </c>
      <c r="H189" s="588" t="s">
        <v>92</v>
      </c>
      <c r="I189" s="589">
        <v>72.3</v>
      </c>
      <c r="J189" s="857" t="s">
        <v>275</v>
      </c>
      <c r="K189" s="859">
        <v>1273</v>
      </c>
    </row>
    <row r="190" spans="1:11" s="1" customFormat="1" ht="15" customHeight="1" thickBot="1" x14ac:dyDescent="0.35">
      <c r="A190" s="578"/>
      <c r="B190" s="575"/>
      <c r="C190" s="583"/>
      <c r="D190" s="587"/>
      <c r="E190" s="774"/>
      <c r="F190" s="863"/>
      <c r="G190" s="597"/>
      <c r="H190" s="346" t="s">
        <v>17</v>
      </c>
      <c r="I190" s="464">
        <f>I189</f>
        <v>72.3</v>
      </c>
      <c r="J190" s="858"/>
      <c r="K190" s="860"/>
    </row>
    <row r="191" spans="1:11" s="1" customFormat="1" ht="14.25" customHeight="1" thickBot="1" x14ac:dyDescent="0.35">
      <c r="A191" s="33" t="s">
        <v>10</v>
      </c>
      <c r="B191" s="3" t="s">
        <v>24</v>
      </c>
      <c r="C191" s="681" t="s">
        <v>30</v>
      </c>
      <c r="D191" s="681"/>
      <c r="E191" s="681"/>
      <c r="F191" s="681"/>
      <c r="G191" s="681"/>
      <c r="H191" s="681"/>
      <c r="I191" s="123">
        <f>+I182+I178+I176+I172+I166+I150+I145+I184+I190</f>
        <v>16433.600000000002</v>
      </c>
      <c r="J191" s="388"/>
      <c r="K191" s="234"/>
    </row>
    <row r="192" spans="1:11" s="1" customFormat="1" ht="27" customHeight="1" thickBot="1" x14ac:dyDescent="0.35">
      <c r="A192" s="34" t="s">
        <v>10</v>
      </c>
      <c r="B192" s="3" t="s">
        <v>26</v>
      </c>
      <c r="C192" s="682" t="s">
        <v>138</v>
      </c>
      <c r="D192" s="683"/>
      <c r="E192" s="683"/>
      <c r="F192" s="683"/>
      <c r="G192" s="683"/>
      <c r="H192" s="683"/>
      <c r="I192" s="683"/>
      <c r="J192" s="683"/>
      <c r="K192" s="443"/>
    </row>
    <row r="193" spans="1:11" s="2" customFormat="1" ht="40.5" customHeight="1" x14ac:dyDescent="0.3">
      <c r="A193" s="398" t="s">
        <v>10</v>
      </c>
      <c r="B193" s="400" t="s">
        <v>26</v>
      </c>
      <c r="C193" s="67" t="s">
        <v>10</v>
      </c>
      <c r="D193" s="71"/>
      <c r="E193" s="286" t="s">
        <v>41</v>
      </c>
      <c r="F193" s="308"/>
      <c r="G193" s="258"/>
      <c r="H193" s="165"/>
      <c r="I193" s="220"/>
      <c r="J193" s="23"/>
      <c r="K193" s="154"/>
    </row>
    <row r="194" spans="1:11" s="101" customFormat="1" ht="15.75" customHeight="1" x14ac:dyDescent="0.25">
      <c r="A194" s="372"/>
      <c r="B194" s="373"/>
      <c r="C194" s="352"/>
      <c r="D194" s="685" t="s">
        <v>10</v>
      </c>
      <c r="E194" s="680" t="s">
        <v>132</v>
      </c>
      <c r="F194" s="383" t="s">
        <v>42</v>
      </c>
      <c r="G194" s="764" t="s">
        <v>135</v>
      </c>
      <c r="H194" s="58" t="s">
        <v>92</v>
      </c>
      <c r="I194" s="221">
        <f>199.7+16.4</f>
        <v>216.1</v>
      </c>
      <c r="J194" s="409" t="s">
        <v>96</v>
      </c>
      <c r="K194" s="155">
        <v>100</v>
      </c>
    </row>
    <row r="195" spans="1:11" s="101" customFormat="1" ht="16.5" customHeight="1" x14ac:dyDescent="0.25">
      <c r="A195" s="372"/>
      <c r="B195" s="5"/>
      <c r="C195" s="352"/>
      <c r="D195" s="686"/>
      <c r="E195" s="612"/>
      <c r="F195" s="383" t="s">
        <v>179</v>
      </c>
      <c r="G195" s="765"/>
      <c r="H195" s="58" t="s">
        <v>15</v>
      </c>
      <c r="I195" s="124">
        <v>90.5</v>
      </c>
      <c r="J195" s="676" t="s">
        <v>146</v>
      </c>
      <c r="K195" s="155">
        <v>100</v>
      </c>
    </row>
    <row r="196" spans="1:11" s="101" customFormat="1" ht="15" customHeight="1" x14ac:dyDescent="0.25">
      <c r="A196" s="372"/>
      <c r="B196" s="5"/>
      <c r="C196" s="352"/>
      <c r="D196" s="686"/>
      <c r="E196" s="621"/>
      <c r="F196" s="384" t="s">
        <v>178</v>
      </c>
      <c r="G196" s="765"/>
      <c r="H196" s="18" t="s">
        <v>251</v>
      </c>
      <c r="I196" s="140">
        <v>28.7</v>
      </c>
      <c r="J196" s="677"/>
      <c r="K196" s="156"/>
    </row>
    <row r="197" spans="1:11" s="13" customFormat="1" ht="16.5" customHeight="1" x14ac:dyDescent="0.3">
      <c r="A197" s="39"/>
      <c r="B197" s="21"/>
      <c r="C197" s="22"/>
      <c r="D197" s="132" t="s">
        <v>24</v>
      </c>
      <c r="E197" s="698" t="s">
        <v>229</v>
      </c>
      <c r="F197" s="407" t="s">
        <v>42</v>
      </c>
      <c r="G197" s="700" t="s">
        <v>153</v>
      </c>
      <c r="H197" s="94" t="s">
        <v>90</v>
      </c>
      <c r="I197" s="222">
        <f>316.6+80.5</f>
        <v>397.1</v>
      </c>
      <c r="J197" s="82" t="s">
        <v>96</v>
      </c>
      <c r="K197" s="155">
        <v>95</v>
      </c>
    </row>
    <row r="198" spans="1:11" s="13" customFormat="1" ht="14.25" customHeight="1" x14ac:dyDescent="0.3">
      <c r="A198" s="39"/>
      <c r="B198" s="21"/>
      <c r="C198" s="22"/>
      <c r="D198" s="133"/>
      <c r="E198" s="684"/>
      <c r="F198" s="407" t="s">
        <v>179</v>
      </c>
      <c r="G198" s="701"/>
      <c r="H198" s="94" t="s">
        <v>15</v>
      </c>
      <c r="I198" s="217">
        <v>221.2</v>
      </c>
      <c r="J198" s="703" t="s">
        <v>152</v>
      </c>
      <c r="K198" s="155">
        <v>100</v>
      </c>
    </row>
    <row r="199" spans="1:11" s="13" customFormat="1" ht="14.25" customHeight="1" x14ac:dyDescent="0.3">
      <c r="A199" s="39"/>
      <c r="B199" s="21"/>
      <c r="C199" s="22"/>
      <c r="D199" s="134"/>
      <c r="E199" s="699"/>
      <c r="F199" s="381" t="s">
        <v>178</v>
      </c>
      <c r="G199" s="702"/>
      <c r="H199" s="94" t="s">
        <v>92</v>
      </c>
      <c r="I199" s="222">
        <v>76.2</v>
      </c>
      <c r="J199" s="704"/>
      <c r="K199" s="156"/>
    </row>
    <row r="200" spans="1:11" s="2" customFormat="1" ht="18" customHeight="1" x14ac:dyDescent="0.3">
      <c r="A200" s="372"/>
      <c r="B200" s="373"/>
      <c r="C200" s="43"/>
      <c r="D200" s="187" t="s">
        <v>26</v>
      </c>
      <c r="E200" s="698" t="s">
        <v>233</v>
      </c>
      <c r="F200" s="407" t="s">
        <v>131</v>
      </c>
      <c r="G200" s="259" t="s">
        <v>136</v>
      </c>
      <c r="H200" s="74" t="s">
        <v>15</v>
      </c>
      <c r="I200" s="217">
        <f>174.1-5.2</f>
        <v>168.9</v>
      </c>
      <c r="J200" s="136" t="s">
        <v>180</v>
      </c>
      <c r="K200" s="155">
        <v>1</v>
      </c>
    </row>
    <row r="201" spans="1:11" s="2" customFormat="1" ht="15" customHeight="1" x14ac:dyDescent="0.3">
      <c r="A201" s="372"/>
      <c r="B201" s="373"/>
      <c r="C201" s="43"/>
      <c r="D201" s="187"/>
      <c r="E201" s="684"/>
      <c r="F201" s="407" t="s">
        <v>42</v>
      </c>
      <c r="G201" s="701" t="s">
        <v>143</v>
      </c>
      <c r="H201" s="156"/>
      <c r="I201" s="60"/>
      <c r="J201" s="439"/>
      <c r="K201" s="156"/>
    </row>
    <row r="202" spans="1:11" s="2" customFormat="1" ht="27" customHeight="1" x14ac:dyDescent="0.3">
      <c r="A202" s="372"/>
      <c r="B202" s="373"/>
      <c r="C202" s="43"/>
      <c r="D202" s="187"/>
      <c r="E202" s="699"/>
      <c r="F202" s="381" t="s">
        <v>194</v>
      </c>
      <c r="G202" s="702"/>
      <c r="H202" s="93"/>
      <c r="I202" s="218"/>
      <c r="J202" s="338"/>
      <c r="K202" s="444"/>
    </row>
    <row r="203" spans="1:11" s="1" customFormat="1" ht="42" customHeight="1" x14ac:dyDescent="0.3">
      <c r="A203" s="517"/>
      <c r="B203" s="518"/>
      <c r="C203" s="43"/>
      <c r="D203" s="235" t="s">
        <v>28</v>
      </c>
      <c r="E203" s="519" t="s">
        <v>266</v>
      </c>
      <c r="F203" s="529" t="s">
        <v>185</v>
      </c>
      <c r="G203" s="533" t="s">
        <v>148</v>
      </c>
      <c r="H203" s="131" t="s">
        <v>267</v>
      </c>
      <c r="I203" s="530">
        <f>7.7-4.9</f>
        <v>2.8</v>
      </c>
      <c r="J203" s="531" t="s">
        <v>268</v>
      </c>
      <c r="K203" s="532">
        <v>1</v>
      </c>
    </row>
    <row r="204" spans="1:11" s="1" customFormat="1" ht="16.8" customHeight="1" thickBot="1" x14ac:dyDescent="0.35">
      <c r="A204" s="399"/>
      <c r="B204" s="401"/>
      <c r="C204" s="26"/>
      <c r="D204" s="471"/>
      <c r="E204" s="482"/>
      <c r="F204" s="732" t="s">
        <v>23</v>
      </c>
      <c r="G204" s="801"/>
      <c r="H204" s="802"/>
      <c r="I204" s="233">
        <f>SUM(I194:I203)</f>
        <v>1201.5000000000002</v>
      </c>
      <c r="J204" s="423"/>
      <c r="K204" s="396"/>
    </row>
    <row r="205" spans="1:11" s="1" customFormat="1" ht="13.2" customHeight="1" thickBot="1" x14ac:dyDescent="0.35">
      <c r="A205" s="33" t="s">
        <v>10</v>
      </c>
      <c r="B205" s="16" t="s">
        <v>26</v>
      </c>
      <c r="C205" s="798" t="s">
        <v>30</v>
      </c>
      <c r="D205" s="681"/>
      <c r="E205" s="681"/>
      <c r="F205" s="681"/>
      <c r="G205" s="681"/>
      <c r="H205" s="681"/>
      <c r="I205" s="223">
        <f t="shared" ref="I205" si="10">I204</f>
        <v>1201.5000000000002</v>
      </c>
      <c r="J205" s="387"/>
      <c r="K205" s="231"/>
    </row>
    <row r="206" spans="1:11" s="101" customFormat="1" ht="15.75" customHeight="1" thickBot="1" x14ac:dyDescent="0.3">
      <c r="A206" s="398" t="s">
        <v>10</v>
      </c>
      <c r="B206" s="4" t="s">
        <v>28</v>
      </c>
      <c r="C206" s="310" t="s">
        <v>43</v>
      </c>
      <c r="D206" s="311"/>
      <c r="E206" s="311"/>
      <c r="F206" s="290"/>
      <c r="G206" s="311"/>
      <c r="H206" s="311"/>
      <c r="I206" s="311"/>
      <c r="J206" s="160"/>
      <c r="K206" s="445"/>
    </row>
    <row r="207" spans="1:11" s="101" customFormat="1" ht="15.75" customHeight="1" x14ac:dyDescent="0.25">
      <c r="A207" s="398" t="s">
        <v>10</v>
      </c>
      <c r="B207" s="400" t="s">
        <v>28</v>
      </c>
      <c r="C207" s="351" t="s">
        <v>10</v>
      </c>
      <c r="D207" s="402"/>
      <c r="E207" s="287" t="s">
        <v>44</v>
      </c>
      <c r="F207" s="312"/>
      <c r="G207" s="374"/>
      <c r="H207" s="153"/>
      <c r="I207" s="224"/>
      <c r="J207" s="23"/>
      <c r="K207" s="440"/>
    </row>
    <row r="208" spans="1:11" s="101" customFormat="1" ht="15" customHeight="1" x14ac:dyDescent="0.25">
      <c r="A208" s="372"/>
      <c r="B208" s="373"/>
      <c r="C208" s="352"/>
      <c r="D208" s="367" t="s">
        <v>10</v>
      </c>
      <c r="E208" s="698" t="s">
        <v>232</v>
      </c>
      <c r="F208" s="294" t="s">
        <v>179</v>
      </c>
      <c r="G208" s="385" t="s">
        <v>136</v>
      </c>
      <c r="H208" s="573" t="s">
        <v>114</v>
      </c>
      <c r="I208" s="334">
        <f>300+200</f>
        <v>500</v>
      </c>
      <c r="J208" s="410" t="s">
        <v>180</v>
      </c>
      <c r="K208" s="419">
        <v>1</v>
      </c>
    </row>
    <row r="209" spans="1:11" s="101" customFormat="1" ht="11.25" customHeight="1" x14ac:dyDescent="0.25">
      <c r="A209" s="372"/>
      <c r="B209" s="373"/>
      <c r="C209" s="352"/>
      <c r="D209" s="368"/>
      <c r="E209" s="612"/>
      <c r="F209" s="383" t="s">
        <v>131</v>
      </c>
      <c r="G209" s="386"/>
      <c r="H209" s="570"/>
      <c r="I209" s="166"/>
      <c r="J209" s="425"/>
      <c r="K209" s="397"/>
    </row>
    <row r="210" spans="1:11" s="101" customFormat="1" ht="12" customHeight="1" x14ac:dyDescent="0.25">
      <c r="A210" s="372"/>
      <c r="B210" s="373"/>
      <c r="C210" s="352"/>
      <c r="D210" s="368"/>
      <c r="E210" s="612"/>
      <c r="F210" s="383" t="s">
        <v>42</v>
      </c>
      <c r="G210" s="386"/>
      <c r="H210" s="18"/>
      <c r="I210" s="166"/>
      <c r="J210" s="391"/>
      <c r="K210" s="397"/>
    </row>
    <row r="211" spans="1:11" s="101" customFormat="1" ht="6" customHeight="1" x14ac:dyDescent="0.25">
      <c r="A211" s="372"/>
      <c r="B211" s="373"/>
      <c r="C211" s="352"/>
      <c r="D211" s="368"/>
      <c r="E211" s="612"/>
      <c r="F211" s="799" t="s">
        <v>178</v>
      </c>
      <c r="G211" s="386"/>
      <c r="H211" s="359"/>
      <c r="I211" s="140"/>
      <c r="J211" s="391"/>
      <c r="K211" s="397"/>
    </row>
    <row r="212" spans="1:11" s="101" customFormat="1" ht="15" customHeight="1" x14ac:dyDescent="0.25">
      <c r="A212" s="372"/>
      <c r="B212" s="373"/>
      <c r="C212" s="352"/>
      <c r="D212" s="195"/>
      <c r="E212" s="612"/>
      <c r="F212" s="800"/>
      <c r="G212" s="386"/>
      <c r="H212" s="137" t="s">
        <v>17</v>
      </c>
      <c r="I212" s="229">
        <f>SUM(I208:I211)</f>
        <v>500</v>
      </c>
      <c r="J212" s="468"/>
      <c r="K212" s="420"/>
    </row>
    <row r="213" spans="1:11" s="101" customFormat="1" ht="14.25" customHeight="1" x14ac:dyDescent="0.25">
      <c r="A213" s="372"/>
      <c r="B213" s="373"/>
      <c r="C213" s="352"/>
      <c r="D213" s="368" t="s">
        <v>24</v>
      </c>
      <c r="E213" s="619" t="s">
        <v>188</v>
      </c>
      <c r="F213" s="383" t="s">
        <v>178</v>
      </c>
      <c r="G213" s="764" t="s">
        <v>142</v>
      </c>
      <c r="H213" s="91" t="s">
        <v>114</v>
      </c>
      <c r="I213" s="214">
        <f>300-200</f>
        <v>100</v>
      </c>
      <c r="J213" s="771" t="s">
        <v>108</v>
      </c>
      <c r="K213" s="419">
        <v>9</v>
      </c>
    </row>
    <row r="214" spans="1:11" s="101" customFormat="1" ht="14.25" customHeight="1" x14ac:dyDescent="0.25">
      <c r="A214" s="372"/>
      <c r="B214" s="373"/>
      <c r="C214" s="352"/>
      <c r="D214" s="368"/>
      <c r="E214" s="728"/>
      <c r="F214" s="383" t="s">
        <v>179</v>
      </c>
      <c r="G214" s="765"/>
      <c r="H214" s="91" t="s">
        <v>118</v>
      </c>
      <c r="I214" s="214">
        <v>400</v>
      </c>
      <c r="J214" s="771"/>
      <c r="K214" s="394"/>
    </row>
    <row r="215" spans="1:11" s="101" customFormat="1" ht="14.25" customHeight="1" x14ac:dyDescent="0.25">
      <c r="A215" s="372"/>
      <c r="B215" s="373"/>
      <c r="C215" s="352"/>
      <c r="D215" s="368"/>
      <c r="E215" s="728"/>
      <c r="F215" s="384" t="s">
        <v>42</v>
      </c>
      <c r="G215" s="766"/>
      <c r="H215" s="137" t="s">
        <v>17</v>
      </c>
      <c r="I215" s="7">
        <f t="shared" ref="I215" si="11">SUM(I213:I214)</f>
        <v>500</v>
      </c>
      <c r="J215" s="771"/>
      <c r="K215" s="394"/>
    </row>
    <row r="216" spans="1:11" s="101" customFormat="1" ht="15" customHeight="1" thickBot="1" x14ac:dyDescent="0.3">
      <c r="A216" s="399"/>
      <c r="B216" s="401"/>
      <c r="C216" s="353"/>
      <c r="D216" s="403"/>
      <c r="E216" s="481"/>
      <c r="F216" s="672" t="s">
        <v>23</v>
      </c>
      <c r="G216" s="673"/>
      <c r="H216" s="772"/>
      <c r="I216" s="347">
        <f t="shared" ref="I216" si="12">I212+I215</f>
        <v>1000</v>
      </c>
      <c r="J216" s="100"/>
      <c r="K216" s="394"/>
    </row>
    <row r="217" spans="1:11" s="101" customFormat="1" ht="18" customHeight="1" x14ac:dyDescent="0.25">
      <c r="A217" s="398" t="s">
        <v>10</v>
      </c>
      <c r="B217" s="400" t="s">
        <v>28</v>
      </c>
      <c r="C217" s="316" t="s">
        <v>24</v>
      </c>
      <c r="D217" s="317"/>
      <c r="E217" s="767" t="s">
        <v>45</v>
      </c>
      <c r="F217" s="141" t="s">
        <v>178</v>
      </c>
      <c r="G217" s="769" t="s">
        <v>145</v>
      </c>
      <c r="H217" s="118"/>
      <c r="I217" s="225"/>
      <c r="J217" s="150"/>
      <c r="K217" s="442"/>
    </row>
    <row r="218" spans="1:11" s="101" customFormat="1" ht="22.5" customHeight="1" x14ac:dyDescent="0.25">
      <c r="A218" s="372"/>
      <c r="B218" s="373"/>
      <c r="C218" s="25"/>
      <c r="D218" s="196"/>
      <c r="E218" s="768"/>
      <c r="F218" s="313"/>
      <c r="G218" s="770"/>
      <c r="H218" s="42" t="s">
        <v>67</v>
      </c>
      <c r="I218" s="216">
        <v>231.5</v>
      </c>
      <c r="J218" s="150"/>
      <c r="K218" s="397"/>
    </row>
    <row r="219" spans="1:11" s="101" customFormat="1" ht="27" customHeight="1" x14ac:dyDescent="0.25">
      <c r="A219" s="372"/>
      <c r="B219" s="373"/>
      <c r="C219" s="25"/>
      <c r="D219" s="197" t="s">
        <v>10</v>
      </c>
      <c r="E219" s="382" t="s">
        <v>46</v>
      </c>
      <c r="F219" s="274" t="s">
        <v>179</v>
      </c>
      <c r="G219" s="252"/>
      <c r="H219" s="6" t="s">
        <v>32</v>
      </c>
      <c r="I219" s="226">
        <v>892.5</v>
      </c>
      <c r="J219" s="90" t="s">
        <v>112</v>
      </c>
      <c r="K219" s="243">
        <v>30</v>
      </c>
    </row>
    <row r="220" spans="1:11" s="101" customFormat="1" ht="33.75" customHeight="1" x14ac:dyDescent="0.25">
      <c r="A220" s="372"/>
      <c r="B220" s="373"/>
      <c r="C220" s="25"/>
      <c r="D220" s="196" t="s">
        <v>24</v>
      </c>
      <c r="E220" s="759" t="s">
        <v>47</v>
      </c>
      <c r="F220" s="111"/>
      <c r="G220" s="252"/>
      <c r="H220" s="6" t="s">
        <v>32</v>
      </c>
      <c r="I220" s="216">
        <v>285</v>
      </c>
      <c r="J220" s="761" t="s">
        <v>200</v>
      </c>
      <c r="K220" s="419">
        <v>270</v>
      </c>
    </row>
    <row r="221" spans="1:11" s="101" customFormat="1" ht="21" customHeight="1" x14ac:dyDescent="0.25">
      <c r="A221" s="372"/>
      <c r="B221" s="373"/>
      <c r="C221" s="25"/>
      <c r="D221" s="196"/>
      <c r="E221" s="760"/>
      <c r="F221" s="189"/>
      <c r="G221" s="252"/>
      <c r="H221" s="42"/>
      <c r="I221" s="216"/>
      <c r="J221" s="762"/>
      <c r="K221" s="420"/>
    </row>
    <row r="222" spans="1:11" s="101" customFormat="1" ht="30" customHeight="1" x14ac:dyDescent="0.25">
      <c r="A222" s="372"/>
      <c r="B222" s="373"/>
      <c r="C222" s="25"/>
      <c r="D222" s="198" t="s">
        <v>26</v>
      </c>
      <c r="E222" s="382" t="s">
        <v>48</v>
      </c>
      <c r="F222" s="275"/>
      <c r="G222" s="252"/>
      <c r="H222" s="6" t="s">
        <v>32</v>
      </c>
      <c r="I222" s="226">
        <v>50</v>
      </c>
      <c r="J222" s="390" t="s">
        <v>77</v>
      </c>
      <c r="K222" s="397">
        <v>35</v>
      </c>
    </row>
    <row r="223" spans="1:11" s="101" customFormat="1" ht="15" customHeight="1" x14ac:dyDescent="0.25">
      <c r="A223" s="372"/>
      <c r="B223" s="373"/>
      <c r="C223" s="25"/>
      <c r="D223" s="198" t="s">
        <v>28</v>
      </c>
      <c r="E223" s="759" t="s">
        <v>49</v>
      </c>
      <c r="F223" s="111"/>
      <c r="G223" s="252"/>
      <c r="H223" s="6" t="s">
        <v>32</v>
      </c>
      <c r="I223" s="216">
        <v>313.5</v>
      </c>
      <c r="J223" s="761" t="s">
        <v>50</v>
      </c>
      <c r="K223" s="419">
        <v>95</v>
      </c>
    </row>
    <row r="224" spans="1:11" s="101" customFormat="1" ht="12.75" customHeight="1" x14ac:dyDescent="0.25">
      <c r="A224" s="372"/>
      <c r="B224" s="373"/>
      <c r="C224" s="25"/>
      <c r="D224" s="196"/>
      <c r="E224" s="760"/>
      <c r="F224" s="189"/>
      <c r="G224" s="252"/>
      <c r="H224" s="42"/>
      <c r="I224" s="216"/>
      <c r="J224" s="763"/>
      <c r="K224" s="397"/>
    </row>
    <row r="225" spans="1:11" s="101" customFormat="1" ht="30.75" customHeight="1" x14ac:dyDescent="0.25">
      <c r="A225" s="372"/>
      <c r="B225" s="373"/>
      <c r="C225" s="25"/>
      <c r="D225" s="197" t="s">
        <v>29</v>
      </c>
      <c r="E225" s="288" t="s">
        <v>51</v>
      </c>
      <c r="F225" s="275"/>
      <c r="G225" s="252"/>
      <c r="H225" s="6" t="s">
        <v>25</v>
      </c>
      <c r="I225" s="226">
        <v>10</v>
      </c>
      <c r="J225" s="45" t="s">
        <v>107</v>
      </c>
      <c r="K225" s="243">
        <v>12</v>
      </c>
    </row>
    <row r="226" spans="1:11" s="101" customFormat="1" ht="22.5" customHeight="1" x14ac:dyDescent="0.25">
      <c r="A226" s="372"/>
      <c r="B226" s="373"/>
      <c r="C226" s="25"/>
      <c r="D226" s="196" t="s">
        <v>38</v>
      </c>
      <c r="E226" s="603" t="s">
        <v>52</v>
      </c>
      <c r="F226" s="111"/>
      <c r="G226" s="252"/>
      <c r="H226" s="6" t="s">
        <v>32</v>
      </c>
      <c r="I226" s="216">
        <v>274</v>
      </c>
      <c r="J226" s="762" t="s">
        <v>53</v>
      </c>
      <c r="K226" s="358">
        <v>100</v>
      </c>
    </row>
    <row r="227" spans="1:11" s="101" customFormat="1" ht="11.25" customHeight="1" x14ac:dyDescent="0.25">
      <c r="A227" s="35"/>
      <c r="B227" s="373"/>
      <c r="C227" s="25"/>
      <c r="D227" s="196"/>
      <c r="E227" s="603"/>
      <c r="F227" s="111"/>
      <c r="G227" s="252"/>
      <c r="H227" s="42"/>
      <c r="I227" s="215"/>
      <c r="J227" s="762"/>
      <c r="K227" s="397"/>
    </row>
    <row r="228" spans="1:11" s="101" customFormat="1" ht="13.5" customHeight="1" thickBot="1" x14ac:dyDescent="0.3">
      <c r="A228" s="36" t="s">
        <v>80</v>
      </c>
      <c r="B228" s="401"/>
      <c r="C228" s="26"/>
      <c r="D228" s="199"/>
      <c r="E228" s="604"/>
      <c r="F228" s="112"/>
      <c r="G228" s="256"/>
      <c r="H228" s="30" t="s">
        <v>17</v>
      </c>
      <c r="I228" s="9">
        <f t="shared" ref="I228" si="13">SUM(I217:I227)</f>
        <v>2056.5</v>
      </c>
      <c r="J228" s="773"/>
      <c r="K228" s="396"/>
    </row>
    <row r="229" spans="1:11" s="101" customFormat="1" ht="39.9" customHeight="1" x14ac:dyDescent="0.25">
      <c r="A229" s="372" t="s">
        <v>10</v>
      </c>
      <c r="B229" s="373" t="s">
        <v>28</v>
      </c>
      <c r="C229" s="352" t="s">
        <v>26</v>
      </c>
      <c r="D229" s="181"/>
      <c r="E229" s="314" t="s">
        <v>54</v>
      </c>
      <c r="F229" s="312"/>
      <c r="G229" s="375"/>
      <c r="H229" s="315"/>
      <c r="I229" s="474"/>
      <c r="J229" s="472"/>
      <c r="K229" s="440"/>
    </row>
    <row r="230" spans="1:11" s="101" customFormat="1" ht="15.6" customHeight="1" x14ac:dyDescent="0.25">
      <c r="A230" s="372"/>
      <c r="B230" s="373"/>
      <c r="C230" s="352"/>
      <c r="D230" s="180" t="s">
        <v>10</v>
      </c>
      <c r="E230" s="698" t="s">
        <v>89</v>
      </c>
      <c r="F230" s="142" t="s">
        <v>178</v>
      </c>
      <c r="G230" s="775" t="s">
        <v>142</v>
      </c>
      <c r="H230" s="31" t="s">
        <v>13</v>
      </c>
      <c r="I230" s="334">
        <v>301</v>
      </c>
      <c r="J230" s="363" t="s">
        <v>108</v>
      </c>
      <c r="K230" s="394">
        <v>5</v>
      </c>
    </row>
    <row r="231" spans="1:11" s="101" customFormat="1" ht="15" customHeight="1" thickBot="1" x14ac:dyDescent="0.3">
      <c r="A231" s="372"/>
      <c r="B231" s="373"/>
      <c r="C231" s="352"/>
      <c r="D231" s="403"/>
      <c r="E231" s="774"/>
      <c r="F231" s="112"/>
      <c r="G231" s="598"/>
      <c r="H231" s="32" t="s">
        <v>17</v>
      </c>
      <c r="I231" s="65">
        <f t="shared" ref="I231" si="14">SUM(I230:I230)</f>
        <v>301</v>
      </c>
      <c r="J231" s="473"/>
      <c r="K231" s="247"/>
    </row>
    <row r="232" spans="1:11" s="1" customFormat="1" ht="16.5" customHeight="1" thickBot="1" x14ac:dyDescent="0.35">
      <c r="A232" s="33" t="s">
        <v>10</v>
      </c>
      <c r="B232" s="3" t="s">
        <v>28</v>
      </c>
      <c r="C232" s="681" t="s">
        <v>30</v>
      </c>
      <c r="D232" s="681"/>
      <c r="E232" s="681"/>
      <c r="F232" s="681"/>
      <c r="G232" s="681"/>
      <c r="H232" s="681"/>
      <c r="I232" s="465">
        <f t="shared" ref="I232" si="15">+I231+I228+I216</f>
        <v>3357.5</v>
      </c>
      <c r="J232" s="388"/>
      <c r="K232" s="446"/>
    </row>
    <row r="233" spans="1:11" s="101" customFormat="1" ht="16.5" customHeight="1" thickBot="1" x14ac:dyDescent="0.3">
      <c r="A233" s="399" t="s">
        <v>10</v>
      </c>
      <c r="B233" s="40"/>
      <c r="C233" s="758" t="s">
        <v>55</v>
      </c>
      <c r="D233" s="758"/>
      <c r="E233" s="758"/>
      <c r="F233" s="758"/>
      <c r="G233" s="758"/>
      <c r="H233" s="758"/>
      <c r="I233" s="475">
        <f>I232+I205+I191+I81</f>
        <v>97414.000000000015</v>
      </c>
      <c r="J233" s="389"/>
      <c r="K233" s="236"/>
    </row>
    <row r="234" spans="1:11" s="1" customFormat="1" ht="16.5" customHeight="1" thickBot="1" x14ac:dyDescent="0.35">
      <c r="A234" s="41" t="s">
        <v>56</v>
      </c>
      <c r="B234" s="742" t="s">
        <v>57</v>
      </c>
      <c r="C234" s="743"/>
      <c r="D234" s="743"/>
      <c r="E234" s="743"/>
      <c r="F234" s="743"/>
      <c r="G234" s="743"/>
      <c r="H234" s="743"/>
      <c r="I234" s="476">
        <f t="shared" ref="I234" si="16">I233</f>
        <v>97414.000000000015</v>
      </c>
      <c r="J234" s="392"/>
      <c r="K234" s="344"/>
    </row>
    <row r="235" spans="1:11" s="1" customFormat="1" ht="15" customHeight="1" x14ac:dyDescent="0.3">
      <c r="A235" s="755" t="s">
        <v>244</v>
      </c>
      <c r="B235" s="756"/>
      <c r="C235" s="756"/>
      <c r="D235" s="756"/>
      <c r="E235" s="756"/>
      <c r="F235" s="756"/>
      <c r="G235" s="756"/>
      <c r="H235" s="756"/>
      <c r="I235" s="756"/>
      <c r="J235" s="756"/>
      <c r="K235" s="206"/>
    </row>
    <row r="236" spans="1:11" s="1" customFormat="1" ht="30" customHeight="1" x14ac:dyDescent="0.3">
      <c r="A236" s="730" t="s">
        <v>277</v>
      </c>
      <c r="B236" s="730"/>
      <c r="C236" s="730"/>
      <c r="D236" s="730"/>
      <c r="E236" s="730"/>
      <c r="F236" s="730"/>
      <c r="G236" s="730"/>
      <c r="H236" s="730"/>
      <c r="I236" s="730"/>
      <c r="J236" s="730"/>
      <c r="K236" s="730"/>
    </row>
    <row r="237" spans="1:11" s="1" customFormat="1" ht="15.6" customHeight="1" thickBot="1" x14ac:dyDescent="0.35">
      <c r="A237" s="757" t="s">
        <v>240</v>
      </c>
      <c r="B237" s="757"/>
      <c r="C237" s="757"/>
      <c r="D237" s="757"/>
      <c r="E237" s="757"/>
      <c r="F237" s="278"/>
      <c r="G237" s="238"/>
      <c r="H237" s="200"/>
      <c r="I237" s="205"/>
      <c r="J237" s="200"/>
      <c r="K237" s="209"/>
    </row>
    <row r="238" spans="1:11" s="1" customFormat="1" ht="43.5" customHeight="1" thickBot="1" x14ac:dyDescent="0.35">
      <c r="A238" s="744" t="s">
        <v>58</v>
      </c>
      <c r="B238" s="745"/>
      <c r="C238" s="745"/>
      <c r="D238" s="745"/>
      <c r="E238" s="745"/>
      <c r="F238" s="745"/>
      <c r="G238" s="746"/>
      <c r="H238" s="746"/>
      <c r="I238" s="477" t="s">
        <v>242</v>
      </c>
      <c r="J238" s="208"/>
      <c r="K238" s="208"/>
    </row>
    <row r="239" spans="1:11" s="1" customFormat="1" ht="15.75" customHeight="1" x14ac:dyDescent="0.3">
      <c r="A239" s="747" t="s">
        <v>59</v>
      </c>
      <c r="B239" s="748"/>
      <c r="C239" s="748"/>
      <c r="D239" s="748"/>
      <c r="E239" s="748"/>
      <c r="F239" s="748"/>
      <c r="G239" s="749"/>
      <c r="H239" s="749"/>
      <c r="I239" s="73">
        <f>+I240+I249+I250+I251+I248+I247</f>
        <v>48690.500000000007</v>
      </c>
      <c r="J239" s="227"/>
      <c r="K239" s="227"/>
    </row>
    <row r="240" spans="1:11" s="1" customFormat="1" ht="15.75" customHeight="1" x14ac:dyDescent="0.3">
      <c r="A240" s="750" t="s">
        <v>125</v>
      </c>
      <c r="B240" s="751"/>
      <c r="C240" s="751"/>
      <c r="D240" s="751"/>
      <c r="E240" s="751"/>
      <c r="F240" s="751"/>
      <c r="G240" s="751"/>
      <c r="H240" s="751"/>
      <c r="I240" s="59">
        <f>SUM(I241:I246)</f>
        <v>46363.200000000012</v>
      </c>
      <c r="J240" s="227"/>
      <c r="K240" s="227"/>
    </row>
    <row r="241" spans="1:11" s="1" customFormat="1" ht="15.75" customHeight="1" x14ac:dyDescent="0.3">
      <c r="A241" s="752" t="s">
        <v>60</v>
      </c>
      <c r="B241" s="728"/>
      <c r="C241" s="728"/>
      <c r="D241" s="728"/>
      <c r="E241" s="728"/>
      <c r="F241" s="728"/>
      <c r="G241" s="612"/>
      <c r="H241" s="612"/>
      <c r="I241" s="60">
        <f>SUMIF(H17:H231,"sb",I17:I231)</f>
        <v>14851.699999999999</v>
      </c>
      <c r="J241" s="207"/>
      <c r="K241" s="207"/>
    </row>
    <row r="242" spans="1:11" s="1" customFormat="1" ht="15.75" customHeight="1" x14ac:dyDescent="0.3">
      <c r="A242" s="753" t="s">
        <v>154</v>
      </c>
      <c r="B242" s="754"/>
      <c r="C242" s="754"/>
      <c r="D242" s="754"/>
      <c r="E242" s="754"/>
      <c r="F242" s="754"/>
      <c r="G242" s="754"/>
      <c r="H242" s="754"/>
      <c r="I242" s="66">
        <f>SUMIF(H17:H230,"sb(S)",I17:I230)</f>
        <v>6621.5999999999995</v>
      </c>
      <c r="J242" s="207"/>
      <c r="K242" s="207"/>
    </row>
    <row r="243" spans="1:11" s="1" customFormat="1" ht="15.75" customHeight="1" x14ac:dyDescent="0.3">
      <c r="A243" s="740" t="s">
        <v>115</v>
      </c>
      <c r="B243" s="741"/>
      <c r="C243" s="741"/>
      <c r="D243" s="741"/>
      <c r="E243" s="741"/>
      <c r="F243" s="741"/>
      <c r="G243" s="741"/>
      <c r="H243" s="741"/>
      <c r="I243" s="61">
        <f>SUMIF(H17:H230,"sb(f)",I17:I230)</f>
        <v>600</v>
      </c>
      <c r="J243" s="207"/>
      <c r="K243" s="207"/>
    </row>
    <row r="244" spans="1:11" s="1" customFormat="1" ht="15" customHeight="1" x14ac:dyDescent="0.3">
      <c r="A244" s="740" t="s">
        <v>109</v>
      </c>
      <c r="B244" s="741"/>
      <c r="C244" s="741"/>
      <c r="D244" s="741"/>
      <c r="E244" s="741"/>
      <c r="F244" s="741"/>
      <c r="G244" s="741"/>
      <c r="H244" s="741"/>
      <c r="I244" s="61">
        <f>SUMIF(H22:H230,"sb(es)",I22:I230)</f>
        <v>570.90000000000009</v>
      </c>
      <c r="J244" s="207"/>
      <c r="K244" s="207"/>
    </row>
    <row r="245" spans="1:11" s="1" customFormat="1" ht="15" customHeight="1" x14ac:dyDescent="0.3">
      <c r="A245" s="787" t="s">
        <v>61</v>
      </c>
      <c r="B245" s="788"/>
      <c r="C245" s="788"/>
      <c r="D245" s="788"/>
      <c r="E245" s="788"/>
      <c r="F245" s="788"/>
      <c r="G245" s="789"/>
      <c r="H245" s="789"/>
      <c r="I245" s="63">
        <f>SUMIF(H17:H230,"sb(sp)",I17:I230)</f>
        <v>2775.3</v>
      </c>
      <c r="J245" s="207"/>
      <c r="K245" s="207"/>
    </row>
    <row r="246" spans="1:11" s="1" customFormat="1" ht="15.75" customHeight="1" x14ac:dyDescent="0.3">
      <c r="A246" s="787" t="s">
        <v>62</v>
      </c>
      <c r="B246" s="788"/>
      <c r="C246" s="788"/>
      <c r="D246" s="788"/>
      <c r="E246" s="788"/>
      <c r="F246" s="788"/>
      <c r="G246" s="789"/>
      <c r="H246" s="789"/>
      <c r="I246" s="61">
        <f>SUMIF(H17:H230,"sb(vb)",I17:I230)</f>
        <v>20943.700000000008</v>
      </c>
      <c r="J246" s="207"/>
      <c r="K246" s="207"/>
    </row>
    <row r="247" spans="1:11" s="1" customFormat="1" ht="15.75" customHeight="1" x14ac:dyDescent="0.3">
      <c r="A247" s="779" t="s">
        <v>260</v>
      </c>
      <c r="B247" s="780"/>
      <c r="C247" s="780"/>
      <c r="D247" s="780"/>
      <c r="E247" s="780"/>
      <c r="F247" s="780"/>
      <c r="G247" s="780"/>
      <c r="H247" s="794"/>
      <c r="I247" s="62">
        <f>SUMIF(H19:H231,"sb(vbl)",I19:I231)</f>
        <v>0.1</v>
      </c>
      <c r="J247" s="207"/>
      <c r="K247" s="207"/>
    </row>
    <row r="248" spans="1:11" s="1" customFormat="1" ht="15.75" customHeight="1" x14ac:dyDescent="0.3">
      <c r="A248" s="779" t="s">
        <v>252</v>
      </c>
      <c r="B248" s="780"/>
      <c r="C248" s="780"/>
      <c r="D248" s="780"/>
      <c r="E248" s="780"/>
      <c r="F248" s="780"/>
      <c r="G248" s="780"/>
      <c r="H248" s="794"/>
      <c r="I248" s="62">
        <f>SUMIF(H19:H231,"sb(esl)",I19:I231)</f>
        <v>70.7</v>
      </c>
      <c r="J248" s="207"/>
      <c r="K248" s="207"/>
    </row>
    <row r="249" spans="1:11" s="1" customFormat="1" ht="15.75" customHeight="1" x14ac:dyDescent="0.3">
      <c r="A249" s="790" t="s">
        <v>91</v>
      </c>
      <c r="B249" s="791"/>
      <c r="C249" s="791"/>
      <c r="D249" s="791"/>
      <c r="E249" s="791"/>
      <c r="F249" s="791"/>
      <c r="G249" s="792"/>
      <c r="H249" s="792"/>
      <c r="I249" s="62">
        <f>SUMIF(H17:H230,"sb(l)",I17:I230)</f>
        <v>1499.9</v>
      </c>
      <c r="J249" s="207"/>
      <c r="K249" s="207"/>
    </row>
    <row r="250" spans="1:11" s="1" customFormat="1" ht="15.75" customHeight="1" x14ac:dyDescent="0.3">
      <c r="A250" s="779" t="s">
        <v>141</v>
      </c>
      <c r="B250" s="780"/>
      <c r="C250" s="780"/>
      <c r="D250" s="780"/>
      <c r="E250" s="780"/>
      <c r="F250" s="780"/>
      <c r="G250" s="780"/>
      <c r="H250" s="780"/>
      <c r="I250" s="62">
        <f>SUMIF(H17:H230,"sb(spl)",I17:I230)</f>
        <v>356.6</v>
      </c>
      <c r="J250" s="207"/>
      <c r="K250" s="207"/>
    </row>
    <row r="251" spans="1:11" s="1" customFormat="1" ht="15.75" customHeight="1" thickBot="1" x14ac:dyDescent="0.35">
      <c r="A251" s="779" t="s">
        <v>197</v>
      </c>
      <c r="B251" s="780"/>
      <c r="C251" s="780"/>
      <c r="D251" s="780"/>
      <c r="E251" s="780"/>
      <c r="F251" s="780"/>
      <c r="G251" s="780"/>
      <c r="H251" s="780"/>
      <c r="I251" s="62">
        <f>SUMIF(H17:H230,"sb(fl)",I17:I230)</f>
        <v>400</v>
      </c>
      <c r="J251" s="207"/>
      <c r="K251" s="207"/>
    </row>
    <row r="252" spans="1:11" s="1" customFormat="1" ht="15.75" customHeight="1" thickBot="1" x14ac:dyDescent="0.35">
      <c r="A252" s="781" t="s">
        <v>63</v>
      </c>
      <c r="B252" s="782"/>
      <c r="C252" s="782"/>
      <c r="D252" s="782"/>
      <c r="E252" s="782"/>
      <c r="F252" s="782"/>
      <c r="G252" s="783"/>
      <c r="H252" s="783"/>
      <c r="I252" s="57">
        <f>SUM(I253:I255)</f>
        <v>48723.500000000007</v>
      </c>
      <c r="J252" s="227"/>
      <c r="K252" s="227"/>
    </row>
    <row r="253" spans="1:11" s="1" customFormat="1" ht="15.75" customHeight="1" x14ac:dyDescent="0.3">
      <c r="A253" s="784" t="s">
        <v>64</v>
      </c>
      <c r="B253" s="785"/>
      <c r="C253" s="785"/>
      <c r="D253" s="785"/>
      <c r="E253" s="785"/>
      <c r="F253" s="785"/>
      <c r="G253" s="786"/>
      <c r="H253" s="786"/>
      <c r="I253" s="63">
        <f>SUMIF(H17:H230,"lrvb",I17:I230)</f>
        <v>48553.600000000006</v>
      </c>
      <c r="J253" s="207"/>
      <c r="K253" s="207"/>
    </row>
    <row r="254" spans="1:11" s="1" customFormat="1" ht="15.75" customHeight="1" x14ac:dyDescent="0.3">
      <c r="A254" s="740" t="s">
        <v>83</v>
      </c>
      <c r="B254" s="741"/>
      <c r="C254" s="741"/>
      <c r="D254" s="741"/>
      <c r="E254" s="741"/>
      <c r="F254" s="741"/>
      <c r="G254" s="741"/>
      <c r="H254" s="793"/>
      <c r="I254" s="61">
        <f>SUMIF(H19:H231,"es",I19:I231)</f>
        <v>167.1</v>
      </c>
      <c r="J254" s="207"/>
      <c r="K254" s="207"/>
    </row>
    <row r="255" spans="1:11" s="1" customFormat="1" ht="15.75" customHeight="1" thickBot="1" x14ac:dyDescent="0.35">
      <c r="A255" s="795" t="s">
        <v>269</v>
      </c>
      <c r="B255" s="796"/>
      <c r="C255" s="796"/>
      <c r="D255" s="796"/>
      <c r="E255" s="796"/>
      <c r="F255" s="796"/>
      <c r="G255" s="796"/>
      <c r="H255" s="797"/>
      <c r="I255" s="61">
        <f>SUMIF(H20:H232,"kt",I20:I232)</f>
        <v>2.8</v>
      </c>
      <c r="J255" s="207"/>
      <c r="K255" s="207"/>
    </row>
    <row r="256" spans="1:11" ht="15" thickBot="1" x14ac:dyDescent="0.35">
      <c r="A256" s="776" t="s">
        <v>65</v>
      </c>
      <c r="B256" s="777"/>
      <c r="C256" s="777"/>
      <c r="D256" s="777"/>
      <c r="E256" s="777"/>
      <c r="F256" s="777"/>
      <c r="G256" s="778"/>
      <c r="H256" s="778"/>
      <c r="I256" s="68">
        <f>I239+I252</f>
        <v>97414.000000000015</v>
      </c>
      <c r="J256" s="227"/>
      <c r="K256" s="227"/>
    </row>
    <row r="257" spans="7:11" x14ac:dyDescent="0.3">
      <c r="G257" s="152"/>
      <c r="H257" s="151"/>
      <c r="I257" s="237"/>
      <c r="J257" s="228"/>
      <c r="K257" s="228"/>
    </row>
    <row r="258" spans="7:11" x14ac:dyDescent="0.3">
      <c r="I258" s="228"/>
      <c r="J258" s="103"/>
      <c r="K258" s="211"/>
    </row>
    <row r="259" spans="7:11" x14ac:dyDescent="0.3">
      <c r="H259" s="104"/>
      <c r="I259" s="104"/>
      <c r="J259" s="76"/>
      <c r="K259" s="211"/>
    </row>
    <row r="260" spans="7:11" x14ac:dyDescent="0.3">
      <c r="J260" s="103"/>
      <c r="K260" s="76"/>
    </row>
    <row r="261" spans="7:11" x14ac:dyDescent="0.3">
      <c r="J261" s="103" t="s">
        <v>137</v>
      </c>
      <c r="K261" s="211"/>
    </row>
    <row r="262" spans="7:11" x14ac:dyDescent="0.3">
      <c r="K262" s="211"/>
    </row>
    <row r="267" spans="7:11" x14ac:dyDescent="0.3">
      <c r="I267" s="248"/>
    </row>
  </sheetData>
  <mergeCells count="259">
    <mergeCell ref="J189:J190"/>
    <mergeCell ref="K189:K190"/>
    <mergeCell ref="E189:E190"/>
    <mergeCell ref="F189:F190"/>
    <mergeCell ref="G189:G190"/>
    <mergeCell ref="B78:B80"/>
    <mergeCell ref="C78:C80"/>
    <mergeCell ref="D78:D80"/>
    <mergeCell ref="E78:E80"/>
    <mergeCell ref="F78:F80"/>
    <mergeCell ref="G78:G80"/>
    <mergeCell ref="J175:J176"/>
    <mergeCell ref="E177:E178"/>
    <mergeCell ref="G177:G178"/>
    <mergeCell ref="J177:J178"/>
    <mergeCell ref="K113:K114"/>
    <mergeCell ref="K185:K186"/>
    <mergeCell ref="K187:K188"/>
    <mergeCell ref="K122:K123"/>
    <mergeCell ref="I1:K1"/>
    <mergeCell ref="I2:K2"/>
    <mergeCell ref="J35:J36"/>
    <mergeCell ref="E119:E120"/>
    <mergeCell ref="J120:J121"/>
    <mergeCell ref="E171:E172"/>
    <mergeCell ref="E156:E158"/>
    <mergeCell ref="J156:J157"/>
    <mergeCell ref="E159:E160"/>
    <mergeCell ref="J159:J160"/>
    <mergeCell ref="G146:G147"/>
    <mergeCell ref="E147:E148"/>
    <mergeCell ref="J132:J133"/>
    <mergeCell ref="J137:J139"/>
    <mergeCell ref="J154:J155"/>
    <mergeCell ref="J17:J19"/>
    <mergeCell ref="J10:J11"/>
    <mergeCell ref="F9:F11"/>
    <mergeCell ref="G9:G11"/>
    <mergeCell ref="A13:J13"/>
    <mergeCell ref="D17:D26"/>
    <mergeCell ref="A63:A64"/>
    <mergeCell ref="B63:B64"/>
    <mergeCell ref="C63:C64"/>
    <mergeCell ref="A179:A182"/>
    <mergeCell ref="B179:B182"/>
    <mergeCell ref="C179:C182"/>
    <mergeCell ref="G173:G174"/>
    <mergeCell ref="A111:A112"/>
    <mergeCell ref="B111:B112"/>
    <mergeCell ref="C111:C112"/>
    <mergeCell ref="E111:E112"/>
    <mergeCell ref="F111:F112"/>
    <mergeCell ref="E115:E116"/>
    <mergeCell ref="E132:E140"/>
    <mergeCell ref="E154:E155"/>
    <mergeCell ref="E167:E168"/>
    <mergeCell ref="G167:G169"/>
    <mergeCell ref="E179:E182"/>
    <mergeCell ref="F179:F182"/>
    <mergeCell ref="G179:G180"/>
    <mergeCell ref="E113:E114"/>
    <mergeCell ref="A146:A147"/>
    <mergeCell ref="B146:B147"/>
    <mergeCell ref="C146:C147"/>
    <mergeCell ref="E208:E212"/>
    <mergeCell ref="C205:H205"/>
    <mergeCell ref="F211:F212"/>
    <mergeCell ref="F204:H204"/>
    <mergeCell ref="L56:M56"/>
    <mergeCell ref="E90:E91"/>
    <mergeCell ref="L91:M92"/>
    <mergeCell ref="E117:E118"/>
    <mergeCell ref="E124:E130"/>
    <mergeCell ref="J147:J148"/>
    <mergeCell ref="J149:J150"/>
    <mergeCell ref="G141:G144"/>
    <mergeCell ref="E200:E202"/>
    <mergeCell ref="G201:G202"/>
    <mergeCell ref="G194:G196"/>
    <mergeCell ref="E85:E87"/>
    <mergeCell ref="J85:J86"/>
    <mergeCell ref="J93:J94"/>
    <mergeCell ref="K93:K94"/>
    <mergeCell ref="F95:F96"/>
    <mergeCell ref="E98:E99"/>
    <mergeCell ref="J98:J99"/>
    <mergeCell ref="E74:E75"/>
    <mergeCell ref="F74:F75"/>
    <mergeCell ref="G217:G218"/>
    <mergeCell ref="J213:J215"/>
    <mergeCell ref="F216:H216"/>
    <mergeCell ref="E226:E228"/>
    <mergeCell ref="J226:J228"/>
    <mergeCell ref="E230:E231"/>
    <mergeCell ref="G230:G231"/>
    <mergeCell ref="A256:H256"/>
    <mergeCell ref="A251:H251"/>
    <mergeCell ref="A252:H252"/>
    <mergeCell ref="A253:H253"/>
    <mergeCell ref="A245:H245"/>
    <mergeCell ref="A246:H246"/>
    <mergeCell ref="A249:H249"/>
    <mergeCell ref="A250:H250"/>
    <mergeCell ref="A254:H254"/>
    <mergeCell ref="A248:H248"/>
    <mergeCell ref="A255:H255"/>
    <mergeCell ref="A247:H247"/>
    <mergeCell ref="A65:A66"/>
    <mergeCell ref="A244:H244"/>
    <mergeCell ref="B234:H234"/>
    <mergeCell ref="A238:H238"/>
    <mergeCell ref="A239:H239"/>
    <mergeCell ref="A240:H240"/>
    <mergeCell ref="A241:H241"/>
    <mergeCell ref="A242:H242"/>
    <mergeCell ref="A243:H243"/>
    <mergeCell ref="A235:J235"/>
    <mergeCell ref="A237:E237"/>
    <mergeCell ref="A236:K236"/>
    <mergeCell ref="C232:H232"/>
    <mergeCell ref="C233:H233"/>
    <mergeCell ref="E220:E221"/>
    <mergeCell ref="J220:J221"/>
    <mergeCell ref="E223:E224"/>
    <mergeCell ref="J223:J224"/>
    <mergeCell ref="E213:E215"/>
    <mergeCell ref="G213:G215"/>
    <mergeCell ref="E217:E218"/>
    <mergeCell ref="G70:G73"/>
    <mergeCell ref="A74:A75"/>
    <mergeCell ref="B65:B66"/>
    <mergeCell ref="E47:E50"/>
    <mergeCell ref="A39:A41"/>
    <mergeCell ref="B39:B41"/>
    <mergeCell ref="E39:E41"/>
    <mergeCell ref="J39:J40"/>
    <mergeCell ref="F40:F41"/>
    <mergeCell ref="F51:H51"/>
    <mergeCell ref="A52:A53"/>
    <mergeCell ref="B52:B53"/>
    <mergeCell ref="E42:E44"/>
    <mergeCell ref="J43:J44"/>
    <mergeCell ref="E52:E53"/>
    <mergeCell ref="F52:F53"/>
    <mergeCell ref="C52:C53"/>
    <mergeCell ref="C65:C66"/>
    <mergeCell ref="E65:E66"/>
    <mergeCell ref="B74:B75"/>
    <mergeCell ref="C74:C75"/>
    <mergeCell ref="J113:J114"/>
    <mergeCell ref="H78:H79"/>
    <mergeCell ref="G90:G94"/>
    <mergeCell ref="C81:H81"/>
    <mergeCell ref="E83:E84"/>
    <mergeCell ref="G83:G87"/>
    <mergeCell ref="I78:I79"/>
    <mergeCell ref="J76:J77"/>
    <mergeCell ref="J79:J80"/>
    <mergeCell ref="J102:J103"/>
    <mergeCell ref="D74:D75"/>
    <mergeCell ref="G74:G75"/>
    <mergeCell ref="J74:J75"/>
    <mergeCell ref="J65:J66"/>
    <mergeCell ref="A67:A69"/>
    <mergeCell ref="B67:B69"/>
    <mergeCell ref="C67:C69"/>
    <mergeCell ref="D67:D69"/>
    <mergeCell ref="E67:E69"/>
    <mergeCell ref="E197:E199"/>
    <mergeCell ref="G197:G199"/>
    <mergeCell ref="J198:J199"/>
    <mergeCell ref="E185:E186"/>
    <mergeCell ref="G185:G186"/>
    <mergeCell ref="E152:E153"/>
    <mergeCell ref="F152:F153"/>
    <mergeCell ref="J152:J153"/>
    <mergeCell ref="A76:A77"/>
    <mergeCell ref="B76:B77"/>
    <mergeCell ref="C76:C77"/>
    <mergeCell ref="D76:D77"/>
    <mergeCell ref="E76:E77"/>
    <mergeCell ref="F76:F77"/>
    <mergeCell ref="G76:G77"/>
    <mergeCell ref="A78:A80"/>
    <mergeCell ref="A70:A73"/>
    <mergeCell ref="B70:B73"/>
    <mergeCell ref="C70:C73"/>
    <mergeCell ref="D63:D64"/>
    <mergeCell ref="E63:E64"/>
    <mergeCell ref="J144:J145"/>
    <mergeCell ref="F145:H145"/>
    <mergeCell ref="J72:J73"/>
    <mergeCell ref="J122:J123"/>
    <mergeCell ref="J195:J196"/>
    <mergeCell ref="J169:J170"/>
    <mergeCell ref="E164:E166"/>
    <mergeCell ref="J164:J166"/>
    <mergeCell ref="E169:E170"/>
    <mergeCell ref="C191:H191"/>
    <mergeCell ref="E194:E196"/>
    <mergeCell ref="C192:J192"/>
    <mergeCell ref="E183:E184"/>
    <mergeCell ref="G183:G184"/>
    <mergeCell ref="J183:J184"/>
    <mergeCell ref="D194:D196"/>
    <mergeCell ref="J180:J181"/>
    <mergeCell ref="E187:E188"/>
    <mergeCell ref="G187:G188"/>
    <mergeCell ref="J185:J186"/>
    <mergeCell ref="J187:J188"/>
    <mergeCell ref="D152:D153"/>
    <mergeCell ref="B56:B59"/>
    <mergeCell ref="C56:C59"/>
    <mergeCell ref="A60:A62"/>
    <mergeCell ref="B60:B62"/>
    <mergeCell ref="C60:C62"/>
    <mergeCell ref="A56:A59"/>
    <mergeCell ref="L58:M58"/>
    <mergeCell ref="A5:K5"/>
    <mergeCell ref="A6:K6"/>
    <mergeCell ref="A7:K7"/>
    <mergeCell ref="J20:J21"/>
    <mergeCell ref="A9:A11"/>
    <mergeCell ref="B9:B11"/>
    <mergeCell ref="C9:C11"/>
    <mergeCell ref="D9:D11"/>
    <mergeCell ref="E9:E11"/>
    <mergeCell ref="A8:K8"/>
    <mergeCell ref="J9:K9"/>
    <mergeCell ref="I9:I11"/>
    <mergeCell ref="H9:H11"/>
    <mergeCell ref="C15:J15"/>
    <mergeCell ref="A12:J12"/>
    <mergeCell ref="E54:E55"/>
    <mergeCell ref="G54:G55"/>
    <mergeCell ref="I3:K3"/>
    <mergeCell ref="J54:J55"/>
    <mergeCell ref="F67:F69"/>
    <mergeCell ref="G67:G69"/>
    <mergeCell ref="J67:J69"/>
    <mergeCell ref="E56:E59"/>
    <mergeCell ref="G56:G59"/>
    <mergeCell ref="J56:J59"/>
    <mergeCell ref="E60:E62"/>
    <mergeCell ref="F63:F64"/>
    <mergeCell ref="G63:G64"/>
    <mergeCell ref="J63:J64"/>
    <mergeCell ref="G65:G66"/>
    <mergeCell ref="J25:J26"/>
    <mergeCell ref="F28:F29"/>
    <mergeCell ref="J32:J33"/>
    <mergeCell ref="E45:E46"/>
    <mergeCell ref="E34:E36"/>
    <mergeCell ref="E37:E38"/>
    <mergeCell ref="J37:J38"/>
    <mergeCell ref="G17:G20"/>
    <mergeCell ref="E17:E26"/>
    <mergeCell ref="F17:F24"/>
    <mergeCell ref="J61:J62"/>
  </mergeCells>
  <pageMargins left="0.78740157480314965" right="0.39370078740157483" top="0.59055118110236227" bottom="0.39370078740157483" header="0" footer="0"/>
  <pageSetup paperSize="9" scale="69" fitToHeight="0" orientation="portrait" r:id="rId1"/>
  <rowBreaks count="6" manualBreakCount="6">
    <brk id="46" max="10" man="1"/>
    <brk id="96" max="10" man="1"/>
    <brk id="140" max="10" man="1"/>
    <brk id="178" max="10" man="1"/>
    <brk id="228" max="10" man="1"/>
    <brk id="258" max="16" man="1"/>
  </rowBreaks>
  <ignoredErrors>
    <ignoredError sqref="I54 I65" formula="1"/>
    <ignoredError sqref="K97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12 programa MVP</vt:lpstr>
      <vt:lpstr>'12 programa MVP'!Print_Area</vt:lpstr>
      <vt:lpstr>'12 programa MVP'!Print_Titles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Asta Česnauskienė</cp:lastModifiedBy>
  <cp:lastPrinted>2023-10-27T18:10:50Z</cp:lastPrinted>
  <dcterms:created xsi:type="dcterms:W3CDTF">2015-11-25T08:56:30Z</dcterms:created>
  <dcterms:modified xsi:type="dcterms:W3CDTF">2023-12-29T12:09:29Z</dcterms:modified>
</cp:coreProperties>
</file>