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MVP PLANAI\2023 MVP\17. Keitimas (gruodis STR3-48)\"/>
    </mc:Choice>
  </mc:AlternateContent>
  <xr:revisionPtr revIDLastSave="0" documentId="13_ncr:1_{92BB0507-FC4D-486D-98FE-64D821AFEB2D}" xr6:coauthVersionLast="47" xr6:coauthVersionMax="47" xr10:uidLastSave="{00000000-0000-0000-0000-000000000000}"/>
  <bookViews>
    <workbookView xWindow="-110" yWindow="-110" windowWidth="38620" windowHeight="21100" xr2:uid="{00000000-000D-0000-FFFF-FFFF00000000}"/>
  </bookViews>
  <sheets>
    <sheet name="6 programa MVP" sheetId="11" r:id="rId1"/>
  </sheets>
  <definedNames>
    <definedName name="_xlnm.Print_Area" localSheetId="0">'6 programa MVP'!$A$1:$K$242</definedName>
    <definedName name="_xlnm.Print_Titles" localSheetId="0">'6 programa MVP'!$10:$12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1" l="1"/>
  <c r="I187" i="11"/>
  <c r="I159" i="11"/>
  <c r="I146" i="11"/>
  <c r="I142" i="11"/>
  <c r="I141" i="11"/>
  <c r="I140" i="11"/>
  <c r="I134" i="11"/>
  <c r="I133" i="11"/>
  <c r="I121" i="11"/>
  <c r="I117" i="11"/>
  <c r="I113" i="11"/>
  <c r="I104" i="11"/>
  <c r="I102" i="11"/>
  <c r="I101" i="11"/>
  <c r="I96" i="11"/>
  <c r="I61" i="11"/>
  <c r="I56" i="11"/>
  <c r="I47" i="11"/>
  <c r="I20" i="11"/>
  <c r="I21" i="11"/>
  <c r="I19" i="11"/>
  <c r="I103" i="11"/>
  <c r="I100" i="11"/>
  <c r="I99" i="11"/>
  <c r="I98" i="11"/>
  <c r="I95" i="11"/>
  <c r="I29" i="11"/>
  <c r="I233" i="11"/>
  <c r="I174" i="11"/>
  <c r="I173" i="11"/>
  <c r="I172" i="11"/>
  <c r="I153" i="11"/>
  <c r="I115" i="11"/>
  <c r="I88" i="11"/>
  <c r="I87" i="11"/>
  <c r="I59" i="11"/>
  <c r="I49" i="11"/>
  <c r="I107" i="11"/>
  <c r="I79" i="11"/>
  <c r="I73" i="11"/>
  <c r="I75" i="11"/>
  <c r="I35" i="11"/>
  <c r="I24" i="11"/>
  <c r="I124" i="11"/>
  <c r="I80" i="11"/>
  <c r="I30" i="11"/>
  <c r="I203" i="11" l="1"/>
  <c r="I207" i="11"/>
  <c r="I31" i="11" l="1"/>
  <c r="I94" i="11" l="1"/>
  <c r="I55" i="11"/>
  <c r="I46" i="11"/>
  <c r="I76" i="11"/>
  <c r="I54" i="11"/>
  <c r="I106" i="11"/>
  <c r="I36" i="11"/>
  <c r="I231" i="11"/>
  <c r="I230" i="11"/>
  <c r="K203" i="11"/>
  <c r="I176" i="11"/>
  <c r="I151" i="11"/>
  <c r="I63" i="11"/>
  <c r="I229" i="11"/>
  <c r="I196" i="11"/>
  <c r="I168" i="11"/>
  <c r="I169" i="11" s="1"/>
  <c r="K138" i="11"/>
  <c r="I65" i="11"/>
  <c r="I144" i="11"/>
  <c r="I200" i="11"/>
  <c r="I214" i="11" s="1"/>
  <c r="I239" i="11"/>
  <c r="I238" i="11"/>
  <c r="I237" i="11"/>
  <c r="I236" i="11"/>
  <c r="I234" i="11"/>
  <c r="I232" i="11"/>
  <c r="I228" i="11"/>
  <c r="I226" i="11"/>
  <c r="I129" i="11" l="1"/>
  <c r="I130" i="11" s="1"/>
  <c r="I215" i="11"/>
  <c r="I225" i="11"/>
  <c r="I227" i="11"/>
  <c r="I235" i="11"/>
  <c r="I216" i="11" l="1"/>
  <c r="I217" i="11" s="1"/>
  <c r="I224" i="11"/>
  <c r="I223" i="11" l="1"/>
  <c r="I24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Audra Cepiene</author>
    <author>Inga Mikalauskienė</author>
    <author>Rima Alisauskaite</author>
    <author>Indrė Butenienė</author>
    <author>Saulina Paulauskiene</author>
    <author>Saulina Paulauskienė</author>
    <author>Rima Ališauskė</author>
    <author>Snieguolė Kačerauskaitė</author>
    <author>Snieguole Kacerauskaite</author>
  </authors>
  <commentList>
    <comment ref="F18" authorId="0" shapeId="0" xr:uid="{00000000-0006-0000-0000-000001000000}">
      <text>
        <r>
          <rPr>
            <b/>
            <sz val="9"/>
            <color indexed="81"/>
            <rFont val="Tahoma"/>
            <family val="2"/>
            <charset val="186"/>
          </rPr>
          <t xml:space="preserve">P1, </t>
        </r>
        <r>
          <rPr>
            <sz val="9"/>
            <color indexed="81"/>
            <rFont val="Tahoma"/>
            <family val="2"/>
            <charset val="186"/>
          </rPr>
          <t>2.2. Miestui, uostui ir verslui aktualių investicijų projektų įgyvendinimas (1) Baltijos-Šilutės pl. sankryžos rekonstrukcija; 2) Statybininkų pr. pratęsimas iki 141 kelio; 3) Pietinio aplinkkelio įrengimas)</t>
        </r>
      </text>
    </comment>
    <comment ref="F19" authorId="0" shapeId="0" xr:uid="{00000000-0006-0000-0000-000002000000}">
      <text>
        <r>
          <rPr>
            <b/>
            <sz val="9"/>
            <color indexed="81"/>
            <rFont val="Tahoma"/>
            <family val="2"/>
            <charset val="186"/>
          </rPr>
          <t xml:space="preserve">P6, </t>
        </r>
        <r>
          <rPr>
            <sz val="9"/>
            <color indexed="81"/>
            <rFont val="Tahoma"/>
            <family val="2"/>
            <charset val="186"/>
          </rPr>
          <t xml:space="preserve">Klaipėdos miesto ekonominės plėtros strategija ir įgyvendinimo veiksmų planas iki 2030 metų, 3.3.2. priemonė 
</t>
        </r>
        <r>
          <rPr>
            <b/>
            <sz val="9"/>
            <color indexed="81"/>
            <rFont val="Tahoma"/>
            <family val="2"/>
            <charset val="186"/>
          </rPr>
          <t xml:space="preserve">
</t>
        </r>
      </text>
    </comment>
    <comment ref="F22" authorId="1" shapeId="0" xr:uid="{00000000-0006-0000-0000-000003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F23" authorId="1" shapeId="0" xr:uid="{00000000-0006-0000-0000-000004000000}">
      <text>
        <r>
          <rPr>
            <sz val="9"/>
            <color indexed="81"/>
            <rFont val="Tahoma"/>
            <family val="2"/>
            <charset val="186"/>
          </rPr>
          <t>P-3.1.3.1.</t>
        </r>
        <r>
          <rPr>
            <sz val="9"/>
            <color indexed="81"/>
            <rFont val="Tahoma"/>
            <family val="2"/>
            <charset val="186"/>
          </rPr>
          <t xml:space="preserve">
</t>
        </r>
      </text>
    </comment>
    <comment ref="F24" authorId="1" shapeId="0" xr:uid="{00000000-0006-0000-0000-000005000000}">
      <text>
        <r>
          <rPr>
            <sz val="9"/>
            <color indexed="81"/>
            <rFont val="Tahoma"/>
            <family val="2"/>
            <charset val="186"/>
          </rPr>
          <t>P-3.1.3.1.</t>
        </r>
        <r>
          <rPr>
            <sz val="9"/>
            <color indexed="81"/>
            <rFont val="Tahoma"/>
            <family val="2"/>
            <charset val="186"/>
          </rPr>
          <t xml:space="preserve">
</t>
        </r>
      </text>
    </comment>
    <comment ref="J24" authorId="1" shapeId="0" xr:uid="{00000000-0006-0000-0000-000006000000}">
      <text>
        <r>
          <rPr>
            <sz val="9"/>
            <color indexed="81"/>
            <rFont val="Tahoma"/>
            <family val="2"/>
            <charset val="186"/>
          </rPr>
          <t xml:space="preserve">Techninis projektas bus parengtas 2024 m.
</t>
        </r>
      </text>
    </comment>
    <comment ref="F27" authorId="1" shapeId="0" xr:uid="{00000000-0006-0000-0000-000007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1.1.4. priemonė</t>
        </r>
      </text>
    </comment>
    <comment ref="F28" authorId="0" shapeId="0" xr:uid="{00000000-0006-0000-0000-000008000000}">
      <text>
        <r>
          <rPr>
            <b/>
            <sz val="9"/>
            <color indexed="81"/>
            <rFont val="Tahoma"/>
            <family val="2"/>
            <charset val="186"/>
          </rPr>
          <t>P6 KEPS</t>
        </r>
        <r>
          <rPr>
            <sz val="9"/>
            <color indexed="81"/>
            <rFont val="Tahoma"/>
            <family val="2"/>
            <charset val="186"/>
          </rPr>
          <t xml:space="preserve"> 3.3.2. priemonė - modernizuoti centrinį transporto įvadą
(Baltijos prospekto sankryžos)
</t>
        </r>
        <r>
          <rPr>
            <b/>
            <sz val="9"/>
            <color indexed="81"/>
            <rFont val="Tahoma"/>
            <family val="2"/>
            <charset val="186"/>
          </rPr>
          <t xml:space="preserve">
</t>
        </r>
      </text>
    </comment>
    <comment ref="F29" authorId="0" shapeId="0" xr:uid="{00000000-0006-0000-0000-000009000000}">
      <text>
        <r>
          <rPr>
            <b/>
            <sz val="9"/>
            <color indexed="81"/>
            <rFont val="Tahoma"/>
            <family val="2"/>
            <charset val="186"/>
          </rPr>
          <t>P1, 4.1.1.</t>
        </r>
        <r>
          <rPr>
            <sz val="9"/>
            <color indexed="81"/>
            <rFont val="Tahoma"/>
            <family val="2"/>
            <charset val="186"/>
          </rPr>
          <t xml:space="preserve"> Pagal universalaus dizaino principus pritaikyta senamiesčio gatvių </t>
        </r>
      </text>
    </comment>
    <comment ref="K29" authorId="1" shapeId="0" xr:uid="{00000000-0006-0000-0000-00000A000000}">
      <text>
        <r>
          <rPr>
            <sz val="9"/>
            <color indexed="81"/>
            <rFont val="Tahoma"/>
            <family val="2"/>
            <charset val="186"/>
          </rPr>
          <t xml:space="preserve">2023 m. planuojama Žvejų g., D. Vandens g., Vežėjų g., Daržų g.
</t>
        </r>
      </text>
    </comment>
    <comment ref="F31" authorId="1" shapeId="0" xr:uid="{00000000-0006-0000-0000-00000B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F33" authorId="0" shapeId="0" xr:uid="{00000000-0006-0000-0000-00000C000000}">
      <text>
        <r>
          <rPr>
            <b/>
            <sz val="9"/>
            <color indexed="81"/>
            <rFont val="Tahoma"/>
            <family val="2"/>
            <charset val="186"/>
          </rPr>
          <t>P2,</t>
        </r>
        <r>
          <rPr>
            <sz val="9"/>
            <color indexed="81"/>
            <rFont val="Tahoma"/>
            <family val="2"/>
            <charset val="186"/>
          </rPr>
          <t xml:space="preserve"> Klaipėdos miesto darnaus judumo planas (2018-09-13, T2-185) 
</t>
        </r>
      </text>
    </comment>
    <comment ref="F34" authorId="1" shapeId="0" xr:uid="{00000000-0006-0000-0000-00000D000000}">
      <text>
        <r>
          <rPr>
            <sz val="9"/>
            <color indexed="81"/>
            <rFont val="Tahoma"/>
            <family val="2"/>
            <charset val="186"/>
          </rPr>
          <t xml:space="preserve">P-3.2.2.3., 3.1.2.2
</t>
        </r>
      </text>
    </comment>
    <comment ref="F36" authorId="0" shapeId="0" xr:uid="{00000000-0006-0000-0000-00000E000000}">
      <text>
        <r>
          <rPr>
            <b/>
            <sz val="9"/>
            <color indexed="81"/>
            <rFont val="Tahoma"/>
            <family val="2"/>
            <charset val="186"/>
          </rPr>
          <t xml:space="preserve">P1, 4.1.1. </t>
        </r>
        <r>
          <rPr>
            <sz val="9"/>
            <color indexed="81"/>
            <rFont val="Tahoma"/>
            <family val="2"/>
            <charset val="186"/>
          </rPr>
          <t>Pagal universalaus dizaino principus pritaikyta senamiesčio gatvių</t>
        </r>
      </text>
    </comment>
    <comment ref="F38" authorId="1" shapeId="0" xr:uid="{00000000-0006-0000-0000-00000F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1.1.1. priemonė</t>
        </r>
      </text>
    </comment>
    <comment ref="F40" authorId="2" shapeId="0" xr:uid="{00000000-0006-0000-0000-000010000000}">
      <text>
        <r>
          <rPr>
            <sz val="9"/>
            <color indexed="81"/>
            <rFont val="Tahoma"/>
            <family val="2"/>
            <charset val="186"/>
          </rPr>
          <t>P-3.2.2.3.</t>
        </r>
      </text>
    </comment>
    <comment ref="F41" authorId="3" shapeId="0" xr:uid="{00000000-0006-0000-0000-000011000000}">
      <text>
        <r>
          <rPr>
            <sz val="9"/>
            <color indexed="81"/>
            <rFont val="Tahoma"/>
            <family val="2"/>
            <charset val="186"/>
          </rPr>
          <t>P1, 1.1.2. Parengtas ir įgyvendintas žvyruotų kelių asfaltavimo priemonių planas siekiant asfaltuoti ne mažiau kaip 10 km žvyruotų kelių</t>
        </r>
      </text>
    </comment>
    <comment ref="J41" authorId="1" shapeId="0" xr:uid="{00000000-0006-0000-0000-000012000000}">
      <text>
        <r>
          <rPr>
            <sz val="9"/>
            <color indexed="81"/>
            <rFont val="Tahoma"/>
            <family val="2"/>
            <charset val="186"/>
          </rPr>
          <t xml:space="preserve">Slengių g., Lietaus g., Vaivorykštės g., Griaustinio g. , Arimų g., Vėjo g. (II dalies), Žvaigždžių g. rekonstravimas
</t>
        </r>
      </text>
    </comment>
    <comment ref="F43" authorId="1" shapeId="0" xr:uid="{00000000-0006-0000-0000-000013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F44" authorId="2" shapeId="0" xr:uid="{00000000-0006-0000-0000-000014000000}">
      <text>
        <r>
          <rPr>
            <sz val="9"/>
            <color indexed="81"/>
            <rFont val="Tahoma"/>
            <family val="2"/>
            <charset val="186"/>
          </rPr>
          <t>P-3.1.3.4.</t>
        </r>
      </text>
    </comment>
    <comment ref="F48" authorId="2" shapeId="0" xr:uid="{00000000-0006-0000-0000-000015000000}">
      <text>
        <r>
          <rPr>
            <sz val="9"/>
            <color indexed="81"/>
            <rFont val="Tahoma"/>
            <family val="2"/>
            <charset val="186"/>
          </rPr>
          <t>P-3.1.3.5.</t>
        </r>
      </text>
    </comment>
    <comment ref="K48" authorId="1" shapeId="0" xr:uid="{00000000-0006-0000-0000-000016000000}">
      <text>
        <r>
          <rPr>
            <sz val="9"/>
            <color indexed="81"/>
            <rFont val="Tahoma"/>
            <family val="2"/>
            <charset val="186"/>
          </rPr>
          <t xml:space="preserve">Ruožo nuo Laivų skg. iki Artojo g.
</t>
        </r>
      </text>
    </comment>
    <comment ref="F49" authorId="3" shapeId="0" xr:uid="{00000000-0006-0000-0000-000017000000}">
      <text>
        <r>
          <rPr>
            <sz val="9"/>
            <color indexed="81"/>
            <rFont val="Tahoma"/>
            <family val="2"/>
            <charset val="186"/>
          </rPr>
          <t>P1, 1.1.2. Parengtas ir įgyvendintas žvyruotų kelių asfaltavimo priemonių planas siekiant asfaltuoti ne mažiau kaip 10 km žvyruotų kelių</t>
        </r>
      </text>
    </comment>
    <comment ref="F51" authorId="2" shapeId="0" xr:uid="{00000000-0006-0000-0000-000018000000}">
      <text>
        <r>
          <rPr>
            <sz val="9"/>
            <color indexed="81"/>
            <rFont val="Tahoma"/>
            <family val="2"/>
            <charset val="186"/>
          </rPr>
          <t>P-3.1.3.4.</t>
        </r>
      </text>
    </comment>
    <comment ref="F53" authorId="2" shapeId="0" xr:uid="{00000000-0006-0000-0000-000019000000}">
      <text>
        <r>
          <rPr>
            <sz val="9"/>
            <color indexed="81"/>
            <rFont val="Tahoma"/>
            <family val="2"/>
            <charset val="186"/>
          </rPr>
          <t>P-3.1.3.4.</t>
        </r>
      </text>
    </comment>
    <comment ref="F54" authorId="0" shapeId="0" xr:uid="{00000000-0006-0000-0000-00001A000000}">
      <text>
        <r>
          <rPr>
            <sz val="9"/>
            <color indexed="81"/>
            <rFont val="Tahoma"/>
            <family val="2"/>
            <charset val="186"/>
          </rPr>
          <t>P1, 3.6. Miesto susisiekimo sistemos tobulinimas užtikrinant didesnį gatvių tinklo pralaidumą</t>
        </r>
      </text>
    </comment>
    <comment ref="F59" authorId="0" shapeId="0" xr:uid="{00000000-0006-0000-0000-00001B000000}">
      <text>
        <r>
          <rPr>
            <sz val="9"/>
            <color indexed="81"/>
            <rFont val="Tahoma"/>
            <family val="2"/>
            <charset val="186"/>
          </rPr>
          <t>P1, 3.6. Miesto susisiekimo sistemos tobulinimas užtikrinant didesnį gatvių tinklo pralaidumą</t>
        </r>
      </text>
    </comment>
    <comment ref="F61" authorId="2" shapeId="0" xr:uid="{00000000-0006-0000-0000-00001C000000}">
      <text>
        <r>
          <rPr>
            <sz val="9"/>
            <color indexed="81"/>
            <rFont val="Tahoma"/>
            <family val="2"/>
            <charset val="186"/>
          </rPr>
          <t>P-3.1.3.5.</t>
        </r>
      </text>
    </comment>
    <comment ref="J62" authorId="1" shapeId="0" xr:uid="{00000000-0006-0000-0000-00001D000000}">
      <text>
        <r>
          <rPr>
            <sz val="9"/>
            <color indexed="81"/>
            <rFont val="Tahoma"/>
            <family val="2"/>
            <charset val="186"/>
          </rPr>
          <t xml:space="preserve">Įrengtas naujas žvejų laivams skirtas slipas (aikštelė, skirta valtims nuleisti ir ištraukti iš vandens)
</t>
        </r>
      </text>
    </comment>
    <comment ref="F63" authorId="2" shapeId="0" xr:uid="{00000000-0006-0000-0000-00001E000000}">
      <text>
        <r>
          <rPr>
            <sz val="9"/>
            <color indexed="81"/>
            <rFont val="Tahoma"/>
            <family val="2"/>
            <charset val="186"/>
          </rPr>
          <t>P-1.1.2.3.</t>
        </r>
      </text>
    </comment>
    <comment ref="G65" authorId="4" shapeId="0" xr:uid="{00000000-0006-0000-0000-00001F000000}">
      <text>
        <r>
          <rPr>
            <sz val="9"/>
            <color indexed="81"/>
            <rFont val="Tahoma"/>
            <family val="2"/>
            <charset val="186"/>
          </rPr>
          <t>Vykdytojas - BĮ Klaipėdos paplūdimiai</t>
        </r>
      </text>
    </comment>
    <comment ref="F67" authorId="2" shapeId="0" xr:uid="{00000000-0006-0000-0000-000020000000}">
      <text>
        <r>
          <rPr>
            <sz val="9"/>
            <color indexed="81"/>
            <rFont val="Tahoma"/>
            <family val="2"/>
            <charset val="186"/>
          </rPr>
          <t>P-1.1.2.3.</t>
        </r>
      </text>
    </comment>
    <comment ref="F73" authorId="4" shapeId="0" xr:uid="{00000000-0006-0000-0000-000021000000}">
      <text>
        <r>
          <rPr>
            <sz val="9"/>
            <color indexed="81"/>
            <rFont val="Tahoma"/>
            <family val="2"/>
            <charset val="186"/>
          </rPr>
          <t>P-3.1.3.4.</t>
        </r>
      </text>
    </comment>
    <comment ref="F74" authorId="1" shapeId="0" xr:uid="{00000000-0006-0000-0000-000022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F75" authorId="1" shapeId="0" xr:uid="{00000000-0006-0000-0000-000023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F76" authorId="4" shapeId="0" xr:uid="{00000000-0006-0000-0000-000024000000}">
      <text>
        <r>
          <rPr>
            <sz val="9"/>
            <color indexed="81"/>
            <rFont val="Tahoma"/>
            <family val="2"/>
            <charset val="186"/>
          </rPr>
          <t>P-3.1.3.4.</t>
        </r>
      </text>
    </comment>
    <comment ref="F79" authorId="1" shapeId="0" xr:uid="{00000000-0006-0000-0000-000025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1.1.5. priemonė</t>
        </r>
      </text>
    </comment>
    <comment ref="F81" authorId="1" shapeId="0" xr:uid="{00000000-0006-0000-0000-000026000000}">
      <text>
        <r>
          <rPr>
            <sz val="9"/>
            <color indexed="81"/>
            <rFont val="Tahoma"/>
            <family val="2"/>
            <charset val="186"/>
          </rPr>
          <t xml:space="preserve">P-3.1.1.3.; 3.1.1.2.
</t>
        </r>
      </text>
    </comment>
    <comment ref="K81" authorId="4" shapeId="0" xr:uid="{57B3E487-0D33-4BFA-BE5E-3F18389CB53D}">
      <text>
        <r>
          <rPr>
            <sz val="9"/>
            <color indexed="81"/>
            <rFont val="Tahoma"/>
            <family val="2"/>
            <charset val="186"/>
          </rPr>
          <t>Taikos pr. šaligatvių su dviračių takais (atkarpoje nuo Sausio 15-osios g. iki Tiltų g. (abi pusės)) atnaujinimas pagal darbų aprašą</t>
        </r>
      </text>
    </comment>
    <comment ref="K82" authorId="4" shapeId="0" xr:uid="{00000000-0006-0000-0000-000028000000}">
      <text>
        <r>
          <rPr>
            <sz val="9"/>
            <color indexed="81"/>
            <rFont val="Tahoma"/>
            <family val="2"/>
            <charset val="186"/>
          </rPr>
          <t>Krantinės tarp Biržos tilto ir naujai įrengto dviračių-pėsčiųjų tako sutvarkymas (šalia Meridiano)</t>
        </r>
      </text>
    </comment>
    <comment ref="K83" authorId="4" shapeId="0" xr:uid="{00000000-0006-0000-0000-000029000000}">
      <text>
        <r>
          <rPr>
            <sz val="9"/>
            <color indexed="81"/>
            <rFont val="Tahoma"/>
            <family val="2"/>
            <charset val="186"/>
          </rPr>
          <t>Sportininkų gatvės šaligatvių kapitalinis remontas</t>
        </r>
      </text>
    </comment>
    <comment ref="K84" authorId="5" shapeId="0" xr:uid="{603167DC-10F5-4EBA-B55A-AECE0566339A}">
      <text>
        <r>
          <rPr>
            <sz val="9"/>
            <color indexed="81"/>
            <rFont val="Tahoma"/>
            <family val="2"/>
            <charset val="186"/>
          </rPr>
          <t>Vingio g. požeminės perėjos Vingio g. kapitalinio remonto projektas</t>
        </r>
      </text>
    </comment>
    <comment ref="K85" authorId="4" shapeId="0" xr:uid="{00000000-0006-0000-0000-00002A000000}">
      <text>
        <r>
          <rPr>
            <sz val="9"/>
            <color indexed="81"/>
            <rFont val="Tahoma"/>
            <family val="2"/>
            <charset val="186"/>
          </rPr>
          <t>Gilijos pradinė mokykla ir l/d Saulutė</t>
        </r>
      </text>
    </comment>
    <comment ref="F86" authorId="4" shapeId="0" xr:uid="{00000000-0006-0000-0000-00002B000000}">
      <text>
        <r>
          <rPr>
            <sz val="9"/>
            <color indexed="81"/>
            <rFont val="Tahoma"/>
            <family val="2"/>
            <charset val="186"/>
          </rPr>
          <t>P-3.1.3.6.</t>
        </r>
      </text>
    </comment>
    <comment ref="K87" authorId="4" shapeId="0" xr:uid="{00000000-0006-0000-0000-00002C000000}">
      <text>
        <r>
          <rPr>
            <sz val="9"/>
            <color indexed="81"/>
            <rFont val="Tahoma"/>
            <family val="2"/>
            <charset val="186"/>
          </rPr>
          <t>1. Tiltas per Smeltalę Marių gatvėje;
2. Tiltas per Smeltalę Minijos gatvėje;
3. Tiltas per Smeltalę Jūrininkų pr.
4. Viadukas per geležinkelį Taikos pr.
5. Viadukas Liepų gatvėje;
6. Viadukas H.Manto gatvėje;
7. Viadukas per geležinkelį P. Lideikio gatvėje;
8. Tiltas per Dangę Tauralaukyje;
9. Tiltas per Dangę Mokyklos gatvėje;
10. Pakeliamas tiltas per Dangę Tiltų gatvėje – Biržos tiltas;
11. Pakeliamas tiltas per Dangę Pilies gatvėje - Pilies tiltas;   
12. Tiltas per Dangę Liepų gatvėje;
13. Tiltas Pylimo g. prie Jono kalnelio Nr. 1;
14. Tiltas Pylimo g. prie Jono kalnelio Nr. 2.
15. Tiltas Priestočio gatvėje per geležinkelį
16. Tiltas Pylimo g. per fosą prie Jono kalnelio Nr. 3</t>
        </r>
        <r>
          <rPr>
            <b/>
            <sz val="9"/>
            <color indexed="81"/>
            <rFont val="Tahoma"/>
            <family val="2"/>
            <charset val="186"/>
          </rPr>
          <t xml:space="preserve">
</t>
        </r>
      </text>
    </comment>
    <comment ref="F92" authorId="2" shapeId="0" xr:uid="{00000000-0006-0000-0000-00002E000000}">
      <text>
        <r>
          <rPr>
            <sz val="9"/>
            <color indexed="81"/>
            <rFont val="Tahoma"/>
            <family val="2"/>
            <charset val="186"/>
          </rPr>
          <t>P-3.1.3.5.</t>
        </r>
      </text>
    </comment>
    <comment ref="K94" authorId="1" shapeId="0" xr:uid="{00000000-0006-0000-0000-00002F000000}">
      <text>
        <r>
          <rPr>
            <sz val="9"/>
            <color indexed="81"/>
            <rFont val="Tahoma"/>
            <family val="2"/>
            <charset val="186"/>
          </rPr>
          <t xml:space="preserve">1. Rasos g., Saulėlydžio g., Saulės g., Naktigonės g., Spindulio g. 
2. Pravažiavimai tarp Molo g. ir Pamario g., Serviso g., Šilo g. ir pravažiavimo kelias tarp Šilo g.
3. Nidos g. ir Gilijos g. kapitalinio remonto. 
</t>
        </r>
      </text>
    </comment>
    <comment ref="F96" authorId="2" shapeId="0" xr:uid="{00000000-0006-0000-0000-000030000000}">
      <text>
        <r>
          <rPr>
            <sz val="9"/>
            <color indexed="81"/>
            <rFont val="Tahoma"/>
            <family val="2"/>
            <charset val="186"/>
          </rPr>
          <t>P-3.1.3.4.</t>
        </r>
      </text>
    </comment>
    <comment ref="F97" authorId="4" shapeId="0" xr:uid="{00000000-0006-0000-0000-000031000000}">
      <text>
        <r>
          <rPr>
            <sz val="9"/>
            <color indexed="81"/>
            <rFont val="Tahoma"/>
            <family val="2"/>
            <charset val="186"/>
          </rPr>
          <t>P-3.2.2.2.</t>
        </r>
      </text>
    </comment>
    <comment ref="E98" authorId="1" shapeId="0" xr:uid="{00000000-0006-0000-0000-000032000000}">
      <text>
        <r>
          <rPr>
            <sz val="9"/>
            <color indexed="81"/>
            <rFont val="Tahoma"/>
            <family val="2"/>
            <charset val="186"/>
          </rPr>
          <t>P-3.1.3.5.
2023-2025 m.</t>
        </r>
      </text>
    </comment>
    <comment ref="F104" authorId="2" shapeId="0" xr:uid="{00000000-0006-0000-0000-000033000000}">
      <text>
        <r>
          <rPr>
            <sz val="9"/>
            <color indexed="81"/>
            <rFont val="Tahoma"/>
            <family val="2"/>
            <charset val="186"/>
          </rPr>
          <t>P-3.1.3.6.</t>
        </r>
      </text>
    </comment>
    <comment ref="F110" authorId="2" shapeId="0" xr:uid="{00000000-0006-0000-0000-000034000000}">
      <text>
        <r>
          <rPr>
            <sz val="9"/>
            <color indexed="81"/>
            <rFont val="Tahoma"/>
            <family val="2"/>
            <charset val="186"/>
          </rPr>
          <t>P-3.1.3.5.</t>
        </r>
      </text>
    </comment>
    <comment ref="F114" authorId="2" shapeId="0" xr:uid="{00000000-0006-0000-0000-000035000000}">
      <text>
        <r>
          <rPr>
            <sz val="9"/>
            <color indexed="81"/>
            <rFont val="Tahoma"/>
            <family val="2"/>
            <charset val="186"/>
          </rPr>
          <t>P-1.1.1.5.</t>
        </r>
      </text>
    </comment>
    <comment ref="F116" authorId="2" shapeId="0" xr:uid="{00000000-0006-0000-0000-000036000000}">
      <text>
        <r>
          <rPr>
            <sz val="9"/>
            <color indexed="81"/>
            <rFont val="Tahoma"/>
            <family val="2"/>
            <charset val="186"/>
          </rPr>
          <t>P-1.1.1.5.</t>
        </r>
      </text>
    </comment>
    <comment ref="F119" authorId="1" shapeId="0" xr:uid="{00000000-0006-0000-0000-000037000000}">
      <text>
        <r>
          <rPr>
            <sz val="9"/>
            <color indexed="81"/>
            <rFont val="Tahoma"/>
            <family val="2"/>
            <charset val="186"/>
          </rPr>
          <t xml:space="preserve">P-3.1.3.6. 2024-2025 m.
</t>
        </r>
      </text>
    </comment>
    <comment ref="E120" authorId="6" shapeId="0" xr:uid="{00000000-0006-0000-0000-000038000000}">
      <text>
        <r>
          <rPr>
            <sz val="9"/>
            <color indexed="81"/>
            <rFont val="Tahoma"/>
            <family val="2"/>
            <charset val="186"/>
          </rPr>
          <t>Atsiskaitymui su LAKD po teisminio proceso su rangovu</t>
        </r>
      </text>
    </comment>
    <comment ref="F120" authorId="0" shapeId="0" xr:uid="{00000000-0006-0000-0000-000039000000}">
      <text>
        <r>
          <rPr>
            <b/>
            <sz val="9"/>
            <color indexed="81"/>
            <rFont val="Tahoma"/>
            <family val="2"/>
            <charset val="186"/>
          </rPr>
          <t xml:space="preserve">P1, </t>
        </r>
        <r>
          <rPr>
            <sz val="9"/>
            <color indexed="81"/>
            <rFont val="Tahoma"/>
            <family val="2"/>
            <charset val="186"/>
          </rPr>
          <t>3.6. Miesto susisiekimo sistemos tobulinimas užtikrinant didesnį gatvių tinklo pralaidumą:
 1) Jūrininkų pr., 2) Pamario g., 3) Tilžės g.; 4) Šilutės pl. nuo Tilžės g. iki pervažos; 5) Pajūrio g.</t>
        </r>
      </text>
    </comment>
    <comment ref="J120" authorId="7" shapeId="0" xr:uid="{00000000-0006-0000-0000-00003B000000}">
      <text>
        <r>
          <rPr>
            <sz val="9"/>
            <color indexed="81"/>
            <rFont val="Tahoma"/>
            <family val="2"/>
            <charset val="186"/>
          </rPr>
          <t>2021 m. atlikti gatvės (1374 m) rekonstravimo darbai</t>
        </r>
        <r>
          <rPr>
            <sz val="9"/>
            <color indexed="81"/>
            <rFont val="Tahoma"/>
            <family val="2"/>
            <charset val="186"/>
          </rPr>
          <t xml:space="preserve">
</t>
        </r>
      </text>
    </comment>
    <comment ref="F123" authorId="1" shapeId="0" xr:uid="{00000000-0006-0000-0000-00003C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1.1.2. priemonė</t>
        </r>
      </text>
    </comment>
    <comment ref="F124" authorId="2" shapeId="0" xr:uid="{00000000-0006-0000-0000-00003D000000}">
      <text>
        <r>
          <rPr>
            <sz val="9"/>
            <color indexed="81"/>
            <rFont val="Tahoma"/>
            <family val="2"/>
            <charset val="186"/>
          </rPr>
          <t>P-3.1.1.4.</t>
        </r>
      </text>
    </comment>
    <comment ref="F133" authorId="4" shapeId="0" xr:uid="{00000000-0006-0000-0000-00003F000000}">
      <text>
        <r>
          <rPr>
            <sz val="9"/>
            <color indexed="81"/>
            <rFont val="Tahoma"/>
            <family val="2"/>
            <charset val="186"/>
          </rPr>
          <t>P-3.1.2., 3.1.2.1., 3.1.2.2</t>
        </r>
      </text>
    </comment>
    <comment ref="F134" authorId="0" shapeId="0" xr:uid="{00000000-0006-0000-0000-000040000000}">
      <text>
        <r>
          <rPr>
            <b/>
            <sz val="9"/>
            <color indexed="81"/>
            <rFont val="Tahoma"/>
            <family val="2"/>
            <charset val="186"/>
          </rPr>
          <t xml:space="preserve">P1 1.3. </t>
        </r>
        <r>
          <rPr>
            <sz val="9"/>
            <color indexed="81"/>
            <rFont val="Tahoma"/>
            <family val="2"/>
            <charset val="186"/>
          </rPr>
          <t xml:space="preserve">Ekologiško bei visiems prieinamo viešojo transporto  sistemos įdiegimas
1.3.2. Socialiai jautrių visuomenės grupių (moksleiviai, studentai ir senjorai), kuriems įvestos papildomos nuolaidos įsigyjant viešojo transporto bilietus, skaičius </t>
        </r>
      </text>
    </comment>
    <comment ref="J136" authorId="4" shapeId="0" xr:uid="{00000000-0006-0000-0000-000041000000}">
      <text>
        <r>
          <rPr>
            <sz val="9"/>
            <color indexed="81"/>
            <rFont val="Tahoma"/>
            <family val="2"/>
            <charset val="186"/>
          </rPr>
          <t xml:space="preserve">Lengvatiniai 10 eurų bilietai: 
• pradinukų 9 mėnesių 
• senjorų nuo 70 metų metiniai
</t>
        </r>
      </text>
    </comment>
    <comment ref="J137" authorId="5" shapeId="0" xr:uid="{BF72C276-6741-461D-B76D-CA74B5E0F867}">
      <text>
        <r>
          <rPr>
            <sz val="9"/>
            <color indexed="81"/>
            <rFont val="Tahoma"/>
            <family val="2"/>
            <charset val="186"/>
          </rPr>
          <t>Ukrainiečių bilietai</t>
        </r>
      </text>
    </comment>
    <comment ref="J138" authorId="4" shapeId="0" xr:uid="{00000000-0006-0000-0000-000042000000}">
      <text>
        <r>
          <rPr>
            <sz val="9"/>
            <color indexed="81"/>
            <rFont val="Tahoma"/>
            <family val="2"/>
            <charset val="186"/>
          </rPr>
          <t>Iš kaimų ir kitų miestų važinėjantiems moksleiviams kompensuojama per sutartis su mokyklomis</t>
        </r>
      </text>
    </comment>
    <comment ref="F140" authorId="4" shapeId="0" xr:uid="{00000000-0006-0000-0000-000043000000}">
      <text>
        <r>
          <rPr>
            <sz val="9"/>
            <color indexed="81"/>
            <rFont val="Tahoma"/>
            <family val="2"/>
            <charset val="186"/>
          </rPr>
          <t>P-3.1.2., 3.1.2.1., 3.1.2.2</t>
        </r>
      </text>
    </comment>
    <comment ref="F142" authorId="0" shapeId="0" xr:uid="{00000000-0006-0000-0000-000044000000}">
      <text>
        <r>
          <rPr>
            <b/>
            <sz val="9"/>
            <color indexed="81"/>
            <rFont val="Tahoma"/>
            <family val="2"/>
            <charset val="186"/>
          </rPr>
          <t xml:space="preserve">P1 </t>
        </r>
        <r>
          <rPr>
            <sz val="9"/>
            <color indexed="81"/>
            <rFont val="Tahoma"/>
            <family val="2"/>
            <charset val="186"/>
          </rPr>
          <t>1.3.1. Parengtas ir įgyvendintas viešojo transporto parko atnaujinimo veiksmų planas siekiant padidinti alternatyviu kuru varomų viešojo transporto priemonių dalį iki 65 proc.</t>
        </r>
      </text>
    </comment>
    <comment ref="K150" authorId="4" shapeId="0" xr:uid="{00000000-0006-0000-0000-000046000000}">
      <text>
        <r>
          <rPr>
            <sz val="9"/>
            <color indexed="81"/>
            <rFont val="Tahoma"/>
            <family val="2"/>
            <charset val="186"/>
          </rPr>
          <t>Lėšų poreikis suskaičiuotas pagal šiuos išeitinius duomenis: 
1) navigacinis sezonas truks 180 dienų nuo kiekvienų metų balandžio 1 d.;
2) kursuos 3 vandens autobusai su 2 įkrovos stotelėmis (Senamiestis ir Tauralaukis), 12 ratų per dieną.
Pirmais metais bilietų pajamos dengtų ~50 proc. sąnaudų, vėliau jos gali mažėti. 
Kompensacija bus mokama nuo 2023-06-15.</t>
        </r>
      </text>
    </comment>
    <comment ref="F151" authorId="0" shapeId="0" xr:uid="{00000000-0006-0000-0000-000047000000}">
      <text>
        <r>
          <rPr>
            <sz val="9"/>
            <color indexed="81"/>
            <rFont val="Tahoma"/>
            <family val="2"/>
            <charset val="186"/>
          </rPr>
          <t xml:space="preserve">Klaipėdos miesto darnaus judumo planas (2018-09-13, T2-185)
</t>
        </r>
      </text>
    </comment>
    <comment ref="K151" authorId="1" shapeId="0" xr:uid="{00000000-0006-0000-0000-000048000000}">
      <text>
        <r>
          <rPr>
            <sz val="9"/>
            <color indexed="81"/>
            <rFont val="Tahoma"/>
            <family val="2"/>
            <charset val="186"/>
          </rPr>
          <t>Elektros įvado informacinėms švieslentėms pasažo autobusų stotelėje (šalia Vingio g. 5) įrengimo darbai su projektavimu</t>
        </r>
      </text>
    </comment>
    <comment ref="F154" authorId="2" shapeId="0" xr:uid="{00000000-0006-0000-0000-000049000000}">
      <text>
        <r>
          <rPr>
            <sz val="9"/>
            <color indexed="81"/>
            <rFont val="Tahoma"/>
            <family val="2"/>
            <charset val="186"/>
          </rPr>
          <t>P-3.1.2.2.</t>
        </r>
      </text>
    </comment>
    <comment ref="E155" authorId="1" shapeId="0" xr:uid="{00000000-0006-0000-0000-00004A000000}">
      <text>
        <r>
          <rPr>
            <sz val="9"/>
            <color indexed="81"/>
            <rFont val="Tahoma"/>
            <family val="2"/>
            <charset val="186"/>
          </rPr>
          <t>Pagal KMS tarybos sprendimą 2020-07-30 Nr. T2-174</t>
        </r>
      </text>
    </comment>
    <comment ref="F155" authorId="1" shapeId="0" xr:uid="{00000000-0006-0000-0000-00004B000000}">
      <text>
        <r>
          <rPr>
            <sz val="9"/>
            <color indexed="81"/>
            <rFont val="Tahoma"/>
            <family val="2"/>
            <charset val="186"/>
          </rPr>
          <t xml:space="preserve">Viešojo transporto rūšies diegimo Klaipėdos mieste gairės (2020-07-30, Nr. T2-200)
</t>
        </r>
      </text>
    </comment>
    <comment ref="K155" authorId="1" shapeId="0" xr:uid="{00000000-0006-0000-0000-00004C000000}">
      <text>
        <r>
          <rPr>
            <sz val="9"/>
            <color indexed="81"/>
            <rFont val="Tahoma"/>
            <family val="2"/>
            <charset val="186"/>
          </rPr>
          <t>Projektą įgyvendina UAB "Klaipėdos autobusų parkas" Klimato kaitos programoje projekte "Daugiau švarios erdvės" su Savivaldybės 45 % prisidėjimu. Programos lėšas gaus UAB KAP. Tarybos sprendimas 2020-07-30 Nr.T2-174. Planuojama, kad viešasis pirkimas bus paskelbtas š.m. spalio pabaigoje. Idealiu atveju viešųjų pirkimų procedūros ir sutarties pasirašymas įvyktų  š.m. gruodžio mėn. pabaigoje. Po sutarties pasirašymo avansas (562,5 tūkst. Eur) turi būti sumokėtas per 60 d. Dėl to 2022 m. lėšos keliamos į kitus metus. Autobusų pristatymas numatomas per 12 mėn., tai atsiskaitymo laikotarpis turėtų būti  suplanuotas 2023 m. t.y. 2023 m. suplanuotos lėšos (1687,5 tūkst. Eur) keliamos į 2024 m.</t>
        </r>
      </text>
    </comment>
    <comment ref="F156" authorId="1" shapeId="0" xr:uid="{00000000-0006-0000-0000-00004D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F158" authorId="1" shapeId="0" xr:uid="{00000000-0006-0000-0000-00004E000000}">
      <text>
        <r>
          <rPr>
            <sz val="9"/>
            <color indexed="81"/>
            <rFont val="Tahoma"/>
            <family val="2"/>
            <charset val="186"/>
          </rPr>
          <t xml:space="preserve">P-3.1.2.2.
</t>
        </r>
      </text>
    </comment>
    <comment ref="F159" authorId="1" shapeId="0" xr:uid="{00000000-0006-0000-0000-00004F000000}">
      <text>
        <r>
          <rPr>
            <sz val="9"/>
            <color indexed="81"/>
            <rFont val="Tahoma"/>
            <family val="2"/>
            <charset val="186"/>
          </rPr>
          <t xml:space="preserve">Viešojo transporto rūšies diegimo Klaipėdos mieste gairės (2020-07-30, Nr. T2-200)
</t>
        </r>
      </text>
    </comment>
    <comment ref="J159" authorId="8" shapeId="0" xr:uid="{00000000-0006-0000-0000-000050000000}">
      <text>
        <r>
          <rPr>
            <sz val="9"/>
            <color indexed="81"/>
            <rFont val="Tahoma"/>
            <family val="2"/>
            <charset val="186"/>
          </rPr>
          <t xml:space="preserve">KMSA su partneriu UAB „Klaipėdos autobusų parkas“ teikiamo projekto „Klaipėdos miesto viešojo transporto priemonių parko atnaujinimas“ tikslas - pagerinti viešojo transporto paslaugų kokybę Klaipėdos mieste. Fiziškai ir morališkai pasenę autobusai neskatina gyventojų naudotis viešuoju transportu. Nudėvėtų autobusų varikliai teršia aplinką CO2 ir kitais teršalais.
Preliminari projekto  pradžia 2022 m. birželio mėn., įgyvendinimo trukmė – 18 mėn. </t>
        </r>
        <r>
          <rPr>
            <b/>
            <sz val="9"/>
            <color indexed="81"/>
            <rFont val="Tahoma"/>
            <family val="2"/>
            <charset val="186"/>
          </rPr>
          <t>KMSA prisidėjimas - 15 proc.</t>
        </r>
      </text>
    </comment>
    <comment ref="F160" authorId="2" shapeId="0" xr:uid="{00000000-0006-0000-0000-000051000000}">
      <text>
        <r>
          <rPr>
            <sz val="9"/>
            <color indexed="81"/>
            <rFont val="Tahoma"/>
            <family val="2"/>
            <charset val="186"/>
          </rPr>
          <t>P-3.1.2.2.</t>
        </r>
      </text>
    </comment>
    <comment ref="F163" authorId="1" shapeId="0" xr:uid="{00000000-0006-0000-0000-000052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1.2.3. priemonė</t>
        </r>
      </text>
    </comment>
    <comment ref="E164" authorId="1" shapeId="0" xr:uid="{00000000-0006-0000-0000-000053000000}">
      <text>
        <r>
          <rPr>
            <sz val="9"/>
            <color indexed="81"/>
            <rFont val="Tahoma"/>
            <family val="2"/>
            <charset val="186"/>
          </rPr>
          <t xml:space="preserve"> Integruojama į priemonę "Eismo valdymo sistemos modernizavimas žaliosios bangos principu Smiltelės g., Taikos pr., Tiltų g. ir Liepojos g. integruojant BRT, dviračių takų, apšvietimo ir dangų sutvarkymą"</t>
        </r>
      </text>
    </comment>
    <comment ref="F164" authorId="1" shapeId="0" xr:uid="{00000000-0006-0000-0000-000054000000}">
      <text>
        <r>
          <rPr>
            <sz val="9"/>
            <color indexed="81"/>
            <rFont val="Tahoma"/>
            <family val="2"/>
            <charset val="186"/>
          </rPr>
          <t xml:space="preserve">Viešojo transporto rūšies diegimo Klaipėdos mieste gairės (2020-07-30, Nr. T2-200)
</t>
        </r>
      </text>
    </comment>
    <comment ref="F167" authorId="4" shapeId="0" xr:uid="{00000000-0006-0000-0000-000055000000}">
      <text>
        <r>
          <rPr>
            <sz val="9"/>
            <color indexed="81"/>
            <rFont val="Tahoma"/>
            <family val="2"/>
            <charset val="186"/>
          </rPr>
          <t>P</t>
        </r>
        <r>
          <rPr>
            <b/>
            <sz val="9"/>
            <color indexed="81"/>
            <rFont val="Tahoma"/>
            <family val="2"/>
            <charset val="186"/>
          </rPr>
          <t>-</t>
        </r>
        <r>
          <rPr>
            <sz val="9"/>
            <color indexed="81"/>
            <rFont val="Tahoma"/>
            <family val="2"/>
            <charset val="186"/>
          </rPr>
          <t>3.1.2.2.</t>
        </r>
      </text>
    </comment>
    <comment ref="F171" authorId="3" shapeId="0" xr:uid="{00000000-0006-0000-0000-000056000000}">
      <text>
        <r>
          <rPr>
            <sz val="9"/>
            <color indexed="81"/>
            <rFont val="Tahoma"/>
            <family val="2"/>
            <charset val="186"/>
          </rPr>
          <t>P2, Klaipėdos miesto darnaus judumo planas (2018-09-13, T2-185)</t>
        </r>
      </text>
    </comment>
    <comment ref="F172" authorId="0" shapeId="0" xr:uid="{00000000-0006-0000-0000-000057000000}">
      <text>
        <r>
          <rPr>
            <sz val="9"/>
            <color indexed="81"/>
            <rFont val="Tahoma"/>
            <family val="2"/>
            <charset val="186"/>
          </rPr>
          <t>P-3.1.1.2.</t>
        </r>
      </text>
    </comment>
    <comment ref="J176" authorId="4" shapeId="0" xr:uid="{00000000-0006-0000-0000-000058000000}">
      <text>
        <r>
          <rPr>
            <sz val="9"/>
            <color indexed="81"/>
            <rFont val="Tahoma"/>
            <family val="2"/>
            <charset val="186"/>
          </rPr>
          <t>Programinės įrangos OMNIA, skirtos koordinuoti šviesoforų darbą, papildomo funkcionalumo - viešojo transporto prioriteto modulio licencijų įsigijimas (bus mokama kas mėnesį)</t>
        </r>
      </text>
    </comment>
    <comment ref="K176" authorId="4" shapeId="0" xr:uid="{00000000-0006-0000-0000-000059000000}">
      <text>
        <r>
          <rPr>
            <sz val="9"/>
            <color indexed="81"/>
            <rFont val="Tahoma"/>
            <family val="2"/>
            <charset val="186"/>
          </rPr>
          <t xml:space="preserve">1 licencija - 1 šviesoforinei sankryžai reguliuoti. </t>
        </r>
      </text>
    </comment>
    <comment ref="K179" authorId="1" shapeId="0" xr:uid="{00000000-0006-0000-0000-00005A000000}">
      <text>
        <r>
          <rPr>
            <sz val="9"/>
            <color indexed="81"/>
            <rFont val="Tahoma"/>
            <family val="2"/>
            <charset val="186"/>
          </rPr>
          <t>1. Šviesoforais reguliuojamos pėsčiųjų perėjos Dariaus ir Girėno gatvėje ties Nr. 8A.
2. Šviesoforais reguliuojamos pėsčiųjų perėjos Liepojos g. Nr. 1 (ties Panevėžio g. sankryža).
3. Šviesoforais reguliuojamos pėsčiųjų perėjos Liepojos gatvėje ties Nr. 41A.
4. Šviesoforais reguliuojamos pėsčiųjų perėjos Minijos g. Nr. 174 (ties Nendrių g. sankryža).
5. Šviesoforais reguliuojamos pėsčiųjų perėjos Smiltelės gatvėje ties Nr. 5.
6. Mokyklos g. ir Verpėjų g. sankryžos Klaipėdoje šviesoforų posto įrengimo darbai.
7. Taikos pr. ir Jachtų g. sankryžos Klaipėdoje šviesoforų posto įrengimo darbai</t>
        </r>
      </text>
    </comment>
    <comment ref="K181" authorId="5" shapeId="0" xr:uid="{D609AA28-A8E8-4EFD-B034-04B8AFDCEEFD}">
      <text>
        <r>
          <rPr>
            <sz val="9"/>
            <color indexed="81"/>
            <rFont val="Tahoma"/>
            <family val="2"/>
            <charset val="186"/>
          </rPr>
          <t>Dviračių saugyklos - 8 vnt.
Dviračių skaičiuokliai - 2 vnt.
Kintamos informacijos kelio ženklai (KIŽ) - 2 vnt.</t>
        </r>
      </text>
    </comment>
    <comment ref="F184" authorId="4" shapeId="0" xr:uid="{00000000-0006-0000-0000-00005C000000}">
      <text>
        <r>
          <rPr>
            <sz val="9"/>
            <color indexed="81"/>
            <rFont val="Tahoma"/>
            <family val="2"/>
            <charset val="186"/>
          </rPr>
          <t>P-3.1.2.2.</t>
        </r>
      </text>
    </comment>
    <comment ref="K185" authorId="1" shapeId="0" xr:uid="{00000000-0006-0000-0000-00005D000000}">
      <text>
        <r>
          <rPr>
            <sz val="9"/>
            <color indexed="81"/>
            <rFont val="Tahoma"/>
            <family val="2"/>
            <charset val="186"/>
          </rPr>
          <t xml:space="preserve">Debreceno g. ties 47
Reikjaviko g. ties 7
Varpų g. ties 3
Panevėžio g. 44
Žardininkų g. 18
Reikjaviko g. ties 15
</t>
        </r>
      </text>
    </comment>
    <comment ref="F186" authorId="4" shapeId="0" xr:uid="{00000000-0006-0000-0000-00005E000000}">
      <text>
        <r>
          <rPr>
            <sz val="9"/>
            <color indexed="81"/>
            <rFont val="Tahoma"/>
            <family val="2"/>
            <charset val="186"/>
          </rPr>
          <t>P-3.1.3.6.</t>
        </r>
      </text>
    </comment>
    <comment ref="F188" authorId="4" shapeId="0" xr:uid="{00000000-0006-0000-0000-00005F000000}">
      <text>
        <r>
          <rPr>
            <sz val="9"/>
            <color indexed="81"/>
            <rFont val="Tahoma"/>
            <family val="2"/>
            <charset val="186"/>
          </rPr>
          <t>P-3.1.1.5.</t>
        </r>
      </text>
    </comment>
    <comment ref="F189" authorId="0" shapeId="0" xr:uid="{00000000-0006-0000-0000-000060000000}">
      <text>
        <r>
          <rPr>
            <b/>
            <sz val="9"/>
            <color indexed="81"/>
            <rFont val="Tahoma"/>
            <family val="2"/>
            <charset val="186"/>
          </rPr>
          <t xml:space="preserve"> P2, </t>
        </r>
        <r>
          <rPr>
            <sz val="9"/>
            <color indexed="81"/>
            <rFont val="Tahoma"/>
            <family val="2"/>
            <charset val="186"/>
          </rPr>
          <t xml:space="preserve">Klaipėdos miesto darnaus judumo planas (2018-09-13, T2-185)
</t>
        </r>
      </text>
    </comment>
    <comment ref="F190" authorId="1" shapeId="0" xr:uid="{00000000-0006-0000-0000-000061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1.2.5. priemonė</t>
        </r>
      </text>
    </comment>
    <comment ref="F191" authorId="4" shapeId="0" xr:uid="{00000000-0006-0000-0000-000062000000}">
      <text>
        <r>
          <rPr>
            <sz val="9"/>
            <color indexed="81"/>
            <rFont val="Tahoma"/>
            <family val="2"/>
            <charset val="186"/>
          </rPr>
          <t>P-2.4.3.5.</t>
        </r>
      </text>
    </comment>
    <comment ref="F198" authorId="0" shapeId="0" xr:uid="{00000000-0006-0000-0000-000063000000}">
      <text>
        <r>
          <rPr>
            <b/>
            <sz val="9"/>
            <color indexed="81"/>
            <rFont val="Tahoma"/>
            <family val="2"/>
            <charset val="186"/>
          </rPr>
          <t xml:space="preserve">P1, </t>
        </r>
        <r>
          <rPr>
            <sz val="9"/>
            <color indexed="81"/>
            <rFont val="Tahoma"/>
            <family val="2"/>
            <charset val="186"/>
          </rPr>
          <t xml:space="preserve">3.6.2. Diegiama koordinuotų eismo valdymo sistemų, vnt.
</t>
        </r>
      </text>
    </comment>
    <comment ref="F200" authorId="0" shapeId="0" xr:uid="{00000000-0006-0000-0000-000064000000}">
      <text>
        <r>
          <rPr>
            <sz val="9"/>
            <color indexed="81"/>
            <rFont val="Tahoma"/>
            <family val="2"/>
            <charset val="186"/>
          </rPr>
          <t xml:space="preserve">P-3.1.3.7.; 3.1.3.3.
</t>
        </r>
      </text>
    </comment>
    <comment ref="I201" authorId="1" shapeId="0" xr:uid="{00000000-0006-0000-0000-000065000000}">
      <text>
        <r>
          <rPr>
            <sz val="9"/>
            <color indexed="81"/>
            <rFont val="Tahoma"/>
            <family val="2"/>
            <charset val="186"/>
          </rPr>
          <t>Dėl oro sąlygų gali nebespėti įrengti kietųjų dangų (asfaltbetonio). Darbus planuojama atnaujinti po tech. pertraukos 2023-03-15.</t>
        </r>
      </text>
    </comment>
    <comment ref="F203" authorId="4" shapeId="0" xr:uid="{00000000-0006-0000-0000-000066000000}">
      <text>
        <r>
          <rPr>
            <sz val="9"/>
            <color indexed="81"/>
            <rFont val="Tahoma"/>
            <family val="2"/>
            <charset val="186"/>
          </rPr>
          <t>P-3.1.1.1.</t>
        </r>
      </text>
    </comment>
    <comment ref="F204" authorId="0" shapeId="0" xr:uid="{00000000-0006-0000-0000-000067000000}">
      <text>
        <r>
          <rPr>
            <b/>
            <sz val="9"/>
            <color indexed="81"/>
            <rFont val="Tahoma"/>
            <family val="2"/>
            <charset val="186"/>
          </rPr>
          <t>P6 KEPS 6.1.5.</t>
        </r>
        <r>
          <rPr>
            <sz val="9"/>
            <color indexed="81"/>
            <rFont val="Tahoma"/>
            <family val="2"/>
            <charset val="186"/>
          </rPr>
          <t xml:space="preserve"> Sukurti Klaipėdos regione elektriniam transportui pritaikytą infrastruktūrą</t>
        </r>
      </text>
    </comment>
    <comment ref="F206" authorId="1" shapeId="0" xr:uid="{00000000-0006-0000-0000-000068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1.2.7. priemonė</t>
        </r>
      </text>
    </comment>
    <comment ref="F207" authorId="0" shapeId="0" xr:uid="{00000000-0006-0000-0000-000069000000}">
      <text>
        <r>
          <rPr>
            <sz val="9"/>
            <color indexed="81"/>
            <rFont val="Tahoma"/>
            <family val="2"/>
            <charset val="186"/>
          </rPr>
          <t>P2 Klaipėdos miesto darnaus judumo planas (2018-09-13, T2-185)</t>
        </r>
      </text>
    </comment>
    <comment ref="H208" authorId="4" shapeId="0" xr:uid="{00000000-0006-0000-0000-00006A000000}">
      <text>
        <r>
          <rPr>
            <sz val="9"/>
            <color indexed="81"/>
            <rFont val="Tahoma"/>
            <family val="2"/>
            <charset val="186"/>
          </rPr>
          <t>Vykdytojas BĮ Klaipėdos paplūdimiai</t>
        </r>
      </text>
    </comment>
    <comment ref="F209" authorId="4" shapeId="0" xr:uid="{00000000-0006-0000-0000-00006B000000}">
      <text>
        <r>
          <rPr>
            <sz val="9"/>
            <color indexed="81"/>
            <rFont val="Tahoma"/>
            <family val="2"/>
            <charset val="186"/>
          </rPr>
          <t>P-1.2.1.3., 3.1.2.3.</t>
        </r>
      </text>
    </comment>
    <comment ref="E210" authorId="1" shapeId="0" xr:uid="{00000000-0006-0000-0000-00006C000000}">
      <text>
        <r>
          <rPr>
            <sz val="9"/>
            <color indexed="81"/>
            <rFont val="Tahoma"/>
            <family val="2"/>
            <charset val="186"/>
          </rPr>
          <t xml:space="preserve">Eismo valdymo sistemos modernizavimas žaliosios bangos principu
</t>
        </r>
      </text>
    </comment>
    <comment ref="F210" authorId="6" shapeId="0" xr:uid="{00000000-0006-0000-0000-00006D000000}">
      <text>
        <r>
          <rPr>
            <sz val="9"/>
            <color indexed="81"/>
            <rFont val="Tahoma"/>
            <family val="2"/>
            <charset val="186"/>
          </rPr>
          <t>3.1.2.2.; 3.1.3.3.</t>
        </r>
      </text>
    </comment>
    <comment ref="J210" authorId="1" shapeId="0" xr:uid="{00000000-0006-0000-0000-00006E000000}">
      <text>
        <r>
          <rPr>
            <sz val="9"/>
            <color indexed="81"/>
            <rFont val="Tahoma"/>
            <family val="2"/>
            <charset val="186"/>
          </rPr>
          <t>Projektas bus parengtas 2024 m.</t>
        </r>
      </text>
    </comment>
    <comment ref="F211" authorId="1" shapeId="0" xr:uid="{00000000-0006-0000-0000-00006F000000}">
      <text>
        <r>
          <rPr>
            <sz val="9"/>
            <color indexed="81"/>
            <rFont val="Tahoma"/>
            <family val="2"/>
            <charset val="186"/>
          </rPr>
          <t xml:space="preserve">Viešojo transporto rūšies diegimo Klaipėdos mieste gairės (2020-07-30, Nr. T2-200)
</t>
        </r>
      </text>
    </comment>
  </commentList>
</comments>
</file>

<file path=xl/sharedStrings.xml><?xml version="1.0" encoding="utf-8"?>
<sst xmlns="http://schemas.openxmlformats.org/spreadsheetml/2006/main" count="595" uniqueCount="255">
  <si>
    <t>Uždavinio kodas</t>
  </si>
  <si>
    <t>Priemonės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</si>
  <si>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</si>
  <si>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</si>
  <si>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</si>
  <si>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</si>
  <si>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</si>
  <si>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</si>
  <si>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</si>
  <si>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</si>
  <si>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</si>
  <si>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</si>
  <si>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</si>
  <si>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</si>
  <si>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t xml:space="preserve"> TIKSLŲ, UŽDAVINIŲ, PRIEMONIŲ, PRIEMONIŲ IŠLAIDŲ IR PRODUKTO KRITERIJŲ SUVESTINĖ</t>
  </si>
  <si>
    <t>Veiklos plano tikslo kodas</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</si>
  <si>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</si>
  <si>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</si>
  <si>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</si>
  <si>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</si>
  <si>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</si>
  <si>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</si>
  <si>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06 Susisiekimo sistemos priežiūros ir plėtros programa</t>
  </si>
  <si>
    <t>Papriemonės kodas</t>
  </si>
  <si>
    <t>03</t>
  </si>
  <si>
    <t>SUSISIEKIMO SISTEMOS PRIEŽIŪROS IR PLĖTROS PROGRAMOS (NR. 06)</t>
  </si>
  <si>
    <t>Didinti gatvių tinklo pralaidumą ir užtikrinti jų tankumą</t>
  </si>
  <si>
    <t xml:space="preserve"> Užtikrinti patogios viešojo transporto sistemos funkcionavimą</t>
  </si>
  <si>
    <t>04</t>
  </si>
  <si>
    <t>05</t>
  </si>
  <si>
    <t>06</t>
  </si>
  <si>
    <t>07</t>
  </si>
  <si>
    <t>Eksploatuojama šviesoforų, vnt.</t>
  </si>
  <si>
    <t>Tiltų ir kelio statinių priežiūra</t>
  </si>
  <si>
    <t>Viešojo transporto priežiūros ir paslaugų kokybės kontroliavimas</t>
  </si>
  <si>
    <t>ES</t>
  </si>
  <si>
    <t>Kt</t>
  </si>
  <si>
    <t>Parengtas techninis projektas, vnt.</t>
  </si>
  <si>
    <t>I</t>
  </si>
  <si>
    <t>KVJUD</t>
  </si>
  <si>
    <t>Patikrinta viešojo transporto priemonių, tūkst. vnt.</t>
  </si>
  <si>
    <t>Viešojo transporto paslaugų organizavimas:</t>
  </si>
  <si>
    <t xml:space="preserve">Iš viso  programai:  </t>
  </si>
  <si>
    <t>SB(L)</t>
  </si>
  <si>
    <t>Strateginis tikslas 02. Kurti mieste patrauklią, švarią ir saugią gyvenamąją aplinką</t>
  </si>
  <si>
    <t>Viešosios tvarkos skyrius</t>
  </si>
  <si>
    <t>Eksploatuojama prietaisų, vnt.</t>
  </si>
  <si>
    <t>SB(VR)</t>
  </si>
  <si>
    <r>
      <t xml:space="preserve">Vietinių rinkliavų lėšos </t>
    </r>
    <r>
      <rPr>
        <b/>
        <sz val="10"/>
        <rFont val="Times New Roman"/>
        <family val="1"/>
        <charset val="186"/>
      </rPr>
      <t>SB(VR)</t>
    </r>
  </si>
  <si>
    <t>SB(VRL)</t>
  </si>
  <si>
    <t>Eksploatuojama greičio matuoklių, vnt.</t>
  </si>
  <si>
    <t xml:space="preserve">Savivaldybės biudžetas, iš jo: </t>
  </si>
  <si>
    <t xml:space="preserve">Parengtas techninis projektas, vnt. </t>
  </si>
  <si>
    <r>
      <rPr>
        <sz val="10"/>
        <rFont val="Times New Roman"/>
        <family val="1"/>
        <charset val="186"/>
      </rPr>
      <t>Vietinių rinkliavų likučio lėšos</t>
    </r>
    <r>
      <rPr>
        <b/>
        <sz val="10"/>
        <rFont val="Times New Roman"/>
        <family val="1"/>
        <charset val="186"/>
      </rPr>
      <t xml:space="preserve"> SB(VRL)</t>
    </r>
  </si>
  <si>
    <t>SB(KPP)</t>
  </si>
  <si>
    <t>Eismo reguliavimo infrastruktūros eksploatacija ir įrengimas</t>
  </si>
  <si>
    <t>Mokamo automobilių stovėjimo sistemos mieste kūrimas ir išlaikymas</t>
  </si>
  <si>
    <t>Eismo srautų reguliavimo ir saugumo priemonių įgyvendinimas:</t>
  </si>
  <si>
    <t>tūkst. Eur</t>
  </si>
  <si>
    <t xml:space="preserve">Diegti eismo srautų reguliavimo ir saugumo priemones </t>
  </si>
  <si>
    <t xml:space="preserve">Eksploatuojama eismo reguliavimo priemonių, tūkst. vnt. </t>
  </si>
  <si>
    <t xml:space="preserve">Susisiekimo sistemos objektų pritaikymas neįgaliesiems  </t>
  </si>
  <si>
    <t>Klaipėdos miesto viešojo transporto švieslenčių ir informacinių švieslenčių įrengimas ir atnaujinimas</t>
  </si>
  <si>
    <t>Baltijos pr. ir Šilutės pl. žiedinės sankryžos rekonstravimas</t>
  </si>
  <si>
    <t>Suteikta gatvių dangų, konstruktyvo ir betoninių gaminių kontrolinių bandymų paslaugų. Užbaigtumas, proc.</t>
  </si>
  <si>
    <t>Eksploatuojama bilietų automatų, vnt.</t>
  </si>
  <si>
    <t>Įstaigų, kurių kiemuose atlikta asfalto dangos remonto darbų, skaičius</t>
  </si>
  <si>
    <t xml:space="preserve">Klaipėdos miesto gatvių pėsčiųjų perėjų kryptinis apšvietimas </t>
  </si>
  <si>
    <t>Kompensuota nuostolingų maršrutų, vnt.</t>
  </si>
  <si>
    <t xml:space="preserve">Nuostolių kompensacijų mokėjimas: </t>
  </si>
  <si>
    <r>
      <t xml:space="preserve">Programų lėšų likučių lėšos </t>
    </r>
    <r>
      <rPr>
        <b/>
        <sz val="10"/>
        <rFont val="Times New Roman"/>
        <family val="1"/>
        <charset val="186"/>
      </rPr>
      <t xml:space="preserve">SB(L) </t>
    </r>
  </si>
  <si>
    <t>Subsidijuojamų maršrutų skaičius:</t>
  </si>
  <si>
    <t>10</t>
  </si>
  <si>
    <t>08</t>
  </si>
  <si>
    <t>Transporto skyrius</t>
  </si>
  <si>
    <t>Tauralaukio gyvenvietės gatvių rekonstravimas</t>
  </si>
  <si>
    <t>Klaipėdos miestui priklausančių elektromobilių įkrovimo stotelių eksploatavimas ir priežiūra</t>
  </si>
  <si>
    <t>SB(ES)</t>
  </si>
  <si>
    <t>Eksploatuojama elektromobilių įkrovimo stotelių, vnt.</t>
  </si>
  <si>
    <t>P2</t>
  </si>
  <si>
    <t>Žvejybos produktų iškrovimo vietos prie jūros Klaipėdos miesto teritorijoje įrengimas</t>
  </si>
  <si>
    <t>Prižiūrėta tiltų ir viadukų, vnt.</t>
  </si>
  <si>
    <t>Pėsčiųjų ir dviračių takų, šaligatvių (su dviračių takais) remonto bei įrengimo darbai</t>
  </si>
  <si>
    <t>Keleivinio transporto stotelių su įvažomis Klaipėdos miesto gatvėse projektavimas ir įrengimas</t>
  </si>
  <si>
    <t>Nuostolingų maršrutų subsidijavimas priemiesčio ir miesto maršrutus aptarnaujantiems vežėjams</t>
  </si>
  <si>
    <t>P6</t>
  </si>
  <si>
    <t>Naujai įrengta šviesoforų, vnt.</t>
  </si>
  <si>
    <t>Gatvių tiesimas ir rekonstravimas:</t>
  </si>
  <si>
    <t>P1</t>
  </si>
  <si>
    <t>09</t>
  </si>
  <si>
    <t>Darnaus judumo projektų įgyvendinimas:</t>
  </si>
  <si>
    <t>11</t>
  </si>
  <si>
    <t>12</t>
  </si>
  <si>
    <t>Rekonstruoti, tiesti ir prižiūrėti gatves</t>
  </si>
  <si>
    <t>Statybos ir infrastruktūros plėtros skyrius</t>
  </si>
  <si>
    <t xml:space="preserve">Projektų skyrius </t>
  </si>
  <si>
    <t>Miesto tvarkymo skyrius</t>
  </si>
  <si>
    <t>Projektų skyrius</t>
  </si>
  <si>
    <t xml:space="preserve"> Ištisinio asfaltbetonio dangos įrengimas: </t>
  </si>
  <si>
    <t>P</t>
  </si>
  <si>
    <t>20</t>
  </si>
  <si>
    <t>21</t>
  </si>
  <si>
    <t>22</t>
  </si>
  <si>
    <t>23</t>
  </si>
  <si>
    <t>24</t>
  </si>
  <si>
    <t>25</t>
  </si>
  <si>
    <t>Klaipėdos miesto gatvių rekonstravimas bendromis savivaldybės ir privačių asmenų lėšomis</t>
  </si>
  <si>
    <t>patirtų vykdant keleivinio kelių transporto viešųjų paslaugų vežant keleivius vietinio (miesto) reguliaraus susisiekimo autobusų maršrutais</t>
  </si>
  <si>
    <t>patirtų dėl naudojamų transporto priemonių pakeitimo ekologiškomis viešojo transporto priemonėmis</t>
  </si>
  <si>
    <t xml:space="preserve">Teatro ir Sukilėlių g. rekonstrukcija </t>
  </si>
  <si>
    <t>Danės g. rekonstravimas</t>
  </si>
  <si>
    <t>Įrengta neregių vedimo dangos autobusų stotelėse, vnt.</t>
  </si>
  <si>
    <t>Apšviesta pėsčiųjų perėjų, vnt.</t>
  </si>
  <si>
    <t>Infrastruktūros įrengimas, reikalingas BRT sistemai funkcionuoti</t>
  </si>
  <si>
    <t>Saugaus eismo auditas</t>
  </si>
  <si>
    <t>Atlikta auditų, vnt.</t>
  </si>
  <si>
    <t xml:space="preserve">Transporto (eismo) valdymo sistemos diegimas: </t>
  </si>
  <si>
    <t xml:space="preserve">Apšvietimo ir kietųjų dangų atstatymo ir įrengimo darbai </t>
  </si>
  <si>
    <t xml:space="preserve">Valdymo sistemos su viešojo transporto prioritetu programinės įrangos diegimas ir priežiūros paslaugos </t>
  </si>
  <si>
    <t>Vykdomas garantinis aptarnavimas, mėn.</t>
  </si>
  <si>
    <t>P3</t>
  </si>
  <si>
    <t>P4</t>
  </si>
  <si>
    <t>Produkto kriterijaus</t>
  </si>
  <si>
    <t>26</t>
  </si>
  <si>
    <t>Įvažiuojamųjų kelių atnaujinimas:</t>
  </si>
  <si>
    <t>27</t>
  </si>
  <si>
    <t>Pastato Pilies g. 2A nugriovimas ir automobilių stovėjimo aikštelės įrengimas (praplėtimas)</t>
  </si>
  <si>
    <t>Danės upės pritaikymas laivybai ir vandens autobuso maršruto įdiegimas</t>
  </si>
  <si>
    <t>2023-ieji metai</t>
  </si>
  <si>
    <t>Priemonės požymis*</t>
  </si>
  <si>
    <t>Vykdytojas (skyrius/asmuo)</t>
  </si>
  <si>
    <t>Klemiškės g. rekonstravimas</t>
  </si>
  <si>
    <t>28</t>
  </si>
  <si>
    <t>29</t>
  </si>
  <si>
    <t>30</t>
  </si>
  <si>
    <t>31</t>
  </si>
  <si>
    <t>Įvažiuojamojo kelio į Taikos pr. 101</t>
  </si>
  <si>
    <t>Dubliuojančios gatvės nuo Šiltnamių g. iki Klaipėdos g. su pėsčiųjų ir dviračių taku ir įvažomis į Liepojos g. įrengimas</t>
  </si>
  <si>
    <t>Papildomos eismo juostos ir pėsčiųjų saugumo salelės Mogiliovo gatvėje įrengimas</t>
  </si>
  <si>
    <t>Įsigyta autobusų, vnt.</t>
  </si>
  <si>
    <t>Avaringiausių vietų juodųjų dėmių nustatymas ir tobulinimo ar pertvarkymo projektinių schemų parengimas</t>
  </si>
  <si>
    <t>Žvejybos produktų iškrovimo vietos prie Pilies tilto Klaipėdoje įrengimas</t>
  </si>
  <si>
    <t>N</t>
  </si>
  <si>
    <t xml:space="preserve">Miesto tvarkymo skyrius </t>
  </si>
  <si>
    <t>T</t>
  </si>
  <si>
    <t xml:space="preserve">Bangų g. </t>
  </si>
  <si>
    <t>Prižiūrima dviračių įrenginių (dviračių saugyklų ir skaičiuoklių) ir kintamos informacijos kelio ženklų, vnt.</t>
  </si>
  <si>
    <t>Darnaus judumo priemonių diegimas Klaipėdos mieste</t>
  </si>
  <si>
    <t>32</t>
  </si>
  <si>
    <t>LEZ teritorija:</t>
  </si>
  <si>
    <t>UAB „Klaipėdos autobusų parkas“ įstatinio kapitalo didinimas  (elektra varomų autobusų įsigijimas (prisidėjimas))</t>
  </si>
  <si>
    <t>Atlikta rangos darbų. Užbaigtumas, proc.</t>
  </si>
  <si>
    <t>Atlikta rangos darbų.  Užbaigtumas, proc.</t>
  </si>
  <si>
    <t>Įrengta takų, vnt.</t>
  </si>
  <si>
    <t>Įrengta pontoninių prieplaukų, vnt.</t>
  </si>
  <si>
    <t>Įrengta elektros įvadų, vnt.</t>
  </si>
  <si>
    <t xml:space="preserve"> P</t>
  </si>
  <si>
    <t xml:space="preserve">P2   </t>
  </si>
  <si>
    <t>Atlikta rangos darbų (II etapas). Užbaigtumas, proc.</t>
  </si>
  <si>
    <t>Mokyklos g. ir Laukų g. žiedinės sankryžos įrengimas</t>
  </si>
  <si>
    <t>SB(ŽP)</t>
  </si>
  <si>
    <r>
      <t xml:space="preserve">Žemės pardavimų lėšos </t>
    </r>
    <r>
      <rPr>
        <b/>
        <sz val="10"/>
        <rFont val="Times New Roman"/>
        <family val="1"/>
        <charset val="186"/>
      </rPr>
      <t>SB(ŽP)</t>
    </r>
  </si>
  <si>
    <t xml:space="preserve">Turto valdymo skyrius </t>
  </si>
  <si>
    <t>Automatinės eismo priežiūros prietaisų eksploatacija ir įrengimas</t>
  </si>
  <si>
    <t>19</t>
  </si>
  <si>
    <t>Medžiagų tyrimas ir kontroliniai bandymai, topografinių nuotraukų, išpildomųjų geodezinių nuotraukų įsigijimas, statinių projektų ekspertizių, inžinerinės bei želdinių tvarkymo paslaugos</t>
  </si>
  <si>
    <r>
      <t xml:space="preserve">Europos Sąjungos finansinės paramos lėšos, kurios įtrauktos į savivaldybės biudžetą </t>
    </r>
    <r>
      <rPr>
        <b/>
        <sz val="10"/>
        <rFont val="Times New Roman"/>
        <family val="1"/>
        <charset val="186"/>
      </rPr>
      <t>SB(ES)</t>
    </r>
  </si>
  <si>
    <r>
      <t xml:space="preserve">Kelių priežiūros ir plėtros programos lėšos, įtrauktos į savivaldybės biudžetą </t>
    </r>
    <r>
      <rPr>
        <b/>
        <sz val="10"/>
        <rFont val="Times New Roman"/>
        <family val="1"/>
        <charset val="186"/>
      </rPr>
      <t>SB(KPP)</t>
    </r>
  </si>
  <si>
    <t>Ekologiškų viešojo transporto priemonių (elektrinių autobusų), kuriomis važiuojant patiriama nuostolių, vnt.</t>
  </si>
  <si>
    <t>Įrengta elektros įvadų švieslentėms įrengti, vnt.</t>
  </si>
  <si>
    <t>Parengtas kintamos informacijos ženklų ant Mokyklos g. viaduko techninis projektas, vnt.</t>
  </si>
  <si>
    <t>Kiemų ir privažiuojamųjų kelių prie biudžetinių įstaigų dangos remontas</t>
  </si>
  <si>
    <t xml:space="preserve">P6  </t>
  </si>
  <si>
    <t>Klaipėdos miesto viešojo transporto priemonių  atnaujinimas (naujų autobusų įsigijimas)</t>
  </si>
  <si>
    <t>Planas</t>
  </si>
  <si>
    <t>18</t>
  </si>
  <si>
    <t xml:space="preserve"> Miesto tvarkymo skyrius</t>
  </si>
  <si>
    <t>Parengtas juodųjų dėmių žemėlapis, vnt.</t>
  </si>
  <si>
    <r>
      <t>Paklota ištisinio asfaltbetonio dangos,  tūkst. m</t>
    </r>
    <r>
      <rPr>
        <vertAlign val="superscript"/>
        <sz val="10"/>
        <rFont val="Times New Roman"/>
        <family val="1"/>
        <charset val="186"/>
      </rPr>
      <t>2</t>
    </r>
  </si>
  <si>
    <t>Laukininkų g.</t>
  </si>
  <si>
    <r>
      <t>Suremontuota gatvių akmens grindinio dangos  senamiesčio gatvėse, tūkst. m</t>
    </r>
    <r>
      <rPr>
        <vertAlign val="superscript"/>
        <sz val="10"/>
        <rFont val="Times New Roman"/>
        <family val="1"/>
        <charset val="186"/>
      </rPr>
      <t>2</t>
    </r>
  </si>
  <si>
    <r>
      <t>Suremontuota asfaltbetonio dangos duobių gatvėse, tūkst. m</t>
    </r>
    <r>
      <rPr>
        <vertAlign val="superscript"/>
        <sz val="10"/>
        <rFont val="Times New Roman"/>
        <family val="1"/>
        <charset val="186"/>
      </rPr>
      <t>2</t>
    </r>
  </si>
  <si>
    <r>
      <t>Prižiūrima žvyruotos dangos, tūkst. m</t>
    </r>
    <r>
      <rPr>
        <vertAlign val="superscript"/>
        <sz val="10"/>
        <rFont val="Times New Roman"/>
        <family val="1"/>
        <charset val="186"/>
      </rPr>
      <t>2</t>
    </r>
  </si>
  <si>
    <r>
      <t>Suremontuota asfaltbetonio dangos duobių kiemuose, tūkst. m</t>
    </r>
    <r>
      <rPr>
        <vertAlign val="superscript"/>
        <sz val="10"/>
        <rFont val="Times New Roman"/>
        <family val="1"/>
        <charset val="186"/>
      </rPr>
      <t>2</t>
    </r>
  </si>
  <si>
    <t>Atlikta techninių priežiūrų, mėn.</t>
  </si>
  <si>
    <t>Transporto kompensacijų mokėjimas</t>
  </si>
  <si>
    <t>Įsigyta viešojo transporto prioriteto licencijų, vnt.</t>
  </si>
  <si>
    <t>Parduota vienkartinių lengvatinių bilietų, mln. vnt.</t>
  </si>
  <si>
    <t>Kompensuota bilietų moksleiviams ir profesinių mokyklų moksleiviams, tūkst. vnt.</t>
  </si>
  <si>
    <t>Pajūrio g. rekonstravimas</t>
  </si>
  <si>
    <t>Atlikta rangos darbų. Užbaigtumas, proc. (Karlskronos g.)</t>
  </si>
  <si>
    <t>Atlikta rangos darbų. Užbaigtumas, proc. (Tauro 10-oji g.)</t>
  </si>
  <si>
    <t>Atlikta rangos darbų. Užbaigtumas, proc. (Tauro 1-oji  g.)</t>
  </si>
  <si>
    <t>Atlikta rangos darbų. Užbaigtumas, proc. (Jachtų g.)</t>
  </si>
  <si>
    <t>15</t>
  </si>
  <si>
    <t xml:space="preserve">Statybos ir infrastruktūros plėtros skyrius </t>
  </si>
  <si>
    <t>Atlikta želdynų ekspertizė, vnt.</t>
  </si>
  <si>
    <t xml:space="preserve">P     </t>
  </si>
  <si>
    <r>
      <t>Suženklinta gatvių, tūkst. m</t>
    </r>
    <r>
      <rPr>
        <vertAlign val="superscript"/>
        <sz val="10"/>
        <rFont val="Times New Roman"/>
        <family val="1"/>
        <charset val="186"/>
      </rPr>
      <t>2</t>
    </r>
  </si>
  <si>
    <t>17</t>
  </si>
  <si>
    <r>
      <t>Klaipėdos miesto žvyruotų gatvių kapitalinis remontas</t>
    </r>
    <r>
      <rPr>
        <sz val="10"/>
        <color rgb="FFFF0000"/>
        <rFont val="Times New Roman"/>
        <family val="1"/>
        <charset val="186"/>
      </rPr>
      <t xml:space="preserve"> </t>
    </r>
  </si>
  <si>
    <t>16</t>
  </si>
  <si>
    <t>Parduota terminuotų lengvatinių bilietų su 50 proc. nuolaida, tūkst. vnt.</t>
  </si>
  <si>
    <t>Parduota terminuotų lengvatinių bilietų su 80 proc. nuolaida, tūkst. vnt.</t>
  </si>
  <si>
    <t>Parduota terminuotų lengvatinių bilietų su 96 proc. nuolaida, tūkst. vnt.</t>
  </si>
  <si>
    <t>Privažiuojamojo kelio prie pastato Debreceno g. 48 įrengimas ir pastato aplinkos sutvarkymas</t>
  </si>
  <si>
    <r>
      <t xml:space="preserve">Asfaltbetonio dangos, žvyruotos dangos ir akmenimis grįstų </t>
    </r>
    <r>
      <rPr>
        <sz val="10"/>
        <rFont val="Times New Roman"/>
        <family val="1"/>
        <charset val="186"/>
      </rPr>
      <t>gatvių dangos remontas</t>
    </r>
  </si>
  <si>
    <t xml:space="preserve">Atsiskaityta su LAKD pagal bendradarbiavimo sutartį, proc. </t>
  </si>
  <si>
    <t>Jaunystės g. ir privažiuojamojo kelio (įskaitant sankryžą) bei Rūko g. kapitalinis remontas</t>
  </si>
  <si>
    <t xml:space="preserve">Baltijos pr. ir Taikos pr. žiedinės sankryžos rekonstravimas </t>
  </si>
  <si>
    <r>
      <t>Suremontuota šaligatvių, tūkst. m</t>
    </r>
    <r>
      <rPr>
        <vertAlign val="superscript"/>
        <sz val="10"/>
        <rFont val="Times New Roman"/>
        <family val="1"/>
        <charset val="186"/>
      </rPr>
      <t>2</t>
    </r>
  </si>
  <si>
    <r>
      <t>Atnaujinta šaligatvių pagal prioritetinį sąrašą, tūkst. m</t>
    </r>
    <r>
      <rPr>
        <vertAlign val="superscript"/>
        <sz val="10"/>
        <rFont val="Times New Roman"/>
        <family val="1"/>
        <charset val="186"/>
      </rPr>
      <t>2</t>
    </r>
  </si>
  <si>
    <t xml:space="preserve">Įvažiuojamojo kelio į Taikos pr. 109 </t>
  </si>
  <si>
    <t>Atlikta rangos darbų. Užbaigtumas, proc. (Karlskronos g. VII etapas - skersgatvis)</t>
  </si>
  <si>
    <t>Paryžiaus Komunos g. kapitalinis remontas (nuo Šilutės pl. iki Taikos pr.)</t>
  </si>
  <si>
    <t>Įrengti kintamos informacijos ženklai Pilies g., proc.</t>
  </si>
  <si>
    <t>14</t>
  </si>
  <si>
    <t>Pramonės g. kapitalinio remonto darbai, įgyvendinant UAB Klaipėdos laisvosios ekonominės zonos valdymo bendrovės projektą „Klaipėdos LEZ infrastruktūros plėtra siekiant pritraukti tiesioginių užsienio investicijų sumaniosios specializacijos srityse“</t>
  </si>
  <si>
    <t>P
I</t>
  </si>
  <si>
    <t>Padidintas įstatinis kapitalas, proc.</t>
  </si>
  <si>
    <t xml:space="preserve">Sodų bendrija „Vaiteliai“–„Rasa“  </t>
  </si>
  <si>
    <t xml:space="preserve">Klaipėdos autobusų stotis–Palangos oro uostas </t>
  </si>
  <si>
    <t>Į LEZ teritoriją</t>
  </si>
  <si>
    <t>Danės upės vandens kelias</t>
  </si>
  <si>
    <t>Statybos ir infrastruktūros plėtros skyrius,</t>
  </si>
  <si>
    <t xml:space="preserve">Projektų skyrius, </t>
  </si>
  <si>
    <t>vyr. patarėjas 
G. Dovidaitis</t>
  </si>
  <si>
    <t xml:space="preserve">Projektų skyrius,
Statybos ir infrastruktūros plėtros skyrius </t>
  </si>
  <si>
    <t xml:space="preserve">PATVIRTINTA
Klaipėdos miesto savivaldybės administracijos direktoriaus </t>
  </si>
  <si>
    <t xml:space="preserve">2023 M. KLAIPĖDOS MIESTO SAVIVALDYBĖS ADMINISTRACIJOS        </t>
  </si>
  <si>
    <t>* N – nauja priemonė, T – tęstinė priemonė, I – investicijų projektas.</t>
  </si>
  <si>
    <t>2023 m. asignavimų planas**</t>
  </si>
  <si>
    <t>Melioracijos statinių rekonstravimas žemės sklype, adresu: Verslo g. 10, 12, 14, Klaipėdoje (Klaipėdos LEZ teritorija)</t>
  </si>
  <si>
    <t>Liepų g. ir naujo kelio sankryžos kapitalinis remontas</t>
  </si>
  <si>
    <t>Pakeista infrastruktūros plėtros sutartis, vnt.</t>
  </si>
  <si>
    <t>Urbanistikos ir architektūros skyrius,
Teisės skyrius</t>
  </si>
  <si>
    <t>Gauta išvada iš Valstybinės teritorijų planavimo ir statybos inspekcijos, vnt.</t>
  </si>
  <si>
    <t>Paprastojo remonto ir priežiūros darbų techninė priežiūra bei užbaigimo deklaracijos ekspertizių paslaugos</t>
  </si>
  <si>
    <t>patirtų įgyvendinant ES Sanglaudos fondų finansuojamus ekologiškų viešojo transporto  priemonių įsigijimo projektus</t>
  </si>
  <si>
    <t>Ekologiškų viešojo transporto priemonių, kuriomis važiuojant patiriama nuostolių, vnt.</t>
  </si>
  <si>
    <t>Miesto tvarkymo skyriaus vedėja 
I. Kubilienė</t>
  </si>
  <si>
    <t>SB(ESL)</t>
  </si>
  <si>
    <t>SB(VB)</t>
  </si>
  <si>
    <t>Įrengta švieslenčių, vnt.</t>
  </si>
  <si>
    <r>
      <t>Valstybės biudžeto specialiosios tikslinės dotacijos lėšos</t>
    </r>
    <r>
      <rPr>
        <b/>
        <sz val="10"/>
        <rFont val="Times New Roman"/>
        <family val="1"/>
        <charset val="186"/>
      </rPr>
      <t xml:space="preserve"> SB(VB)</t>
    </r>
  </si>
  <si>
    <r>
      <t xml:space="preserve">Europos Sąjungos paramos likučių lėšos </t>
    </r>
    <r>
      <rPr>
        <b/>
        <sz val="10"/>
        <rFont val="Times New Roman"/>
        <family val="1"/>
        <charset val="186"/>
      </rPr>
      <t>SB(ESL)</t>
    </r>
  </si>
  <si>
    <t>Mėgėjų sodų teritorijoje savivaldybės institucijų valdomų kelių remontas</t>
  </si>
  <si>
    <t>2023 m. vasario 7 d. įsakymu Nr. AD1-184</t>
  </si>
  <si>
    <t>Šilutės pl., Rimkų g. sankirtos ties geležinkelio pervaža rekonstravimas</t>
  </si>
  <si>
    <t>Eismo valdymo sistemos modernizavimo Smiltelės g., Taikos pr., Tiltų g., Herkaus Manto g., Liepojos g. techninio darbo projekto parengimas ir įgyvendinimas</t>
  </si>
  <si>
    <t>SB(ŽPL)</t>
  </si>
  <si>
    <r>
      <rPr>
        <sz val="10"/>
        <rFont val="Times New Roman"/>
        <family val="1"/>
        <charset val="186"/>
      </rPr>
      <t>Žemės pardavimų likučio lėšos</t>
    </r>
    <r>
      <rPr>
        <b/>
        <sz val="10"/>
        <rFont val="Times New Roman"/>
        <family val="1"/>
        <charset val="186"/>
      </rPr>
      <t xml:space="preserve"> SB(ŽPL)</t>
    </r>
  </si>
  <si>
    <t>Parduota terminuotų lengvatinių bilietų su 100 proc. nuolaida, tūkst. vnt.</t>
  </si>
  <si>
    <t>** Pagal Klaipėdos miesto savivaldybės tarybos sprendimus: 2023-01-26 Nr. T2-14; 2023-03-23 Nr. T2-16; 2023-06-22 Nr. T2-144; 2023-10-26 Nr. T2-277; 2023-11-30 Nr. T2-304.</t>
  </si>
  <si>
    <t xml:space="preserve">(Klaipėdos miesto savivaldybės administracijos direktoriaus 
2023 m. gruodžio 15 d. įsakymo Nr. AD1-1275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</si>
</sst>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quot;-&quot;??\ _L_t_-;_-@_-"/>
    <numFmt numFmtId="165" formatCode="#,##0.0"/>
    <numFmt numFmtId="166" formatCode="[$-409]General"/>
    <numFmt numFmtId="167" formatCode="0.0"/>
  </numFmts>
  <fonts count="24" x14ac:knownFonts="1">
    <font>
      <sz val="10"/>
      <name val="Arial"/>
      <charset val="186"/>
    </font>
    <font>
      <sz val="10"/>
      <name val="Times New Roman"/>
      <family val="1"/>
      <charset val="186"/>
    </font>
    <font>
      <b/>
      <sz val="10"/>
      <name val="Times New Roman"/>
      <family val="1"/>
      <charset val="186"/>
    </font>
    <font>
      <b/>
      <sz val="10"/>
      <name val="Times New Roman"/>
      <family val="1"/>
      <charset val="204"/>
    </font>
    <font>
      <sz val="9"/>
      <name val="Times New Roman"/>
      <family val="1"/>
      <charset val="186"/>
    </font>
    <font>
      <sz val="10"/>
      <name val="Arial"/>
      <family val="2"/>
      <charset val="186"/>
    </font>
    <font>
      <b/>
      <sz val="9"/>
      <name val="Times New Roman"/>
      <family val="1"/>
      <charset val="186"/>
    </font>
    <font>
      <i/>
      <sz val="10"/>
      <name val="Times New Roman"/>
      <family val="1"/>
      <charset val="186"/>
    </font>
    <font>
      <sz val="10"/>
      <name val="Times New Roman"/>
      <family val="1"/>
    </font>
    <font>
      <b/>
      <sz val="10"/>
      <name val="Arial"/>
      <family val="2"/>
      <charset val="186"/>
    </font>
    <font>
      <sz val="11"/>
      <color rgb="FF000000"/>
      <name val="Calibri"/>
      <family val="2"/>
      <charset val="186"/>
    </font>
    <font>
      <sz val="12"/>
      <name val="Times New Roman"/>
      <family val="1"/>
      <charset val="186"/>
    </font>
    <font>
      <b/>
      <sz val="12"/>
      <name val="Times New Roman"/>
      <family val="1"/>
      <charset val="186"/>
    </font>
    <font>
      <sz val="10"/>
      <name val="Arial"/>
      <family val="2"/>
    </font>
    <font>
      <b/>
      <sz val="9"/>
      <color indexed="81"/>
      <name val="Tahoma"/>
      <family val="2"/>
      <charset val="186"/>
    </font>
    <font>
      <sz val="9"/>
      <color indexed="81"/>
      <name val="Tahoma"/>
      <family val="2"/>
      <charset val="186"/>
    </font>
    <font>
      <sz val="10"/>
      <name val="Times"/>
      <family val="1"/>
    </font>
    <font>
      <strike/>
      <sz val="10"/>
      <name val="Times New Roman"/>
      <family val="1"/>
      <charset val="186"/>
    </font>
    <font>
      <sz val="8"/>
      <name val="Arial"/>
      <family val="2"/>
      <charset val="186"/>
    </font>
    <font>
      <sz val="10"/>
      <color theme="0" tint="-0.14999847407452621"/>
      <name val="Times New Roman"/>
      <family val="1"/>
      <charset val="186"/>
    </font>
    <font>
      <sz val="10"/>
      <color rgb="FFFF0000"/>
      <name val="Times New Roman"/>
      <family val="1"/>
      <charset val="186"/>
    </font>
    <font>
      <vertAlign val="superscript"/>
      <sz val="10"/>
      <name val="Times New Roman"/>
      <family val="1"/>
      <charset val="186"/>
    </font>
    <font>
      <sz val="10"/>
      <color theme="1"/>
      <name val="Times New Roman"/>
      <family val="1"/>
      <charset val="186"/>
    </font>
    <font>
      <sz val="10"/>
      <color rgb="FF0070C0"/>
      <name val="Times New Roman"/>
      <family val="1"/>
      <charset val="186"/>
    </font>
  </fonts>
  <fills count="14">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D5FF"/>
        <bgColor indexed="64"/>
      </patternFill>
    </fill>
    <fill>
      <patternFill patternType="solid">
        <fgColor rgb="FFFFFF99"/>
        <bgColor indexed="64"/>
      </patternFill>
    </fill>
    <fill>
      <patternFill patternType="solid">
        <fgColor rgb="FFCCFFCC"/>
        <bgColor indexed="64"/>
      </patternFill>
    </fill>
    <fill>
      <patternFill patternType="solid">
        <fgColor rgb="FFFFFFFF"/>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top style="medium">
        <color indexed="64"/>
      </top>
      <bottom/>
      <diagonal/>
    </border>
    <border>
      <left style="thin">
        <color indexed="64"/>
      </left>
      <right style="medium">
        <color indexed="64"/>
      </right>
      <top style="hair">
        <color indexed="64"/>
      </top>
      <bottom style="thin">
        <color indexed="64"/>
      </bottom>
      <diagonal/>
    </border>
  </borders>
  <cellStyleXfs count="4">
    <xf numFmtId="0" fontId="0" fillId="0" borderId="0"/>
    <xf numFmtId="164" fontId="5" fillId="0" borderId="0" applyFont="0" applyFill="0" applyBorder="0" applyAlignment="0" applyProtection="0"/>
    <xf numFmtId="0" fontId="5" fillId="0" borderId="0"/>
    <xf numFmtId="166" fontId="10" fillId="0" borderId="0" applyBorder="0" applyProtection="0"/>
  </cellStyleXfs>
  <cellXfs count="750">
    <xf numFmtId="0" fontId="0" fillId="0" borderId="0" xfId="0"/>
    <xf numFmtId="0" fontId="1" fillId="0" borderId="0" xfId="0" applyFont="1" applyBorder="1" applyAlignment="1">
      <alignment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Fill="1" applyAlignment="1">
      <alignment vertical="top"/>
    </xf>
    <xf numFmtId="0" fontId="1" fillId="3" borderId="0" xfId="0" applyFont="1" applyFill="1" applyAlignment="1">
      <alignment vertical="top"/>
    </xf>
    <xf numFmtId="164" fontId="1" fillId="0" borderId="0" xfId="1" applyFont="1" applyBorder="1" applyAlignment="1">
      <alignment vertical="top"/>
    </xf>
    <xf numFmtId="0" fontId="5" fillId="0" borderId="0" xfId="0" applyFont="1"/>
    <xf numFmtId="0" fontId="2" fillId="0" borderId="0" xfId="0" applyNumberFormat="1" applyFont="1" applyAlignment="1">
      <alignment vertical="top"/>
    </xf>
    <xf numFmtId="165" fontId="1" fillId="0" borderId="0" xfId="0" applyNumberFormat="1" applyFont="1" applyAlignment="1">
      <alignment vertical="top"/>
    </xf>
    <xf numFmtId="49" fontId="2" fillId="9" borderId="13" xfId="0" applyNumberFormat="1" applyFont="1" applyFill="1" applyBorder="1" applyAlignment="1">
      <alignment horizontal="center" vertical="top" wrapText="1"/>
    </xf>
    <xf numFmtId="3" fontId="1" fillId="0" borderId="0" xfId="0" applyNumberFormat="1" applyFont="1" applyBorder="1" applyAlignment="1">
      <alignment vertical="top"/>
    </xf>
    <xf numFmtId="165" fontId="1" fillId="0" borderId="0" xfId="0" applyNumberFormat="1" applyFont="1" applyBorder="1" applyAlignment="1">
      <alignment vertical="top"/>
    </xf>
    <xf numFmtId="165" fontId="1" fillId="7" borderId="35" xfId="0" applyNumberFormat="1" applyFont="1" applyFill="1" applyBorder="1" applyAlignment="1">
      <alignment horizontal="center" vertical="top"/>
    </xf>
    <xf numFmtId="165" fontId="1" fillId="7" borderId="4" xfId="0" applyNumberFormat="1" applyFont="1" applyFill="1" applyBorder="1" applyAlignment="1">
      <alignment horizontal="center" vertical="top"/>
    </xf>
    <xf numFmtId="165" fontId="2" fillId="9" borderId="56" xfId="0" applyNumberFormat="1" applyFont="1" applyFill="1" applyBorder="1" applyAlignment="1">
      <alignment horizontal="center" vertical="top"/>
    </xf>
    <xf numFmtId="165" fontId="2" fillId="9" borderId="43" xfId="0" applyNumberFormat="1" applyFont="1" applyFill="1" applyBorder="1" applyAlignment="1">
      <alignment horizontal="center" vertical="top"/>
    </xf>
    <xf numFmtId="165" fontId="2" fillId="2" borderId="2" xfId="0" applyNumberFormat="1" applyFont="1" applyFill="1" applyBorder="1" applyAlignment="1">
      <alignment horizontal="center" vertical="top"/>
    </xf>
    <xf numFmtId="165" fontId="2" fillId="9" borderId="44" xfId="0" applyNumberFormat="1" applyFont="1" applyFill="1" applyBorder="1" applyAlignment="1">
      <alignment horizontal="center" vertical="top"/>
    </xf>
    <xf numFmtId="165" fontId="1" fillId="7" borderId="8" xfId="0" applyNumberFormat="1" applyFont="1" applyFill="1" applyBorder="1" applyAlignment="1">
      <alignment horizontal="center" vertical="top"/>
    </xf>
    <xf numFmtId="165" fontId="1" fillId="7" borderId="0" xfId="0" applyNumberFormat="1" applyFont="1" applyFill="1" applyBorder="1" applyAlignment="1">
      <alignment horizontal="center" vertical="top"/>
    </xf>
    <xf numFmtId="165" fontId="2" fillId="5" borderId="43" xfId="0" applyNumberFormat="1" applyFont="1" applyFill="1" applyBorder="1" applyAlignment="1">
      <alignment horizontal="center" vertical="top"/>
    </xf>
    <xf numFmtId="165" fontId="1" fillId="0" borderId="0" xfId="0" applyNumberFormat="1" applyFont="1" applyFill="1" applyBorder="1" applyAlignment="1">
      <alignment horizontal="center" vertical="top"/>
    </xf>
    <xf numFmtId="165" fontId="2" fillId="7" borderId="11" xfId="0" applyNumberFormat="1" applyFont="1" applyFill="1" applyBorder="1" applyAlignment="1">
      <alignment vertical="top" wrapText="1"/>
    </xf>
    <xf numFmtId="165" fontId="2" fillId="8" borderId="50" xfId="0" applyNumberFormat="1" applyFont="1" applyFill="1" applyBorder="1" applyAlignment="1">
      <alignment horizontal="center" vertical="top"/>
    </xf>
    <xf numFmtId="165" fontId="2" fillId="8" borderId="26" xfId="0" applyNumberFormat="1" applyFont="1" applyFill="1" applyBorder="1" applyAlignment="1">
      <alignment horizontal="center" vertical="top"/>
    </xf>
    <xf numFmtId="49" fontId="1" fillId="7" borderId="39" xfId="0" applyNumberFormat="1" applyFont="1" applyFill="1" applyBorder="1" applyAlignment="1">
      <alignment horizontal="center" vertical="top"/>
    </xf>
    <xf numFmtId="165" fontId="2" fillId="7" borderId="33" xfId="0" applyNumberFormat="1" applyFont="1" applyFill="1" applyBorder="1" applyAlignment="1">
      <alignment vertical="top" wrapText="1"/>
    </xf>
    <xf numFmtId="165" fontId="1" fillId="0" borderId="12" xfId="0" applyNumberFormat="1" applyFont="1" applyBorder="1" applyAlignment="1">
      <alignment horizontal="center" vertical="top" wrapText="1"/>
    </xf>
    <xf numFmtId="49" fontId="2" fillId="9" borderId="13" xfId="0" applyNumberFormat="1" applyFont="1" applyFill="1" applyBorder="1" applyAlignment="1">
      <alignment horizontal="center" vertical="top"/>
    </xf>
    <xf numFmtId="165" fontId="2" fillId="2" borderId="45" xfId="0" applyNumberFormat="1" applyFont="1" applyFill="1" applyBorder="1" applyAlignment="1">
      <alignment horizontal="center" vertical="top"/>
    </xf>
    <xf numFmtId="165" fontId="2" fillId="2" borderId="33" xfId="0" applyNumberFormat="1" applyFont="1" applyFill="1" applyBorder="1" applyAlignment="1">
      <alignment horizontal="center" vertical="top"/>
    </xf>
    <xf numFmtId="165" fontId="2" fillId="2" borderId="58" xfId="0" applyNumberFormat="1" applyFont="1" applyFill="1" applyBorder="1" applyAlignment="1">
      <alignment horizontal="center" vertical="top"/>
    </xf>
    <xf numFmtId="165" fontId="1" fillId="8" borderId="20" xfId="0" applyNumberFormat="1" applyFont="1" applyFill="1" applyBorder="1" applyAlignment="1">
      <alignment horizontal="center" vertical="top"/>
    </xf>
    <xf numFmtId="165" fontId="2" fillId="5" borderId="20" xfId="0" applyNumberFormat="1" applyFont="1" applyFill="1" applyBorder="1" applyAlignment="1">
      <alignment horizontal="center" vertical="top"/>
    </xf>
    <xf numFmtId="165" fontId="2" fillId="4" borderId="50" xfId="0" applyNumberFormat="1" applyFont="1" applyFill="1" applyBorder="1" applyAlignment="1">
      <alignment horizontal="center" vertical="top"/>
    </xf>
    <xf numFmtId="165" fontId="5" fillId="7" borderId="15" xfId="0" applyNumberFormat="1" applyFont="1" applyFill="1" applyBorder="1" applyAlignment="1">
      <alignment horizontal="center" wrapText="1"/>
    </xf>
    <xf numFmtId="49" fontId="2" fillId="9" borderId="28" xfId="0" applyNumberFormat="1" applyFont="1" applyFill="1" applyBorder="1" applyAlignment="1">
      <alignment horizontal="center" vertical="top"/>
    </xf>
    <xf numFmtId="165" fontId="2" fillId="8" borderId="45" xfId="0" applyNumberFormat="1" applyFont="1" applyFill="1" applyBorder="1" applyAlignment="1">
      <alignment horizontal="center" vertical="top"/>
    </xf>
    <xf numFmtId="165" fontId="2" fillId="8" borderId="21" xfId="0" applyNumberFormat="1" applyFont="1" applyFill="1" applyBorder="1" applyAlignment="1">
      <alignment horizontal="center" vertical="top"/>
    </xf>
    <xf numFmtId="165" fontId="2" fillId="8" borderId="9" xfId="0" applyNumberFormat="1" applyFont="1" applyFill="1" applyBorder="1" applyAlignment="1">
      <alignment vertical="top"/>
    </xf>
    <xf numFmtId="165" fontId="2" fillId="8" borderId="39" xfId="0" applyNumberFormat="1" applyFont="1" applyFill="1" applyBorder="1" applyAlignment="1">
      <alignment vertical="top"/>
    </xf>
    <xf numFmtId="49" fontId="2" fillId="8" borderId="26" xfId="0" applyNumberFormat="1" applyFont="1" applyFill="1" applyBorder="1" applyAlignment="1">
      <alignment horizontal="center" vertical="top"/>
    </xf>
    <xf numFmtId="165" fontId="2" fillId="8" borderId="39" xfId="0" applyNumberFormat="1" applyFont="1" applyFill="1" applyBorder="1" applyAlignment="1">
      <alignment horizontal="center" vertical="top"/>
    </xf>
    <xf numFmtId="165" fontId="1" fillId="7" borderId="12" xfId="0" applyNumberFormat="1" applyFont="1" applyFill="1" applyBorder="1" applyAlignment="1">
      <alignment horizontal="center" vertical="top" wrapText="1"/>
    </xf>
    <xf numFmtId="165" fontId="2" fillId="7" borderId="32" xfId="0" applyNumberFormat="1" applyFont="1" applyFill="1" applyBorder="1" applyAlignment="1">
      <alignment horizontal="center" vertical="top"/>
    </xf>
    <xf numFmtId="49" fontId="2" fillId="8" borderId="21" xfId="0" applyNumberFormat="1" applyFont="1" applyFill="1" applyBorder="1" applyAlignment="1">
      <alignment horizontal="center" vertical="top"/>
    </xf>
    <xf numFmtId="165" fontId="2" fillId="7" borderId="46" xfId="0" applyNumberFormat="1" applyFont="1" applyFill="1" applyBorder="1" applyAlignment="1">
      <alignment horizontal="center" vertical="top" wrapText="1"/>
    </xf>
    <xf numFmtId="165" fontId="2" fillId="8" borderId="19" xfId="0" applyNumberFormat="1" applyFont="1" applyFill="1" applyBorder="1" applyAlignment="1">
      <alignment horizontal="center" vertical="top" wrapText="1"/>
    </xf>
    <xf numFmtId="165" fontId="2" fillId="5" borderId="8" xfId="0" applyNumberFormat="1" applyFont="1" applyFill="1" applyBorder="1" applyAlignment="1">
      <alignment horizontal="center" vertical="top" wrapText="1"/>
    </xf>
    <xf numFmtId="0" fontId="1" fillId="7" borderId="6" xfId="0" applyFont="1" applyFill="1" applyBorder="1" applyAlignment="1">
      <alignment horizontal="center" vertical="top"/>
    </xf>
    <xf numFmtId="165" fontId="2" fillId="9" borderId="7" xfId="0" applyNumberFormat="1" applyFont="1" applyFill="1" applyBorder="1" applyAlignment="1">
      <alignment horizontal="center" vertical="top"/>
    </xf>
    <xf numFmtId="165" fontId="2" fillId="2" borderId="25" xfId="0" applyNumberFormat="1" applyFont="1" applyFill="1" applyBorder="1" applyAlignment="1">
      <alignment horizontal="center" vertical="top"/>
    </xf>
    <xf numFmtId="49" fontId="2" fillId="7" borderId="10" xfId="0" applyNumberFormat="1" applyFont="1" applyFill="1" applyBorder="1" applyAlignment="1">
      <alignment horizontal="center" vertical="top"/>
    </xf>
    <xf numFmtId="49" fontId="2" fillId="0" borderId="0" xfId="0" applyNumberFormat="1" applyFont="1" applyAlignment="1">
      <alignment horizontal="center" vertical="top"/>
    </xf>
    <xf numFmtId="165" fontId="1" fillId="7" borderId="19" xfId="0" applyNumberFormat="1" applyFont="1" applyFill="1" applyBorder="1" applyAlignment="1">
      <alignment horizontal="center" vertical="top"/>
    </xf>
    <xf numFmtId="49" fontId="2" fillId="2" borderId="21" xfId="0" applyNumberFormat="1" applyFont="1" applyFill="1" applyBorder="1" applyAlignment="1">
      <alignment horizontal="center" vertical="top"/>
    </xf>
    <xf numFmtId="165" fontId="2" fillId="9" borderId="3" xfId="0" applyNumberFormat="1" applyFont="1" applyFill="1" applyBorder="1" applyAlignment="1">
      <alignment horizontal="center" vertical="top"/>
    </xf>
    <xf numFmtId="165" fontId="1" fillId="7" borderId="6" xfId="0" applyNumberFormat="1" applyFont="1" applyFill="1" applyBorder="1" applyAlignment="1">
      <alignment horizontal="center" vertical="top"/>
    </xf>
    <xf numFmtId="49" fontId="2" fillId="7" borderId="21" xfId="0" applyNumberFormat="1" applyFont="1" applyFill="1" applyBorder="1" applyAlignment="1">
      <alignment horizontal="center" vertical="top"/>
    </xf>
    <xf numFmtId="49" fontId="2" fillId="2" borderId="39" xfId="0" applyNumberFormat="1" applyFont="1" applyFill="1" applyBorder="1" applyAlignment="1">
      <alignment horizontal="center" vertical="top"/>
    </xf>
    <xf numFmtId="49" fontId="2" fillId="9" borderId="3" xfId="0" applyNumberFormat="1" applyFont="1" applyFill="1" applyBorder="1" applyAlignment="1">
      <alignment horizontal="center" vertical="top"/>
    </xf>
    <xf numFmtId="3" fontId="1" fillId="7" borderId="31" xfId="0" applyNumberFormat="1" applyFont="1" applyFill="1" applyBorder="1" applyAlignment="1">
      <alignment horizontal="center" vertical="top"/>
    </xf>
    <xf numFmtId="3" fontId="1" fillId="7" borderId="35" xfId="0" applyNumberFormat="1" applyFont="1" applyFill="1" applyBorder="1" applyAlignment="1">
      <alignment horizontal="center" vertical="top"/>
    </xf>
    <xf numFmtId="3" fontId="1" fillId="7" borderId="42" xfId="0" applyNumberFormat="1" applyFont="1" applyFill="1" applyBorder="1" applyAlignment="1">
      <alignment horizontal="center" vertical="top"/>
    </xf>
    <xf numFmtId="165" fontId="1" fillId="0" borderId="53" xfId="0" applyNumberFormat="1" applyFont="1" applyBorder="1" applyAlignment="1">
      <alignment vertical="top"/>
    </xf>
    <xf numFmtId="165" fontId="2" fillId="7" borderId="59" xfId="0" applyNumberFormat="1" applyFont="1" applyFill="1" applyBorder="1" applyAlignment="1">
      <alignment horizontal="center" vertical="top" wrapText="1"/>
    </xf>
    <xf numFmtId="0" fontId="2" fillId="0" borderId="0" xfId="0" applyFont="1" applyAlignment="1">
      <alignment vertical="center"/>
    </xf>
    <xf numFmtId="165" fontId="9" fillId="7" borderId="9" xfId="0" applyNumberFormat="1" applyFont="1" applyFill="1" applyBorder="1" applyAlignment="1">
      <alignment horizontal="center" vertical="center" textRotation="90" wrapText="1"/>
    </xf>
    <xf numFmtId="0" fontId="2" fillId="0" borderId="0" xfId="0" applyFont="1" applyAlignment="1">
      <alignment horizontal="center" vertical="center"/>
    </xf>
    <xf numFmtId="165" fontId="1" fillId="7" borderId="15" xfId="0" applyNumberFormat="1" applyFont="1" applyFill="1" applyBorder="1" applyAlignment="1">
      <alignment vertical="top" wrapText="1"/>
    </xf>
    <xf numFmtId="49" fontId="1" fillId="7" borderId="17" xfId="0" applyNumberFormat="1" applyFont="1" applyFill="1" applyBorder="1" applyAlignment="1">
      <alignment horizontal="center" vertical="top"/>
    </xf>
    <xf numFmtId="49" fontId="1" fillId="7" borderId="9" xfId="0" applyNumberFormat="1" applyFont="1" applyFill="1" applyBorder="1" applyAlignment="1">
      <alignment horizontal="center" vertical="top"/>
    </xf>
    <xf numFmtId="49" fontId="1" fillId="7" borderId="24" xfId="0" applyNumberFormat="1" applyFont="1" applyFill="1" applyBorder="1" applyAlignment="1">
      <alignment horizontal="center" vertical="top"/>
    </xf>
    <xf numFmtId="49" fontId="1" fillId="7" borderId="35" xfId="0" applyNumberFormat="1" applyFont="1" applyFill="1" applyBorder="1" applyAlignment="1">
      <alignment horizontal="center" vertical="top"/>
    </xf>
    <xf numFmtId="3" fontId="1" fillId="7" borderId="69" xfId="0" applyNumberFormat="1" applyFont="1" applyFill="1" applyBorder="1" applyAlignment="1">
      <alignment horizontal="center" vertical="top"/>
    </xf>
    <xf numFmtId="165" fontId="1" fillId="7" borderId="16" xfId="0" applyNumberFormat="1" applyFont="1" applyFill="1" applyBorder="1" applyAlignment="1">
      <alignment horizontal="center" vertical="top"/>
    </xf>
    <xf numFmtId="49" fontId="2" fillId="7" borderId="1" xfId="0" applyNumberFormat="1" applyFont="1" applyFill="1" applyBorder="1" applyAlignment="1">
      <alignment horizontal="center" vertical="top"/>
    </xf>
    <xf numFmtId="165" fontId="1" fillId="7" borderId="36" xfId="0" applyNumberFormat="1" applyFont="1" applyFill="1" applyBorder="1" applyAlignment="1">
      <alignment horizontal="center" vertical="top"/>
    </xf>
    <xf numFmtId="165" fontId="1" fillId="7" borderId="38" xfId="0" applyNumberFormat="1" applyFont="1" applyFill="1" applyBorder="1" applyAlignment="1">
      <alignment horizontal="center" vertical="top"/>
    </xf>
    <xf numFmtId="0" fontId="2" fillId="7" borderId="17" xfId="0" applyFont="1" applyFill="1" applyBorder="1" applyAlignment="1">
      <alignment horizontal="center" vertical="top" wrapText="1"/>
    </xf>
    <xf numFmtId="0" fontId="2" fillId="7" borderId="9" xfId="0" applyFont="1" applyFill="1" applyBorder="1" applyAlignment="1">
      <alignment horizontal="center" vertical="top" wrapText="1"/>
    </xf>
    <xf numFmtId="49" fontId="2" fillId="7" borderId="24" xfId="0" applyNumberFormat="1" applyFont="1" applyFill="1" applyBorder="1" applyAlignment="1">
      <alignment vertical="top"/>
    </xf>
    <xf numFmtId="49" fontId="1" fillId="8" borderId="9" xfId="0" applyNumberFormat="1" applyFont="1" applyFill="1" applyBorder="1" applyAlignment="1">
      <alignment horizontal="center" vertical="top"/>
    </xf>
    <xf numFmtId="165" fontId="1" fillId="0" borderId="0" xfId="0" applyNumberFormat="1" applyFont="1" applyFill="1" applyBorder="1" applyAlignment="1">
      <alignment horizontal="left" vertical="top"/>
    </xf>
    <xf numFmtId="165" fontId="2" fillId="8" borderId="78" xfId="0" applyNumberFormat="1" applyFont="1" applyFill="1" applyBorder="1" applyAlignment="1">
      <alignment horizontal="center" vertical="top"/>
    </xf>
    <xf numFmtId="165" fontId="1" fillId="7" borderId="65" xfId="0" applyNumberFormat="1" applyFont="1" applyFill="1" applyBorder="1" applyAlignment="1">
      <alignment horizontal="center" vertical="top"/>
    </xf>
    <xf numFmtId="165" fontId="2" fillId="7" borderId="0"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center" textRotation="90" wrapText="1"/>
    </xf>
    <xf numFmtId="0" fontId="9" fillId="7" borderId="9" xfId="0" applyFont="1" applyFill="1" applyBorder="1" applyAlignment="1">
      <alignment horizontal="center" vertical="top" wrapText="1"/>
    </xf>
    <xf numFmtId="165" fontId="2" fillId="7" borderId="17" xfId="0" applyNumberFormat="1" applyFont="1" applyFill="1" applyBorder="1" applyAlignment="1">
      <alignment horizontal="center" vertical="center" wrapText="1"/>
    </xf>
    <xf numFmtId="0" fontId="1" fillId="7" borderId="65" xfId="0" applyFont="1" applyFill="1" applyBorder="1" applyAlignment="1">
      <alignment horizontal="center" vertical="top"/>
    </xf>
    <xf numFmtId="0" fontId="1" fillId="7" borderId="31" xfId="0" applyFont="1" applyFill="1" applyBorder="1" applyAlignment="1">
      <alignment horizontal="center" vertical="top"/>
    </xf>
    <xf numFmtId="165" fontId="2" fillId="7" borderId="39" xfId="0" applyNumberFormat="1" applyFont="1" applyFill="1" applyBorder="1" applyAlignment="1">
      <alignment horizontal="center" vertical="center" textRotation="90" wrapText="1"/>
    </xf>
    <xf numFmtId="165" fontId="2" fillId="7" borderId="29" xfId="0" applyNumberFormat="1" applyFont="1" applyFill="1" applyBorder="1" applyAlignment="1">
      <alignment horizontal="center" vertical="center" textRotation="90" wrapText="1"/>
    </xf>
    <xf numFmtId="0" fontId="1" fillId="0" borderId="4" xfId="0" applyFont="1" applyBorder="1" applyAlignment="1">
      <alignment vertical="top"/>
    </xf>
    <xf numFmtId="165" fontId="1" fillId="7" borderId="64" xfId="0" applyNumberFormat="1" applyFont="1" applyFill="1" applyBorder="1" applyAlignment="1">
      <alignment horizontal="center" vertical="top"/>
    </xf>
    <xf numFmtId="165" fontId="2" fillId="7" borderId="21" xfId="0" applyNumberFormat="1" applyFont="1" applyFill="1" applyBorder="1" applyAlignment="1">
      <alignment vertical="top" wrapText="1"/>
    </xf>
    <xf numFmtId="165" fontId="6" fillId="7" borderId="21" xfId="0" applyNumberFormat="1" applyFont="1" applyFill="1" applyBorder="1" applyAlignment="1">
      <alignment horizontal="center" vertical="top" wrapText="1"/>
    </xf>
    <xf numFmtId="49" fontId="2" fillId="7" borderId="79" xfId="0" applyNumberFormat="1" applyFont="1" applyFill="1" applyBorder="1" applyAlignment="1">
      <alignment horizontal="center" vertical="top"/>
    </xf>
    <xf numFmtId="49" fontId="2" fillId="7" borderId="75" xfId="0" applyNumberFormat="1" applyFont="1" applyFill="1" applyBorder="1" applyAlignment="1">
      <alignment horizontal="center" vertical="top"/>
    </xf>
    <xf numFmtId="0" fontId="5" fillId="7" borderId="26" xfId="0" applyFont="1" applyFill="1" applyBorder="1" applyAlignment="1">
      <alignment vertical="top" wrapText="1"/>
    </xf>
    <xf numFmtId="0" fontId="9" fillId="7" borderId="75" xfId="0" applyFont="1" applyFill="1" applyBorder="1" applyAlignment="1">
      <alignment horizontal="center" textRotation="90" wrapText="1"/>
    </xf>
    <xf numFmtId="165" fontId="1" fillId="7" borderId="53" xfId="0" applyNumberFormat="1" applyFont="1" applyFill="1" applyBorder="1" applyAlignment="1">
      <alignment horizontal="center" vertical="top"/>
    </xf>
    <xf numFmtId="3" fontId="1" fillId="7" borderId="72" xfId="0" applyNumberFormat="1" applyFont="1" applyFill="1" applyBorder="1" applyAlignment="1">
      <alignment horizontal="center" vertical="top"/>
    </xf>
    <xf numFmtId="3" fontId="4" fillId="7" borderId="47" xfId="0" applyNumberFormat="1" applyFont="1" applyFill="1" applyBorder="1" applyAlignment="1">
      <alignment horizontal="center" vertical="top" wrapText="1"/>
    </xf>
    <xf numFmtId="165" fontId="1" fillId="7" borderId="71" xfId="0" applyNumberFormat="1" applyFont="1" applyFill="1" applyBorder="1" applyAlignment="1">
      <alignment horizontal="center" vertical="top"/>
    </xf>
    <xf numFmtId="165" fontId="2" fillId="8" borderId="0" xfId="0" applyNumberFormat="1" applyFont="1" applyFill="1" applyBorder="1" applyAlignment="1">
      <alignment vertical="top"/>
    </xf>
    <xf numFmtId="165" fontId="1" fillId="7" borderId="68" xfId="0" applyNumberFormat="1" applyFont="1" applyFill="1" applyBorder="1" applyAlignment="1">
      <alignment horizontal="center" vertical="top"/>
    </xf>
    <xf numFmtId="0" fontId="1" fillId="0" borderId="42" xfId="0" applyFont="1" applyBorder="1" applyAlignment="1">
      <alignment vertical="top"/>
    </xf>
    <xf numFmtId="0" fontId="1" fillId="0" borderId="35" xfId="0" applyFont="1" applyBorder="1" applyAlignment="1">
      <alignment vertical="top"/>
    </xf>
    <xf numFmtId="0" fontId="1" fillId="7" borderId="42" xfId="0" applyFont="1" applyFill="1" applyBorder="1" applyAlignment="1">
      <alignment vertical="top"/>
    </xf>
    <xf numFmtId="0" fontId="1" fillId="0" borderId="84" xfId="0" applyFont="1" applyBorder="1" applyAlignment="1">
      <alignment vertical="top"/>
    </xf>
    <xf numFmtId="0" fontId="1" fillId="7" borderId="84" xfId="0" applyFont="1" applyFill="1" applyBorder="1" applyAlignment="1">
      <alignment vertical="top"/>
    </xf>
    <xf numFmtId="3" fontId="1" fillId="7" borderId="35" xfId="0" applyNumberFormat="1" applyFont="1" applyFill="1" applyBorder="1" applyAlignment="1">
      <alignment horizontal="center" vertical="top" wrapText="1"/>
    </xf>
    <xf numFmtId="3" fontId="1" fillId="7" borderId="42" xfId="0" applyNumberFormat="1" applyFont="1" applyFill="1" applyBorder="1" applyAlignment="1">
      <alignment horizontal="center" vertical="top" wrapText="1"/>
    </xf>
    <xf numFmtId="3" fontId="1" fillId="7" borderId="31" xfId="0" applyNumberFormat="1" applyFont="1" applyFill="1" applyBorder="1" applyAlignment="1">
      <alignment horizontal="center" vertical="top" wrapText="1"/>
    </xf>
    <xf numFmtId="3" fontId="1" fillId="7" borderId="18" xfId="0" applyNumberFormat="1" applyFont="1" applyFill="1" applyBorder="1" applyAlignment="1">
      <alignment horizontal="center" vertical="top"/>
    </xf>
    <xf numFmtId="3" fontId="1" fillId="7" borderId="77" xfId="0" applyNumberFormat="1" applyFont="1" applyFill="1" applyBorder="1" applyAlignment="1">
      <alignment horizontal="center" vertical="top"/>
    </xf>
    <xf numFmtId="3" fontId="1" fillId="7" borderId="63" xfId="0" applyNumberFormat="1" applyFont="1" applyFill="1" applyBorder="1" applyAlignment="1">
      <alignment horizontal="center" vertical="top"/>
    </xf>
    <xf numFmtId="3" fontId="1" fillId="7" borderId="42" xfId="1" applyNumberFormat="1" applyFont="1" applyFill="1" applyBorder="1" applyAlignment="1">
      <alignment horizontal="center" vertical="top" wrapText="1"/>
    </xf>
    <xf numFmtId="3" fontId="1" fillId="7" borderId="88" xfId="0" applyNumberFormat="1" applyFont="1" applyFill="1" applyBorder="1" applyAlignment="1">
      <alignment horizontal="center" vertical="top"/>
    </xf>
    <xf numFmtId="3" fontId="1" fillId="7" borderId="23" xfId="0" applyNumberFormat="1" applyFont="1" applyFill="1" applyBorder="1" applyAlignment="1">
      <alignment horizontal="center" vertical="top"/>
    </xf>
    <xf numFmtId="3" fontId="1" fillId="7" borderId="76" xfId="0" applyNumberFormat="1" applyFont="1" applyFill="1" applyBorder="1" applyAlignment="1">
      <alignment horizontal="center" vertical="top"/>
    </xf>
    <xf numFmtId="3" fontId="1" fillId="7" borderId="73" xfId="0" applyNumberFormat="1" applyFont="1" applyFill="1" applyBorder="1" applyAlignment="1">
      <alignment horizontal="center" vertical="top"/>
    </xf>
    <xf numFmtId="0" fontId="1" fillId="0" borderId="5" xfId="0" applyFont="1" applyBorder="1" applyAlignment="1">
      <alignment vertical="top"/>
    </xf>
    <xf numFmtId="165" fontId="1" fillId="7" borderId="47" xfId="0" applyNumberFormat="1" applyFont="1" applyFill="1" applyBorder="1" applyAlignment="1">
      <alignment horizontal="center" vertical="top"/>
    </xf>
    <xf numFmtId="165" fontId="1" fillId="7" borderId="81" xfId="0" applyNumberFormat="1" applyFont="1" applyFill="1" applyBorder="1" applyAlignment="1">
      <alignment horizontal="center" vertical="top"/>
    </xf>
    <xf numFmtId="0" fontId="1" fillId="7" borderId="35" xfId="0" applyFont="1" applyFill="1" applyBorder="1" applyAlignment="1">
      <alignment horizontal="center" vertical="center"/>
    </xf>
    <xf numFmtId="3" fontId="1" fillId="7" borderId="31" xfId="0" applyNumberFormat="1" applyFont="1" applyFill="1" applyBorder="1" applyAlignment="1">
      <alignment vertical="top"/>
    </xf>
    <xf numFmtId="49" fontId="2" fillId="8" borderId="0" xfId="0" applyNumberFormat="1" applyFont="1" applyFill="1" applyBorder="1" applyAlignment="1">
      <alignment horizontal="center" vertical="top"/>
    </xf>
    <xf numFmtId="0" fontId="1" fillId="0" borderId="0" xfId="0"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horizontal="center" vertical="center"/>
    </xf>
    <xf numFmtId="0" fontId="2" fillId="0" borderId="0" xfId="0" applyNumberFormat="1" applyFont="1" applyBorder="1" applyAlignment="1">
      <alignment vertical="top"/>
    </xf>
    <xf numFmtId="165" fontId="1" fillId="7" borderId="28" xfId="0" applyNumberFormat="1" applyFont="1" applyFill="1" applyBorder="1" applyAlignment="1">
      <alignment horizontal="center" vertical="top"/>
    </xf>
    <xf numFmtId="165" fontId="1" fillId="7" borderId="5" xfId="0" applyNumberFormat="1" applyFont="1" applyFill="1" applyBorder="1" applyAlignment="1">
      <alignment horizontal="center" vertical="top"/>
    </xf>
    <xf numFmtId="165" fontId="1" fillId="7" borderId="31" xfId="0" applyNumberFormat="1" applyFont="1" applyFill="1" applyBorder="1" applyAlignment="1">
      <alignment horizontal="center" vertical="top"/>
    </xf>
    <xf numFmtId="165" fontId="1" fillId="7" borderId="83" xfId="0" applyNumberFormat="1" applyFont="1" applyFill="1" applyBorder="1" applyAlignment="1">
      <alignment horizontal="center" vertical="top"/>
    </xf>
    <xf numFmtId="165" fontId="1" fillId="7" borderId="87" xfId="0" applyNumberFormat="1" applyFont="1" applyFill="1" applyBorder="1" applyAlignment="1">
      <alignment horizontal="center" vertical="top"/>
    </xf>
    <xf numFmtId="165" fontId="1" fillId="7" borderId="85" xfId="0" applyNumberFormat="1" applyFont="1" applyFill="1" applyBorder="1" applyAlignment="1">
      <alignment horizontal="center" vertical="top"/>
    </xf>
    <xf numFmtId="165" fontId="1" fillId="7" borderId="13" xfId="0" applyNumberFormat="1" applyFont="1" applyFill="1" applyBorder="1" applyAlignment="1">
      <alignment horizontal="center" vertical="top"/>
    </xf>
    <xf numFmtId="165" fontId="1" fillId="7" borderId="94" xfId="0" applyNumberFormat="1" applyFont="1" applyFill="1" applyBorder="1" applyAlignment="1">
      <alignment horizontal="center" vertical="top"/>
    </xf>
    <xf numFmtId="0" fontId="1" fillId="7" borderId="4" xfId="0" applyFont="1" applyFill="1" applyBorder="1" applyAlignment="1">
      <alignment vertical="top"/>
    </xf>
    <xf numFmtId="0" fontId="1" fillId="7" borderId="20" xfId="0" applyFont="1" applyFill="1" applyBorder="1" applyAlignment="1">
      <alignment vertical="top"/>
    </xf>
    <xf numFmtId="165" fontId="1" fillId="7" borderId="91" xfId="0" applyNumberFormat="1" applyFont="1" applyFill="1" applyBorder="1" applyAlignment="1">
      <alignment horizontal="center" vertical="top"/>
    </xf>
    <xf numFmtId="165" fontId="2" fillId="2" borderId="43" xfId="0" applyNumberFormat="1" applyFont="1" applyFill="1" applyBorder="1" applyAlignment="1">
      <alignment horizontal="center" vertical="top"/>
    </xf>
    <xf numFmtId="165" fontId="2" fillId="8" borderId="82" xfId="0" applyNumberFormat="1" applyFont="1" applyFill="1" applyBorder="1" applyAlignment="1">
      <alignment horizontal="center" vertical="top"/>
    </xf>
    <xf numFmtId="165" fontId="2" fillId="2" borderId="7" xfId="0" applyNumberFormat="1" applyFont="1" applyFill="1" applyBorder="1" applyAlignment="1">
      <alignment horizontal="center" vertical="top"/>
    </xf>
    <xf numFmtId="165" fontId="2" fillId="7" borderId="75" xfId="0" applyNumberFormat="1" applyFont="1" applyFill="1" applyBorder="1" applyAlignment="1">
      <alignment horizontal="center" vertical="top" wrapText="1"/>
    </xf>
    <xf numFmtId="0" fontId="1" fillId="7" borderId="35" xfId="0" applyNumberFormat="1" applyFont="1" applyFill="1" applyBorder="1" applyAlignment="1">
      <alignment horizontal="center" vertical="top"/>
    </xf>
    <xf numFmtId="49" fontId="1" fillId="8" borderId="39" xfId="0" applyNumberFormat="1" applyFont="1" applyFill="1" applyBorder="1" applyAlignment="1">
      <alignment horizontal="center" vertical="top"/>
    </xf>
    <xf numFmtId="1" fontId="1" fillId="7" borderId="66" xfId="0" applyNumberFormat="1" applyFont="1" applyFill="1" applyBorder="1" applyAlignment="1">
      <alignment horizontal="center" vertical="top"/>
    </xf>
    <xf numFmtId="3" fontId="1" fillId="0" borderId="69" xfId="0" applyNumberFormat="1" applyFont="1" applyFill="1" applyBorder="1" applyAlignment="1">
      <alignment horizontal="center" vertical="top"/>
    </xf>
    <xf numFmtId="165" fontId="2" fillId="7" borderId="10" xfId="0" applyNumberFormat="1" applyFont="1" applyFill="1" applyBorder="1" applyAlignment="1">
      <alignment horizontal="center" vertical="top" wrapText="1"/>
    </xf>
    <xf numFmtId="3" fontId="1" fillId="0" borderId="31" xfId="0" applyNumberFormat="1" applyFont="1" applyFill="1" applyBorder="1" applyAlignment="1">
      <alignment horizontal="center" vertical="top"/>
    </xf>
    <xf numFmtId="3" fontId="1" fillId="0" borderId="72" xfId="0" applyNumberFormat="1" applyFont="1" applyFill="1" applyBorder="1" applyAlignment="1">
      <alignment horizontal="center" vertical="top"/>
    </xf>
    <xf numFmtId="165" fontId="1" fillId="7" borderId="94" xfId="0" applyNumberFormat="1" applyFont="1" applyFill="1" applyBorder="1" applyAlignment="1">
      <alignment horizontal="center" vertical="top" wrapText="1"/>
    </xf>
    <xf numFmtId="165" fontId="1" fillId="7" borderId="90" xfId="0" applyNumberFormat="1" applyFont="1" applyFill="1" applyBorder="1" applyAlignment="1">
      <alignment horizontal="center" vertical="top"/>
    </xf>
    <xf numFmtId="165" fontId="1" fillId="7" borderId="64" xfId="0" applyNumberFormat="1" applyFont="1" applyFill="1" applyBorder="1" applyAlignment="1">
      <alignment horizontal="center" vertical="top" wrapText="1"/>
    </xf>
    <xf numFmtId="0" fontId="1" fillId="0" borderId="64" xfId="0" applyFont="1" applyBorder="1" applyAlignment="1">
      <alignment horizontal="center" vertical="top"/>
    </xf>
    <xf numFmtId="3" fontId="1" fillId="7" borderId="15" xfId="0" applyNumberFormat="1" applyFont="1" applyFill="1" applyBorder="1" applyAlignment="1">
      <alignment horizontal="center" vertical="top"/>
    </xf>
    <xf numFmtId="0" fontId="1" fillId="7" borderId="94" xfId="0" applyFont="1" applyFill="1" applyBorder="1" applyAlignment="1">
      <alignment horizontal="center" vertical="top"/>
    </xf>
    <xf numFmtId="0" fontId="1" fillId="7" borderId="67" xfId="0" applyFont="1" applyFill="1" applyBorder="1" applyAlignment="1">
      <alignment horizontal="center" vertical="top"/>
    </xf>
    <xf numFmtId="0" fontId="1" fillId="0" borderId="4" xfId="0" applyFont="1" applyBorder="1" applyAlignment="1">
      <alignment horizontal="center" vertical="top"/>
    </xf>
    <xf numFmtId="0" fontId="1" fillId="0" borderId="20" xfId="0" applyFont="1" applyBorder="1" applyAlignment="1">
      <alignment horizontal="center" vertical="top"/>
    </xf>
    <xf numFmtId="165" fontId="1" fillId="0" borderId="4" xfId="0" applyNumberFormat="1" applyFont="1" applyFill="1" applyBorder="1" applyAlignment="1">
      <alignment horizontal="center" vertical="top"/>
    </xf>
    <xf numFmtId="165" fontId="1" fillId="7" borderId="67" xfId="0" applyNumberFormat="1" applyFont="1" applyFill="1" applyBorder="1" applyAlignment="1">
      <alignment horizontal="center" vertical="top" wrapText="1"/>
    </xf>
    <xf numFmtId="165" fontId="1" fillId="7" borderId="4" xfId="0" applyNumberFormat="1" applyFont="1" applyFill="1" applyBorder="1" applyAlignment="1">
      <alignment horizontal="center" vertical="top" wrapText="1"/>
    </xf>
    <xf numFmtId="0" fontId="2" fillId="7" borderId="39" xfId="0" applyFont="1" applyFill="1" applyBorder="1" applyAlignment="1">
      <alignment horizontal="center" vertical="top" wrapText="1"/>
    </xf>
    <xf numFmtId="165" fontId="2" fillId="7" borderId="0" xfId="0" applyNumberFormat="1" applyFont="1" applyFill="1" applyBorder="1" applyAlignment="1">
      <alignment horizontal="center" vertical="center" wrapText="1"/>
    </xf>
    <xf numFmtId="165" fontId="2" fillId="7" borderId="9" xfId="0" applyNumberFormat="1" applyFont="1" applyFill="1" applyBorder="1" applyAlignment="1">
      <alignment horizontal="center" vertical="center" wrapText="1"/>
    </xf>
    <xf numFmtId="165" fontId="2" fillId="0" borderId="39" xfId="0" applyNumberFormat="1" applyFont="1" applyFill="1" applyBorder="1" applyAlignment="1">
      <alignment horizontal="center" vertical="top" wrapText="1"/>
    </xf>
    <xf numFmtId="0" fontId="2" fillId="7" borderId="0" xfId="0" applyFont="1" applyFill="1" applyAlignment="1">
      <alignment horizontal="center" vertical="center"/>
    </xf>
    <xf numFmtId="165" fontId="2" fillId="0" borderId="17" xfId="0" applyNumberFormat="1" applyFont="1" applyFill="1" applyBorder="1" applyAlignment="1">
      <alignment horizontal="center" vertical="top" wrapText="1"/>
    </xf>
    <xf numFmtId="0" fontId="1" fillId="7" borderId="69" xfId="0" applyFont="1" applyFill="1" applyBorder="1" applyAlignment="1">
      <alignment horizontal="center" vertical="top"/>
    </xf>
    <xf numFmtId="0" fontId="2" fillId="7" borderId="24" xfId="0" applyFont="1" applyFill="1" applyBorder="1" applyAlignment="1">
      <alignment horizontal="center" vertical="top"/>
    </xf>
    <xf numFmtId="165" fontId="2" fillId="7" borderId="29" xfId="0" applyNumberFormat="1" applyFont="1" applyFill="1" applyBorder="1" applyAlignment="1">
      <alignment horizontal="center" vertical="top" wrapText="1"/>
    </xf>
    <xf numFmtId="0" fontId="2" fillId="7" borderId="17" xfId="0" applyFont="1" applyFill="1" applyBorder="1" applyAlignment="1">
      <alignment horizontal="center" vertical="center"/>
    </xf>
    <xf numFmtId="49" fontId="2" fillId="7" borderId="9" xfId="0" applyNumberFormat="1" applyFont="1" applyFill="1" applyBorder="1" applyAlignment="1">
      <alignment vertical="top"/>
    </xf>
    <xf numFmtId="0" fontId="1" fillId="0" borderId="28" xfId="0" applyFont="1" applyBorder="1" applyAlignment="1">
      <alignment vertical="top"/>
    </xf>
    <xf numFmtId="165" fontId="1" fillId="7" borderId="20" xfId="0" applyNumberFormat="1" applyFont="1" applyFill="1" applyBorder="1" applyAlignment="1">
      <alignment horizontal="center" vertical="top" wrapText="1"/>
    </xf>
    <xf numFmtId="165" fontId="2" fillId="7" borderId="37" xfId="0" applyNumberFormat="1" applyFont="1" applyFill="1" applyBorder="1" applyAlignment="1">
      <alignment horizontal="center" vertical="top" wrapText="1"/>
    </xf>
    <xf numFmtId="165" fontId="2" fillId="7" borderId="39" xfId="0" applyNumberFormat="1" applyFont="1" applyFill="1" applyBorder="1" applyAlignment="1">
      <alignment horizontal="center" vertical="top" wrapText="1"/>
    </xf>
    <xf numFmtId="165" fontId="2" fillId="7" borderId="38" xfId="0" applyNumberFormat="1" applyFont="1" applyFill="1" applyBorder="1" applyAlignment="1">
      <alignment horizontal="center" vertical="top" wrapText="1"/>
    </xf>
    <xf numFmtId="165" fontId="1" fillId="7" borderId="4" xfId="0" applyNumberFormat="1" applyFont="1" applyFill="1" applyBorder="1" applyAlignment="1">
      <alignment vertical="top"/>
    </xf>
    <xf numFmtId="0" fontId="2" fillId="7" borderId="9" xfId="0" applyFont="1" applyFill="1" applyBorder="1" applyAlignment="1">
      <alignment horizontal="center" vertical="top"/>
    </xf>
    <xf numFmtId="0" fontId="5" fillId="7" borderId="75" xfId="0" applyFont="1" applyFill="1" applyBorder="1" applyAlignment="1">
      <alignment vertical="top" wrapText="1"/>
    </xf>
    <xf numFmtId="49" fontId="1" fillId="7" borderId="9" xfId="0" applyNumberFormat="1" applyFont="1" applyFill="1" applyBorder="1" applyAlignment="1">
      <alignment horizontal="center" vertical="top" wrapText="1"/>
    </xf>
    <xf numFmtId="165" fontId="1" fillId="7" borderId="83" xfId="0" applyNumberFormat="1" applyFont="1" applyFill="1" applyBorder="1" applyAlignment="1">
      <alignment vertical="top" wrapText="1"/>
    </xf>
    <xf numFmtId="165" fontId="1" fillId="7" borderId="40" xfId="0" applyNumberFormat="1" applyFont="1" applyFill="1" applyBorder="1" applyAlignment="1">
      <alignment vertical="top" wrapText="1"/>
    </xf>
    <xf numFmtId="165" fontId="1" fillId="7" borderId="28" xfId="0" applyNumberFormat="1" applyFont="1" applyFill="1" applyBorder="1" applyAlignment="1">
      <alignment vertical="top" wrapText="1"/>
    </xf>
    <xf numFmtId="0" fontId="5" fillId="0" borderId="28" xfId="0" applyFont="1" applyBorder="1"/>
    <xf numFmtId="165" fontId="2" fillId="7" borderId="80" xfId="0" applyNumberFormat="1" applyFont="1" applyFill="1" applyBorder="1" applyAlignment="1">
      <alignment horizontal="center" vertical="top"/>
    </xf>
    <xf numFmtId="165" fontId="6" fillId="7" borderId="75" xfId="0" applyNumberFormat="1" applyFont="1" applyFill="1" applyBorder="1" applyAlignment="1">
      <alignment horizontal="center" vertical="center" textRotation="90" wrapText="1"/>
    </xf>
    <xf numFmtId="165" fontId="5" fillId="7" borderId="75" xfId="0" applyNumberFormat="1" applyFont="1" applyFill="1" applyBorder="1" applyAlignment="1">
      <alignment vertical="top" wrapText="1"/>
    </xf>
    <xf numFmtId="0" fontId="5" fillId="7" borderId="12" xfId="0" applyFont="1" applyFill="1" applyBorder="1" applyAlignment="1">
      <alignment horizontal="center" vertical="top"/>
    </xf>
    <xf numFmtId="0" fontId="5" fillId="7" borderId="80" xfId="0" applyFont="1" applyFill="1" applyBorder="1" applyAlignment="1">
      <alignment horizontal="center" vertical="top"/>
    </xf>
    <xf numFmtId="0" fontId="1" fillId="7" borderId="19" xfId="0" applyFont="1" applyFill="1" applyBorder="1" applyAlignment="1">
      <alignment horizontal="center" vertical="top"/>
    </xf>
    <xf numFmtId="0" fontId="2" fillId="0" borderId="0" xfId="0" applyFont="1" applyBorder="1" applyAlignment="1">
      <alignment horizontal="center" vertical="center" wrapText="1"/>
    </xf>
    <xf numFmtId="165" fontId="1" fillId="7" borderId="0" xfId="0" applyNumberFormat="1" applyFont="1" applyFill="1" applyAlignment="1">
      <alignment horizontal="center" vertical="top"/>
    </xf>
    <xf numFmtId="0" fontId="1" fillId="0" borderId="47" xfId="0" applyFont="1" applyBorder="1" applyAlignment="1">
      <alignment horizontal="center" vertical="center" textRotation="90"/>
    </xf>
    <xf numFmtId="49" fontId="17" fillId="7" borderId="35" xfId="0" applyNumberFormat="1" applyFont="1" applyFill="1" applyBorder="1" applyAlignment="1">
      <alignment horizontal="center" vertical="top"/>
    </xf>
    <xf numFmtId="0" fontId="1" fillId="7" borderId="35" xfId="0" applyFont="1" applyFill="1" applyBorder="1" applyAlignment="1">
      <alignment vertical="top"/>
    </xf>
    <xf numFmtId="0" fontId="1" fillId="7" borderId="42" xfId="0" applyNumberFormat="1" applyFont="1" applyFill="1" applyBorder="1" applyAlignment="1">
      <alignment horizontal="center" vertical="top"/>
    </xf>
    <xf numFmtId="3" fontId="4" fillId="7" borderId="42" xfId="0" applyNumberFormat="1" applyFont="1" applyFill="1" applyBorder="1" applyAlignment="1">
      <alignment horizontal="center" vertical="top" wrapText="1"/>
    </xf>
    <xf numFmtId="0" fontId="1" fillId="7" borderId="9" xfId="0" applyFont="1" applyFill="1" applyBorder="1" applyAlignment="1">
      <alignment vertical="top"/>
    </xf>
    <xf numFmtId="0" fontId="1" fillId="0" borderId="83" xfId="0" applyFont="1" applyBorder="1" applyAlignment="1">
      <alignment vertical="top"/>
    </xf>
    <xf numFmtId="165" fontId="2" fillId="8" borderId="0" xfId="0" applyNumberFormat="1" applyFont="1" applyFill="1" applyAlignment="1">
      <alignment vertical="top"/>
    </xf>
    <xf numFmtId="165" fontId="1" fillId="7" borderId="95" xfId="0" applyNumberFormat="1" applyFont="1" applyFill="1" applyBorder="1" applyAlignment="1">
      <alignment vertical="top" wrapText="1"/>
    </xf>
    <xf numFmtId="0" fontId="2" fillId="0" borderId="59" xfId="0" applyNumberFormat="1" applyFont="1" applyBorder="1" applyAlignment="1">
      <alignment vertical="top"/>
    </xf>
    <xf numFmtId="0" fontId="1" fillId="0" borderId="59" xfId="0" applyFont="1" applyFill="1" applyBorder="1" applyAlignment="1">
      <alignment horizontal="center" vertical="top"/>
    </xf>
    <xf numFmtId="0" fontId="1" fillId="0" borderId="41" xfId="0" applyFont="1" applyBorder="1" applyAlignment="1">
      <alignment vertical="top"/>
    </xf>
    <xf numFmtId="165" fontId="1" fillId="7" borderId="17" xfId="0" applyNumberFormat="1" applyFont="1" applyFill="1" applyBorder="1" applyAlignment="1">
      <alignment horizontal="left" vertical="top" wrapText="1"/>
    </xf>
    <xf numFmtId="165" fontId="1" fillId="7" borderId="9" xfId="0" applyNumberFormat="1" applyFont="1" applyFill="1" applyBorder="1" applyAlignment="1">
      <alignment horizontal="left" vertical="top" wrapText="1"/>
    </xf>
    <xf numFmtId="165" fontId="1" fillId="7" borderId="15" xfId="0" applyNumberFormat="1" applyFont="1" applyFill="1" applyBorder="1" applyAlignment="1">
      <alignment horizontal="center" vertical="top" wrapText="1"/>
    </xf>
    <xf numFmtId="165" fontId="2" fillId="0" borderId="0" xfId="0" applyNumberFormat="1" applyFont="1" applyFill="1" applyBorder="1" applyAlignment="1">
      <alignment horizontal="center" vertical="top" wrapText="1"/>
    </xf>
    <xf numFmtId="165" fontId="1" fillId="7" borderId="9" xfId="0" applyNumberFormat="1" applyFont="1" applyFill="1" applyBorder="1" applyAlignment="1">
      <alignment vertical="top" wrapText="1"/>
    </xf>
    <xf numFmtId="49" fontId="2" fillId="7" borderId="17"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49" fontId="2" fillId="7" borderId="24"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49" fontId="2" fillId="8" borderId="9" xfId="0" applyNumberFormat="1" applyFont="1" applyFill="1" applyBorder="1" applyAlignment="1">
      <alignment horizontal="center" vertical="top"/>
    </xf>
    <xf numFmtId="165" fontId="1" fillId="7" borderId="24" xfId="0" applyNumberFormat="1" applyFont="1" applyFill="1" applyBorder="1" applyAlignment="1">
      <alignment vertical="top" wrapText="1"/>
    </xf>
    <xf numFmtId="49" fontId="2" fillId="9" borderId="5" xfId="0" applyNumberFormat="1" applyFont="1" applyFill="1" applyBorder="1" applyAlignment="1">
      <alignment horizontal="center" vertical="top"/>
    </xf>
    <xf numFmtId="49" fontId="2" fillId="2" borderId="9" xfId="0" applyNumberFormat="1" applyFont="1" applyFill="1" applyBorder="1" applyAlignment="1">
      <alignment horizontal="center" vertical="top"/>
    </xf>
    <xf numFmtId="165" fontId="1" fillId="7" borderId="39" xfId="0" applyNumberFormat="1" applyFont="1" applyFill="1" applyBorder="1" applyAlignment="1">
      <alignment vertical="top" wrapText="1"/>
    </xf>
    <xf numFmtId="0" fontId="13" fillId="7" borderId="15" xfId="0" applyFont="1" applyFill="1" applyBorder="1" applyAlignment="1">
      <alignment vertical="top" wrapText="1"/>
    </xf>
    <xf numFmtId="165" fontId="1" fillId="7" borderId="67"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49" fontId="2" fillId="7" borderId="39" xfId="0" applyNumberFormat="1" applyFont="1" applyFill="1" applyBorder="1" applyAlignment="1">
      <alignment horizontal="center" vertical="top"/>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165" fontId="2" fillId="7" borderId="24" xfId="0" applyNumberFormat="1" applyFont="1" applyFill="1" applyBorder="1" applyAlignment="1">
      <alignment horizontal="center" vertical="top" wrapText="1"/>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0" fontId="1" fillId="7" borderId="66" xfId="0" applyFont="1" applyFill="1" applyBorder="1" applyAlignment="1">
      <alignment horizontal="left" vertical="top" wrapText="1"/>
    </xf>
    <xf numFmtId="0" fontId="5" fillId="7" borderId="15" xfId="0" applyFont="1" applyFill="1" applyBorder="1" applyAlignment="1">
      <alignment horizontal="center" vertical="top" wrapText="1"/>
    </xf>
    <xf numFmtId="49" fontId="2" fillId="7" borderId="17" xfId="0" applyNumberFormat="1" applyFont="1" applyFill="1" applyBorder="1" applyAlignment="1">
      <alignment horizontal="center" vertical="top" wrapText="1"/>
    </xf>
    <xf numFmtId="49" fontId="2" fillId="7" borderId="9" xfId="0" applyNumberFormat="1" applyFont="1" applyFill="1" applyBorder="1" applyAlignment="1">
      <alignment horizontal="center" vertical="top" wrapText="1"/>
    </xf>
    <xf numFmtId="0" fontId="5" fillId="7" borderId="9" xfId="0" applyFont="1" applyFill="1" applyBorder="1" applyAlignment="1">
      <alignment vertical="top" wrapText="1"/>
    </xf>
    <xf numFmtId="165" fontId="2" fillId="9" borderId="28" xfId="0" applyNumberFormat="1" applyFont="1" applyFill="1" applyBorder="1" applyAlignment="1">
      <alignment horizontal="center" vertical="top"/>
    </xf>
    <xf numFmtId="165" fontId="1" fillId="7" borderId="15" xfId="0" applyNumberFormat="1" applyFont="1" applyFill="1" applyBorder="1" applyAlignment="1">
      <alignment horizontal="center" vertical="center" wrapText="1"/>
    </xf>
    <xf numFmtId="0" fontId="1" fillId="7" borderId="35" xfId="0" applyFont="1" applyFill="1" applyBorder="1" applyAlignment="1">
      <alignment horizontal="center" vertical="top"/>
    </xf>
    <xf numFmtId="0" fontId="1" fillId="7" borderId="4" xfId="0" applyFont="1" applyFill="1" applyBorder="1" applyAlignment="1">
      <alignment horizontal="center" vertical="top"/>
    </xf>
    <xf numFmtId="0" fontId="1" fillId="7" borderId="20" xfId="0" applyFont="1" applyFill="1" applyBorder="1" applyAlignment="1">
      <alignment horizontal="center" vertical="top"/>
    </xf>
    <xf numFmtId="165" fontId="1" fillId="0" borderId="20" xfId="0" applyNumberFormat="1" applyFont="1" applyBorder="1" applyAlignment="1">
      <alignment horizontal="center" vertical="top"/>
    </xf>
    <xf numFmtId="165" fontId="1" fillId="7" borderId="86" xfId="0" applyNumberFormat="1" applyFont="1" applyFill="1" applyBorder="1" applyAlignment="1">
      <alignment horizontal="center" vertical="top"/>
    </xf>
    <xf numFmtId="165" fontId="1" fillId="7" borderId="84" xfId="0" applyNumberFormat="1" applyFont="1" applyFill="1" applyBorder="1" applyAlignment="1">
      <alignment horizontal="center" vertical="top"/>
    </xf>
    <xf numFmtId="0" fontId="2" fillId="7" borderId="66" xfId="0" applyFont="1" applyFill="1" applyBorder="1" applyAlignment="1">
      <alignment horizontal="center" vertical="center"/>
    </xf>
    <xf numFmtId="165" fontId="1" fillId="7" borderId="95" xfId="0" applyNumberFormat="1" applyFont="1" applyFill="1" applyBorder="1" applyAlignment="1">
      <alignment horizontal="center" vertical="top"/>
    </xf>
    <xf numFmtId="0" fontId="1" fillId="7" borderId="13" xfId="0" applyFont="1" applyFill="1" applyBorder="1" applyAlignment="1">
      <alignment vertical="top"/>
    </xf>
    <xf numFmtId="0" fontId="19" fillId="0" borderId="0" xfId="0" applyFont="1" applyBorder="1" applyAlignment="1">
      <alignment vertical="top"/>
    </xf>
    <xf numFmtId="0" fontId="1" fillId="7" borderId="5" xfId="0" applyFont="1" applyFill="1" applyBorder="1" applyAlignment="1">
      <alignment horizontal="center" vertical="center"/>
    </xf>
    <xf numFmtId="165" fontId="2" fillId="2" borderId="9"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165" fontId="1" fillId="7" borderId="9" xfId="0" applyNumberFormat="1" applyFont="1" applyFill="1" applyBorder="1" applyAlignment="1">
      <alignment horizontal="left" vertical="top" wrapText="1"/>
    </xf>
    <xf numFmtId="49" fontId="2" fillId="7"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3" fontId="1" fillId="7" borderId="23" xfId="0" applyNumberFormat="1" applyFont="1" applyFill="1" applyBorder="1" applyAlignment="1">
      <alignment horizontal="center" vertical="top" wrapText="1"/>
    </xf>
    <xf numFmtId="165" fontId="1" fillId="7" borderId="72" xfId="0" applyNumberFormat="1" applyFont="1" applyFill="1" applyBorder="1" applyAlignment="1">
      <alignment horizontal="center" vertical="top"/>
    </xf>
    <xf numFmtId="165" fontId="1" fillId="7" borderId="31" xfId="0" applyNumberFormat="1" applyFont="1" applyFill="1" applyBorder="1" applyAlignment="1">
      <alignment vertical="top"/>
    </xf>
    <xf numFmtId="0" fontId="1" fillId="7" borderId="91" xfId="0" applyFont="1" applyFill="1" applyBorder="1" applyAlignment="1">
      <alignment horizontal="center" vertical="top"/>
    </xf>
    <xf numFmtId="167" fontId="1" fillId="0" borderId="0" xfId="0" applyNumberFormat="1" applyFont="1" applyBorder="1" applyAlignment="1">
      <alignment vertical="top"/>
    </xf>
    <xf numFmtId="0" fontId="1" fillId="0" borderId="0" xfId="0" applyFont="1" applyAlignment="1">
      <alignment horizontal="right" vertical="top"/>
    </xf>
    <xf numFmtId="165" fontId="1" fillId="0" borderId="0" xfId="0" applyNumberFormat="1" applyFont="1" applyBorder="1" applyAlignment="1">
      <alignment horizontal="right" vertical="top"/>
    </xf>
    <xf numFmtId="165" fontId="1" fillId="0" borderId="0" xfId="0" applyNumberFormat="1" applyFont="1" applyAlignment="1">
      <alignment horizontal="right" vertical="top"/>
    </xf>
    <xf numFmtId="3" fontId="1" fillId="0" borderId="0" xfId="0" applyNumberFormat="1" applyFont="1" applyAlignment="1">
      <alignment horizontal="center" vertical="top"/>
    </xf>
    <xf numFmtId="165" fontId="1" fillId="7" borderId="15" xfId="0" applyNumberFormat="1" applyFont="1" applyFill="1" applyBorder="1" applyAlignment="1">
      <alignment horizontal="center" vertical="top" wrapText="1"/>
    </xf>
    <xf numFmtId="165" fontId="2" fillId="9" borderId="5"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1" fillId="7" borderId="39" xfId="0" applyNumberFormat="1" applyFont="1" applyFill="1" applyBorder="1" applyAlignment="1">
      <alignment vertical="top" wrapText="1"/>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1" fillId="7" borderId="39" xfId="0" applyNumberFormat="1" applyFont="1" applyFill="1" applyBorder="1" applyAlignment="1">
      <alignment horizontal="left" vertical="top" wrapText="1"/>
    </xf>
    <xf numFmtId="165" fontId="1" fillId="7" borderId="15" xfId="0" applyNumberFormat="1" applyFont="1" applyFill="1" applyBorder="1" applyAlignment="1">
      <alignment horizontal="center" vertical="center" wrapText="1"/>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165" fontId="1" fillId="7" borderId="67" xfId="0" applyNumberFormat="1" applyFont="1" applyFill="1" applyBorder="1" applyAlignment="1">
      <alignment horizontal="center" vertical="top"/>
    </xf>
    <xf numFmtId="0" fontId="1" fillId="0" borderId="0" xfId="0" applyFont="1" applyFill="1" applyBorder="1" applyAlignment="1">
      <alignment vertical="top"/>
    </xf>
    <xf numFmtId="0" fontId="1" fillId="0" borderId="0" xfId="0" applyFont="1" applyBorder="1" applyAlignment="1">
      <alignment vertical="top" wrapText="1"/>
    </xf>
    <xf numFmtId="49" fontId="2" fillId="7" borderId="17" xfId="0" applyNumberFormat="1" applyFont="1" applyFill="1" applyBorder="1" applyAlignment="1">
      <alignment horizontal="center" vertical="top"/>
    </xf>
    <xf numFmtId="0" fontId="1" fillId="0" borderId="84" xfId="0" applyFont="1" applyBorder="1" applyAlignment="1">
      <alignment horizontal="center" vertical="top"/>
    </xf>
    <xf numFmtId="167" fontId="1" fillId="7" borderId="91" xfId="0" applyNumberFormat="1" applyFont="1" applyFill="1" applyBorder="1" applyAlignment="1">
      <alignment horizontal="center" vertical="top"/>
    </xf>
    <xf numFmtId="165" fontId="22" fillId="0" borderId="0" xfId="0" applyNumberFormat="1" applyFont="1" applyAlignment="1">
      <alignment vertical="top"/>
    </xf>
    <xf numFmtId="0" fontId="22" fillId="0" borderId="0" xfId="0" applyFont="1" applyAlignment="1">
      <alignment vertical="top"/>
    </xf>
    <xf numFmtId="167" fontId="1" fillId="0" borderId="0" xfId="0" applyNumberFormat="1" applyFont="1" applyAlignment="1">
      <alignment vertical="top"/>
    </xf>
    <xf numFmtId="165" fontId="8" fillId="7" borderId="15" xfId="0" applyNumberFormat="1" applyFont="1" applyFill="1" applyBorder="1" applyAlignment="1">
      <alignment horizontal="center" vertical="top" wrapText="1"/>
    </xf>
    <xf numFmtId="49" fontId="2" fillId="7" borderId="17"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49" fontId="2" fillId="7"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49" fontId="1" fillId="0" borderId="74" xfId="0" applyNumberFormat="1" applyFont="1" applyFill="1" applyBorder="1" applyAlignment="1">
      <alignment horizontal="left" vertical="top" wrapText="1"/>
    </xf>
    <xf numFmtId="165" fontId="2" fillId="9" borderId="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0" fontId="1" fillId="7" borderId="18" xfId="0" applyFont="1" applyFill="1" applyBorder="1" applyAlignment="1">
      <alignment horizontal="center" vertical="top" wrapText="1"/>
    </xf>
    <xf numFmtId="49" fontId="2" fillId="7" borderId="17"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0" fontId="5" fillId="7" borderId="9" xfId="0" applyFont="1" applyFill="1" applyBorder="1" applyAlignment="1">
      <alignment vertical="top" wrapText="1"/>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49" fontId="2" fillId="7" borderId="17" xfId="0" applyNumberFormat="1" applyFont="1" applyFill="1" applyBorder="1" applyAlignment="1">
      <alignment horizontal="center" vertical="top" wrapText="1"/>
    </xf>
    <xf numFmtId="165" fontId="1" fillId="7" borderId="15" xfId="0" applyNumberFormat="1" applyFont="1" applyFill="1" applyBorder="1" applyAlignment="1">
      <alignment horizontal="center" vertical="top" wrapText="1"/>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165" fontId="1" fillId="7" borderId="20"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49" fontId="2" fillId="7" borderId="39" xfId="0" applyNumberFormat="1" applyFont="1" applyFill="1" applyBorder="1" applyAlignment="1">
      <alignment horizontal="center" vertical="top"/>
    </xf>
    <xf numFmtId="165" fontId="1" fillId="7" borderId="15" xfId="0" applyNumberFormat="1" applyFont="1" applyFill="1" applyBorder="1" applyAlignment="1">
      <alignment horizontal="center" vertical="top" wrapText="1"/>
    </xf>
    <xf numFmtId="0" fontId="2" fillId="7" borderId="37" xfId="0" applyFont="1" applyFill="1" applyBorder="1" applyAlignment="1">
      <alignment horizontal="center" vertical="top" wrapText="1"/>
    </xf>
    <xf numFmtId="0" fontId="1" fillId="0" borderId="23" xfId="0" applyFont="1" applyBorder="1" applyAlignment="1">
      <alignment vertical="top"/>
    </xf>
    <xf numFmtId="165" fontId="22" fillId="0" borderId="0" xfId="0" applyNumberFormat="1" applyFont="1" applyAlignment="1">
      <alignment horizontal="right" vertical="top"/>
    </xf>
    <xf numFmtId="0" fontId="22" fillId="0" borderId="0" xfId="0" applyFont="1" applyAlignment="1">
      <alignment horizontal="right" vertical="top"/>
    </xf>
    <xf numFmtId="165" fontId="1" fillId="7" borderId="35" xfId="0" applyNumberFormat="1" applyFont="1" applyFill="1" applyBorder="1" applyAlignment="1">
      <alignment horizontal="center" vertical="top" wrapText="1"/>
    </xf>
    <xf numFmtId="165" fontId="2" fillId="2" borderId="9"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49" fontId="2" fillId="7" borderId="66" xfId="0" applyNumberFormat="1" applyFont="1" applyFill="1" applyBorder="1" applyAlignment="1">
      <alignment horizontal="center" vertical="top"/>
    </xf>
    <xf numFmtId="165" fontId="2" fillId="7" borderId="66" xfId="0" applyNumberFormat="1" applyFont="1" applyFill="1" applyBorder="1" applyAlignment="1">
      <alignment horizontal="center" vertical="top" wrapText="1"/>
    </xf>
    <xf numFmtId="165" fontId="1" fillId="7" borderId="77" xfId="0" applyNumberFormat="1" applyFont="1" applyFill="1" applyBorder="1" applyAlignment="1">
      <alignment horizontal="center" vertical="top" wrapText="1"/>
    </xf>
    <xf numFmtId="49" fontId="1" fillId="7" borderId="60"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0" fontId="13" fillId="7" borderId="15" xfId="0" applyFont="1" applyFill="1" applyBorder="1" applyAlignment="1">
      <alignment vertical="top" wrapText="1"/>
    </xf>
    <xf numFmtId="49" fontId="2" fillId="7" borderId="9" xfId="0" applyNumberFormat="1" applyFont="1" applyFill="1" applyBorder="1" applyAlignment="1">
      <alignment horizontal="center" vertical="top"/>
    </xf>
    <xf numFmtId="165" fontId="1" fillId="7" borderId="15" xfId="0" applyNumberFormat="1" applyFont="1" applyFill="1" applyBorder="1" applyAlignment="1">
      <alignment horizontal="center" vertical="top" wrapText="1"/>
    </xf>
    <xf numFmtId="165" fontId="1" fillId="7" borderId="9" xfId="0" applyNumberFormat="1" applyFont="1" applyFill="1" applyBorder="1" applyAlignment="1">
      <alignment vertical="top" wrapText="1"/>
    </xf>
    <xf numFmtId="165" fontId="2" fillId="9" borderId="5"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165" fontId="2" fillId="7" borderId="24" xfId="0" applyNumberFormat="1" applyFont="1" applyFill="1" applyBorder="1" applyAlignment="1">
      <alignment horizontal="center" vertical="top" wrapText="1"/>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1" fillId="7" borderId="39" xfId="0" applyNumberFormat="1" applyFont="1" applyFill="1" applyBorder="1" applyAlignment="1">
      <alignment horizontal="left" vertical="top" wrapText="1"/>
    </xf>
    <xf numFmtId="165" fontId="1" fillId="7" borderId="15"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49" fontId="2" fillId="7" borderId="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0" fontId="2" fillId="7" borderId="17" xfId="0" applyNumberFormat="1" applyFont="1" applyFill="1" applyBorder="1" applyAlignment="1">
      <alignment horizontal="center" vertical="top"/>
    </xf>
    <xf numFmtId="0" fontId="1" fillId="7" borderId="90" xfId="0" applyFont="1" applyFill="1" applyBorder="1" applyAlignment="1">
      <alignment horizontal="center" vertical="top"/>
    </xf>
    <xf numFmtId="0" fontId="1" fillId="7" borderId="88" xfId="0" applyNumberFormat="1" applyFont="1" applyFill="1" applyBorder="1" applyAlignment="1">
      <alignment horizontal="center" vertical="top"/>
    </xf>
    <xf numFmtId="167" fontId="1" fillId="7" borderId="40" xfId="0" applyNumberFormat="1" applyFont="1" applyFill="1" applyBorder="1" applyAlignment="1">
      <alignment horizontal="center" vertical="top"/>
    </xf>
    <xf numFmtId="3" fontId="1" fillId="7" borderId="18" xfId="0" applyNumberFormat="1" applyFont="1" applyFill="1" applyBorder="1" applyAlignment="1">
      <alignment horizontal="center" vertical="top" wrapText="1"/>
    </xf>
    <xf numFmtId="0" fontId="1" fillId="7" borderId="68" xfId="0" applyFont="1" applyFill="1" applyBorder="1" applyAlignment="1">
      <alignment horizontal="center" vertical="top"/>
    </xf>
    <xf numFmtId="165" fontId="2" fillId="7" borderId="17" xfId="0" applyNumberFormat="1" applyFont="1" applyFill="1" applyBorder="1" applyAlignment="1">
      <alignment horizontal="center" vertical="top" wrapText="1"/>
    </xf>
    <xf numFmtId="0" fontId="5" fillId="10" borderId="53" xfId="0" applyFont="1" applyFill="1" applyBorder="1"/>
    <xf numFmtId="165" fontId="2" fillId="7" borderId="9" xfId="0" applyNumberFormat="1" applyFont="1" applyFill="1" applyBorder="1" applyAlignment="1">
      <alignment horizontal="center" vertical="top" wrapText="1"/>
    </xf>
    <xf numFmtId="0" fontId="2" fillId="7" borderId="17" xfId="0" applyFont="1" applyFill="1" applyBorder="1" applyAlignment="1">
      <alignment vertical="top" wrapText="1"/>
    </xf>
    <xf numFmtId="165" fontId="1" fillId="7" borderId="5"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165" fontId="2" fillId="7" borderId="17" xfId="0" applyNumberFormat="1" applyFont="1" applyFill="1" applyBorder="1" applyAlignment="1">
      <alignment horizontal="center" vertical="top" wrapText="1"/>
    </xf>
    <xf numFmtId="0" fontId="13" fillId="7" borderId="15" xfId="0" applyFont="1" applyFill="1" applyBorder="1" applyAlignment="1">
      <alignment vertical="top" wrapText="1"/>
    </xf>
    <xf numFmtId="49" fontId="1" fillId="8" borderId="9" xfId="0" applyNumberFormat="1" applyFont="1" applyFill="1" applyBorder="1" applyAlignment="1">
      <alignment horizontal="center" vertical="center" textRotation="90" wrapText="1"/>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0" fontId="1" fillId="7" borderId="15" xfId="0" applyFont="1" applyFill="1" applyBorder="1" applyAlignment="1">
      <alignment horizontal="center" vertical="top" wrapText="1"/>
    </xf>
    <xf numFmtId="0" fontId="1" fillId="7" borderId="76" xfId="0" applyFont="1" applyFill="1" applyBorder="1" applyAlignment="1">
      <alignment horizontal="center" vertical="top" wrapText="1"/>
    </xf>
    <xf numFmtId="49" fontId="2" fillId="2" borderId="1" xfId="0" applyNumberFormat="1" applyFont="1" applyFill="1" applyBorder="1" applyAlignment="1">
      <alignment horizontal="center" vertical="top"/>
    </xf>
    <xf numFmtId="0" fontId="1" fillId="0" borderId="15" xfId="0" applyFont="1" applyBorder="1" applyAlignment="1">
      <alignment vertical="top"/>
    </xf>
    <xf numFmtId="0" fontId="1" fillId="7" borderId="0" xfId="0" applyFont="1" applyFill="1" applyAlignment="1">
      <alignment vertical="top"/>
    </xf>
    <xf numFmtId="0" fontId="1" fillId="7" borderId="5" xfId="0" applyFont="1" applyFill="1" applyBorder="1" applyAlignment="1">
      <alignment horizontal="center" vertical="top"/>
    </xf>
    <xf numFmtId="3" fontId="8" fillId="7" borderId="18" xfId="0" applyNumberFormat="1" applyFont="1" applyFill="1" applyBorder="1" applyAlignment="1">
      <alignment horizontal="center" vertical="top"/>
    </xf>
    <xf numFmtId="0" fontId="1" fillId="7" borderId="63" xfId="0" applyNumberFormat="1" applyFont="1" applyFill="1" applyBorder="1" applyAlignment="1">
      <alignment horizontal="center" vertical="top"/>
    </xf>
    <xf numFmtId="165" fontId="1" fillId="7" borderId="80" xfId="0" applyNumberFormat="1" applyFont="1" applyFill="1" applyBorder="1" applyAlignment="1">
      <alignment horizontal="center" vertical="top"/>
    </xf>
    <xf numFmtId="0" fontId="1" fillId="7" borderId="5" xfId="0" applyFont="1" applyFill="1" applyBorder="1" applyAlignment="1">
      <alignment vertical="top"/>
    </xf>
    <xf numFmtId="0" fontId="1" fillId="0" borderId="66" xfId="0" applyNumberFormat="1" applyFont="1" applyFill="1" applyBorder="1" applyAlignment="1">
      <alignment horizontal="left" vertical="top" wrapText="1"/>
    </xf>
    <xf numFmtId="165" fontId="1" fillId="7" borderId="17" xfId="0" applyNumberFormat="1" applyFont="1" applyFill="1" applyBorder="1" applyAlignment="1">
      <alignment horizontal="left" vertical="top" wrapText="1"/>
    </xf>
    <xf numFmtId="167" fontId="1" fillId="7" borderId="86" xfId="0" applyNumberFormat="1" applyFont="1" applyFill="1" applyBorder="1" applyAlignment="1">
      <alignment horizontal="center" vertical="top"/>
    </xf>
    <xf numFmtId="167" fontId="1" fillId="7" borderId="6" xfId="0" applyNumberFormat="1" applyFont="1" applyFill="1" applyBorder="1" applyAlignment="1">
      <alignment horizontal="center" vertical="top"/>
    </xf>
    <xf numFmtId="49" fontId="2" fillId="7" borderId="17" xfId="0" applyNumberFormat="1" applyFont="1" applyFill="1" applyBorder="1" applyAlignment="1">
      <alignment horizontal="center" vertical="top" wrapText="1"/>
    </xf>
    <xf numFmtId="165" fontId="1" fillId="7" borderId="67" xfId="0" applyNumberFormat="1" applyFont="1" applyFill="1" applyBorder="1" applyAlignment="1">
      <alignment horizontal="center" vertical="top"/>
    </xf>
    <xf numFmtId="165" fontId="1" fillId="7" borderId="20" xfId="0" applyNumberFormat="1" applyFont="1" applyFill="1" applyBorder="1" applyAlignment="1">
      <alignment horizontal="center" vertical="top"/>
    </xf>
    <xf numFmtId="0" fontId="1" fillId="7" borderId="31" xfId="0" applyNumberFormat="1" applyFont="1" applyFill="1" applyBorder="1" applyAlignment="1">
      <alignment horizontal="center" vertical="top"/>
    </xf>
    <xf numFmtId="0" fontId="1" fillId="12" borderId="55" xfId="0" applyFont="1" applyFill="1" applyBorder="1" applyAlignment="1">
      <alignment vertical="top"/>
    </xf>
    <xf numFmtId="165" fontId="2" fillId="7" borderId="9" xfId="0" applyNumberFormat="1" applyFont="1" applyFill="1" applyBorder="1" applyAlignment="1">
      <alignment horizontal="center" vertical="top" wrapText="1"/>
    </xf>
    <xf numFmtId="0" fontId="1" fillId="7" borderId="6" xfId="0" applyFont="1" applyFill="1" applyBorder="1" applyAlignment="1">
      <alignment horizontal="center" vertical="top"/>
    </xf>
    <xf numFmtId="165" fontId="1" fillId="7" borderId="17" xfId="0" applyNumberFormat="1" applyFont="1" applyFill="1" applyBorder="1" applyAlignment="1">
      <alignment vertical="top" wrapText="1"/>
    </xf>
    <xf numFmtId="165" fontId="1" fillId="7" borderId="18" xfId="0" applyNumberFormat="1" applyFont="1" applyFill="1" applyBorder="1" applyAlignment="1">
      <alignment horizontal="center" vertical="top" wrapText="1"/>
    </xf>
    <xf numFmtId="49" fontId="1" fillId="7" borderId="42" xfId="0" applyNumberFormat="1" applyFont="1" applyFill="1" applyBorder="1" applyAlignment="1">
      <alignment horizontal="center" vertical="top" wrapText="1"/>
    </xf>
    <xf numFmtId="167" fontId="1" fillId="0" borderId="72" xfId="0" applyNumberFormat="1" applyFont="1" applyBorder="1" applyAlignment="1">
      <alignment horizontal="center" vertical="top"/>
    </xf>
    <xf numFmtId="0" fontId="1" fillId="0" borderId="35" xfId="0" applyFont="1" applyBorder="1" applyAlignment="1">
      <alignment horizontal="center" vertical="top"/>
    </xf>
    <xf numFmtId="0" fontId="1" fillId="7" borderId="72" xfId="0" applyFont="1" applyFill="1" applyBorder="1" applyAlignment="1">
      <alignment horizontal="center" vertical="top"/>
    </xf>
    <xf numFmtId="3" fontId="1" fillId="7" borderId="31" xfId="0" applyNumberFormat="1" applyFont="1" applyFill="1" applyBorder="1" applyAlignment="1">
      <alignment horizontal="center" vertical="center"/>
    </xf>
    <xf numFmtId="167" fontId="1" fillId="7" borderId="35" xfId="0" applyNumberFormat="1" applyFont="1" applyFill="1" applyBorder="1" applyAlignment="1">
      <alignment horizontal="center" vertical="center"/>
    </xf>
    <xf numFmtId="3" fontId="1" fillId="0" borderId="14" xfId="0" applyNumberFormat="1" applyFont="1" applyBorder="1" applyAlignment="1">
      <alignment horizontal="center" vertical="center"/>
    </xf>
    <xf numFmtId="0" fontId="1" fillId="7" borderId="5" xfId="0" applyFont="1" applyFill="1" applyBorder="1" applyAlignment="1">
      <alignment horizontal="left" vertical="top" wrapText="1"/>
    </xf>
    <xf numFmtId="165" fontId="1" fillId="7" borderId="91" xfId="0" applyNumberFormat="1" applyFont="1" applyFill="1" applyBorder="1" applyAlignment="1">
      <alignment vertical="top" wrapText="1"/>
    </xf>
    <xf numFmtId="165" fontId="1" fillId="7" borderId="5" xfId="0" applyNumberFormat="1" applyFont="1" applyFill="1" applyBorder="1" applyAlignment="1">
      <alignment vertical="top" wrapText="1"/>
    </xf>
    <xf numFmtId="0" fontId="1" fillId="7" borderId="31" xfId="0" applyNumberFormat="1" applyFont="1" applyFill="1" applyBorder="1" applyAlignment="1">
      <alignment horizontal="center" vertical="top" wrapText="1"/>
    </xf>
    <xf numFmtId="0" fontId="1" fillId="7" borderId="83" xfId="0" applyFont="1" applyFill="1" applyBorder="1" applyAlignment="1">
      <alignment vertical="top" wrapText="1"/>
    </xf>
    <xf numFmtId="0" fontId="1" fillId="7" borderId="5" xfId="0" applyFont="1" applyFill="1" applyBorder="1" applyAlignment="1">
      <alignment vertical="top" wrapText="1"/>
    </xf>
    <xf numFmtId="165" fontId="1" fillId="7" borderId="85" xfId="0" applyNumberFormat="1" applyFont="1" applyFill="1" applyBorder="1" applyAlignment="1">
      <alignment vertical="top" wrapText="1"/>
    </xf>
    <xf numFmtId="165" fontId="1" fillId="7" borderId="84" xfId="0" applyNumberFormat="1" applyFont="1" applyFill="1" applyBorder="1" applyAlignment="1">
      <alignment vertical="top" wrapText="1"/>
    </xf>
    <xf numFmtId="165" fontId="1" fillId="7" borderId="86" xfId="0" applyNumberFormat="1" applyFont="1" applyFill="1" applyBorder="1" applyAlignment="1">
      <alignment vertical="top" wrapText="1"/>
    </xf>
    <xf numFmtId="165" fontId="1" fillId="7" borderId="90" xfId="0" applyNumberFormat="1" applyFont="1" applyFill="1" applyBorder="1" applyAlignment="1">
      <alignment vertical="top" wrapText="1"/>
    </xf>
    <xf numFmtId="0" fontId="1" fillId="7" borderId="83" xfId="0" applyFont="1" applyFill="1" applyBorder="1" applyAlignment="1">
      <alignment horizontal="left" vertical="top" wrapText="1"/>
    </xf>
    <xf numFmtId="165" fontId="1" fillId="7" borderId="91" xfId="0" applyNumberFormat="1" applyFont="1" applyFill="1" applyBorder="1" applyAlignment="1">
      <alignment horizontal="left" vertical="top" wrapText="1"/>
    </xf>
    <xf numFmtId="165" fontId="1" fillId="7" borderId="85" xfId="0" applyNumberFormat="1" applyFont="1" applyFill="1" applyBorder="1" applyAlignment="1">
      <alignment horizontal="left" vertical="top" wrapText="1"/>
    </xf>
    <xf numFmtId="165" fontId="1" fillId="7" borderId="86" xfId="0" applyNumberFormat="1" applyFont="1" applyFill="1" applyBorder="1" applyAlignment="1">
      <alignment horizontal="left" vertical="top" wrapText="1"/>
    </xf>
    <xf numFmtId="165" fontId="1" fillId="7" borderId="87" xfId="0" applyNumberFormat="1" applyFont="1" applyFill="1" applyBorder="1" applyAlignment="1">
      <alignment vertical="top" wrapText="1"/>
    </xf>
    <xf numFmtId="165" fontId="1" fillId="7" borderId="90" xfId="0" applyNumberFormat="1" applyFont="1" applyFill="1" applyBorder="1" applyAlignment="1">
      <alignment horizontal="left" vertical="top" wrapText="1"/>
    </xf>
    <xf numFmtId="3" fontId="1" fillId="7" borderId="69" xfId="0" applyNumberFormat="1" applyFont="1" applyFill="1" applyBorder="1" applyAlignment="1">
      <alignment horizontal="center" vertical="top" wrapText="1"/>
    </xf>
    <xf numFmtId="0" fontId="1" fillId="7" borderId="84" xfId="0" applyFont="1" applyFill="1" applyBorder="1" applyAlignment="1">
      <alignment vertical="top" wrapText="1"/>
    </xf>
    <xf numFmtId="0" fontId="1" fillId="7" borderId="86" xfId="0" applyFont="1" applyFill="1" applyBorder="1" applyAlignment="1">
      <alignment vertical="top" wrapText="1"/>
    </xf>
    <xf numFmtId="0" fontId="8" fillId="7" borderId="5" xfId="0" applyFont="1" applyFill="1" applyBorder="1" applyAlignment="1">
      <alignment vertical="top" wrapText="1"/>
    </xf>
    <xf numFmtId="0" fontId="1" fillId="7" borderId="91" xfId="0" applyFont="1" applyFill="1" applyBorder="1" applyAlignment="1">
      <alignment vertical="top" wrapText="1"/>
    </xf>
    <xf numFmtId="0" fontId="1" fillId="7" borderId="87" xfId="0" applyFont="1" applyFill="1" applyBorder="1" applyAlignment="1">
      <alignment vertical="top" wrapText="1"/>
    </xf>
    <xf numFmtId="0" fontId="8" fillId="7" borderId="83" xfId="0" applyFont="1" applyFill="1" applyBorder="1" applyAlignment="1">
      <alignment vertical="top" wrapText="1"/>
    </xf>
    <xf numFmtId="0" fontId="1" fillId="7" borderId="90" xfId="0" applyFont="1" applyFill="1" applyBorder="1" applyAlignment="1">
      <alignment vertical="top" wrapText="1"/>
    </xf>
    <xf numFmtId="3" fontId="1" fillId="7" borderId="70" xfId="1" applyNumberFormat="1" applyFont="1" applyFill="1" applyBorder="1" applyAlignment="1">
      <alignment horizontal="center" vertical="top" wrapText="1"/>
    </xf>
    <xf numFmtId="0" fontId="1" fillId="13" borderId="42" xfId="0" applyFont="1" applyFill="1" applyBorder="1" applyAlignment="1">
      <alignment horizontal="center" vertical="center"/>
    </xf>
    <xf numFmtId="165" fontId="1" fillId="7" borderId="83" xfId="0" applyNumberFormat="1" applyFont="1" applyFill="1" applyBorder="1" applyAlignment="1">
      <alignment horizontal="left" vertical="top" wrapText="1"/>
    </xf>
    <xf numFmtId="165" fontId="7" fillId="7" borderId="82" xfId="0" applyNumberFormat="1" applyFont="1" applyFill="1" applyBorder="1" applyAlignment="1">
      <alignment horizontal="left" vertical="top" wrapText="1"/>
    </xf>
    <xf numFmtId="165" fontId="1" fillId="7" borderId="88" xfId="0" applyNumberFormat="1" applyFont="1" applyFill="1" applyBorder="1" applyAlignment="1">
      <alignment horizontal="center" vertical="top"/>
    </xf>
    <xf numFmtId="165" fontId="1" fillId="0" borderId="89" xfId="0" applyNumberFormat="1" applyFont="1" applyBorder="1" applyAlignment="1">
      <alignment vertical="top"/>
    </xf>
    <xf numFmtId="0" fontId="1" fillId="7" borderId="86" xfId="0" applyFont="1" applyFill="1" applyBorder="1" applyAlignment="1">
      <alignment horizontal="left" vertical="top" wrapText="1"/>
    </xf>
    <xf numFmtId="0" fontId="1" fillId="7" borderId="5" xfId="0" applyFont="1" applyFill="1" applyBorder="1" applyAlignment="1">
      <alignment vertical="center" wrapText="1"/>
    </xf>
    <xf numFmtId="165" fontId="1" fillId="7" borderId="89" xfId="0" applyNumberFormat="1" applyFont="1" applyFill="1" applyBorder="1" applyAlignment="1">
      <alignment horizontal="left" vertical="top" wrapText="1"/>
    </xf>
    <xf numFmtId="165" fontId="5" fillId="7" borderId="7" xfId="0" applyNumberFormat="1" applyFont="1" applyFill="1" applyBorder="1" applyAlignment="1">
      <alignment vertical="top" wrapText="1"/>
    </xf>
    <xf numFmtId="165" fontId="5" fillId="7" borderId="89" xfId="0" applyNumberFormat="1" applyFont="1" applyFill="1" applyBorder="1" applyAlignment="1">
      <alignment vertical="top" wrapText="1"/>
    </xf>
    <xf numFmtId="0" fontId="1" fillId="7" borderId="61" xfId="0" applyFont="1" applyFill="1" applyBorder="1" applyAlignment="1">
      <alignment horizontal="center" vertical="center"/>
    </xf>
    <xf numFmtId="165" fontId="1" fillId="0" borderId="83" xfId="0" applyNumberFormat="1" applyFont="1" applyBorder="1" applyAlignment="1">
      <alignment horizontal="center" vertical="top"/>
    </xf>
    <xf numFmtId="165" fontId="1" fillId="7" borderId="77" xfId="0" applyNumberFormat="1" applyFont="1" applyFill="1" applyBorder="1" applyAlignment="1">
      <alignment vertical="top" wrapText="1"/>
    </xf>
    <xf numFmtId="0" fontId="16" fillId="7" borderId="74" xfId="0" applyFont="1" applyFill="1" applyBorder="1" applyAlignment="1">
      <alignment vertical="top" wrapText="1"/>
    </xf>
    <xf numFmtId="0" fontId="1" fillId="7" borderId="15" xfId="0" applyNumberFormat="1" applyFont="1" applyFill="1" applyBorder="1" applyAlignment="1">
      <alignment horizontal="center" vertical="top"/>
    </xf>
    <xf numFmtId="0" fontId="1" fillId="0" borderId="84" xfId="0" applyFont="1" applyBorder="1" applyAlignment="1">
      <alignment vertical="top" wrapText="1"/>
    </xf>
    <xf numFmtId="0" fontId="23" fillId="7" borderId="23" xfId="0" applyFont="1" applyFill="1" applyBorder="1" applyAlignment="1">
      <alignment vertical="top"/>
    </xf>
    <xf numFmtId="0" fontId="2" fillId="7" borderId="36" xfId="0" applyFont="1" applyFill="1" applyBorder="1" applyAlignment="1">
      <alignment horizontal="center" vertical="center"/>
    </xf>
    <xf numFmtId="165" fontId="2" fillId="7" borderId="16" xfId="0" applyNumberFormat="1" applyFont="1" applyFill="1" applyBorder="1" applyAlignment="1">
      <alignment horizontal="center" vertical="top" wrapText="1"/>
    </xf>
    <xf numFmtId="165" fontId="1" fillId="0" borderId="86" xfId="0" applyNumberFormat="1" applyFont="1" applyFill="1" applyBorder="1" applyAlignment="1">
      <alignment horizontal="center" vertical="top"/>
    </xf>
    <xf numFmtId="49" fontId="1" fillId="7" borderId="74" xfId="0" applyNumberFormat="1" applyFont="1" applyFill="1" applyBorder="1" applyAlignment="1">
      <alignment horizontal="center" vertical="top"/>
    </xf>
    <xf numFmtId="0" fontId="2" fillId="7" borderId="74" xfId="0" applyFont="1" applyFill="1" applyBorder="1" applyAlignment="1">
      <alignment vertical="top" wrapText="1"/>
    </xf>
    <xf numFmtId="165" fontId="1" fillId="7" borderId="94" xfId="1" applyNumberFormat="1" applyFont="1" applyFill="1" applyBorder="1" applyAlignment="1">
      <alignment horizontal="center" vertical="top" wrapText="1"/>
    </xf>
    <xf numFmtId="167" fontId="1" fillId="7" borderId="68" xfId="0" applyNumberFormat="1" applyFont="1" applyFill="1" applyBorder="1" applyAlignment="1">
      <alignment horizontal="center" vertical="top"/>
    </xf>
    <xf numFmtId="0" fontId="1" fillId="0" borderId="69" xfId="0" applyFont="1" applyBorder="1" applyAlignment="1">
      <alignment horizontal="center" vertical="top"/>
    </xf>
    <xf numFmtId="165" fontId="2" fillId="7" borderId="74" xfId="0" applyNumberFormat="1" applyFont="1" applyFill="1" applyBorder="1" applyAlignment="1">
      <alignment horizontal="center" vertical="top" wrapText="1"/>
    </xf>
    <xf numFmtId="0" fontId="1" fillId="0" borderId="87" xfId="0" applyFont="1" applyBorder="1" applyAlignment="1">
      <alignment vertical="top"/>
    </xf>
    <xf numFmtId="0" fontId="1" fillId="0" borderId="61" xfId="0" applyFont="1" applyBorder="1" applyAlignment="1">
      <alignment vertical="top"/>
    </xf>
    <xf numFmtId="0" fontId="1" fillId="0" borderId="77" xfId="0" applyFont="1" applyBorder="1" applyAlignment="1">
      <alignment horizontal="center" vertical="top"/>
    </xf>
    <xf numFmtId="167" fontId="1" fillId="0" borderId="83" xfId="0" applyNumberFormat="1" applyFont="1" applyBorder="1" applyAlignment="1">
      <alignment horizontal="center" vertical="top"/>
    </xf>
    <xf numFmtId="0" fontId="1" fillId="7" borderId="14" xfId="0" applyFont="1" applyFill="1" applyBorder="1" applyAlignment="1">
      <alignment vertical="top"/>
    </xf>
    <xf numFmtId="0" fontId="1" fillId="0" borderId="0" xfId="0" applyNumberFormat="1" applyFont="1" applyAlignment="1">
      <alignment vertical="top"/>
    </xf>
    <xf numFmtId="0" fontId="11" fillId="0" borderId="0" xfId="0" applyFont="1" applyFill="1" applyAlignment="1">
      <alignment vertical="top" wrapText="1"/>
    </xf>
    <xf numFmtId="0" fontId="2" fillId="0" borderId="8" xfId="0" applyFont="1" applyBorder="1" applyAlignment="1">
      <alignment horizontal="center" vertical="center" wrapText="1"/>
    </xf>
    <xf numFmtId="0" fontId="1" fillId="0" borderId="46" xfId="0" applyFont="1" applyBorder="1" applyAlignment="1">
      <alignment vertical="top"/>
    </xf>
    <xf numFmtId="0" fontId="5" fillId="11" borderId="31" xfId="0" applyFont="1" applyFill="1" applyBorder="1"/>
    <xf numFmtId="0" fontId="1" fillId="9" borderId="31" xfId="0" applyFont="1" applyFill="1" applyBorder="1" applyAlignment="1">
      <alignment vertical="top"/>
    </xf>
    <xf numFmtId="0" fontId="1" fillId="12" borderId="34" xfId="0" applyFont="1" applyFill="1" applyBorder="1" applyAlignment="1">
      <alignment vertical="top"/>
    </xf>
    <xf numFmtId="1" fontId="1" fillId="7" borderId="62" xfId="0" applyNumberFormat="1" applyFont="1" applyFill="1" applyBorder="1" applyAlignment="1">
      <alignment horizontal="center" vertical="top"/>
    </xf>
    <xf numFmtId="165" fontId="2" fillId="7" borderId="66" xfId="0" applyNumberFormat="1" applyFont="1" applyFill="1" applyBorder="1" applyAlignment="1">
      <alignment horizontal="center" vertical="center" wrapText="1"/>
    </xf>
    <xf numFmtId="165" fontId="1" fillId="7" borderId="86" xfId="0" applyNumberFormat="1" applyFont="1" applyFill="1" applyBorder="1" applyAlignment="1">
      <alignment horizontal="left" vertical="top" wrapText="1"/>
    </xf>
    <xf numFmtId="165" fontId="1" fillId="7" borderId="66" xfId="0" applyNumberFormat="1" applyFont="1" applyFill="1" applyBorder="1" applyAlignment="1">
      <alignment vertical="top" wrapText="1"/>
    </xf>
    <xf numFmtId="165" fontId="1" fillId="7" borderId="77" xfId="0" applyNumberFormat="1" applyFont="1" applyFill="1" applyBorder="1" applyAlignment="1">
      <alignment horizontal="center" vertical="top"/>
    </xf>
    <xf numFmtId="0" fontId="1" fillId="7" borderId="83" xfId="0" applyFont="1" applyFill="1" applyBorder="1" applyAlignment="1">
      <alignment vertical="center" wrapText="1"/>
    </xf>
    <xf numFmtId="0" fontId="1" fillId="7" borderId="18" xfId="0" applyFont="1" applyFill="1" applyBorder="1" applyAlignment="1">
      <alignment horizontal="center" vertical="center"/>
    </xf>
    <xf numFmtId="165" fontId="20" fillId="7" borderId="93" xfId="0" applyNumberFormat="1" applyFont="1" applyFill="1" applyBorder="1" applyAlignment="1">
      <alignment horizontal="center" vertical="top"/>
    </xf>
    <xf numFmtId="165" fontId="20" fillId="7" borderId="4" xfId="0" applyNumberFormat="1" applyFont="1" applyFill="1" applyBorder="1" applyAlignment="1">
      <alignment horizontal="center" vertical="top"/>
    </xf>
    <xf numFmtId="165" fontId="20" fillId="7" borderId="5" xfId="0" applyNumberFormat="1" applyFont="1" applyFill="1" applyBorder="1" applyAlignment="1">
      <alignment horizontal="center" vertical="top"/>
    </xf>
    <xf numFmtId="165" fontId="2" fillId="9" borderId="28"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49" fontId="2" fillId="7" borderId="39"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1" fillId="7" borderId="62" xfId="0" applyNumberFormat="1" applyFont="1" applyFill="1" applyBorder="1" applyAlignment="1">
      <alignment vertical="top" wrapText="1"/>
    </xf>
    <xf numFmtId="1" fontId="1" fillId="7" borderId="9" xfId="0" applyNumberFormat="1" applyFont="1" applyFill="1" applyBorder="1" applyAlignment="1">
      <alignment horizontal="center" vertical="top"/>
    </xf>
    <xf numFmtId="0" fontId="1" fillId="7" borderId="60" xfId="0" applyFont="1" applyFill="1" applyBorder="1" applyAlignment="1">
      <alignment vertical="top" wrapText="1"/>
    </xf>
    <xf numFmtId="165" fontId="1" fillId="7" borderId="5" xfId="0" applyNumberFormat="1" applyFont="1" applyFill="1" applyBorder="1" applyAlignment="1">
      <alignment horizontal="left" vertical="top" wrapText="1"/>
    </xf>
    <xf numFmtId="0" fontId="1" fillId="7" borderId="51" xfId="0" applyFont="1" applyFill="1" applyBorder="1" applyAlignment="1">
      <alignment vertical="top"/>
    </xf>
    <xf numFmtId="0" fontId="1" fillId="7" borderId="14" xfId="0" applyFont="1" applyFill="1" applyBorder="1" applyAlignment="1">
      <alignment horizontal="center" vertical="top"/>
    </xf>
    <xf numFmtId="165" fontId="1" fillId="7" borderId="23" xfId="0" applyNumberFormat="1" applyFont="1" applyFill="1" applyBorder="1" applyAlignment="1">
      <alignment vertical="top" wrapText="1"/>
    </xf>
    <xf numFmtId="165" fontId="1" fillId="7" borderId="1" xfId="0" applyNumberFormat="1" applyFont="1" applyFill="1" applyBorder="1" applyAlignment="1">
      <alignment horizontal="left" vertical="top" wrapText="1"/>
    </xf>
    <xf numFmtId="49" fontId="2" fillId="7" borderId="9" xfId="0" applyNumberFormat="1" applyFont="1" applyFill="1" applyBorder="1" applyAlignment="1">
      <alignment horizontal="center" vertical="top"/>
    </xf>
    <xf numFmtId="165" fontId="1" fillId="7" borderId="15" xfId="0" applyNumberFormat="1" applyFont="1" applyFill="1" applyBorder="1" applyAlignment="1">
      <alignment horizontal="center" vertical="top" wrapText="1"/>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3" fontId="1" fillId="7" borderId="61" xfId="0" applyNumberFormat="1" applyFont="1" applyFill="1" applyBorder="1" applyAlignment="1">
      <alignment horizontal="center" vertical="top"/>
    </xf>
    <xf numFmtId="0" fontId="1" fillId="7" borderId="60" xfId="0" applyFont="1" applyFill="1" applyBorder="1" applyAlignment="1">
      <alignment horizontal="left" vertical="top" wrapText="1"/>
    </xf>
    <xf numFmtId="0" fontId="2" fillId="7" borderId="60" xfId="0" applyFont="1" applyFill="1" applyBorder="1" applyAlignment="1">
      <alignment horizontal="center" vertical="center"/>
    </xf>
    <xf numFmtId="3" fontId="1" fillId="7" borderId="61" xfId="0" applyNumberFormat="1" applyFont="1" applyFill="1" applyBorder="1" applyAlignment="1">
      <alignment horizontal="center" vertical="top" wrapText="1"/>
    </xf>
    <xf numFmtId="0" fontId="1" fillId="0" borderId="18" xfId="0" applyFont="1" applyBorder="1" applyAlignment="1">
      <alignment horizontal="center" vertical="top"/>
    </xf>
    <xf numFmtId="49" fontId="2" fillId="7" borderId="9"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165" fontId="1" fillId="7" borderId="18" xfId="0" applyNumberFormat="1" applyFont="1" applyFill="1" applyBorder="1" applyAlignment="1">
      <alignment horizontal="center" vertical="top" wrapText="1"/>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2" fillId="9" borderId="5"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165" fontId="2" fillId="2" borderId="39" xfId="0" applyNumberFormat="1" applyFont="1" applyFill="1" applyBorder="1" applyAlignment="1">
      <alignment horizontal="center" vertical="top"/>
    </xf>
    <xf numFmtId="0" fontId="1" fillId="0" borderId="67" xfId="0" applyFont="1" applyBorder="1" applyAlignment="1">
      <alignment horizontal="center" vertical="top"/>
    </xf>
    <xf numFmtId="0" fontId="1" fillId="7" borderId="97" xfId="0" applyNumberFormat="1" applyFont="1" applyFill="1" applyBorder="1" applyAlignment="1">
      <alignment horizontal="center" vertical="top"/>
    </xf>
    <xf numFmtId="165" fontId="1" fillId="7" borderId="97" xfId="0" applyNumberFormat="1" applyFont="1" applyFill="1" applyBorder="1" applyAlignment="1">
      <alignment horizontal="center" vertical="top" wrapText="1"/>
    </xf>
    <xf numFmtId="3" fontId="1" fillId="0" borderId="0" xfId="0" applyNumberFormat="1" applyFont="1" applyFill="1" applyBorder="1" applyAlignment="1">
      <alignment vertical="top" wrapText="1"/>
    </xf>
    <xf numFmtId="49" fontId="2" fillId="7" borderId="9" xfId="0" applyNumberFormat="1" applyFont="1" applyFill="1" applyBorder="1" applyAlignment="1">
      <alignment horizontal="center" vertical="top"/>
    </xf>
    <xf numFmtId="0" fontId="1" fillId="7" borderId="5" xfId="0" applyFont="1" applyFill="1" applyBorder="1" applyAlignment="1">
      <alignment horizontal="left" vertical="top" wrapText="1"/>
    </xf>
    <xf numFmtId="49" fontId="2" fillId="8" borderId="9" xfId="0" applyNumberFormat="1" applyFont="1" applyFill="1" applyBorder="1" applyAlignment="1">
      <alignment horizontal="center" vertical="top"/>
    </xf>
    <xf numFmtId="0" fontId="1" fillId="7" borderId="23" xfId="0" applyFont="1" applyFill="1" applyBorder="1" applyAlignment="1">
      <alignment vertical="top"/>
    </xf>
    <xf numFmtId="49" fontId="1" fillId="0" borderId="0" xfId="0" applyNumberFormat="1" applyFont="1" applyAlignment="1">
      <alignment vertical="top"/>
    </xf>
    <xf numFmtId="49" fontId="1" fillId="0" borderId="0" xfId="0" applyNumberFormat="1" applyFont="1" applyAlignment="1">
      <alignment horizontal="center" vertical="top"/>
    </xf>
    <xf numFmtId="3" fontId="11" fillId="0" borderId="0" xfId="0" applyNumberFormat="1" applyFont="1" applyAlignment="1">
      <alignment vertical="top" wrapText="1"/>
    </xf>
    <xf numFmtId="3" fontId="1" fillId="0" borderId="0" xfId="0" applyNumberFormat="1" applyFont="1" applyAlignment="1">
      <alignment vertical="top"/>
    </xf>
    <xf numFmtId="3" fontId="11" fillId="0" borderId="0" xfId="0" applyNumberFormat="1" applyFont="1" applyAlignment="1">
      <alignment horizontal="right" vertical="top" wrapText="1"/>
    </xf>
    <xf numFmtId="167" fontId="1" fillId="0" borderId="4" xfId="0" applyNumberFormat="1" applyFont="1" applyBorder="1" applyAlignment="1">
      <alignment horizontal="center" vertical="top"/>
    </xf>
    <xf numFmtId="165" fontId="1" fillId="7" borderId="23" xfId="0" applyNumberFormat="1" applyFont="1" applyFill="1" applyBorder="1" applyAlignment="1">
      <alignment horizontal="center" vertical="top" wrapText="1"/>
    </xf>
    <xf numFmtId="165" fontId="2" fillId="9" borderId="28"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1" fillId="7" borderId="24" xfId="0" applyNumberFormat="1" applyFont="1" applyFill="1" applyBorder="1" applyAlignment="1">
      <alignment horizontal="left" vertical="top" wrapText="1"/>
    </xf>
    <xf numFmtId="165" fontId="1" fillId="7" borderId="66" xfId="0" applyNumberFormat="1" applyFont="1" applyFill="1" applyBorder="1" applyAlignment="1">
      <alignment horizontal="center" vertical="top"/>
    </xf>
    <xf numFmtId="0" fontId="1" fillId="7" borderId="40" xfId="0" applyFont="1" applyFill="1" applyBorder="1" applyAlignment="1">
      <alignment vertical="top"/>
    </xf>
    <xf numFmtId="165" fontId="1" fillId="7" borderId="14" xfId="0" applyNumberFormat="1" applyFont="1" applyFill="1" applyBorder="1" applyAlignment="1">
      <alignment horizontal="center" vertical="top" wrapText="1"/>
    </xf>
    <xf numFmtId="165" fontId="2" fillId="7" borderId="30" xfId="0" applyNumberFormat="1" applyFont="1" applyFill="1" applyBorder="1" applyAlignment="1">
      <alignment horizontal="center" vertical="top" wrapText="1"/>
    </xf>
    <xf numFmtId="0" fontId="1" fillId="7" borderId="15" xfId="0" applyFont="1" applyFill="1" applyBorder="1" applyAlignment="1">
      <alignment horizontal="center" vertical="center"/>
    </xf>
    <xf numFmtId="165" fontId="2" fillId="9" borderId="28" xfId="0" applyNumberFormat="1" applyFont="1" applyFill="1" applyBorder="1" applyAlignment="1">
      <alignment horizontal="center" vertical="top"/>
    </xf>
    <xf numFmtId="165" fontId="2" fillId="2" borderId="9"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167" fontId="1" fillId="7" borderId="85" xfId="0" applyNumberFormat="1" applyFont="1" applyFill="1" applyBorder="1" applyAlignment="1">
      <alignment horizontal="center" vertical="center"/>
    </xf>
    <xf numFmtId="0" fontId="1" fillId="7" borderId="23" xfId="0" applyFont="1" applyFill="1" applyBorder="1" applyAlignment="1">
      <alignment horizontal="center" vertical="top"/>
    </xf>
    <xf numFmtId="0" fontId="1" fillId="7" borderId="64" xfId="0" applyFont="1" applyFill="1" applyBorder="1" applyAlignment="1">
      <alignment horizontal="center" vertical="top"/>
    </xf>
    <xf numFmtId="3" fontId="1" fillId="7" borderId="97" xfId="0" applyNumberFormat="1" applyFont="1" applyFill="1" applyBorder="1" applyAlignment="1">
      <alignment horizontal="center" vertical="top"/>
    </xf>
    <xf numFmtId="167" fontId="1" fillId="7" borderId="63" xfId="0" applyNumberFormat="1" applyFont="1" applyFill="1" applyBorder="1" applyAlignment="1">
      <alignment horizontal="center" vertical="top"/>
    </xf>
    <xf numFmtId="165" fontId="1" fillId="7" borderId="15" xfId="0" applyNumberFormat="1" applyFont="1" applyFill="1" applyBorder="1" applyAlignment="1">
      <alignment horizontal="center" vertical="top" wrapText="1"/>
    </xf>
    <xf numFmtId="0" fontId="5" fillId="7" borderId="15" xfId="0" applyFont="1" applyFill="1" applyBorder="1" applyAlignment="1">
      <alignment horizontal="center" vertical="top" wrapText="1"/>
    </xf>
    <xf numFmtId="165" fontId="2" fillId="9" borderId="5" xfId="0" applyNumberFormat="1" applyFont="1" applyFill="1" applyBorder="1" applyAlignment="1">
      <alignment horizontal="center" vertical="top"/>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165" fontId="1" fillId="7" borderId="15" xfId="0" applyNumberFormat="1" applyFont="1" applyFill="1" applyBorder="1" applyAlignment="1">
      <alignment horizontal="center" vertical="top" wrapText="1"/>
    </xf>
    <xf numFmtId="49" fontId="2" fillId="7" borderId="17"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165" fontId="2" fillId="7" borderId="17" xfId="0" applyNumberFormat="1" applyFont="1" applyFill="1" applyBorder="1" applyAlignment="1">
      <alignment horizontal="center" vertical="top" wrapText="1"/>
    </xf>
    <xf numFmtId="165" fontId="2" fillId="7" borderId="24" xfId="0" applyNumberFormat="1" applyFont="1" applyFill="1" applyBorder="1" applyAlignment="1">
      <alignment horizontal="center" vertical="top" wrapText="1"/>
    </xf>
    <xf numFmtId="165" fontId="1" fillId="7" borderId="1" xfId="0" applyNumberFormat="1" applyFont="1" applyFill="1" applyBorder="1" applyAlignment="1">
      <alignment vertical="top" wrapText="1"/>
    </xf>
    <xf numFmtId="165" fontId="2" fillId="7" borderId="1" xfId="0" applyNumberFormat="1" applyFont="1" applyFill="1" applyBorder="1" applyAlignment="1">
      <alignment horizontal="center" vertical="top" wrapText="1"/>
    </xf>
    <xf numFmtId="165" fontId="1" fillId="7" borderId="51" xfId="0" applyNumberFormat="1" applyFont="1" applyFill="1" applyBorder="1" applyAlignment="1">
      <alignment vertical="top" wrapText="1"/>
    </xf>
    <xf numFmtId="3" fontId="1" fillId="7" borderId="14" xfId="0" applyNumberFormat="1" applyFont="1" applyFill="1" applyBorder="1" applyAlignment="1">
      <alignment horizontal="center" vertical="top" wrapText="1"/>
    </xf>
    <xf numFmtId="0" fontId="1" fillId="7" borderId="16" xfId="0" applyFont="1" applyFill="1" applyBorder="1" applyAlignment="1">
      <alignment vertical="top"/>
    </xf>
    <xf numFmtId="0" fontId="1" fillId="7" borderId="31" xfId="0" applyFont="1" applyFill="1" applyBorder="1" applyAlignment="1">
      <alignment horizontal="center" vertical="top"/>
    </xf>
    <xf numFmtId="49" fontId="1" fillId="7" borderId="42" xfId="0" applyNumberFormat="1" applyFont="1" applyFill="1" applyBorder="1" applyAlignment="1">
      <alignment horizontal="center" vertical="top"/>
    </xf>
    <xf numFmtId="165" fontId="1" fillId="7" borderId="18" xfId="0" applyNumberFormat="1" applyFont="1" applyFill="1" applyBorder="1" applyAlignment="1">
      <alignment horizontal="center" vertical="top" wrapText="1"/>
    </xf>
    <xf numFmtId="165" fontId="1" fillId="7" borderId="23" xfId="0" applyNumberFormat="1" applyFont="1" applyFill="1" applyBorder="1" applyAlignment="1">
      <alignment horizontal="center" vertical="top" wrapText="1"/>
    </xf>
    <xf numFmtId="165" fontId="1" fillId="7" borderId="15" xfId="0" applyNumberFormat="1" applyFont="1" applyFill="1" applyBorder="1" applyAlignment="1">
      <alignment horizontal="center" vertical="top" wrapText="1"/>
    </xf>
    <xf numFmtId="165" fontId="1" fillId="7" borderId="17" xfId="0" applyNumberFormat="1" applyFont="1" applyFill="1" applyBorder="1" applyAlignment="1">
      <alignment horizontal="left" vertical="top" wrapText="1"/>
    </xf>
    <xf numFmtId="165" fontId="1" fillId="7" borderId="9" xfId="0" applyNumberFormat="1" applyFont="1" applyFill="1" applyBorder="1" applyAlignment="1">
      <alignment horizontal="left" vertical="top" wrapText="1"/>
    </xf>
    <xf numFmtId="0" fontId="5" fillId="7" borderId="15" xfId="0" applyFont="1" applyFill="1" applyBorder="1" applyAlignment="1">
      <alignment horizontal="center" vertical="top" wrapText="1"/>
    </xf>
    <xf numFmtId="165" fontId="1" fillId="7" borderId="86" xfId="0" applyNumberFormat="1" applyFont="1" applyFill="1" applyBorder="1" applyAlignment="1">
      <alignment horizontal="left" vertical="top" wrapText="1"/>
    </xf>
    <xf numFmtId="165" fontId="1" fillId="7" borderId="84" xfId="0" applyNumberFormat="1" applyFont="1" applyFill="1" applyBorder="1" applyAlignment="1">
      <alignment horizontal="left" vertical="top" wrapText="1"/>
    </xf>
    <xf numFmtId="165" fontId="2" fillId="9" borderId="28" xfId="0" applyNumberFormat="1" applyFont="1" applyFill="1" applyBorder="1" applyAlignment="1">
      <alignment horizontal="center" vertical="top"/>
    </xf>
    <xf numFmtId="49" fontId="2" fillId="7" borderId="17" xfId="0" applyNumberFormat="1" applyFont="1" applyFill="1" applyBorder="1" applyAlignment="1">
      <alignment horizontal="center" vertical="top" wrapText="1"/>
    </xf>
    <xf numFmtId="49" fontId="2" fillId="7" borderId="9" xfId="0" applyNumberFormat="1" applyFont="1" applyFill="1" applyBorder="1" applyAlignment="1">
      <alignment horizontal="center" vertical="top" wrapText="1"/>
    </xf>
    <xf numFmtId="0" fontId="5" fillId="7" borderId="24" xfId="0" applyFont="1" applyFill="1" applyBorder="1" applyAlignment="1">
      <alignment horizontal="center" vertical="top" wrapText="1"/>
    </xf>
    <xf numFmtId="49" fontId="2" fillId="7" borderId="17" xfId="0" applyNumberFormat="1" applyFont="1" applyFill="1" applyBorder="1" applyAlignment="1">
      <alignment horizontal="center" vertical="top"/>
    </xf>
    <xf numFmtId="49" fontId="2" fillId="7" borderId="24" xfId="0" applyNumberFormat="1" applyFont="1" applyFill="1" applyBorder="1" applyAlignment="1">
      <alignment horizontal="center" vertical="top"/>
    </xf>
    <xf numFmtId="165" fontId="1" fillId="7" borderId="83" xfId="0" applyNumberFormat="1" applyFont="1" applyFill="1" applyBorder="1" applyAlignment="1">
      <alignment horizontal="left" vertical="top" wrapText="1"/>
    </xf>
    <xf numFmtId="165" fontId="1" fillId="7" borderId="5" xfId="0" applyNumberFormat="1" applyFont="1" applyFill="1" applyBorder="1" applyAlignment="1">
      <alignment horizontal="left" vertical="top" wrapText="1"/>
    </xf>
    <xf numFmtId="165" fontId="1" fillId="7" borderId="17" xfId="0" applyNumberFormat="1" applyFont="1" applyFill="1" applyBorder="1" applyAlignment="1">
      <alignment vertical="top" wrapText="1"/>
    </xf>
    <xf numFmtId="0" fontId="5" fillId="7" borderId="9" xfId="0" applyFont="1" applyFill="1" applyBorder="1" applyAlignment="1">
      <alignment vertical="top" wrapText="1"/>
    </xf>
    <xf numFmtId="0" fontId="5" fillId="7" borderId="24" xfId="0" applyFont="1" applyFill="1" applyBorder="1" applyAlignment="1">
      <alignment vertical="top" wrapText="1"/>
    </xf>
    <xf numFmtId="165" fontId="2" fillId="2" borderId="9" xfId="0" applyNumberFormat="1" applyFont="1" applyFill="1" applyBorder="1" applyAlignment="1">
      <alignment horizontal="center" vertical="top"/>
    </xf>
    <xf numFmtId="165" fontId="1" fillId="7" borderId="9" xfId="0" applyNumberFormat="1" applyFont="1" applyFill="1" applyBorder="1" applyAlignment="1">
      <alignment vertical="top" wrapText="1"/>
    </xf>
    <xf numFmtId="165" fontId="1" fillId="8" borderId="9" xfId="0" applyNumberFormat="1" applyFont="1" applyFill="1" applyBorder="1" applyAlignment="1">
      <alignment horizontal="center" vertical="center" textRotation="90" wrapText="1"/>
    </xf>
    <xf numFmtId="165" fontId="2" fillId="9" borderId="5" xfId="0" applyNumberFormat="1" applyFont="1" applyFill="1" applyBorder="1" applyAlignment="1">
      <alignment horizontal="center" vertical="top"/>
    </xf>
    <xf numFmtId="49" fontId="2" fillId="7" borderId="9" xfId="0" applyNumberFormat="1" applyFont="1" applyFill="1" applyBorder="1" applyAlignment="1">
      <alignment horizontal="center" vertical="top"/>
    </xf>
    <xf numFmtId="0" fontId="1" fillId="0" borderId="32"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50" xfId="0" applyFont="1" applyBorder="1" applyAlignment="1">
      <alignment horizontal="center" vertical="center" textRotation="90" wrapText="1"/>
    </xf>
    <xf numFmtId="0" fontId="1" fillId="0" borderId="83" xfId="0" applyFont="1" applyBorder="1" applyAlignment="1">
      <alignment horizontal="center" vertical="center" wrapText="1"/>
    </xf>
    <xf numFmtId="0" fontId="1" fillId="0" borderId="7" xfId="0" applyFont="1" applyBorder="1" applyAlignment="1">
      <alignment horizontal="center" vertical="center" wrapText="1"/>
    </xf>
    <xf numFmtId="0" fontId="1" fillId="7" borderId="37" xfId="0" applyFont="1" applyFill="1" applyBorder="1" applyAlignment="1">
      <alignment horizontal="left" vertical="top" wrapText="1"/>
    </xf>
    <xf numFmtId="0" fontId="1" fillId="7" borderId="39" xfId="0" applyFont="1" applyFill="1" applyBorder="1" applyAlignment="1">
      <alignment horizontal="left" vertical="top" wrapText="1"/>
    </xf>
    <xf numFmtId="0" fontId="1" fillId="7" borderId="29"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84" xfId="0" applyFont="1" applyFill="1" applyBorder="1" applyAlignment="1">
      <alignment horizontal="left" vertical="top" wrapText="1"/>
    </xf>
    <xf numFmtId="3" fontId="1" fillId="0" borderId="33" xfId="0" applyNumberFormat="1" applyFont="1" applyBorder="1" applyAlignment="1">
      <alignment horizontal="center" vertical="center" shrinkToFit="1"/>
    </xf>
    <xf numFmtId="3" fontId="1" fillId="0" borderId="39" xfId="0" applyNumberFormat="1" applyFont="1" applyBorder="1" applyAlignment="1">
      <alignment horizontal="center" vertical="center" shrinkToFit="1"/>
    </xf>
    <xf numFmtId="3" fontId="1" fillId="0" borderId="45" xfId="0" applyNumberFormat="1" applyFont="1" applyBorder="1" applyAlignment="1">
      <alignment horizontal="center" vertical="center" shrinkToFit="1"/>
    </xf>
    <xf numFmtId="0" fontId="2" fillId="0" borderId="96" xfId="0" applyFont="1" applyBorder="1" applyAlignment="1">
      <alignment horizontal="center" vertical="center"/>
    </xf>
    <xf numFmtId="0" fontId="2" fillId="0" borderId="81" xfId="0" applyFont="1" applyBorder="1" applyAlignment="1">
      <alignment horizontal="center" vertical="center"/>
    </xf>
    <xf numFmtId="3" fontId="1" fillId="0" borderId="21" xfId="0" applyNumberFormat="1" applyFont="1" applyBorder="1" applyAlignment="1">
      <alignment horizontal="center" vertical="center" textRotation="90" shrinkToFit="1"/>
    </xf>
    <xf numFmtId="3" fontId="1" fillId="0" borderId="9" xfId="0" applyNumberFormat="1" applyFont="1" applyBorder="1" applyAlignment="1">
      <alignment horizontal="center" vertical="center" textRotation="90" shrinkToFit="1"/>
    </xf>
    <xf numFmtId="3" fontId="1" fillId="0" borderId="25" xfId="0" applyNumberFormat="1" applyFont="1" applyBorder="1" applyAlignment="1">
      <alignment horizontal="center" vertical="center" textRotation="90" shrinkToFit="1"/>
    </xf>
    <xf numFmtId="3" fontId="1" fillId="0" borderId="22" xfId="0" applyNumberFormat="1" applyFont="1" applyFill="1" applyBorder="1" applyAlignment="1">
      <alignment horizontal="center" vertical="center" wrapText="1" shrinkToFit="1"/>
    </xf>
    <xf numFmtId="3" fontId="1" fillId="0" borderId="15" xfId="0" applyNumberFormat="1" applyFont="1" applyFill="1" applyBorder="1" applyAlignment="1">
      <alignment horizontal="center" vertical="center" wrapText="1" shrinkToFit="1"/>
    </xf>
    <xf numFmtId="3" fontId="1" fillId="0" borderId="92" xfId="0" applyNumberFormat="1" applyFont="1" applyFill="1" applyBorder="1" applyAlignment="1">
      <alignment horizontal="center" vertical="center" wrapText="1" shrinkToFit="1"/>
    </xf>
    <xf numFmtId="3" fontId="1" fillId="0" borderId="32" xfId="0" applyNumberFormat="1" applyFont="1" applyBorder="1" applyAlignment="1">
      <alignment horizontal="center" vertical="center" textRotation="90" wrapText="1" shrinkToFit="1"/>
    </xf>
    <xf numFmtId="3" fontId="1" fillId="0" borderId="4" xfId="0" applyNumberFormat="1" applyFont="1" applyBorder="1" applyAlignment="1">
      <alignment horizontal="center" vertical="center" textRotation="90" wrapText="1" shrinkToFit="1"/>
    </xf>
    <xf numFmtId="3" fontId="1" fillId="0" borderId="50" xfId="0" applyNumberFormat="1" applyFont="1" applyBorder="1" applyAlignment="1">
      <alignment horizontal="center" vertical="center" textRotation="90" wrapText="1" shrinkToFit="1"/>
    </xf>
    <xf numFmtId="165" fontId="1" fillId="7" borderId="83" xfId="3" applyNumberFormat="1" applyFont="1" applyFill="1" applyBorder="1" applyAlignment="1">
      <alignment horizontal="left" vertical="top" wrapText="1"/>
    </xf>
    <xf numFmtId="165" fontId="1" fillId="7" borderId="5" xfId="3" applyNumberFormat="1"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48" xfId="0" applyFont="1" applyFill="1" applyBorder="1" applyAlignment="1">
      <alignment horizontal="left" vertical="top" wrapText="1"/>
    </xf>
    <xf numFmtId="0" fontId="2" fillId="9" borderId="37" xfId="0" applyFont="1" applyFill="1" applyBorder="1" applyAlignment="1">
      <alignment horizontal="left" vertical="top" wrapText="1"/>
    </xf>
    <xf numFmtId="0" fontId="2" fillId="9" borderId="4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8" xfId="0" applyFont="1" applyFill="1" applyBorder="1" applyAlignment="1">
      <alignment horizontal="left" vertical="top" wrapText="1"/>
    </xf>
    <xf numFmtId="49" fontId="3" fillId="6" borderId="52" xfId="0" applyNumberFormat="1" applyFont="1" applyFill="1" applyBorder="1" applyAlignment="1">
      <alignment horizontal="left" vertical="top" wrapText="1"/>
    </xf>
    <xf numFmtId="49" fontId="3" fillId="6" borderId="57" xfId="0" applyNumberFormat="1" applyFont="1" applyFill="1" applyBorder="1" applyAlignment="1">
      <alignment horizontal="left" vertical="top" wrapText="1"/>
    </xf>
    <xf numFmtId="165" fontId="1" fillId="0" borderId="17" xfId="0" applyNumberFormat="1" applyFont="1" applyFill="1" applyBorder="1" applyAlignment="1">
      <alignment horizontal="left" vertical="top" wrapText="1"/>
    </xf>
    <xf numFmtId="165" fontId="1" fillId="0" borderId="9" xfId="0" applyNumberFormat="1" applyFont="1" applyFill="1" applyBorder="1" applyAlignment="1">
      <alignment horizontal="left" vertical="top" wrapText="1"/>
    </xf>
    <xf numFmtId="165" fontId="1" fillId="0" borderId="24" xfId="0" applyNumberFormat="1" applyFont="1" applyFill="1" applyBorder="1" applyAlignment="1">
      <alignment horizontal="left" vertical="top" wrapText="1"/>
    </xf>
    <xf numFmtId="0" fontId="1" fillId="7" borderId="17" xfId="0" applyFont="1" applyFill="1" applyBorder="1" applyAlignment="1">
      <alignment vertical="top" wrapText="1"/>
    </xf>
    <xf numFmtId="165" fontId="5" fillId="7" borderId="24" xfId="0" applyNumberFormat="1" applyFont="1" applyFill="1" applyBorder="1" applyAlignment="1">
      <alignment horizontal="left" vertical="top" wrapText="1"/>
    </xf>
    <xf numFmtId="0" fontId="1" fillId="0" borderId="83" xfId="0" applyFont="1" applyBorder="1" applyAlignment="1">
      <alignment horizontal="left" vertical="top" wrapText="1"/>
    </xf>
    <xf numFmtId="0" fontId="1" fillId="0" borderId="87" xfId="0" applyFont="1" applyBorder="1" applyAlignment="1">
      <alignment horizontal="left" vertical="top" wrapText="1"/>
    </xf>
    <xf numFmtId="165" fontId="2" fillId="2" borderId="39" xfId="0" applyNumberFormat="1" applyFont="1" applyFill="1" applyBorder="1" applyAlignment="1">
      <alignment horizontal="center" vertical="top"/>
    </xf>
    <xf numFmtId="165" fontId="2" fillId="8" borderId="9" xfId="0" applyNumberFormat="1" applyFont="1" applyFill="1" applyBorder="1" applyAlignment="1">
      <alignment horizontal="center" vertical="top"/>
    </xf>
    <xf numFmtId="165" fontId="2" fillId="2" borderId="58" xfId="0" applyNumberFormat="1" applyFont="1" applyFill="1" applyBorder="1" applyAlignment="1">
      <alignment horizontal="left" vertical="top"/>
    </xf>
    <xf numFmtId="165" fontId="2" fillId="2" borderId="54" xfId="0" applyNumberFormat="1" applyFont="1" applyFill="1" applyBorder="1" applyAlignment="1">
      <alignment horizontal="left" vertical="top"/>
    </xf>
    <xf numFmtId="165" fontId="2" fillId="2" borderId="55" xfId="0" applyNumberFormat="1" applyFont="1" applyFill="1" applyBorder="1" applyAlignment="1">
      <alignment horizontal="left" vertical="top"/>
    </xf>
    <xf numFmtId="0" fontId="1" fillId="7" borderId="15" xfId="0" applyFont="1" applyFill="1" applyBorder="1" applyAlignment="1">
      <alignment horizontal="center" vertical="top" wrapText="1"/>
    </xf>
    <xf numFmtId="0" fontId="1" fillId="7" borderId="23" xfId="0" applyFont="1" applyFill="1" applyBorder="1" applyAlignment="1">
      <alignment horizontal="center" vertical="top" wrapText="1"/>
    </xf>
    <xf numFmtId="165" fontId="1" fillId="7" borderId="24" xfId="0" applyNumberFormat="1" applyFont="1" applyFill="1" applyBorder="1" applyAlignment="1">
      <alignment horizontal="left" vertical="top" wrapText="1"/>
    </xf>
    <xf numFmtId="165" fontId="1" fillId="7" borderId="66" xfId="0" applyNumberFormat="1" applyFont="1" applyFill="1" applyBorder="1" applyAlignment="1">
      <alignment horizontal="left" vertical="top" wrapText="1"/>
    </xf>
    <xf numFmtId="165" fontId="1" fillId="12" borderId="44" xfId="0" applyNumberFormat="1" applyFont="1" applyFill="1" applyBorder="1" applyAlignment="1">
      <alignment horizontal="center" vertical="top" wrapText="1"/>
    </xf>
    <xf numFmtId="165" fontId="1" fillId="12" borderId="55" xfId="0" applyNumberFormat="1" applyFont="1" applyFill="1" applyBorder="1" applyAlignment="1">
      <alignment horizontal="center" vertical="top" wrapText="1"/>
    </xf>
    <xf numFmtId="165" fontId="1" fillId="7" borderId="24" xfId="0" applyNumberFormat="1" applyFont="1" applyFill="1" applyBorder="1" applyAlignment="1">
      <alignment vertical="top" wrapText="1"/>
    </xf>
    <xf numFmtId="165" fontId="1" fillId="7" borderId="60" xfId="0" applyNumberFormat="1" applyFont="1" applyFill="1" applyBorder="1" applyAlignment="1">
      <alignment horizontal="left" vertical="top" wrapText="1"/>
    </xf>
    <xf numFmtId="165" fontId="2" fillId="7" borderId="17" xfId="0" applyNumberFormat="1" applyFont="1" applyFill="1" applyBorder="1" applyAlignment="1">
      <alignment horizontal="center" vertical="top" wrapText="1"/>
    </xf>
    <xf numFmtId="165" fontId="2" fillId="7" borderId="9" xfId="0" applyNumberFormat="1" applyFont="1" applyFill="1" applyBorder="1" applyAlignment="1">
      <alignment horizontal="center" vertical="top" wrapText="1"/>
    </xf>
    <xf numFmtId="0" fontId="1" fillId="3" borderId="49" xfId="0" applyFont="1" applyFill="1" applyBorder="1" applyAlignment="1">
      <alignment horizontal="left" vertical="top" wrapText="1"/>
    </xf>
    <xf numFmtId="0" fontId="1" fillId="3" borderId="59" xfId="0" applyFont="1" applyFill="1" applyBorder="1" applyAlignment="1">
      <alignment horizontal="left" vertical="top" wrapText="1"/>
    </xf>
    <xf numFmtId="0" fontId="1" fillId="3" borderId="42" xfId="0" applyFont="1" applyFill="1" applyBorder="1" applyAlignment="1">
      <alignment horizontal="left" vertical="top" wrapText="1"/>
    </xf>
    <xf numFmtId="49" fontId="2" fillId="8" borderId="9" xfId="0" applyNumberFormat="1" applyFont="1" applyFill="1" applyBorder="1" applyAlignment="1">
      <alignment horizontal="center" vertical="top"/>
    </xf>
    <xf numFmtId="165" fontId="1" fillId="0" borderId="83" xfId="0" applyNumberFormat="1" applyFont="1" applyFill="1" applyBorder="1" applyAlignment="1">
      <alignment horizontal="left" vertical="top" wrapText="1"/>
    </xf>
    <xf numFmtId="165" fontId="1" fillId="0" borderId="84" xfId="0" applyNumberFormat="1" applyFont="1" applyFill="1" applyBorder="1" applyAlignment="1">
      <alignment horizontal="left" vertical="top" wrapText="1"/>
    </xf>
    <xf numFmtId="165" fontId="2" fillId="7" borderId="24" xfId="0" applyNumberFormat="1" applyFont="1" applyFill="1" applyBorder="1" applyAlignment="1">
      <alignment horizontal="center" vertical="top" wrapText="1"/>
    </xf>
    <xf numFmtId="165" fontId="2" fillId="2" borderId="58" xfId="0" applyNumberFormat="1" applyFont="1" applyFill="1" applyBorder="1" applyAlignment="1">
      <alignment horizontal="right" vertical="top"/>
    </xf>
    <xf numFmtId="165" fontId="2" fillId="2" borderId="54" xfId="0" applyNumberFormat="1" applyFont="1" applyFill="1" applyBorder="1" applyAlignment="1">
      <alignment horizontal="right" vertical="top"/>
    </xf>
    <xf numFmtId="165" fontId="2" fillId="2" borderId="55" xfId="0" applyNumberFormat="1" applyFont="1" applyFill="1" applyBorder="1" applyAlignment="1">
      <alignment horizontal="right" vertical="top"/>
    </xf>
    <xf numFmtId="165" fontId="1" fillId="7" borderId="37" xfId="0" applyNumberFormat="1" applyFont="1" applyFill="1" applyBorder="1" applyAlignment="1">
      <alignment vertical="top" wrapText="1"/>
    </xf>
    <xf numFmtId="165" fontId="1" fillId="7" borderId="39" xfId="0" applyNumberFormat="1" applyFont="1" applyFill="1" applyBorder="1" applyAlignment="1">
      <alignment vertical="top" wrapText="1"/>
    </xf>
    <xf numFmtId="165" fontId="2" fillId="4" borderId="56" xfId="0" applyNumberFormat="1" applyFont="1" applyFill="1" applyBorder="1" applyAlignment="1">
      <alignment horizontal="right" vertical="top" wrapText="1"/>
    </xf>
    <xf numFmtId="165" fontId="2" fillId="4" borderId="26" xfId="0" applyNumberFormat="1" applyFont="1" applyFill="1" applyBorder="1" applyAlignment="1">
      <alignment horizontal="right" vertical="top" wrapText="1"/>
    </xf>
    <xf numFmtId="165" fontId="2" fillId="4" borderId="27" xfId="0" applyNumberFormat="1" applyFont="1" applyFill="1" applyBorder="1" applyAlignment="1">
      <alignment horizontal="right" vertical="top" wrapText="1"/>
    </xf>
    <xf numFmtId="165" fontId="2" fillId="8" borderId="51" xfId="0" applyNumberFormat="1" applyFont="1" applyFill="1" applyBorder="1" applyAlignment="1">
      <alignment horizontal="right" vertical="top" wrapText="1"/>
    </xf>
    <xf numFmtId="165" fontId="5" fillId="8" borderId="48" xfId="0" applyNumberFormat="1" applyFont="1" applyFill="1" applyBorder="1" applyAlignment="1">
      <alignment horizontal="right" vertical="top" wrapText="1"/>
    </xf>
    <xf numFmtId="165" fontId="5" fillId="8" borderId="34" xfId="0" applyNumberFormat="1" applyFont="1" applyFill="1" applyBorder="1" applyAlignment="1">
      <alignment horizontal="right" vertical="top" wrapText="1"/>
    </xf>
    <xf numFmtId="165" fontId="2" fillId="9" borderId="58" xfId="0" applyNumberFormat="1" applyFont="1" applyFill="1" applyBorder="1" applyAlignment="1">
      <alignment horizontal="right" vertical="top"/>
    </xf>
    <xf numFmtId="165" fontId="2" fillId="9" borderId="54" xfId="0" applyNumberFormat="1" applyFont="1" applyFill="1" applyBorder="1" applyAlignment="1">
      <alignment horizontal="right" vertical="top"/>
    </xf>
    <xf numFmtId="165" fontId="2" fillId="9" borderId="55" xfId="0" applyNumberFormat="1" applyFont="1" applyFill="1" applyBorder="1" applyAlignment="1">
      <alignment horizontal="right" vertical="top"/>
    </xf>
    <xf numFmtId="165" fontId="2" fillId="5" borderId="58" xfId="0" applyNumberFormat="1" applyFont="1" applyFill="1" applyBorder="1" applyAlignment="1">
      <alignment horizontal="right" vertical="top"/>
    </xf>
    <xf numFmtId="165" fontId="2" fillId="5" borderId="54" xfId="0" applyNumberFormat="1" applyFont="1" applyFill="1" applyBorder="1" applyAlignment="1">
      <alignment horizontal="right" vertical="top"/>
    </xf>
    <xf numFmtId="165" fontId="2" fillId="5" borderId="55" xfId="0" applyNumberFormat="1" applyFont="1" applyFill="1" applyBorder="1" applyAlignment="1">
      <alignment horizontal="right" vertical="top"/>
    </xf>
    <xf numFmtId="165" fontId="2" fillId="5" borderId="51" xfId="0" applyNumberFormat="1" applyFont="1" applyFill="1" applyBorder="1" applyAlignment="1">
      <alignment horizontal="right" vertical="top" wrapText="1"/>
    </xf>
    <xf numFmtId="165" fontId="2" fillId="5" borderId="48" xfId="0" applyNumberFormat="1" applyFont="1" applyFill="1" applyBorder="1" applyAlignment="1">
      <alignment horizontal="right" vertical="top" wrapText="1"/>
    </xf>
    <xf numFmtId="165" fontId="2" fillId="5" borderId="34" xfId="0" applyNumberFormat="1" applyFont="1" applyFill="1" applyBorder="1" applyAlignment="1">
      <alignment horizontal="right" vertical="top" wrapText="1"/>
    </xf>
    <xf numFmtId="165" fontId="1" fillId="3" borderId="49" xfId="0" applyNumberFormat="1" applyFont="1" applyFill="1" applyBorder="1" applyAlignment="1">
      <alignment horizontal="left" vertical="top" wrapText="1"/>
    </xf>
    <xf numFmtId="165" fontId="1" fillId="3" borderId="59" xfId="0" applyNumberFormat="1" applyFont="1" applyFill="1" applyBorder="1" applyAlignment="1">
      <alignment horizontal="left" vertical="top" wrapText="1"/>
    </xf>
    <xf numFmtId="165" fontId="1" fillId="3" borderId="42" xfId="0" applyNumberFormat="1" applyFont="1" applyFill="1" applyBorder="1" applyAlignment="1">
      <alignment horizontal="left" vertical="top" wrapText="1"/>
    </xf>
    <xf numFmtId="165" fontId="1" fillId="3" borderId="51" xfId="0" applyNumberFormat="1" applyFont="1" applyFill="1" applyBorder="1" applyAlignment="1">
      <alignment horizontal="left" vertical="top" wrapText="1"/>
    </xf>
    <xf numFmtId="165" fontId="1" fillId="3" borderId="48" xfId="0" applyNumberFormat="1" applyFont="1" applyFill="1" applyBorder="1" applyAlignment="1">
      <alignment horizontal="left" vertical="top" wrapText="1"/>
    </xf>
    <xf numFmtId="165" fontId="1" fillId="3" borderId="34" xfId="0" applyNumberFormat="1" applyFont="1" applyFill="1" applyBorder="1" applyAlignment="1">
      <alignment horizontal="left" vertical="top" wrapText="1"/>
    </xf>
    <xf numFmtId="3" fontId="2" fillId="0" borderId="44" xfId="0" applyNumberFormat="1" applyFont="1" applyBorder="1" applyAlignment="1">
      <alignment horizontal="center" vertical="center" wrapText="1"/>
    </xf>
    <xf numFmtId="3" fontId="2" fillId="0" borderId="54" xfId="0" applyNumberFormat="1" applyFont="1" applyBorder="1" applyAlignment="1">
      <alignment horizontal="center" vertical="center" wrapText="1"/>
    </xf>
    <xf numFmtId="3" fontId="2" fillId="0" borderId="55" xfId="0" applyNumberFormat="1" applyFont="1" applyBorder="1" applyAlignment="1">
      <alignment horizontal="center" vertical="center" wrapText="1"/>
    </xf>
    <xf numFmtId="165" fontId="2" fillId="5" borderId="52" xfId="0" applyNumberFormat="1" applyFont="1" applyFill="1" applyBorder="1" applyAlignment="1">
      <alignment horizontal="right" vertical="top" wrapText="1"/>
    </xf>
    <xf numFmtId="165" fontId="2" fillId="5" borderId="57" xfId="0" applyNumberFormat="1" applyFont="1" applyFill="1" applyBorder="1" applyAlignment="1">
      <alignment horizontal="right" vertical="top" wrapText="1"/>
    </xf>
    <xf numFmtId="165" fontId="2" fillId="5" borderId="53" xfId="0" applyNumberFormat="1" applyFont="1" applyFill="1" applyBorder="1" applyAlignment="1">
      <alignment horizontal="right" vertical="top" wrapText="1"/>
    </xf>
    <xf numFmtId="165" fontId="2" fillId="0" borderId="0" xfId="0" applyNumberFormat="1" applyFont="1" applyFill="1" applyBorder="1" applyAlignment="1">
      <alignment horizontal="center" vertical="top" wrapText="1"/>
    </xf>
    <xf numFmtId="0" fontId="1" fillId="0" borderId="41" xfId="0" applyNumberFormat="1" applyFont="1" applyFill="1" applyBorder="1" applyAlignment="1">
      <alignment horizontal="left" vertical="top" wrapText="1"/>
    </xf>
    <xf numFmtId="165" fontId="1" fillId="11" borderId="44" xfId="0" applyNumberFormat="1" applyFont="1" applyFill="1" applyBorder="1" applyAlignment="1">
      <alignment horizontal="center" vertical="top"/>
    </xf>
    <xf numFmtId="165" fontId="1" fillId="11" borderId="55" xfId="0" applyNumberFormat="1" applyFont="1" applyFill="1" applyBorder="1" applyAlignment="1">
      <alignment horizontal="center" vertical="top"/>
    </xf>
    <xf numFmtId="165" fontId="1" fillId="9" borderId="44" xfId="0" applyNumberFormat="1" applyFont="1" applyFill="1" applyBorder="1" applyAlignment="1">
      <alignment horizontal="center" vertical="top"/>
    </xf>
    <xf numFmtId="165" fontId="1" fillId="9" borderId="55" xfId="0" applyNumberFormat="1" applyFont="1" applyFill="1" applyBorder="1" applyAlignment="1">
      <alignment horizontal="center" vertical="top"/>
    </xf>
    <xf numFmtId="165" fontId="1" fillId="2" borderId="44" xfId="0" applyNumberFormat="1" applyFont="1" applyFill="1" applyBorder="1" applyAlignment="1">
      <alignment horizontal="center" vertical="top" wrapText="1"/>
    </xf>
    <xf numFmtId="165" fontId="1" fillId="2" borderId="55" xfId="0" applyNumberFormat="1" applyFont="1" applyFill="1" applyBorder="1" applyAlignment="1">
      <alignment horizontal="center" vertical="top" wrapText="1"/>
    </xf>
    <xf numFmtId="165" fontId="1" fillId="8" borderId="51" xfId="0" applyNumberFormat="1" applyFont="1" applyFill="1" applyBorder="1" applyAlignment="1">
      <alignment vertical="top" wrapText="1"/>
    </xf>
    <xf numFmtId="165" fontId="5" fillId="8" borderId="48" xfId="0" applyNumberFormat="1" applyFont="1" applyFill="1" applyBorder="1" applyAlignment="1">
      <alignment vertical="top" wrapText="1"/>
    </xf>
    <xf numFmtId="165" fontId="5" fillId="8" borderId="34" xfId="0" applyNumberFormat="1" applyFont="1" applyFill="1" applyBorder="1" applyAlignment="1">
      <alignment vertical="top" wrapText="1"/>
    </xf>
    <xf numFmtId="165" fontId="1" fillId="7" borderId="51" xfId="0" applyNumberFormat="1" applyFont="1" applyFill="1" applyBorder="1" applyAlignment="1">
      <alignment horizontal="left" vertical="top" wrapText="1"/>
    </xf>
    <xf numFmtId="165" fontId="1" fillId="7" borderId="48" xfId="0" applyNumberFormat="1" applyFont="1" applyFill="1" applyBorder="1" applyAlignment="1">
      <alignment horizontal="left" vertical="top" wrapText="1"/>
    </xf>
    <xf numFmtId="165" fontId="1" fillId="7" borderId="34" xfId="0" applyNumberFormat="1" applyFont="1" applyFill="1" applyBorder="1" applyAlignment="1">
      <alignment horizontal="left" vertical="top" wrapText="1"/>
    </xf>
    <xf numFmtId="165" fontId="1" fillId="7" borderId="49" xfId="0" applyNumberFormat="1" applyFont="1" applyFill="1" applyBorder="1" applyAlignment="1">
      <alignment horizontal="left" vertical="top" wrapText="1"/>
    </xf>
    <xf numFmtId="165" fontId="1" fillId="7" borderId="59" xfId="0" applyNumberFormat="1" applyFont="1" applyFill="1" applyBorder="1" applyAlignment="1">
      <alignment horizontal="left" vertical="top" wrapText="1"/>
    </xf>
    <xf numFmtId="165" fontId="1" fillId="7" borderId="42" xfId="0" applyNumberFormat="1" applyFont="1" applyFill="1" applyBorder="1" applyAlignment="1">
      <alignment horizontal="left" vertical="top" wrapText="1"/>
    </xf>
    <xf numFmtId="165" fontId="2" fillId="8" borderId="51" xfId="0" applyNumberFormat="1" applyFont="1" applyFill="1" applyBorder="1" applyAlignment="1">
      <alignment horizontal="left" vertical="top" wrapText="1"/>
    </xf>
    <xf numFmtId="165" fontId="2" fillId="8" borderId="48" xfId="0" applyNumberFormat="1" applyFont="1" applyFill="1" applyBorder="1" applyAlignment="1">
      <alignment horizontal="left" vertical="top" wrapText="1"/>
    </xf>
    <xf numFmtId="165" fontId="2" fillId="8" borderId="34" xfId="0" applyNumberFormat="1" applyFont="1" applyFill="1" applyBorder="1" applyAlignment="1">
      <alignment horizontal="left" vertical="top" wrapText="1"/>
    </xf>
    <xf numFmtId="3" fontId="1" fillId="7" borderId="18" xfId="0" applyNumberFormat="1" applyFont="1" applyFill="1" applyBorder="1" applyAlignment="1">
      <alignment horizontal="center" vertical="top"/>
    </xf>
    <xf numFmtId="3" fontId="1" fillId="7" borderId="15" xfId="0" applyNumberFormat="1" applyFont="1" applyFill="1" applyBorder="1" applyAlignment="1">
      <alignment horizontal="center" vertical="top"/>
    </xf>
    <xf numFmtId="0" fontId="1" fillId="7" borderId="66" xfId="0" applyFont="1" applyFill="1" applyBorder="1" applyAlignment="1">
      <alignment horizontal="left" vertical="top" wrapText="1"/>
    </xf>
    <xf numFmtId="0" fontId="1" fillId="7" borderId="24" xfId="0" applyFont="1" applyFill="1" applyBorder="1" applyAlignment="1">
      <alignment horizontal="left" vertical="top" wrapText="1"/>
    </xf>
    <xf numFmtId="165" fontId="1" fillId="0" borderId="51" xfId="0" applyNumberFormat="1" applyFont="1" applyBorder="1" applyAlignment="1">
      <alignment horizontal="left" vertical="top" wrapText="1"/>
    </xf>
    <xf numFmtId="165" fontId="1" fillId="0" borderId="48" xfId="0" applyNumberFormat="1" applyFont="1" applyBorder="1" applyAlignment="1">
      <alignment horizontal="left" vertical="top" wrapText="1"/>
    </xf>
    <xf numFmtId="165" fontId="1" fillId="0" borderId="34" xfId="0" applyNumberFormat="1" applyFont="1" applyBorder="1" applyAlignment="1">
      <alignment horizontal="left" vertical="top" wrapText="1"/>
    </xf>
    <xf numFmtId="165" fontId="1" fillId="8" borderId="51" xfId="0" applyNumberFormat="1" applyFont="1" applyFill="1" applyBorder="1" applyAlignment="1">
      <alignment horizontal="left" vertical="top" wrapText="1"/>
    </xf>
    <xf numFmtId="165" fontId="1" fillId="8" borderId="48" xfId="0" applyNumberFormat="1" applyFont="1" applyFill="1" applyBorder="1" applyAlignment="1">
      <alignment horizontal="left" vertical="top" wrapText="1"/>
    </xf>
    <xf numFmtId="165" fontId="1" fillId="8" borderId="34" xfId="0" applyNumberFormat="1" applyFont="1" applyFill="1" applyBorder="1" applyAlignment="1">
      <alignment horizontal="left" vertical="top" wrapText="1"/>
    </xf>
    <xf numFmtId="165" fontId="1" fillId="0" borderId="4" xfId="0" applyNumberFormat="1" applyFont="1" applyFill="1" applyBorder="1" applyAlignment="1">
      <alignment horizontal="center" vertical="top"/>
    </xf>
    <xf numFmtId="165" fontId="1" fillId="0" borderId="20" xfId="0" applyNumberFormat="1" applyFont="1" applyFill="1" applyBorder="1" applyAlignment="1">
      <alignment horizontal="center" vertical="top"/>
    </xf>
    <xf numFmtId="49" fontId="2" fillId="0" borderId="17" xfId="0" applyNumberFormat="1" applyFont="1" applyBorder="1" applyAlignment="1">
      <alignment horizontal="center" vertical="top"/>
    </xf>
    <xf numFmtId="49" fontId="2" fillId="0" borderId="9" xfId="0" applyNumberFormat="1" applyFont="1" applyBorder="1" applyAlignment="1">
      <alignment horizontal="center" vertical="top"/>
    </xf>
    <xf numFmtId="3" fontId="1" fillId="0" borderId="0" xfId="0" applyNumberFormat="1" applyFont="1" applyFill="1" applyBorder="1" applyAlignment="1">
      <alignment horizontal="left" vertical="top" wrapText="1"/>
    </xf>
    <xf numFmtId="165" fontId="1" fillId="7" borderId="76" xfId="0" applyNumberFormat="1" applyFont="1" applyFill="1" applyBorder="1" applyAlignment="1">
      <alignment horizontal="center" vertical="top" wrapText="1"/>
    </xf>
    <xf numFmtId="3" fontId="11" fillId="0" borderId="0" xfId="0" applyNumberFormat="1" applyFont="1" applyAlignment="1">
      <alignment horizontal="left" vertical="top" wrapText="1"/>
    </xf>
    <xf numFmtId="3" fontId="11" fillId="0" borderId="0" xfId="0" applyNumberFormat="1" applyFont="1" applyAlignment="1">
      <alignment vertical="top" wrapText="1"/>
    </xf>
    <xf numFmtId="0" fontId="11" fillId="0" borderId="0" xfId="0" applyFont="1" applyAlignment="1">
      <alignment horizontal="center" vertical="top" wrapText="1"/>
    </xf>
    <xf numFmtId="0" fontId="12" fillId="0" borderId="0" xfId="0" applyFont="1" applyBorder="1" applyAlignment="1">
      <alignment horizontal="center" vertical="top" wrapText="1"/>
    </xf>
    <xf numFmtId="0" fontId="11" fillId="0" borderId="0" xfId="0" applyFont="1" applyBorder="1" applyAlignment="1">
      <alignment horizontal="center" vertical="top"/>
    </xf>
    <xf numFmtId="165" fontId="1" fillId="7" borderId="37" xfId="0" applyNumberFormat="1" applyFont="1" applyFill="1" applyBorder="1" applyAlignment="1">
      <alignment horizontal="left" vertical="top" wrapText="1"/>
    </xf>
    <xf numFmtId="165" fontId="1" fillId="7" borderId="39" xfId="0" applyNumberFormat="1" applyFont="1" applyFill="1" applyBorder="1" applyAlignment="1">
      <alignment horizontal="left" vertical="top" wrapText="1"/>
    </xf>
    <xf numFmtId="0" fontId="1" fillId="0" borderId="26" xfId="0" applyFont="1" applyBorder="1" applyAlignment="1">
      <alignment horizontal="right" vertical="top"/>
    </xf>
    <xf numFmtId="3" fontId="1" fillId="0" borderId="3" xfId="0" applyNumberFormat="1" applyFont="1" applyBorder="1" applyAlignment="1">
      <alignment horizontal="center" vertical="center" textRotation="90" shrinkToFit="1"/>
    </xf>
    <xf numFmtId="3" fontId="1" fillId="0" borderId="5" xfId="0" applyNumberFormat="1" applyFont="1" applyBorder="1" applyAlignment="1">
      <alignment horizontal="center" vertical="center" textRotation="90" shrinkToFit="1"/>
    </xf>
    <xf numFmtId="3" fontId="1" fillId="0" borderId="7" xfId="0" applyNumberFormat="1" applyFont="1" applyBorder="1" applyAlignment="1">
      <alignment horizontal="center" vertical="center" textRotation="90" shrinkToFit="1"/>
    </xf>
    <xf numFmtId="49" fontId="1" fillId="0" borderId="21" xfId="0" applyNumberFormat="1" applyFont="1" applyBorder="1" applyAlignment="1">
      <alignment horizontal="center" vertical="center" textRotation="90" shrinkToFit="1"/>
    </xf>
    <xf numFmtId="49" fontId="1" fillId="0" borderId="9" xfId="0" applyNumberFormat="1" applyFont="1" applyBorder="1" applyAlignment="1">
      <alignment horizontal="center" vertical="center" textRotation="90" shrinkToFit="1"/>
    </xf>
    <xf numFmtId="49" fontId="1" fillId="0" borderId="25" xfId="0" applyNumberFormat="1" applyFont="1" applyBorder="1" applyAlignment="1">
      <alignment horizontal="center" vertical="center" textRotation="90" shrinkToFit="1"/>
    </xf>
    <xf numFmtId="49" fontId="1" fillId="8" borderId="9" xfId="0" applyNumberFormat="1" applyFont="1" applyFill="1" applyBorder="1" applyAlignment="1">
      <alignment horizontal="center" vertical="center" textRotation="90" wrapText="1"/>
    </xf>
    <xf numFmtId="49" fontId="2" fillId="0" borderId="24" xfId="0" applyNumberFormat="1" applyFont="1" applyBorder="1" applyAlignment="1">
      <alignment horizontal="center" vertical="top"/>
    </xf>
    <xf numFmtId="165" fontId="1" fillId="7" borderId="61" xfId="0" applyNumberFormat="1" applyFont="1" applyFill="1" applyBorder="1" applyAlignment="1">
      <alignment horizontal="center" vertical="top" wrapText="1"/>
    </xf>
    <xf numFmtId="0" fontId="1" fillId="0" borderId="9" xfId="0" applyFont="1" applyBorder="1" applyAlignment="1">
      <alignment horizontal="left" vertical="top" wrapText="1"/>
    </xf>
    <xf numFmtId="0" fontId="16" fillId="7" borderId="66" xfId="0" applyFont="1" applyFill="1" applyBorder="1" applyAlignment="1">
      <alignment horizontal="left" vertical="top" wrapText="1"/>
    </xf>
    <xf numFmtId="0" fontId="16" fillId="7" borderId="24" xfId="0" applyFont="1" applyFill="1" applyBorder="1" applyAlignment="1">
      <alignment horizontal="left" vertical="top" wrapText="1"/>
    </xf>
    <xf numFmtId="165" fontId="1" fillId="7" borderId="29" xfId="0" applyNumberFormat="1" applyFont="1" applyFill="1" applyBorder="1" applyAlignment="1">
      <alignment vertical="top" wrapText="1"/>
    </xf>
    <xf numFmtId="49" fontId="2" fillId="7" borderId="37" xfId="0" applyNumberFormat="1" applyFont="1" applyFill="1" applyBorder="1" applyAlignment="1">
      <alignment horizontal="center" vertical="top"/>
    </xf>
    <xf numFmtId="49" fontId="2" fillId="7" borderId="39" xfId="0" applyNumberFormat="1" applyFont="1" applyFill="1" applyBorder="1" applyAlignment="1">
      <alignment horizontal="center" vertical="top"/>
    </xf>
    <xf numFmtId="49" fontId="2" fillId="7" borderId="29" xfId="0" applyNumberFormat="1" applyFont="1" applyFill="1" applyBorder="1" applyAlignment="1">
      <alignment horizontal="center" vertical="top"/>
    </xf>
    <xf numFmtId="0" fontId="1" fillId="7" borderId="76" xfId="0" applyFont="1" applyFill="1" applyBorder="1" applyAlignment="1">
      <alignment horizontal="center" vertical="top" wrapText="1"/>
    </xf>
    <xf numFmtId="0" fontId="1" fillId="7" borderId="18" xfId="0" applyFont="1" applyFill="1" applyBorder="1" applyAlignment="1">
      <alignment horizontal="center" vertical="top" wrapText="1"/>
    </xf>
    <xf numFmtId="0" fontId="1" fillId="7" borderId="17" xfId="0" applyFont="1" applyFill="1" applyBorder="1" applyAlignment="1">
      <alignment horizontal="left" vertical="top" wrapText="1"/>
    </xf>
    <xf numFmtId="165" fontId="8" fillId="7" borderId="18" xfId="0" applyNumberFormat="1" applyFont="1" applyFill="1" applyBorder="1" applyAlignment="1">
      <alignment horizontal="center" vertical="top" wrapText="1"/>
    </xf>
    <xf numFmtId="165" fontId="8" fillId="7" borderId="15" xfId="0" applyNumberFormat="1" applyFont="1" applyFill="1" applyBorder="1" applyAlignment="1">
      <alignment horizontal="center" vertical="top" wrapText="1"/>
    </xf>
    <xf numFmtId="165" fontId="1" fillId="7" borderId="36" xfId="0" applyNumberFormat="1" applyFont="1" applyFill="1" applyBorder="1" applyAlignment="1">
      <alignment horizontal="left" vertical="top" wrapText="1"/>
    </xf>
    <xf numFmtId="165" fontId="1" fillId="7" borderId="38" xfId="0" applyNumberFormat="1" applyFont="1" applyFill="1" applyBorder="1" applyAlignment="1">
      <alignment horizontal="left" vertical="top" wrapText="1"/>
    </xf>
    <xf numFmtId="165" fontId="1" fillId="2" borderId="54" xfId="0" applyNumberFormat="1" applyFont="1" applyFill="1" applyBorder="1" applyAlignment="1">
      <alignment horizontal="center" vertical="top" wrapText="1"/>
    </xf>
  </cellXfs>
  <cellStyles count="4">
    <cellStyle name="Excel Built-in Normal" xfId="3" xr:uid="{00000000-0005-0000-0000-000000000000}"/>
    <cellStyle name="Įprastas" xfId="0" builtinId="0"/>
    <cellStyle name="Įprastas 2" xfId="2" xr:uid="{00000000-0005-0000-0000-000002000000}"/>
    <cellStyle name="Kablelis" xfId="1" builtinId="3"/>
  </cellStyles>
  <dxfs count="0"/>
  <tableStyles count="0" defaultTableStyle="TableStyleMedium2" defaultPivotStyle="PivotStyleLight16"/>
  <colors>
    <mruColors>
      <color rgb="FFFFD5FF"/>
      <color rgb="FF99FF99"/>
      <color rgb="FFCCFFCC"/>
      <color rgb="FFFFCCFF"/>
      <color rgb="FFE9C9C7"/>
      <color rgb="FFFFDD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50"/>
  <sheetViews>
    <sheetView tabSelected="1" zoomScaleNormal="100" zoomScaleSheetLayoutView="100" workbookViewId="0">
      <selection activeCell="E1" sqref="E1"/>
    </sheetView>
  </sheetViews>
  <sheetFormatPr defaultColWidth="9.08984375" defaultRowHeight="13" x14ac:dyDescent="0.25"/>
  <cols>
    <col min="1" max="3" width="2.90625" style="2" customWidth="1"/>
    <col min="4" max="4" width="3.08984375" style="54" customWidth="1"/>
    <col min="5" max="5" width="39.54296875" style="2" customWidth="1"/>
    <col min="6" max="6" width="4.453125" style="69" customWidth="1"/>
    <col min="7" max="7" width="13.453125" style="8" customWidth="1"/>
    <col min="8" max="8" width="8.90625" style="3" customWidth="1"/>
    <col min="9" max="9" width="9.54296875" style="2" customWidth="1"/>
    <col min="10" max="10" width="37.453125" style="2" customWidth="1"/>
    <col min="11" max="11" width="7" style="2" customWidth="1"/>
    <col min="12" max="16384" width="9.08984375" style="1"/>
  </cols>
  <sheetData>
    <row r="1" spans="1:12" s="525" customFormat="1" ht="33" customHeight="1" x14ac:dyDescent="0.25">
      <c r="A1" s="522"/>
      <c r="B1" s="523"/>
      <c r="C1" s="522"/>
      <c r="D1" s="523"/>
      <c r="E1" s="522"/>
      <c r="F1" s="523"/>
      <c r="G1" s="522"/>
      <c r="H1" s="524"/>
      <c r="I1" s="718" t="s">
        <v>228</v>
      </c>
      <c r="J1" s="718"/>
      <c r="K1" s="718"/>
    </row>
    <row r="2" spans="1:12" s="525" customFormat="1" ht="16.5" customHeight="1" x14ac:dyDescent="0.25">
      <c r="A2" s="522"/>
      <c r="B2" s="523"/>
      <c r="C2" s="522"/>
      <c r="D2" s="523"/>
      <c r="E2" s="522"/>
      <c r="F2" s="523"/>
      <c r="G2" s="522"/>
      <c r="H2" s="526"/>
      <c r="I2" s="719" t="s">
        <v>247</v>
      </c>
      <c r="J2" s="719"/>
      <c r="K2" s="719"/>
    </row>
    <row r="3" spans="1:12" s="525" customFormat="1" ht="33.75" customHeight="1" x14ac:dyDescent="0.25">
      <c r="A3" s="522"/>
      <c r="B3" s="523"/>
      <c r="C3" s="522"/>
      <c r="D3" s="523"/>
      <c r="E3" s="522"/>
      <c r="F3" s="523"/>
      <c r="G3" s="522"/>
      <c r="H3" s="526"/>
      <c r="I3" s="718" t="s">
        <v>254</v>
      </c>
      <c r="J3" s="718"/>
      <c r="K3" s="718"/>
    </row>
    <row r="4" spans="1:12" ht="15" customHeight="1" x14ac:dyDescent="0.25">
      <c r="D4" s="2"/>
      <c r="F4" s="67"/>
      <c r="G4" s="464"/>
      <c r="I4" s="3"/>
      <c r="J4" s="465"/>
      <c r="K4" s="465"/>
    </row>
    <row r="5" spans="1:12" s="2" customFormat="1" ht="15" customHeight="1" x14ac:dyDescent="0.25">
      <c r="A5" s="720" t="s">
        <v>229</v>
      </c>
      <c r="B5" s="720"/>
      <c r="C5" s="720"/>
      <c r="D5" s="720"/>
      <c r="E5" s="720"/>
      <c r="F5" s="720"/>
      <c r="G5" s="720"/>
      <c r="H5" s="720"/>
      <c r="I5" s="720"/>
      <c r="J5" s="720"/>
      <c r="K5" s="720"/>
    </row>
    <row r="6" spans="1:12" ht="15.75" customHeight="1" x14ac:dyDescent="0.25">
      <c r="A6" s="721" t="s">
        <v>25</v>
      </c>
      <c r="B6" s="721"/>
      <c r="C6" s="721"/>
      <c r="D6" s="721"/>
      <c r="E6" s="721"/>
      <c r="F6" s="721"/>
      <c r="G6" s="721"/>
      <c r="H6" s="721"/>
      <c r="I6" s="721"/>
      <c r="J6" s="721"/>
      <c r="K6" s="721"/>
    </row>
    <row r="7" spans="1:12" ht="15" customHeight="1" x14ac:dyDescent="0.25">
      <c r="A7" s="722" t="s">
        <v>14</v>
      </c>
      <c r="B7" s="722"/>
      <c r="C7" s="722"/>
      <c r="D7" s="722"/>
      <c r="E7" s="722"/>
      <c r="F7" s="722"/>
      <c r="G7" s="722"/>
      <c r="H7" s="722"/>
      <c r="I7" s="722"/>
      <c r="J7" s="722"/>
      <c r="K7" s="722"/>
    </row>
    <row r="8" spans="1:12" ht="15" customHeight="1" x14ac:dyDescent="0.25">
      <c r="A8" s="1"/>
      <c r="B8" s="1"/>
      <c r="C8" s="1"/>
      <c r="D8" s="132"/>
      <c r="E8" s="1"/>
      <c r="F8" s="133"/>
      <c r="G8" s="134"/>
      <c r="H8" s="131"/>
      <c r="I8" s="1"/>
      <c r="J8" s="1"/>
      <c r="K8" s="1"/>
    </row>
    <row r="9" spans="1:12" ht="15" customHeight="1" thickBot="1" x14ac:dyDescent="0.3">
      <c r="A9" s="1"/>
      <c r="B9" s="1"/>
      <c r="C9" s="1"/>
      <c r="D9" s="132"/>
      <c r="E9" s="1"/>
      <c r="F9" s="133"/>
      <c r="G9" s="134"/>
      <c r="H9" s="131"/>
      <c r="I9" s="1"/>
      <c r="J9" s="725" t="s">
        <v>58</v>
      </c>
      <c r="K9" s="725"/>
    </row>
    <row r="10" spans="1:12" s="11" customFormat="1" ht="21" customHeight="1" x14ac:dyDescent="0.25">
      <c r="A10" s="726" t="s">
        <v>15</v>
      </c>
      <c r="B10" s="602" t="s">
        <v>0</v>
      </c>
      <c r="C10" s="602" t="s">
        <v>1</v>
      </c>
      <c r="D10" s="729" t="s">
        <v>23</v>
      </c>
      <c r="E10" s="597" t="s">
        <v>9</v>
      </c>
      <c r="F10" s="602" t="s">
        <v>129</v>
      </c>
      <c r="G10" s="605" t="s">
        <v>130</v>
      </c>
      <c r="H10" s="608" t="s">
        <v>2</v>
      </c>
      <c r="I10" s="587" t="s">
        <v>231</v>
      </c>
      <c r="J10" s="600" t="s">
        <v>122</v>
      </c>
      <c r="K10" s="601"/>
    </row>
    <row r="11" spans="1:12" s="11" customFormat="1" ht="21" customHeight="1" x14ac:dyDescent="0.25">
      <c r="A11" s="727"/>
      <c r="B11" s="603"/>
      <c r="C11" s="603"/>
      <c r="D11" s="730"/>
      <c r="E11" s="598"/>
      <c r="F11" s="603"/>
      <c r="G11" s="606"/>
      <c r="H11" s="609"/>
      <c r="I11" s="588"/>
      <c r="J11" s="590" t="s">
        <v>9</v>
      </c>
      <c r="K11" s="407" t="s">
        <v>174</v>
      </c>
    </row>
    <row r="12" spans="1:12" s="11" customFormat="1" ht="88.5" customHeight="1" thickBot="1" x14ac:dyDescent="0.3">
      <c r="A12" s="728"/>
      <c r="B12" s="604"/>
      <c r="C12" s="604"/>
      <c r="D12" s="731"/>
      <c r="E12" s="599"/>
      <c r="F12" s="604"/>
      <c r="G12" s="607"/>
      <c r="H12" s="610"/>
      <c r="I12" s="589"/>
      <c r="J12" s="591"/>
      <c r="K12" s="201" t="s">
        <v>128</v>
      </c>
    </row>
    <row r="13" spans="1:12" s="7" customFormat="1" ht="15" customHeight="1" x14ac:dyDescent="0.25">
      <c r="A13" s="619" t="s">
        <v>44</v>
      </c>
      <c r="B13" s="620"/>
      <c r="C13" s="620"/>
      <c r="D13" s="620"/>
      <c r="E13" s="620"/>
      <c r="F13" s="620"/>
      <c r="G13" s="620"/>
      <c r="H13" s="620"/>
      <c r="I13" s="620"/>
      <c r="J13" s="620"/>
      <c r="K13" s="363"/>
      <c r="L13" s="192"/>
    </row>
    <row r="14" spans="1:12" s="7" customFormat="1" ht="15" customHeight="1" x14ac:dyDescent="0.25">
      <c r="A14" s="613" t="s">
        <v>22</v>
      </c>
      <c r="B14" s="614"/>
      <c r="C14" s="614"/>
      <c r="D14" s="614"/>
      <c r="E14" s="614"/>
      <c r="F14" s="614"/>
      <c r="G14" s="614"/>
      <c r="H14" s="614"/>
      <c r="I14" s="614"/>
      <c r="J14" s="614"/>
      <c r="K14" s="468"/>
      <c r="L14" s="192"/>
    </row>
    <row r="15" spans="1:12" ht="15" customHeight="1" x14ac:dyDescent="0.25">
      <c r="A15" s="10" t="s">
        <v>3</v>
      </c>
      <c r="B15" s="615" t="s">
        <v>26</v>
      </c>
      <c r="C15" s="616"/>
      <c r="D15" s="616"/>
      <c r="E15" s="616"/>
      <c r="F15" s="616"/>
      <c r="G15" s="616"/>
      <c r="H15" s="616"/>
      <c r="I15" s="616"/>
      <c r="J15" s="616"/>
      <c r="K15" s="469"/>
      <c r="L15" s="180"/>
    </row>
    <row r="16" spans="1:12" ht="15" customHeight="1" x14ac:dyDescent="0.25">
      <c r="A16" s="29" t="s">
        <v>3</v>
      </c>
      <c r="B16" s="380" t="s">
        <v>3</v>
      </c>
      <c r="C16" s="617" t="s">
        <v>93</v>
      </c>
      <c r="D16" s="618"/>
      <c r="E16" s="618"/>
      <c r="F16" s="618"/>
      <c r="G16" s="618"/>
      <c r="H16" s="618"/>
      <c r="I16" s="618"/>
      <c r="J16" s="618"/>
      <c r="K16" s="470"/>
      <c r="L16" s="180"/>
    </row>
    <row r="17" spans="1:11" ht="15.65" customHeight="1" x14ac:dyDescent="0.25">
      <c r="A17" s="225" t="s">
        <v>3</v>
      </c>
      <c r="B17" s="226" t="s">
        <v>3</v>
      </c>
      <c r="C17" s="223" t="s">
        <v>3</v>
      </c>
      <c r="D17" s="71"/>
      <c r="E17" s="365" t="s">
        <v>87</v>
      </c>
      <c r="F17" s="80"/>
      <c r="G17" s="92"/>
      <c r="H17" s="198"/>
      <c r="I17" s="141"/>
      <c r="J17" s="252"/>
      <c r="K17" s="463"/>
    </row>
    <row r="18" spans="1:11" ht="15.65" customHeight="1" x14ac:dyDescent="0.25">
      <c r="A18" s="221"/>
      <c r="B18" s="235"/>
      <c r="C18" s="236"/>
      <c r="D18" s="239" t="s">
        <v>3</v>
      </c>
      <c r="E18" s="566" t="s">
        <v>63</v>
      </c>
      <c r="F18" s="182" t="s">
        <v>88</v>
      </c>
      <c r="G18" s="563" t="s">
        <v>224</v>
      </c>
      <c r="H18" s="159" t="s">
        <v>39</v>
      </c>
      <c r="I18" s="140">
        <v>1800</v>
      </c>
      <c r="J18" s="189" t="s">
        <v>151</v>
      </c>
      <c r="K18" s="63">
        <v>95</v>
      </c>
    </row>
    <row r="19" spans="1:11" ht="15.65" customHeight="1" x14ac:dyDescent="0.25">
      <c r="A19" s="221"/>
      <c r="B19" s="235"/>
      <c r="C19" s="236"/>
      <c r="D19" s="240"/>
      <c r="E19" s="567"/>
      <c r="F19" s="233" t="s">
        <v>172</v>
      </c>
      <c r="G19" s="565"/>
      <c r="H19" s="393" t="s">
        <v>242</v>
      </c>
      <c r="I19" s="390">
        <f>4042.5+1474.7+307.5</f>
        <v>5824.7</v>
      </c>
      <c r="J19" s="410"/>
      <c r="K19" s="63"/>
    </row>
    <row r="20" spans="1:11" ht="15.65" customHeight="1" x14ac:dyDescent="0.25">
      <c r="A20" s="221"/>
      <c r="B20" s="235"/>
      <c r="C20" s="236"/>
      <c r="D20" s="188"/>
      <c r="E20" s="567"/>
      <c r="F20" s="183" t="s">
        <v>144</v>
      </c>
      <c r="G20" s="565"/>
      <c r="H20" s="393" t="s">
        <v>47</v>
      </c>
      <c r="I20" s="390">
        <f>500-34</f>
        <v>466</v>
      </c>
      <c r="J20" s="595"/>
      <c r="K20" s="63"/>
    </row>
    <row r="21" spans="1:11" ht="15.65" customHeight="1" x14ac:dyDescent="0.25">
      <c r="A21" s="221"/>
      <c r="B21" s="235"/>
      <c r="C21" s="236"/>
      <c r="D21" s="188"/>
      <c r="E21" s="567"/>
      <c r="F21" s="169" t="s">
        <v>38</v>
      </c>
      <c r="G21" s="565" t="s">
        <v>226</v>
      </c>
      <c r="H21" s="393" t="s">
        <v>43</v>
      </c>
      <c r="I21" s="532">
        <f>482.9-154.7-5.3</f>
        <v>322.89999999999998</v>
      </c>
      <c r="J21" s="595"/>
      <c r="K21" s="63"/>
    </row>
    <row r="22" spans="1:11" ht="15.65" customHeight="1" x14ac:dyDescent="0.25">
      <c r="A22" s="221"/>
      <c r="B22" s="235"/>
      <c r="C22" s="236"/>
      <c r="D22" s="188"/>
      <c r="E22" s="567"/>
      <c r="F22" s="233" t="s">
        <v>121</v>
      </c>
      <c r="G22" s="565"/>
      <c r="H22" s="245"/>
      <c r="I22" s="382"/>
      <c r="J22" s="595"/>
      <c r="K22" s="63"/>
    </row>
    <row r="23" spans="1:11" ht="15" customHeight="1" x14ac:dyDescent="0.25">
      <c r="A23" s="299"/>
      <c r="B23" s="300"/>
      <c r="C23" s="301"/>
      <c r="D23" s="188"/>
      <c r="E23" s="567"/>
      <c r="F23" s="233" t="s">
        <v>99</v>
      </c>
      <c r="G23" s="565"/>
      <c r="H23" s="14"/>
      <c r="I23" s="246"/>
      <c r="J23" s="596"/>
      <c r="K23" s="63"/>
    </row>
    <row r="24" spans="1:11" ht="15" customHeight="1" x14ac:dyDescent="0.25">
      <c r="A24" s="308"/>
      <c r="B24" s="315"/>
      <c r="C24" s="309"/>
      <c r="D24" s="310" t="s">
        <v>5</v>
      </c>
      <c r="E24" s="592" t="s">
        <v>209</v>
      </c>
      <c r="F24" s="312" t="s">
        <v>99</v>
      </c>
      <c r="G24" s="563" t="s">
        <v>94</v>
      </c>
      <c r="H24" s="58" t="s">
        <v>21</v>
      </c>
      <c r="I24" s="390">
        <f>200-64</f>
        <v>136</v>
      </c>
      <c r="J24" s="418" t="s">
        <v>37</v>
      </c>
      <c r="K24" s="117"/>
    </row>
    <row r="25" spans="1:11" ht="15" customHeight="1" x14ac:dyDescent="0.25">
      <c r="A25" s="308"/>
      <c r="B25" s="315"/>
      <c r="C25" s="309"/>
      <c r="D25" s="188"/>
      <c r="E25" s="593"/>
      <c r="F25" s="169" t="s">
        <v>38</v>
      </c>
      <c r="G25" s="565"/>
      <c r="H25" s="164"/>
      <c r="J25" s="408"/>
      <c r="K25" s="63"/>
    </row>
    <row r="26" spans="1:11" ht="15" customHeight="1" x14ac:dyDescent="0.25">
      <c r="A26" s="308"/>
      <c r="B26" s="315"/>
      <c r="C26" s="309"/>
      <c r="D26" s="188"/>
      <c r="E26" s="593"/>
      <c r="F26" s="183" t="s">
        <v>142</v>
      </c>
      <c r="G26" s="565"/>
      <c r="H26" s="14"/>
      <c r="I26" s="136"/>
      <c r="J26" s="408"/>
      <c r="K26" s="63"/>
    </row>
    <row r="27" spans="1:11" ht="15" customHeight="1" x14ac:dyDescent="0.25">
      <c r="A27" s="308"/>
      <c r="B27" s="315"/>
      <c r="C27" s="309"/>
      <c r="D27" s="188"/>
      <c r="E27" s="593"/>
      <c r="F27" s="313" t="s">
        <v>121</v>
      </c>
      <c r="G27" s="565"/>
      <c r="H27" s="14"/>
      <c r="I27" s="136"/>
      <c r="J27" s="408"/>
      <c r="K27" s="63"/>
    </row>
    <row r="28" spans="1:11" ht="15" customHeight="1" x14ac:dyDescent="0.25">
      <c r="A28" s="308"/>
      <c r="B28" s="315"/>
      <c r="C28" s="309"/>
      <c r="D28" s="188"/>
      <c r="E28" s="594"/>
      <c r="F28" s="183" t="s">
        <v>172</v>
      </c>
      <c r="G28" s="564"/>
      <c r="H28" s="314"/>
      <c r="I28" s="249"/>
      <c r="J28" s="408"/>
      <c r="K28" s="122"/>
    </row>
    <row r="29" spans="1:11" ht="15" customHeight="1" x14ac:dyDescent="0.25">
      <c r="A29" s="225"/>
      <c r="B29" s="226"/>
      <c r="C29" s="732"/>
      <c r="D29" s="218" t="s">
        <v>24</v>
      </c>
      <c r="E29" s="579" t="s">
        <v>147</v>
      </c>
      <c r="F29" s="182" t="s">
        <v>88</v>
      </c>
      <c r="G29" s="563" t="s">
        <v>225</v>
      </c>
      <c r="H29" s="142" t="s">
        <v>43</v>
      </c>
      <c r="I29" s="254">
        <f>321.9+3.8+142.2</f>
        <v>467.9</v>
      </c>
      <c r="J29" s="189" t="s">
        <v>151</v>
      </c>
      <c r="K29" s="244">
        <v>100</v>
      </c>
    </row>
    <row r="30" spans="1:11" ht="15" customHeight="1" x14ac:dyDescent="0.25">
      <c r="A30" s="225"/>
      <c r="B30" s="226"/>
      <c r="C30" s="732"/>
      <c r="D30" s="219"/>
      <c r="E30" s="583"/>
      <c r="F30" s="169" t="s">
        <v>38</v>
      </c>
      <c r="G30" s="565"/>
      <c r="H30" s="96" t="s">
        <v>160</v>
      </c>
      <c r="I30" s="540">
        <f>241.7-14.7</f>
        <v>227</v>
      </c>
      <c r="J30" s="387"/>
      <c r="K30" s="244"/>
    </row>
    <row r="31" spans="1:11" ht="15" customHeight="1" x14ac:dyDescent="0.25">
      <c r="A31" s="225"/>
      <c r="B31" s="226"/>
      <c r="C31" s="732"/>
      <c r="D31" s="219"/>
      <c r="E31" s="583"/>
      <c r="F31" s="233" t="s">
        <v>121</v>
      </c>
      <c r="G31" s="565" t="s">
        <v>240</v>
      </c>
      <c r="H31" s="96" t="s">
        <v>77</v>
      </c>
      <c r="I31" s="140">
        <f>241.5+136</f>
        <v>377.5</v>
      </c>
      <c r="J31" s="387"/>
      <c r="K31" s="244"/>
    </row>
    <row r="32" spans="1:11" ht="15" customHeight="1" x14ac:dyDescent="0.25">
      <c r="A32" s="225"/>
      <c r="B32" s="226"/>
      <c r="C32" s="732"/>
      <c r="D32" s="219"/>
      <c r="E32" s="583"/>
      <c r="F32" s="169" t="s">
        <v>144</v>
      </c>
      <c r="G32" s="565"/>
      <c r="H32" s="393" t="s">
        <v>54</v>
      </c>
      <c r="I32" s="248">
        <v>350</v>
      </c>
      <c r="J32" s="387"/>
      <c r="K32" s="244"/>
    </row>
    <row r="33" spans="1:12" ht="15" customHeight="1" x14ac:dyDescent="0.25">
      <c r="A33" s="225"/>
      <c r="B33" s="226"/>
      <c r="C33" s="732"/>
      <c r="D33" s="72"/>
      <c r="E33" s="583"/>
      <c r="F33" s="183" t="s">
        <v>79</v>
      </c>
      <c r="G33" s="565"/>
      <c r="H33" s="163" t="s">
        <v>241</v>
      </c>
      <c r="I33" s="514">
        <v>28.7</v>
      </c>
      <c r="J33" s="410"/>
      <c r="K33" s="74"/>
    </row>
    <row r="34" spans="1:12" ht="15" customHeight="1" x14ac:dyDescent="0.25">
      <c r="A34" s="225"/>
      <c r="B34" s="60"/>
      <c r="C34" s="732"/>
      <c r="D34" s="72"/>
      <c r="E34" s="583"/>
      <c r="F34" s="183" t="s">
        <v>99</v>
      </c>
      <c r="G34" s="565"/>
      <c r="H34" s="393" t="s">
        <v>21</v>
      </c>
      <c r="I34" s="96">
        <v>10</v>
      </c>
      <c r="J34" s="383"/>
      <c r="K34" s="244"/>
    </row>
    <row r="35" spans="1:12" ht="15" customHeight="1" x14ac:dyDescent="0.25">
      <c r="A35" s="37"/>
      <c r="B35" s="60"/>
      <c r="C35" s="732"/>
      <c r="D35" s="72"/>
      <c r="E35" s="539"/>
      <c r="F35" s="177"/>
      <c r="G35" s="545"/>
      <c r="H35" s="108" t="s">
        <v>47</v>
      </c>
      <c r="I35" s="14">
        <f>14.7+7.7</f>
        <v>22.4</v>
      </c>
      <c r="J35" s="383"/>
      <c r="K35" s="541"/>
    </row>
    <row r="36" spans="1:12" ht="14.9" customHeight="1" x14ac:dyDescent="0.25">
      <c r="A36" s="37"/>
      <c r="B36" s="60"/>
      <c r="C36" s="732"/>
      <c r="D36" s="218" t="s">
        <v>28</v>
      </c>
      <c r="E36" s="566" t="s">
        <v>109</v>
      </c>
      <c r="F36" s="232" t="s">
        <v>88</v>
      </c>
      <c r="G36" s="322"/>
      <c r="H36" s="142" t="s">
        <v>21</v>
      </c>
      <c r="I36" s="142">
        <f>397.1-10</f>
        <v>387.1</v>
      </c>
      <c r="J36" s="611" t="s">
        <v>151</v>
      </c>
      <c r="K36" s="395">
        <v>100</v>
      </c>
    </row>
    <row r="37" spans="1:12" ht="14.9" customHeight="1" x14ac:dyDescent="0.25">
      <c r="A37" s="37"/>
      <c r="B37" s="60"/>
      <c r="C37" s="732"/>
      <c r="D37" s="219"/>
      <c r="E37" s="567"/>
      <c r="F37" s="81" t="s">
        <v>38</v>
      </c>
      <c r="G37" s="311"/>
      <c r="H37" s="229" t="s">
        <v>77</v>
      </c>
      <c r="I37" s="248">
        <v>117.1</v>
      </c>
      <c r="J37" s="612"/>
      <c r="K37" s="202"/>
    </row>
    <row r="38" spans="1:12" ht="14.9" customHeight="1" x14ac:dyDescent="0.25">
      <c r="A38" s="37"/>
      <c r="B38" s="60"/>
      <c r="C38" s="732"/>
      <c r="D38" s="219"/>
      <c r="E38" s="567"/>
      <c r="F38" s="233" t="s">
        <v>121</v>
      </c>
      <c r="G38" s="311"/>
      <c r="H38" s="163" t="s">
        <v>241</v>
      </c>
      <c r="I38" s="514">
        <v>29.3</v>
      </c>
      <c r="J38" s="612"/>
      <c r="K38" s="74"/>
    </row>
    <row r="39" spans="1:12" ht="14.9" customHeight="1" x14ac:dyDescent="0.25">
      <c r="A39" s="37"/>
      <c r="B39" s="60"/>
      <c r="C39" s="732"/>
      <c r="D39" s="219"/>
      <c r="E39" s="567"/>
      <c r="F39" s="183" t="s">
        <v>144</v>
      </c>
      <c r="G39" s="311"/>
      <c r="H39" s="164"/>
      <c r="I39" s="14"/>
      <c r="J39" s="612"/>
      <c r="K39" s="74"/>
    </row>
    <row r="40" spans="1:12" ht="14.9" customHeight="1" x14ac:dyDescent="0.25">
      <c r="A40" s="37"/>
      <c r="B40" s="60"/>
      <c r="C40" s="732"/>
      <c r="D40" s="219"/>
      <c r="E40" s="567"/>
      <c r="F40" s="183" t="s">
        <v>99</v>
      </c>
      <c r="G40" s="311"/>
      <c r="H40" s="394"/>
      <c r="I40" s="79"/>
      <c r="J40" s="612"/>
      <c r="K40" s="74"/>
    </row>
    <row r="41" spans="1:12" ht="15" customHeight="1" x14ac:dyDescent="0.25">
      <c r="A41" s="571"/>
      <c r="B41" s="582"/>
      <c r="C41" s="584"/>
      <c r="D41" s="285" t="s">
        <v>29</v>
      </c>
      <c r="E41" s="579" t="s">
        <v>75</v>
      </c>
      <c r="F41" s="47" t="s">
        <v>88</v>
      </c>
      <c r="G41" s="563" t="s">
        <v>94</v>
      </c>
      <c r="H41" s="58" t="s">
        <v>21</v>
      </c>
      <c r="I41" s="142">
        <v>56.9</v>
      </c>
      <c r="J41" s="412" t="s">
        <v>151</v>
      </c>
      <c r="K41" s="411">
        <v>100</v>
      </c>
    </row>
    <row r="42" spans="1:12" ht="15" customHeight="1" x14ac:dyDescent="0.25">
      <c r="A42" s="571"/>
      <c r="B42" s="582"/>
      <c r="C42" s="584"/>
      <c r="D42" s="231"/>
      <c r="E42" s="583"/>
      <c r="F42" s="169" t="s">
        <v>38</v>
      </c>
      <c r="G42" s="565"/>
      <c r="H42" s="96" t="s">
        <v>160</v>
      </c>
      <c r="I42" s="79">
        <v>30</v>
      </c>
      <c r="J42" s="413"/>
      <c r="K42" s="114"/>
    </row>
    <row r="43" spans="1:12" ht="15" customHeight="1" x14ac:dyDescent="0.25">
      <c r="A43" s="571"/>
      <c r="B43" s="582"/>
      <c r="C43" s="584"/>
      <c r="D43" s="26"/>
      <c r="E43" s="583"/>
      <c r="F43" s="183" t="s">
        <v>121</v>
      </c>
      <c r="G43" s="565"/>
      <c r="H43" s="393" t="s">
        <v>47</v>
      </c>
      <c r="I43" s="532">
        <v>84.1</v>
      </c>
      <c r="J43" s="413"/>
      <c r="K43" s="114"/>
    </row>
    <row r="44" spans="1:12" ht="15" customHeight="1" x14ac:dyDescent="0.25">
      <c r="A44" s="571"/>
      <c r="B44" s="582"/>
      <c r="C44" s="584"/>
      <c r="D44" s="26"/>
      <c r="E44" s="217"/>
      <c r="F44" s="170" t="s">
        <v>99</v>
      </c>
      <c r="G44" s="565"/>
      <c r="H44" s="14"/>
      <c r="I44" s="366"/>
      <c r="J44" s="125"/>
      <c r="K44" s="110"/>
    </row>
    <row r="45" spans="1:12" ht="15" customHeight="1" x14ac:dyDescent="0.25">
      <c r="A45" s="571"/>
      <c r="B45" s="582"/>
      <c r="C45" s="584"/>
      <c r="D45" s="26"/>
      <c r="E45" s="217"/>
      <c r="F45" s="170" t="s">
        <v>144</v>
      </c>
      <c r="G45" s="565"/>
      <c r="H45" s="165"/>
      <c r="I45" s="286"/>
      <c r="J45" s="425"/>
      <c r="K45" s="401"/>
    </row>
    <row r="46" spans="1:12" ht="15.65" customHeight="1" x14ac:dyDescent="0.25">
      <c r="A46" s="221"/>
      <c r="B46" s="235"/>
      <c r="C46" s="43"/>
      <c r="D46" s="575" t="s">
        <v>30</v>
      </c>
      <c r="E46" s="621" t="s">
        <v>110</v>
      </c>
      <c r="F46" s="232" t="s">
        <v>38</v>
      </c>
      <c r="G46" s="565"/>
      <c r="H46" s="245" t="s">
        <v>21</v>
      </c>
      <c r="I46" s="142">
        <f>91.8-25</f>
        <v>66.8</v>
      </c>
      <c r="J46" s="626" t="s">
        <v>236</v>
      </c>
      <c r="K46" s="504">
        <v>1</v>
      </c>
      <c r="L46" s="180"/>
    </row>
    <row r="47" spans="1:12" ht="15.65" customHeight="1" x14ac:dyDescent="0.25">
      <c r="A47" s="221"/>
      <c r="B47" s="235"/>
      <c r="C47" s="43"/>
      <c r="D47" s="586"/>
      <c r="E47" s="622"/>
      <c r="F47" s="233" t="s">
        <v>144</v>
      </c>
      <c r="G47" s="565"/>
      <c r="H47" s="393" t="s">
        <v>160</v>
      </c>
      <c r="I47" s="527">
        <f>25-19.2</f>
        <v>5.8</v>
      </c>
      <c r="J47" s="627"/>
      <c r="K47" s="500"/>
    </row>
    <row r="48" spans="1:12" ht="15.65" customHeight="1" x14ac:dyDescent="0.25">
      <c r="A48" s="221"/>
      <c r="B48" s="235"/>
      <c r="C48" s="43"/>
      <c r="D48" s="576"/>
      <c r="E48" s="623"/>
      <c r="F48" s="234" t="s">
        <v>99</v>
      </c>
      <c r="G48" s="565"/>
      <c r="H48" s="394"/>
      <c r="I48" s="394"/>
      <c r="J48" s="410" t="s">
        <v>37</v>
      </c>
      <c r="K48" s="63"/>
    </row>
    <row r="49" spans="1:12" ht="15.65" customHeight="1" x14ac:dyDescent="0.25">
      <c r="A49" s="221"/>
      <c r="B49" s="235"/>
      <c r="C49" s="236"/>
      <c r="D49" s="218" t="s">
        <v>31</v>
      </c>
      <c r="E49" s="567" t="s">
        <v>246</v>
      </c>
      <c r="F49" s="80" t="s">
        <v>88</v>
      </c>
      <c r="G49" s="565"/>
      <c r="H49" s="157" t="s">
        <v>21</v>
      </c>
      <c r="I49" s="145">
        <f>177.4-47.1</f>
        <v>130.30000000000001</v>
      </c>
      <c r="J49" s="577" t="s">
        <v>158</v>
      </c>
      <c r="K49" s="117">
        <v>15</v>
      </c>
    </row>
    <row r="50" spans="1:12" ht="14.4" customHeight="1" x14ac:dyDescent="0.25">
      <c r="A50" s="221"/>
      <c r="B50" s="235"/>
      <c r="C50" s="236"/>
      <c r="D50" s="219"/>
      <c r="E50" s="567"/>
      <c r="F50" s="169" t="s">
        <v>144</v>
      </c>
      <c r="G50" s="565"/>
      <c r="H50" s="168" t="s">
        <v>54</v>
      </c>
      <c r="I50" s="251">
        <v>200</v>
      </c>
      <c r="J50" s="578"/>
      <c r="K50" s="381"/>
      <c r="L50" s="180"/>
    </row>
    <row r="51" spans="1:12" ht="14.4" customHeight="1" x14ac:dyDescent="0.25">
      <c r="A51" s="221"/>
      <c r="B51" s="235"/>
      <c r="C51" s="236"/>
      <c r="D51" s="219"/>
      <c r="E51" s="567"/>
      <c r="F51" s="233" t="s">
        <v>99</v>
      </c>
      <c r="G51" s="565"/>
      <c r="H51" s="393" t="s">
        <v>250</v>
      </c>
      <c r="I51" s="251">
        <v>47.1</v>
      </c>
      <c r="J51" s="410"/>
      <c r="K51" s="63"/>
    </row>
    <row r="52" spans="1:12" ht="14.4" customHeight="1" x14ac:dyDescent="0.25">
      <c r="A52" s="221"/>
      <c r="B52" s="235"/>
      <c r="C52" s="236"/>
      <c r="D52" s="73"/>
      <c r="E52" s="567"/>
      <c r="F52" s="169" t="s">
        <v>38</v>
      </c>
      <c r="G52" s="565"/>
      <c r="H52" s="393" t="s">
        <v>47</v>
      </c>
      <c r="I52" s="108">
        <v>36.700000000000003</v>
      </c>
      <c r="J52" s="112"/>
      <c r="K52" s="109"/>
    </row>
    <row r="53" spans="1:12" ht="27" customHeight="1" x14ac:dyDescent="0.25">
      <c r="A53" s="221"/>
      <c r="B53" s="222"/>
      <c r="C53" s="40"/>
      <c r="D53" s="586" t="s">
        <v>73</v>
      </c>
      <c r="E53" s="624" t="s">
        <v>106</v>
      </c>
      <c r="F53" s="232" t="s">
        <v>99</v>
      </c>
      <c r="G53" s="565"/>
      <c r="H53" s="58" t="s">
        <v>21</v>
      </c>
      <c r="I53" s="200">
        <f>204.1+330+68.6+33.8-46.7</f>
        <v>589.79999999999995</v>
      </c>
      <c r="J53" s="410" t="s">
        <v>190</v>
      </c>
      <c r="K53" s="75">
        <v>100</v>
      </c>
    </row>
    <row r="54" spans="1:12" ht="28.5" customHeight="1" x14ac:dyDescent="0.25">
      <c r="A54" s="242"/>
      <c r="B54" s="222"/>
      <c r="C54" s="41"/>
      <c r="D54" s="586"/>
      <c r="E54" s="580"/>
      <c r="F54" s="169" t="s">
        <v>88</v>
      </c>
      <c r="G54" s="565"/>
      <c r="H54" s="229" t="s">
        <v>36</v>
      </c>
      <c r="I54" s="140">
        <f>103.1+22.7</f>
        <v>125.8</v>
      </c>
      <c r="J54" s="416" t="s">
        <v>191</v>
      </c>
      <c r="K54" s="75">
        <v>100</v>
      </c>
    </row>
    <row r="55" spans="1:12" ht="29.4" customHeight="1" x14ac:dyDescent="0.25">
      <c r="A55" s="242"/>
      <c r="B55" s="235"/>
      <c r="C55" s="41"/>
      <c r="D55" s="219"/>
      <c r="E55" s="241"/>
      <c r="F55" s="169" t="s">
        <v>144</v>
      </c>
      <c r="G55" s="565"/>
      <c r="H55" s="229" t="s">
        <v>160</v>
      </c>
      <c r="I55" s="248">
        <f>527.4-330</f>
        <v>197.4</v>
      </c>
      <c r="J55" s="416" t="s">
        <v>192</v>
      </c>
      <c r="K55" s="75">
        <v>100</v>
      </c>
    </row>
    <row r="56" spans="1:12" ht="28.5" customHeight="1" x14ac:dyDescent="0.25">
      <c r="A56" s="242"/>
      <c r="B56" s="235"/>
      <c r="C56" s="41"/>
      <c r="D56" s="306"/>
      <c r="E56" s="241"/>
      <c r="F56" s="171" t="s">
        <v>38</v>
      </c>
      <c r="G56" s="565"/>
      <c r="H56" s="393" t="s">
        <v>43</v>
      </c>
      <c r="I56" s="532">
        <f>369+155.3-100</f>
        <v>424.3</v>
      </c>
      <c r="J56" s="416" t="s">
        <v>213</v>
      </c>
      <c r="K56" s="75">
        <v>50</v>
      </c>
    </row>
    <row r="57" spans="1:12" ht="27.75" customHeight="1" x14ac:dyDescent="0.25">
      <c r="A57" s="302"/>
      <c r="B57" s="315"/>
      <c r="C57" s="41"/>
      <c r="D57" s="306"/>
      <c r="E57" s="307"/>
      <c r="F57" s="88"/>
      <c r="G57" s="565"/>
      <c r="H57" s="14"/>
      <c r="I57" s="394"/>
      <c r="J57" s="416" t="s">
        <v>193</v>
      </c>
      <c r="K57" s="543">
        <v>8</v>
      </c>
    </row>
    <row r="58" spans="1:12" ht="15" customHeight="1" x14ac:dyDescent="0.25">
      <c r="A58" s="242"/>
      <c r="B58" s="235"/>
      <c r="C58" s="41"/>
      <c r="D58" s="219" t="s">
        <v>89</v>
      </c>
      <c r="E58" s="566" t="s">
        <v>131</v>
      </c>
      <c r="F58" s="80" t="s">
        <v>38</v>
      </c>
      <c r="G58" s="565"/>
      <c r="H58" s="50" t="s">
        <v>21</v>
      </c>
      <c r="I58" s="200">
        <v>594.20000000000005</v>
      </c>
      <c r="J58" s="418" t="s">
        <v>151</v>
      </c>
      <c r="K58" s="114">
        <v>100</v>
      </c>
    </row>
    <row r="59" spans="1:12" ht="15" customHeight="1" x14ac:dyDescent="0.25">
      <c r="A59" s="242"/>
      <c r="B59" s="235"/>
      <c r="C59" s="41"/>
      <c r="D59" s="219"/>
      <c r="E59" s="567"/>
      <c r="F59" s="169" t="s">
        <v>88</v>
      </c>
      <c r="G59" s="565"/>
      <c r="H59" s="167" t="s">
        <v>54</v>
      </c>
      <c r="I59" s="248">
        <f>1200+549.8</f>
        <v>1749.8</v>
      </c>
      <c r="J59" s="408"/>
      <c r="K59" s="114"/>
    </row>
    <row r="60" spans="1:12" ht="15" customHeight="1" x14ac:dyDescent="0.25">
      <c r="A60" s="242"/>
      <c r="B60" s="235"/>
      <c r="C60" s="41"/>
      <c r="D60" s="219"/>
      <c r="E60" s="567"/>
      <c r="F60" s="81" t="s">
        <v>144</v>
      </c>
      <c r="G60" s="565"/>
      <c r="H60" s="96" t="s">
        <v>43</v>
      </c>
      <c r="I60" s="532">
        <v>439.6</v>
      </c>
      <c r="J60" s="410"/>
      <c r="K60" s="114"/>
    </row>
    <row r="61" spans="1:12" ht="15" customHeight="1" x14ac:dyDescent="0.25">
      <c r="A61" s="242"/>
      <c r="B61" s="235"/>
      <c r="C61" s="41"/>
      <c r="D61" s="72"/>
      <c r="E61" s="625"/>
      <c r="F61" s="234" t="s">
        <v>99</v>
      </c>
      <c r="G61" s="564"/>
      <c r="H61" s="181" t="s">
        <v>47</v>
      </c>
      <c r="I61" s="108">
        <f>35+8.5</f>
        <v>43.5</v>
      </c>
      <c r="J61" s="112"/>
      <c r="K61" s="109"/>
    </row>
    <row r="62" spans="1:12" ht="14.4" customHeight="1" x14ac:dyDescent="0.25">
      <c r="A62" s="242"/>
      <c r="B62" s="235"/>
      <c r="C62" s="43"/>
      <c r="D62" s="218" t="s">
        <v>72</v>
      </c>
      <c r="E62" s="566" t="s">
        <v>80</v>
      </c>
      <c r="F62" s="80" t="s">
        <v>38</v>
      </c>
      <c r="G62" s="304" t="s">
        <v>225</v>
      </c>
      <c r="H62" s="50" t="s">
        <v>21</v>
      </c>
      <c r="I62" s="145">
        <v>169.6</v>
      </c>
      <c r="J62" s="416" t="s">
        <v>151</v>
      </c>
      <c r="K62" s="62">
        <v>100</v>
      </c>
    </row>
    <row r="63" spans="1:12" ht="14.4" customHeight="1" x14ac:dyDescent="0.25">
      <c r="A63" s="242"/>
      <c r="B63" s="235"/>
      <c r="C63" s="43"/>
      <c r="D63" s="219"/>
      <c r="E63" s="567"/>
      <c r="F63" s="233" t="s">
        <v>99</v>
      </c>
      <c r="G63" s="633" t="s">
        <v>94</v>
      </c>
      <c r="H63" s="163" t="s">
        <v>77</v>
      </c>
      <c r="I63" s="96">
        <f>79.2+39.6</f>
        <v>118.8</v>
      </c>
      <c r="J63" s="387"/>
      <c r="K63" s="203"/>
    </row>
    <row r="64" spans="1:12" ht="27.9" customHeight="1" x14ac:dyDescent="0.25">
      <c r="A64" s="508"/>
      <c r="B64" s="513"/>
      <c r="C64" s="43"/>
      <c r="D64" s="505"/>
      <c r="E64" s="567"/>
      <c r="F64" s="512" t="s">
        <v>144</v>
      </c>
      <c r="G64" s="633"/>
      <c r="H64" s="361" t="s">
        <v>242</v>
      </c>
      <c r="I64" s="165">
        <v>39.6</v>
      </c>
      <c r="J64" s="113"/>
      <c r="K64" s="521"/>
    </row>
    <row r="65" spans="1:14" ht="15.65" customHeight="1" x14ac:dyDescent="0.25">
      <c r="A65" s="242"/>
      <c r="B65" s="235"/>
      <c r="C65" s="43"/>
      <c r="D65" s="218" t="s">
        <v>91</v>
      </c>
      <c r="E65" s="566" t="s">
        <v>141</v>
      </c>
      <c r="F65" s="80" t="s">
        <v>38</v>
      </c>
      <c r="G65" s="743" t="s">
        <v>143</v>
      </c>
      <c r="H65" s="398" t="s">
        <v>77</v>
      </c>
      <c r="I65" s="58">
        <f>86+28.7</f>
        <v>114.7</v>
      </c>
      <c r="J65" s="410" t="s">
        <v>151</v>
      </c>
      <c r="K65" s="63">
        <v>100</v>
      </c>
    </row>
    <row r="66" spans="1:14" ht="15" customHeight="1" x14ac:dyDescent="0.25">
      <c r="A66" s="242"/>
      <c r="B66" s="235"/>
      <c r="C66" s="43"/>
      <c r="D66" s="219"/>
      <c r="E66" s="567"/>
      <c r="F66" s="81" t="s">
        <v>144</v>
      </c>
      <c r="G66" s="633"/>
      <c r="H66" s="164"/>
      <c r="I66" s="95"/>
      <c r="K66" s="381"/>
      <c r="L66" s="180"/>
    </row>
    <row r="67" spans="1:14" ht="15" customHeight="1" x14ac:dyDescent="0.25">
      <c r="A67" s="242"/>
      <c r="B67" s="235"/>
      <c r="C67" s="43"/>
      <c r="D67" s="82"/>
      <c r="E67" s="635"/>
      <c r="F67" s="233" t="s">
        <v>99</v>
      </c>
      <c r="G67" s="634"/>
      <c r="H67" s="246"/>
      <c r="I67" s="249"/>
      <c r="J67" s="415"/>
      <c r="K67" s="64"/>
    </row>
    <row r="68" spans="1:14" ht="18" customHeight="1" x14ac:dyDescent="0.25">
      <c r="A68" s="221"/>
      <c r="B68" s="235"/>
      <c r="C68" s="40"/>
      <c r="D68" s="218" t="s">
        <v>92</v>
      </c>
      <c r="E68" s="579" t="s">
        <v>165</v>
      </c>
      <c r="F68" s="90" t="s">
        <v>144</v>
      </c>
      <c r="G68" s="565" t="s">
        <v>94</v>
      </c>
      <c r="H68" s="58" t="s">
        <v>21</v>
      </c>
      <c r="I68" s="462">
        <v>30</v>
      </c>
      <c r="J68" s="577" t="s">
        <v>64</v>
      </c>
      <c r="K68" s="62">
        <v>100</v>
      </c>
    </row>
    <row r="69" spans="1:14" ht="18" customHeight="1" x14ac:dyDescent="0.25">
      <c r="A69" s="221"/>
      <c r="B69" s="235"/>
      <c r="C69" s="40"/>
      <c r="D69" s="72"/>
      <c r="E69" s="580"/>
      <c r="F69" s="93"/>
      <c r="G69" s="565"/>
      <c r="H69" s="245"/>
      <c r="I69" s="14"/>
      <c r="J69" s="578"/>
      <c r="K69" s="63"/>
    </row>
    <row r="70" spans="1:14" s="6" customFormat="1" ht="19.649999999999999" customHeight="1" x14ac:dyDescent="0.25">
      <c r="A70" s="221"/>
      <c r="B70" s="235"/>
      <c r="C70" s="236"/>
      <c r="D70" s="73"/>
      <c r="E70" s="581"/>
      <c r="F70" s="94"/>
      <c r="G70" s="564"/>
      <c r="H70" s="394"/>
      <c r="I70" s="249"/>
      <c r="J70" s="570"/>
      <c r="K70" s="120"/>
    </row>
    <row r="71" spans="1:14" ht="15.75" customHeight="1" x14ac:dyDescent="0.25">
      <c r="A71" s="221"/>
      <c r="B71" s="222"/>
      <c r="C71" s="41"/>
      <c r="D71" s="356">
        <v>13</v>
      </c>
      <c r="E71" s="399" t="s">
        <v>98</v>
      </c>
      <c r="G71" s="400"/>
      <c r="H71" s="142"/>
      <c r="I71" s="138"/>
      <c r="J71" s="419"/>
      <c r="K71" s="475"/>
    </row>
    <row r="72" spans="1:14" ht="15" customHeight="1" x14ac:dyDescent="0.25">
      <c r="A72" s="221"/>
      <c r="B72" s="222"/>
      <c r="C72" s="41"/>
      <c r="D72" s="471">
        <v>1</v>
      </c>
      <c r="E72" s="485" t="s">
        <v>145</v>
      </c>
      <c r="F72" s="472" t="s">
        <v>144</v>
      </c>
      <c r="G72" s="742" t="s">
        <v>96</v>
      </c>
      <c r="H72" s="86" t="s">
        <v>21</v>
      </c>
      <c r="I72" s="96">
        <v>20</v>
      </c>
      <c r="J72" s="410" t="s">
        <v>178</v>
      </c>
      <c r="K72" s="13">
        <v>13.6</v>
      </c>
    </row>
    <row r="73" spans="1:14" ht="15" customHeight="1" x14ac:dyDescent="0.25">
      <c r="A73" s="221"/>
      <c r="B73" s="222"/>
      <c r="C73" s="43"/>
      <c r="D73" s="152">
        <v>2</v>
      </c>
      <c r="E73" s="474" t="s">
        <v>179</v>
      </c>
      <c r="F73" s="171" t="s">
        <v>99</v>
      </c>
      <c r="G73" s="633"/>
      <c r="H73" s="14" t="s">
        <v>54</v>
      </c>
      <c r="I73" s="20">
        <f>525+115-40-40-14.3</f>
        <v>545.70000000000005</v>
      </c>
      <c r="J73" s="125"/>
      <c r="K73" s="381"/>
      <c r="L73" s="180"/>
    </row>
    <row r="74" spans="1:14" ht="15" customHeight="1" x14ac:dyDescent="0.25">
      <c r="A74" s="221"/>
      <c r="B74" s="222"/>
      <c r="C74" s="43"/>
      <c r="D74" s="486"/>
      <c r="E74" s="487"/>
      <c r="F74" s="355" t="s">
        <v>121</v>
      </c>
      <c r="G74" s="633"/>
      <c r="H74" s="14"/>
      <c r="I74" s="136"/>
      <c r="J74" s="410"/>
      <c r="K74" s="13"/>
    </row>
    <row r="75" spans="1:14" ht="30" customHeight="1" x14ac:dyDescent="0.25">
      <c r="A75" s="221"/>
      <c r="B75" s="222"/>
      <c r="C75" s="41"/>
      <c r="D75" s="218" t="s">
        <v>216</v>
      </c>
      <c r="E75" s="723" t="s">
        <v>206</v>
      </c>
      <c r="F75" s="232" t="s">
        <v>121</v>
      </c>
      <c r="G75" s="243"/>
      <c r="H75" s="58" t="s">
        <v>54</v>
      </c>
      <c r="I75" s="78">
        <f>500+40+54.3</f>
        <v>594.29999999999995</v>
      </c>
      <c r="J75" s="419" t="s">
        <v>180</v>
      </c>
      <c r="K75" s="461">
        <v>0.5</v>
      </c>
    </row>
    <row r="76" spans="1:14" ht="30.75" customHeight="1" x14ac:dyDescent="0.25">
      <c r="A76" s="221"/>
      <c r="B76" s="222"/>
      <c r="C76" s="41"/>
      <c r="D76" s="72"/>
      <c r="E76" s="724"/>
      <c r="F76" s="397" t="s">
        <v>99</v>
      </c>
      <c r="G76" s="243"/>
      <c r="H76" s="96" t="s">
        <v>21</v>
      </c>
      <c r="I76" s="96">
        <f>549.8+400-40</f>
        <v>909.8</v>
      </c>
      <c r="J76" s="421" t="s">
        <v>181</v>
      </c>
      <c r="K76" s="402">
        <v>41.4</v>
      </c>
    </row>
    <row r="77" spans="1:14" ht="18" customHeight="1" x14ac:dyDescent="0.25">
      <c r="A77" s="272"/>
      <c r="B77" s="273"/>
      <c r="C77" s="41"/>
      <c r="D77" s="72"/>
      <c r="E77" s="277"/>
      <c r="F77" s="233" t="s">
        <v>144</v>
      </c>
      <c r="G77" s="278"/>
      <c r="H77" s="167" t="s">
        <v>47</v>
      </c>
      <c r="I77" s="14">
        <v>35</v>
      </c>
      <c r="J77" s="420" t="s">
        <v>182</v>
      </c>
      <c r="K77" s="403">
        <v>13</v>
      </c>
    </row>
    <row r="78" spans="1:14" ht="30.75" customHeight="1" x14ac:dyDescent="0.25">
      <c r="A78" s="340"/>
      <c r="B78" s="341"/>
      <c r="C78" s="41"/>
      <c r="D78" s="72"/>
      <c r="E78" s="346"/>
      <c r="F78" s="171"/>
      <c r="G78" s="347"/>
      <c r="H78" s="394"/>
      <c r="I78" s="366"/>
      <c r="J78" s="423" t="s">
        <v>183</v>
      </c>
      <c r="K78" s="358">
        <v>17.600000000000001</v>
      </c>
    </row>
    <row r="79" spans="1:14" ht="15.65" customHeight="1" x14ac:dyDescent="0.25">
      <c r="A79" s="585"/>
      <c r="B79" s="582"/>
      <c r="C79" s="629"/>
      <c r="D79" s="575" t="s">
        <v>194</v>
      </c>
      <c r="E79" s="579" t="s">
        <v>82</v>
      </c>
      <c r="F79" s="362" t="s">
        <v>121</v>
      </c>
      <c r="G79" s="36"/>
      <c r="H79" s="142" t="s">
        <v>54</v>
      </c>
      <c r="I79" s="145">
        <f>205+590-171.3+53.3-40</f>
        <v>637</v>
      </c>
      <c r="J79" s="421" t="s">
        <v>210</v>
      </c>
      <c r="K79" s="175">
        <v>13.7</v>
      </c>
    </row>
    <row r="80" spans="1:14" ht="15.65" customHeight="1" x14ac:dyDescent="0.25">
      <c r="A80" s="585"/>
      <c r="B80" s="582"/>
      <c r="C80" s="629"/>
      <c r="D80" s="586"/>
      <c r="E80" s="583"/>
      <c r="F80" s="342" t="s">
        <v>144</v>
      </c>
      <c r="G80" s="36"/>
      <c r="H80" s="393" t="s">
        <v>21</v>
      </c>
      <c r="I80" s="96">
        <f>381.1+205+40+22-132.8+40+78.3</f>
        <v>633.6</v>
      </c>
      <c r="J80" s="459"/>
      <c r="K80" s="460"/>
      <c r="L80" s="180"/>
      <c r="M80" s="12"/>
      <c r="N80" s="12"/>
    </row>
    <row r="81" spans="1:13" ht="28.5" customHeight="1" x14ac:dyDescent="0.25">
      <c r="A81" s="585"/>
      <c r="B81" s="582"/>
      <c r="C81" s="629"/>
      <c r="D81" s="586"/>
      <c r="E81" s="583"/>
      <c r="F81" s="233" t="s">
        <v>99</v>
      </c>
      <c r="G81" s="36"/>
      <c r="H81" s="167" t="s">
        <v>47</v>
      </c>
      <c r="I81" s="79">
        <v>115</v>
      </c>
      <c r="J81" s="473" t="s">
        <v>211</v>
      </c>
      <c r="K81" s="544">
        <v>9</v>
      </c>
      <c r="L81" s="180"/>
      <c r="M81" s="12"/>
    </row>
    <row r="82" spans="1:13" ht="15" customHeight="1" x14ac:dyDescent="0.25">
      <c r="A82" s="340"/>
      <c r="B82" s="341"/>
      <c r="C82" s="345"/>
      <c r="D82" s="337"/>
      <c r="E82" s="339"/>
      <c r="F82" s="342"/>
      <c r="G82" s="36"/>
      <c r="H82" s="14"/>
      <c r="I82" s="479"/>
      <c r="J82" s="414" t="s">
        <v>37</v>
      </c>
      <c r="K82" s="119">
        <v>1</v>
      </c>
    </row>
    <row r="83" spans="1:13" ht="15" customHeight="1" x14ac:dyDescent="0.25">
      <c r="A83" s="340"/>
      <c r="B83" s="341"/>
      <c r="C83" s="345"/>
      <c r="D83" s="337"/>
      <c r="E83" s="339"/>
      <c r="F83" s="342"/>
      <c r="G83" s="36"/>
      <c r="H83" s="86"/>
      <c r="I83" s="478"/>
      <c r="J83" s="422" t="s">
        <v>37</v>
      </c>
      <c r="K83" s="104">
        <v>1</v>
      </c>
    </row>
    <row r="84" spans="1:13" ht="27.65" customHeight="1" x14ac:dyDescent="0.25">
      <c r="A84" s="510"/>
      <c r="B84" s="509"/>
      <c r="C84" s="511"/>
      <c r="D84" s="505"/>
      <c r="E84" s="506"/>
      <c r="F84" s="512"/>
      <c r="G84" s="36"/>
      <c r="H84" s="165" t="s">
        <v>49</v>
      </c>
      <c r="I84" s="20">
        <v>100</v>
      </c>
      <c r="J84" s="410" t="s">
        <v>37</v>
      </c>
      <c r="K84" s="543">
        <v>1</v>
      </c>
    </row>
    <row r="85" spans="1:13" ht="15.75" customHeight="1" x14ac:dyDescent="0.25">
      <c r="A85" s="221"/>
      <c r="B85" s="222"/>
      <c r="C85" s="236"/>
      <c r="D85" s="218" t="s">
        <v>201</v>
      </c>
      <c r="E85" s="579" t="s">
        <v>171</v>
      </c>
      <c r="F85" s="90" t="s">
        <v>144</v>
      </c>
      <c r="G85" s="338"/>
      <c r="H85" s="58" t="s">
        <v>21</v>
      </c>
      <c r="I85" s="58">
        <v>307.5</v>
      </c>
      <c r="J85" s="577" t="s">
        <v>66</v>
      </c>
      <c r="K85" s="62">
        <v>2</v>
      </c>
    </row>
    <row r="86" spans="1:13" ht="16.5" customHeight="1" x14ac:dyDescent="0.25">
      <c r="A86" s="221"/>
      <c r="B86" s="222"/>
      <c r="C86" s="236"/>
      <c r="D86" s="72"/>
      <c r="E86" s="639"/>
      <c r="F86" s="171" t="s">
        <v>99</v>
      </c>
      <c r="G86" s="338"/>
      <c r="H86" s="394"/>
      <c r="I86" s="249"/>
      <c r="J86" s="570"/>
      <c r="K86" s="64"/>
    </row>
    <row r="87" spans="1:13" ht="15" customHeight="1" x14ac:dyDescent="0.25">
      <c r="A87" s="242"/>
      <c r="B87" s="222"/>
      <c r="C87" s="43"/>
      <c r="D87" s="218" t="s">
        <v>199</v>
      </c>
      <c r="E87" s="566" t="s">
        <v>33</v>
      </c>
      <c r="F87" s="90" t="s">
        <v>144</v>
      </c>
      <c r="G87" s="563" t="s">
        <v>74</v>
      </c>
      <c r="H87" s="166" t="s">
        <v>54</v>
      </c>
      <c r="I87" s="79">
        <f>160.8+50</f>
        <v>210.8</v>
      </c>
      <c r="J87" s="189" t="s">
        <v>81</v>
      </c>
      <c r="K87" s="62">
        <v>16</v>
      </c>
    </row>
    <row r="88" spans="1:13" ht="15" customHeight="1" x14ac:dyDescent="0.25">
      <c r="A88" s="279"/>
      <c r="B88" s="280"/>
      <c r="C88" s="43"/>
      <c r="D88" s="281"/>
      <c r="E88" s="567"/>
      <c r="F88" s="171"/>
      <c r="G88" s="565"/>
      <c r="H88" s="282" t="s">
        <v>21</v>
      </c>
      <c r="I88" s="140">
        <f>111.6-50</f>
        <v>61.6</v>
      </c>
      <c r="J88" s="422"/>
      <c r="K88" s="124"/>
    </row>
    <row r="89" spans="1:13" ht="14.25" customHeight="1" x14ac:dyDescent="0.25">
      <c r="A89" s="242"/>
      <c r="B89" s="235"/>
      <c r="C89" s="40"/>
      <c r="D89" s="575" t="s">
        <v>175</v>
      </c>
      <c r="E89" s="566" t="s">
        <v>237</v>
      </c>
      <c r="F89" s="47" t="s">
        <v>144</v>
      </c>
      <c r="G89" s="563" t="s">
        <v>96</v>
      </c>
      <c r="H89" s="50" t="s">
        <v>54</v>
      </c>
      <c r="I89" s="138">
        <v>8</v>
      </c>
      <c r="J89" s="412" t="s">
        <v>184</v>
      </c>
      <c r="K89" s="405">
        <v>10</v>
      </c>
    </row>
    <row r="90" spans="1:13" ht="27.65" customHeight="1" x14ac:dyDescent="0.25">
      <c r="A90" s="242"/>
      <c r="B90" s="235"/>
      <c r="C90" s="40"/>
      <c r="D90" s="576"/>
      <c r="E90" s="635"/>
      <c r="F90" s="66"/>
      <c r="G90" s="564"/>
      <c r="H90" s="361" t="s">
        <v>21</v>
      </c>
      <c r="I90" s="108">
        <v>4</v>
      </c>
      <c r="J90" s="425"/>
      <c r="K90" s="64"/>
    </row>
    <row r="91" spans="1:13" ht="15" customHeight="1" x14ac:dyDescent="0.25">
      <c r="A91" s="242"/>
      <c r="B91" s="235"/>
      <c r="C91" s="40"/>
      <c r="D91" s="219" t="s">
        <v>164</v>
      </c>
      <c r="E91" s="566" t="s">
        <v>208</v>
      </c>
      <c r="F91" s="47" t="s">
        <v>38</v>
      </c>
      <c r="G91" s="563" t="s">
        <v>94</v>
      </c>
      <c r="H91" s="398" t="s">
        <v>21</v>
      </c>
      <c r="I91" s="58">
        <v>14</v>
      </c>
      <c r="J91" s="430" t="s">
        <v>52</v>
      </c>
      <c r="K91" s="117">
        <v>1</v>
      </c>
    </row>
    <row r="92" spans="1:13" ht="15" customHeight="1" x14ac:dyDescent="0.25">
      <c r="A92" s="242"/>
      <c r="B92" s="235"/>
      <c r="C92" s="40"/>
      <c r="D92" s="219"/>
      <c r="E92" s="567"/>
      <c r="F92" s="183" t="s">
        <v>99</v>
      </c>
      <c r="G92" s="565"/>
      <c r="H92" s="168"/>
      <c r="I92" s="366"/>
      <c r="J92" s="413"/>
      <c r="K92" s="63"/>
    </row>
    <row r="93" spans="1:13" ht="15.75" customHeight="1" x14ac:dyDescent="0.25">
      <c r="A93" s="242"/>
      <c r="B93" s="235"/>
      <c r="C93" s="40"/>
      <c r="D93" s="219"/>
      <c r="E93" s="567"/>
      <c r="F93" s="176" t="s">
        <v>144</v>
      </c>
      <c r="G93" s="565"/>
      <c r="H93" s="165"/>
      <c r="I93" s="394"/>
      <c r="J93" s="112"/>
      <c r="K93" s="109"/>
    </row>
    <row r="94" spans="1:13" ht="14.4" customHeight="1" x14ac:dyDescent="0.25">
      <c r="A94" s="242"/>
      <c r="B94" s="235"/>
      <c r="C94" s="40"/>
      <c r="D94" s="218" t="s">
        <v>100</v>
      </c>
      <c r="E94" s="566" t="s">
        <v>200</v>
      </c>
      <c r="F94" s="47" t="s">
        <v>144</v>
      </c>
      <c r="G94" s="70"/>
      <c r="H94" s="162" t="s">
        <v>21</v>
      </c>
      <c r="I94" s="78">
        <f>722.6-305</f>
        <v>417.6</v>
      </c>
      <c r="J94" s="426" t="s">
        <v>151</v>
      </c>
      <c r="K94" s="384">
        <v>30</v>
      </c>
    </row>
    <row r="95" spans="1:13" ht="14.4" customHeight="1" x14ac:dyDescent="0.25">
      <c r="A95" s="302"/>
      <c r="B95" s="315"/>
      <c r="C95" s="40"/>
      <c r="D95" s="306"/>
      <c r="E95" s="567"/>
      <c r="F95" s="87" t="s">
        <v>38</v>
      </c>
      <c r="G95" s="70"/>
      <c r="H95" s="245" t="s">
        <v>54</v>
      </c>
      <c r="I95" s="248">
        <f>400+119</f>
        <v>519</v>
      </c>
      <c r="J95" s="427"/>
      <c r="K95" s="161"/>
    </row>
    <row r="96" spans="1:13" ht="14.4" customHeight="1" x14ac:dyDescent="0.25">
      <c r="A96" s="242"/>
      <c r="B96" s="235"/>
      <c r="C96" s="40"/>
      <c r="D96" s="219"/>
      <c r="E96" s="567"/>
      <c r="F96" s="172" t="s">
        <v>99</v>
      </c>
      <c r="G96" s="317"/>
      <c r="H96" s="361" t="s">
        <v>160</v>
      </c>
      <c r="I96" s="108">
        <f>305-150</f>
        <v>155</v>
      </c>
      <c r="J96" s="112"/>
      <c r="K96" s="319"/>
      <c r="L96" s="180"/>
    </row>
    <row r="97" spans="1:12" ht="15" customHeight="1" x14ac:dyDescent="0.25">
      <c r="A97" s="242"/>
      <c r="B97" s="222"/>
      <c r="C97" s="107"/>
      <c r="D97" s="285" t="s">
        <v>101</v>
      </c>
      <c r="E97" s="213" t="s">
        <v>124</v>
      </c>
      <c r="F97" s="458" t="s">
        <v>99</v>
      </c>
      <c r="G97" s="563" t="s">
        <v>96</v>
      </c>
      <c r="H97" s="162"/>
      <c r="I97" s="145"/>
      <c r="J97" s="428"/>
      <c r="K97" s="62"/>
    </row>
    <row r="98" spans="1:12" ht="15" customHeight="1" x14ac:dyDescent="0.25">
      <c r="A98" s="242"/>
      <c r="B98" s="222"/>
      <c r="C98" s="107"/>
      <c r="D98" s="219"/>
      <c r="E98" s="237" t="s">
        <v>212</v>
      </c>
      <c r="F98" s="250" t="s">
        <v>144</v>
      </c>
      <c r="G98" s="565"/>
      <c r="H98" s="163" t="s">
        <v>54</v>
      </c>
      <c r="I98" s="248">
        <f>103-13</f>
        <v>90</v>
      </c>
      <c r="J98" s="426" t="s">
        <v>151</v>
      </c>
      <c r="K98" s="424">
        <v>100</v>
      </c>
    </row>
    <row r="99" spans="1:12" ht="15" customHeight="1" x14ac:dyDescent="0.25">
      <c r="A99" s="495"/>
      <c r="B99" s="496"/>
      <c r="C99" s="107"/>
      <c r="D99" s="493"/>
      <c r="E99" s="501"/>
      <c r="F99" s="502"/>
      <c r="G99" s="565"/>
      <c r="H99" s="163" t="s">
        <v>21</v>
      </c>
      <c r="I99" s="251">
        <f>128.8-78.3+24.1</f>
        <v>74.599999999999994</v>
      </c>
      <c r="J99" s="413"/>
      <c r="K99" s="503"/>
    </row>
    <row r="100" spans="1:12" s="2" customFormat="1" ht="15" customHeight="1" x14ac:dyDescent="0.25">
      <c r="A100" s="242"/>
      <c r="B100" s="222"/>
      <c r="C100" s="208"/>
      <c r="D100" s="206"/>
      <c r="E100" s="237" t="s">
        <v>136</v>
      </c>
      <c r="F100" s="250" t="s">
        <v>142</v>
      </c>
      <c r="G100" s="565"/>
      <c r="H100" s="163" t="s">
        <v>54</v>
      </c>
      <c r="I100" s="456">
        <f>260-24.4-53.3-11.1</f>
        <v>171.2</v>
      </c>
      <c r="J100" s="426" t="s">
        <v>151</v>
      </c>
      <c r="K100" s="457">
        <v>100</v>
      </c>
      <c r="L100" s="1"/>
    </row>
    <row r="101" spans="1:12" ht="15" customHeight="1" x14ac:dyDescent="0.25">
      <c r="A101" s="242"/>
      <c r="B101" s="222"/>
      <c r="C101" s="107"/>
      <c r="D101" s="572" t="s">
        <v>102</v>
      </c>
      <c r="E101" s="566" t="s">
        <v>137</v>
      </c>
      <c r="F101" s="47" t="s">
        <v>38</v>
      </c>
      <c r="G101" s="563" t="s">
        <v>94</v>
      </c>
      <c r="H101" s="162" t="s">
        <v>21</v>
      </c>
      <c r="I101" s="139">
        <f>154.3-100-24.1-29.7</f>
        <v>0.5</v>
      </c>
      <c r="J101" s="412" t="s">
        <v>151</v>
      </c>
      <c r="K101" s="117">
        <v>41</v>
      </c>
    </row>
    <row r="102" spans="1:12" ht="15" customHeight="1" x14ac:dyDescent="0.25">
      <c r="A102" s="537"/>
      <c r="B102" s="538"/>
      <c r="C102" s="107"/>
      <c r="D102" s="573"/>
      <c r="E102" s="567"/>
      <c r="F102" s="87"/>
      <c r="G102" s="565"/>
      <c r="H102" s="542" t="s">
        <v>160</v>
      </c>
      <c r="I102" s="139">
        <f>14.7-14.7</f>
        <v>0</v>
      </c>
      <c r="J102" s="413"/>
      <c r="K102" s="63"/>
    </row>
    <row r="103" spans="1:12" ht="15" customHeight="1" x14ac:dyDescent="0.25">
      <c r="A103" s="242"/>
      <c r="B103" s="222"/>
      <c r="C103" s="107"/>
      <c r="D103" s="573"/>
      <c r="E103" s="567"/>
      <c r="F103" s="87" t="s">
        <v>144</v>
      </c>
      <c r="G103" s="565"/>
      <c r="H103" s="245" t="s">
        <v>54</v>
      </c>
      <c r="I103" s="140">
        <f>500-94.9</f>
        <v>405.1</v>
      </c>
      <c r="J103" s="413"/>
      <c r="K103" s="63"/>
    </row>
    <row r="104" spans="1:12" ht="15" customHeight="1" x14ac:dyDescent="0.25">
      <c r="A104" s="242"/>
      <c r="B104" s="222"/>
      <c r="C104" s="107"/>
      <c r="D104" s="574"/>
      <c r="E104" s="567"/>
      <c r="F104" s="177" t="s">
        <v>99</v>
      </c>
      <c r="G104" s="565"/>
      <c r="H104" s="361" t="s">
        <v>47</v>
      </c>
      <c r="I104" s="76">
        <f>584-14.7-212.7-87.3-245.3</f>
        <v>24</v>
      </c>
      <c r="J104" s="425"/>
      <c r="K104" s="63"/>
    </row>
    <row r="105" spans="1:12" ht="27.65" customHeight="1" x14ac:dyDescent="0.25">
      <c r="A105" s="242"/>
      <c r="B105" s="222"/>
      <c r="C105" s="107"/>
      <c r="D105" s="392" t="s">
        <v>103</v>
      </c>
      <c r="E105" s="389" t="s">
        <v>138</v>
      </c>
      <c r="F105" s="47" t="s">
        <v>144</v>
      </c>
      <c r="G105" s="70"/>
      <c r="H105" s="50" t="s">
        <v>21</v>
      </c>
      <c r="I105" s="79">
        <v>302.10000000000002</v>
      </c>
      <c r="J105" s="431" t="s">
        <v>151</v>
      </c>
      <c r="K105" s="348">
        <v>75</v>
      </c>
    </row>
    <row r="106" spans="1:12" ht="15.65" customHeight="1" x14ac:dyDescent="0.25">
      <c r="A106" s="242"/>
      <c r="B106" s="222"/>
      <c r="C106" s="107"/>
      <c r="D106" s="572" t="s">
        <v>104</v>
      </c>
      <c r="E106" s="566" t="s">
        <v>159</v>
      </c>
      <c r="F106" s="47" t="s">
        <v>144</v>
      </c>
      <c r="G106" s="70"/>
      <c r="H106" s="142" t="s">
        <v>21</v>
      </c>
      <c r="I106" s="142">
        <f>232.8-200</f>
        <v>32.799999999999997</v>
      </c>
      <c r="J106" s="412" t="s">
        <v>151</v>
      </c>
      <c r="K106" s="117">
        <v>100</v>
      </c>
    </row>
    <row r="107" spans="1:12" ht="15.65" customHeight="1" x14ac:dyDescent="0.25">
      <c r="A107" s="302"/>
      <c r="B107" s="303"/>
      <c r="C107" s="107"/>
      <c r="D107" s="573"/>
      <c r="E107" s="567"/>
      <c r="F107" s="87" t="s">
        <v>38</v>
      </c>
      <c r="G107" s="70"/>
      <c r="H107" s="361" t="s">
        <v>47</v>
      </c>
      <c r="I107" s="357">
        <f>166.2+170</f>
        <v>336.2</v>
      </c>
      <c r="J107" s="427"/>
      <c r="K107" s="63"/>
    </row>
    <row r="108" spans="1:12" ht="15" customHeight="1" x14ac:dyDescent="0.25">
      <c r="A108" s="221"/>
      <c r="B108" s="222"/>
      <c r="C108" s="41"/>
      <c r="D108" s="218" t="s">
        <v>105</v>
      </c>
      <c r="E108" s="579" t="s">
        <v>214</v>
      </c>
      <c r="F108" s="182" t="s">
        <v>38</v>
      </c>
      <c r="G108" s="633"/>
      <c r="H108" s="398" t="s">
        <v>21</v>
      </c>
      <c r="I108" s="366">
        <v>25</v>
      </c>
      <c r="J108" s="434" t="s">
        <v>37</v>
      </c>
      <c r="K108" s="117">
        <v>1</v>
      </c>
    </row>
    <row r="109" spans="1:12" ht="15" customHeight="1" x14ac:dyDescent="0.25">
      <c r="A109" s="221"/>
      <c r="B109" s="222"/>
      <c r="C109" s="41"/>
      <c r="D109" s="219"/>
      <c r="E109" s="583"/>
      <c r="F109" s="183" t="s">
        <v>144</v>
      </c>
      <c r="G109" s="633"/>
      <c r="H109" s="245"/>
      <c r="I109" s="14"/>
      <c r="J109" s="413"/>
      <c r="K109" s="161"/>
    </row>
    <row r="110" spans="1:12" ht="15" customHeight="1" x14ac:dyDescent="0.25">
      <c r="A110" s="221"/>
      <c r="B110" s="222"/>
      <c r="C110" s="40"/>
      <c r="D110" s="72"/>
      <c r="E110" s="583"/>
      <c r="F110" s="364" t="s">
        <v>99</v>
      </c>
      <c r="G110" s="634"/>
      <c r="H110" s="394"/>
      <c r="I110" s="394"/>
      <c r="J110" s="387"/>
      <c r="K110" s="63"/>
    </row>
    <row r="111" spans="1:12" s="6" customFormat="1" ht="13.5" customHeight="1" x14ac:dyDescent="0.25">
      <c r="A111" s="221"/>
      <c r="B111" s="235"/>
      <c r="C111" s="43"/>
      <c r="D111" s="453"/>
      <c r="E111" s="454" t="s">
        <v>149</v>
      </c>
      <c r="F111" s="325"/>
      <c r="G111" s="329"/>
      <c r="H111" s="455"/>
      <c r="I111" s="145"/>
      <c r="J111" s="434"/>
      <c r="K111" s="432"/>
    </row>
    <row r="112" spans="1:12" ht="15" customHeight="1" x14ac:dyDescent="0.25">
      <c r="A112" s="221"/>
      <c r="B112" s="222"/>
      <c r="C112" s="41"/>
      <c r="D112" s="327" t="s">
        <v>123</v>
      </c>
      <c r="E112" s="636" t="s">
        <v>232</v>
      </c>
      <c r="F112" s="328" t="s">
        <v>144</v>
      </c>
      <c r="G112" s="633" t="s">
        <v>227</v>
      </c>
      <c r="H112" s="542" t="s">
        <v>242</v>
      </c>
      <c r="I112" s="248">
        <v>145.5</v>
      </c>
      <c r="J112" s="426" t="s">
        <v>151</v>
      </c>
      <c r="K112" s="75">
        <v>100</v>
      </c>
    </row>
    <row r="113" spans="1:11" ht="15" customHeight="1" x14ac:dyDescent="0.25">
      <c r="A113" s="221"/>
      <c r="B113" s="222"/>
      <c r="C113" s="40"/>
      <c r="D113" s="72"/>
      <c r="E113" s="567"/>
      <c r="F113" s="186" t="s">
        <v>38</v>
      </c>
      <c r="G113" s="633"/>
      <c r="H113" s="96" t="s">
        <v>43</v>
      </c>
      <c r="I113" s="160">
        <f>12.5+6.6</f>
        <v>19.100000000000001</v>
      </c>
      <c r="K113" s="381"/>
    </row>
    <row r="114" spans="1:11" ht="29.15" customHeight="1" x14ac:dyDescent="0.25">
      <c r="A114" s="221"/>
      <c r="B114" s="222"/>
      <c r="C114" s="41"/>
      <c r="D114" s="330"/>
      <c r="E114" s="640"/>
      <c r="F114" s="326" t="s">
        <v>99</v>
      </c>
      <c r="G114" s="633"/>
      <c r="H114" s="86" t="s">
        <v>21</v>
      </c>
      <c r="I114" s="139">
        <v>46.7</v>
      </c>
      <c r="J114" s="410"/>
      <c r="K114" s="124"/>
    </row>
    <row r="115" spans="1:11" ht="39" customHeight="1" x14ac:dyDescent="0.25">
      <c r="A115" s="375"/>
      <c r="B115" s="376"/>
      <c r="C115" s="107"/>
      <c r="D115" s="327" t="s">
        <v>125</v>
      </c>
      <c r="E115" s="636" t="s">
        <v>217</v>
      </c>
      <c r="F115" s="377" t="s">
        <v>142</v>
      </c>
      <c r="G115" s="379" t="s">
        <v>97</v>
      </c>
      <c r="H115" s="393" t="s">
        <v>35</v>
      </c>
      <c r="I115" s="248">
        <f>1100+239.3</f>
        <v>1339.3</v>
      </c>
      <c r="J115" s="426" t="s">
        <v>151</v>
      </c>
      <c r="K115" s="75">
        <v>100</v>
      </c>
    </row>
    <row r="116" spans="1:11" ht="43.5" customHeight="1" x14ac:dyDescent="0.25">
      <c r="A116" s="375"/>
      <c r="B116" s="376"/>
      <c r="C116" s="107"/>
      <c r="D116" s="72"/>
      <c r="E116" s="635"/>
      <c r="F116" s="377" t="s">
        <v>99</v>
      </c>
      <c r="G116" s="378"/>
      <c r="H116" s="246"/>
      <c r="I116" s="246"/>
      <c r="J116" s="410"/>
      <c r="K116" s="64"/>
    </row>
    <row r="117" spans="1:11" s="283" customFormat="1" ht="17.25" customHeight="1" x14ac:dyDescent="0.25">
      <c r="A117" s="302"/>
      <c r="B117" s="303"/>
      <c r="C117" s="208"/>
      <c r="D117" s="305" t="s">
        <v>132</v>
      </c>
      <c r="E117" s="566" t="s">
        <v>205</v>
      </c>
      <c r="F117" s="312" t="s">
        <v>142</v>
      </c>
      <c r="G117" s="563" t="s">
        <v>195</v>
      </c>
      <c r="H117" s="58" t="s">
        <v>21</v>
      </c>
      <c r="I117" s="138">
        <f>5-4.6+29.7</f>
        <v>30.1</v>
      </c>
      <c r="J117" s="476" t="s">
        <v>196</v>
      </c>
      <c r="K117" s="477">
        <v>1</v>
      </c>
    </row>
    <row r="118" spans="1:11" s="283" customFormat="1" ht="17.25" customHeight="1" x14ac:dyDescent="0.25">
      <c r="A118" s="302"/>
      <c r="B118" s="303"/>
      <c r="C118" s="208"/>
      <c r="D118" s="316"/>
      <c r="E118" s="567"/>
      <c r="F118" s="313" t="s">
        <v>38</v>
      </c>
      <c r="G118" s="565"/>
      <c r="H118" s="393" t="s">
        <v>43</v>
      </c>
      <c r="I118" s="393">
        <v>1.7</v>
      </c>
      <c r="J118" s="439"/>
      <c r="K118" s="128"/>
    </row>
    <row r="119" spans="1:11" s="283" customFormat="1" ht="17.25" customHeight="1" x14ac:dyDescent="0.25">
      <c r="A119" s="302"/>
      <c r="B119" s="303"/>
      <c r="C119" s="208"/>
      <c r="D119" s="316"/>
      <c r="E119" s="567"/>
      <c r="F119" s="313" t="s">
        <v>99</v>
      </c>
      <c r="G119" s="565"/>
      <c r="H119" s="314"/>
      <c r="I119" s="249"/>
      <c r="J119" s="415"/>
      <c r="K119" s="433"/>
    </row>
    <row r="120" spans="1:11" ht="16.5" customHeight="1" x14ac:dyDescent="0.25">
      <c r="A120" s="571"/>
      <c r="B120" s="582"/>
      <c r="C120" s="374"/>
      <c r="D120" s="575" t="s">
        <v>133</v>
      </c>
      <c r="E120" s="723" t="s">
        <v>189</v>
      </c>
      <c r="F120" s="318" t="s">
        <v>88</v>
      </c>
      <c r="G120" s="565"/>
      <c r="H120" s="14" t="s">
        <v>160</v>
      </c>
      <c r="I120" s="532">
        <v>153.9</v>
      </c>
      <c r="J120" s="577" t="s">
        <v>207</v>
      </c>
      <c r="K120" s="116">
        <v>100</v>
      </c>
    </row>
    <row r="121" spans="1:11" ht="16.5" customHeight="1" x14ac:dyDescent="0.25">
      <c r="A121" s="571"/>
      <c r="B121" s="582"/>
      <c r="C121" s="374"/>
      <c r="D121" s="586"/>
      <c r="E121" s="724"/>
      <c r="F121" s="169" t="s">
        <v>38</v>
      </c>
      <c r="G121" s="565"/>
      <c r="H121" s="393" t="s">
        <v>43</v>
      </c>
      <c r="I121" s="532">
        <f>88.5+8.5</f>
        <v>97</v>
      </c>
      <c r="J121" s="578"/>
      <c r="K121" s="114"/>
    </row>
    <row r="122" spans="1:11" ht="16.5" customHeight="1" x14ac:dyDescent="0.25">
      <c r="A122" s="571"/>
      <c r="B122" s="582"/>
      <c r="C122" s="374"/>
      <c r="D122" s="586"/>
      <c r="E122" s="724"/>
      <c r="F122" s="169" t="s">
        <v>144</v>
      </c>
      <c r="G122" s="565"/>
      <c r="H122" s="20"/>
      <c r="I122" s="366"/>
      <c r="J122" s="578"/>
      <c r="K122" s="114"/>
    </row>
    <row r="123" spans="1:11" ht="16.5" customHeight="1" x14ac:dyDescent="0.25">
      <c r="A123" s="571"/>
      <c r="B123" s="582"/>
      <c r="C123" s="374"/>
      <c r="D123" s="576"/>
      <c r="E123" s="724"/>
      <c r="F123" s="183" t="s">
        <v>121</v>
      </c>
      <c r="G123" s="565"/>
      <c r="H123" s="1"/>
      <c r="I123" s="112"/>
      <c r="J123" s="570"/>
      <c r="K123" s="115"/>
    </row>
    <row r="124" spans="1:11" ht="15" customHeight="1" x14ac:dyDescent="0.25">
      <c r="A124" s="340"/>
      <c r="B124" s="344"/>
      <c r="C124" s="40"/>
      <c r="D124" s="575" t="s">
        <v>134</v>
      </c>
      <c r="E124" s="566" t="s">
        <v>126</v>
      </c>
      <c r="F124" s="372" t="s">
        <v>99</v>
      </c>
      <c r="G124" s="70"/>
      <c r="H124" s="58" t="s">
        <v>43</v>
      </c>
      <c r="I124" s="58">
        <f>200-3.8</f>
        <v>196.2</v>
      </c>
      <c r="J124" s="410" t="s">
        <v>151</v>
      </c>
      <c r="K124" s="62">
        <v>100</v>
      </c>
    </row>
    <row r="125" spans="1:11" ht="15" customHeight="1" x14ac:dyDescent="0.25">
      <c r="A125" s="340"/>
      <c r="B125" s="344"/>
      <c r="C125" s="40"/>
      <c r="D125" s="586"/>
      <c r="E125" s="567"/>
      <c r="F125" s="183" t="s">
        <v>38</v>
      </c>
      <c r="G125" s="70"/>
      <c r="H125" s="14"/>
      <c r="I125" s="366"/>
      <c r="J125" s="387"/>
      <c r="K125" s="203"/>
    </row>
    <row r="126" spans="1:11" ht="15" customHeight="1" x14ac:dyDescent="0.25">
      <c r="A126" s="340"/>
      <c r="B126" s="344"/>
      <c r="C126" s="40"/>
      <c r="D126" s="576"/>
      <c r="E126" s="635"/>
      <c r="F126" s="343" t="s">
        <v>144</v>
      </c>
      <c r="G126" s="491"/>
      <c r="H126" s="394"/>
      <c r="I126" s="394"/>
      <c r="J126" s="387"/>
      <c r="K126" s="111"/>
    </row>
    <row r="127" spans="1:11" ht="60" customHeight="1" x14ac:dyDescent="0.25">
      <c r="A127" s="481"/>
      <c r="B127" s="484"/>
      <c r="C127" s="40"/>
      <c r="D127" s="483" t="s">
        <v>135</v>
      </c>
      <c r="E127" s="492" t="s">
        <v>233</v>
      </c>
      <c r="F127" s="482" t="s">
        <v>142</v>
      </c>
      <c r="G127" s="534" t="s">
        <v>235</v>
      </c>
      <c r="H127" s="55"/>
      <c r="I127" s="55"/>
      <c r="J127" s="489" t="s">
        <v>234</v>
      </c>
      <c r="K127" s="490">
        <v>1</v>
      </c>
    </row>
    <row r="128" spans="1:11" ht="60" customHeight="1" x14ac:dyDescent="0.25">
      <c r="A128" s="529"/>
      <c r="B128" s="530"/>
      <c r="C128" s="40"/>
      <c r="D128" s="77" t="s">
        <v>148</v>
      </c>
      <c r="E128" s="531" t="s">
        <v>248</v>
      </c>
      <c r="F128" s="535" t="s">
        <v>142</v>
      </c>
      <c r="G128" s="528" t="s">
        <v>195</v>
      </c>
      <c r="H128" s="14"/>
      <c r="I128" s="135"/>
      <c r="J128" s="533"/>
      <c r="K128" s="490"/>
    </row>
    <row r="129" spans="1:18" ht="15" customHeight="1" thickBot="1" x14ac:dyDescent="0.3">
      <c r="A129" s="15"/>
      <c r="B129" s="52"/>
      <c r="C129" s="25"/>
      <c r="D129" s="99"/>
      <c r="E129" s="224"/>
      <c r="F129" s="149"/>
      <c r="G129" s="193"/>
      <c r="H129" s="85" t="s">
        <v>4</v>
      </c>
      <c r="I129" s="147">
        <f>SUM(I18:I127)</f>
        <v>24640.3</v>
      </c>
      <c r="J129" s="435"/>
      <c r="K129" s="105"/>
    </row>
    <row r="130" spans="1:18" ht="15" customHeight="1" thickBot="1" x14ac:dyDescent="0.3">
      <c r="A130" s="16" t="s">
        <v>3</v>
      </c>
      <c r="B130" s="32" t="s">
        <v>3</v>
      </c>
      <c r="C130" s="650" t="s">
        <v>6</v>
      </c>
      <c r="D130" s="651"/>
      <c r="E130" s="651"/>
      <c r="F130" s="651"/>
      <c r="G130" s="651"/>
      <c r="H130" s="652"/>
      <c r="I130" s="146">
        <f t="shared" ref="I130" si="0">I129</f>
        <v>24640.3</v>
      </c>
      <c r="J130" s="637"/>
      <c r="K130" s="638"/>
    </row>
    <row r="131" spans="1:18" ht="15" customHeight="1" thickBot="1" x14ac:dyDescent="0.3">
      <c r="A131" s="16" t="s">
        <v>3</v>
      </c>
      <c r="B131" s="32" t="s">
        <v>5</v>
      </c>
      <c r="C131" s="630" t="s">
        <v>27</v>
      </c>
      <c r="D131" s="631"/>
      <c r="E131" s="631"/>
      <c r="F131" s="631"/>
      <c r="G131" s="631"/>
      <c r="H131" s="631"/>
      <c r="I131" s="631"/>
      <c r="J131" s="631"/>
      <c r="K131" s="632"/>
    </row>
    <row r="132" spans="1:18" ht="15.65" customHeight="1" x14ac:dyDescent="0.25">
      <c r="A132" s="57" t="s">
        <v>3</v>
      </c>
      <c r="B132" s="31" t="s">
        <v>5</v>
      </c>
      <c r="C132" s="39" t="s">
        <v>3</v>
      </c>
      <c r="D132" s="53"/>
      <c r="E132" s="23" t="s">
        <v>41</v>
      </c>
      <c r="F132" s="154"/>
      <c r="G132" s="44"/>
      <c r="H132" s="19"/>
      <c r="I132" s="106"/>
      <c r="J132" s="437"/>
      <c r="K132" s="65"/>
    </row>
    <row r="133" spans="1:18" ht="26.25" customHeight="1" x14ac:dyDescent="0.25">
      <c r="A133" s="221"/>
      <c r="B133" s="235"/>
      <c r="C133" s="236"/>
      <c r="D133" s="219" t="s">
        <v>3</v>
      </c>
      <c r="E133" s="566" t="s">
        <v>185</v>
      </c>
      <c r="F133" s="183" t="s">
        <v>99</v>
      </c>
      <c r="G133" s="565" t="s">
        <v>74</v>
      </c>
      <c r="H133" s="142" t="s">
        <v>21</v>
      </c>
      <c r="I133" s="138">
        <f>50+134.9</f>
        <v>184.9</v>
      </c>
      <c r="J133" s="416" t="s">
        <v>187</v>
      </c>
      <c r="K133" s="263">
        <v>2</v>
      </c>
    </row>
    <row r="134" spans="1:18" ht="28.5" customHeight="1" x14ac:dyDescent="0.25">
      <c r="A134" s="221"/>
      <c r="B134" s="235"/>
      <c r="C134" s="236"/>
      <c r="D134" s="72"/>
      <c r="E134" s="567"/>
      <c r="F134" s="233" t="s">
        <v>88</v>
      </c>
      <c r="G134" s="568"/>
      <c r="H134" s="14" t="s">
        <v>43</v>
      </c>
      <c r="I134" s="393">
        <f>300+6060+2200+384.1</f>
        <v>8944.1</v>
      </c>
      <c r="J134" s="416" t="s">
        <v>202</v>
      </c>
      <c r="K134" s="263">
        <v>25</v>
      </c>
    </row>
    <row r="135" spans="1:18" ht="30" customHeight="1" x14ac:dyDescent="0.25">
      <c r="A135" s="221"/>
      <c r="B135" s="235"/>
      <c r="C135" s="236"/>
      <c r="D135" s="72"/>
      <c r="E135" s="567"/>
      <c r="F135" s="233" t="s">
        <v>144</v>
      </c>
      <c r="G135" s="568"/>
      <c r="H135" s="14"/>
      <c r="I135" s="14"/>
      <c r="J135" s="416" t="s">
        <v>203</v>
      </c>
      <c r="K135" s="263">
        <v>270</v>
      </c>
    </row>
    <row r="136" spans="1:18" ht="27.65" customHeight="1" x14ac:dyDescent="0.25">
      <c r="A136" s="221"/>
      <c r="B136" s="235"/>
      <c r="C136" s="236"/>
      <c r="D136" s="72"/>
      <c r="E136" s="567"/>
      <c r="F136" s="233"/>
      <c r="G136" s="238"/>
      <c r="H136" s="245"/>
      <c r="I136" s="366"/>
      <c r="J136" s="416" t="s">
        <v>204</v>
      </c>
      <c r="K136" s="404">
        <v>15.5</v>
      </c>
    </row>
    <row r="137" spans="1:18" ht="27.65" customHeight="1" x14ac:dyDescent="0.25">
      <c r="A137" s="547"/>
      <c r="B137" s="548"/>
      <c r="C137" s="549"/>
      <c r="D137" s="72"/>
      <c r="E137" s="567"/>
      <c r="F137" s="550"/>
      <c r="G137" s="546"/>
      <c r="H137" s="245"/>
      <c r="I137" s="20"/>
      <c r="J137" s="416" t="s">
        <v>252</v>
      </c>
      <c r="K137" s="175">
        <v>5.7</v>
      </c>
    </row>
    <row r="138" spans="1:18" ht="27.65" customHeight="1" x14ac:dyDescent="0.25">
      <c r="A138" s="221"/>
      <c r="B138" s="235"/>
      <c r="C138" s="236"/>
      <c r="D138" s="72"/>
      <c r="E138" s="567"/>
      <c r="F138" s="233"/>
      <c r="G138" s="238"/>
      <c r="H138" s="14"/>
      <c r="I138" s="20"/>
      <c r="J138" s="416" t="s">
        <v>188</v>
      </c>
      <c r="K138" s="436">
        <f>15+2</f>
        <v>17</v>
      </c>
    </row>
    <row r="139" spans="1:18" ht="15.75" customHeight="1" x14ac:dyDescent="0.25">
      <c r="A139" s="221"/>
      <c r="B139" s="235"/>
      <c r="C139" s="236"/>
      <c r="D139" s="292" t="s">
        <v>5</v>
      </c>
      <c r="E139" s="298" t="s">
        <v>69</v>
      </c>
      <c r="F139" s="232" t="s">
        <v>144</v>
      </c>
      <c r="G139" s="565"/>
      <c r="H139" s="58"/>
      <c r="I139" s="145"/>
      <c r="J139" s="434"/>
      <c r="K139" s="264"/>
    </row>
    <row r="140" spans="1:18" ht="44.15" customHeight="1" x14ac:dyDescent="0.25">
      <c r="A140" s="221"/>
      <c r="B140" s="235"/>
      <c r="C140" s="236"/>
      <c r="D140" s="72"/>
      <c r="E140" s="388" t="s">
        <v>107</v>
      </c>
      <c r="F140" s="183" t="s">
        <v>99</v>
      </c>
      <c r="G140" s="565"/>
      <c r="H140" s="229" t="s">
        <v>43</v>
      </c>
      <c r="I140" s="452">
        <f>3700-318-2200+933.6-350</f>
        <v>1765.6</v>
      </c>
      <c r="J140" s="438" t="s">
        <v>68</v>
      </c>
      <c r="K140" s="119">
        <v>58</v>
      </c>
      <c r="M140" s="2"/>
      <c r="N140" s="2"/>
      <c r="O140" s="2"/>
      <c r="P140" s="2"/>
      <c r="Q140" s="2"/>
      <c r="R140" s="284"/>
    </row>
    <row r="141" spans="1:18" ht="44.15" customHeight="1" x14ac:dyDescent="0.25">
      <c r="A141" s="497"/>
      <c r="B141" s="499"/>
      <c r="C141" s="498"/>
      <c r="D141" s="72"/>
      <c r="E141" s="388" t="s">
        <v>238</v>
      </c>
      <c r="F141" s="183"/>
      <c r="G141" s="494"/>
      <c r="H141" s="393" t="s">
        <v>43</v>
      </c>
      <c r="I141" s="452">
        <f>318-34.1</f>
        <v>283.89999999999998</v>
      </c>
      <c r="J141" s="438" t="s">
        <v>239</v>
      </c>
      <c r="K141" s="119">
        <v>18</v>
      </c>
      <c r="M141" s="2"/>
      <c r="N141" s="2"/>
      <c r="O141" s="2"/>
      <c r="P141" s="2"/>
      <c r="Q141" s="2"/>
      <c r="R141" s="284"/>
    </row>
    <row r="142" spans="1:18" ht="16.5" customHeight="1" x14ac:dyDescent="0.25">
      <c r="A142" s="221"/>
      <c r="B142" s="235"/>
      <c r="C142" s="236"/>
      <c r="D142" s="72"/>
      <c r="E142" s="704" t="s">
        <v>108</v>
      </c>
      <c r="F142" s="183" t="s">
        <v>88</v>
      </c>
      <c r="G142" s="215"/>
      <c r="H142" s="96" t="s">
        <v>21</v>
      </c>
      <c r="I142" s="140">
        <f>220-50-57</f>
        <v>113</v>
      </c>
      <c r="J142" s="569" t="s">
        <v>168</v>
      </c>
      <c r="K142" s="63">
        <v>2</v>
      </c>
    </row>
    <row r="143" spans="1:18" ht="23.15" customHeight="1" x14ac:dyDescent="0.25">
      <c r="A143" s="221"/>
      <c r="B143" s="235"/>
      <c r="C143" s="236"/>
      <c r="D143" s="73"/>
      <c r="E143" s="705"/>
      <c r="G143" s="215"/>
      <c r="H143" s="230" t="s">
        <v>43</v>
      </c>
      <c r="I143" s="249">
        <v>5.5</v>
      </c>
      <c r="J143" s="570"/>
      <c r="K143" s="64"/>
    </row>
    <row r="144" spans="1:18" ht="16.399999999999999" customHeight="1" x14ac:dyDescent="0.25">
      <c r="A144" s="585"/>
      <c r="B144" s="582"/>
      <c r="C144" s="629"/>
      <c r="D144" s="586" t="s">
        <v>24</v>
      </c>
      <c r="E144" s="579" t="s">
        <v>34</v>
      </c>
      <c r="F144" s="641" t="s">
        <v>144</v>
      </c>
      <c r="G144" s="565"/>
      <c r="H144" s="14" t="s">
        <v>21</v>
      </c>
      <c r="I144" s="79">
        <f>60-5</f>
        <v>55</v>
      </c>
      <c r="J144" s="647" t="s">
        <v>40</v>
      </c>
      <c r="K144" s="561">
        <v>7</v>
      </c>
    </row>
    <row r="145" spans="1:12" ht="17.25" customHeight="1" x14ac:dyDescent="0.25">
      <c r="A145" s="585"/>
      <c r="B145" s="582"/>
      <c r="C145" s="629"/>
      <c r="D145" s="586"/>
      <c r="E145" s="639"/>
      <c r="F145" s="642"/>
      <c r="G145" s="565"/>
      <c r="H145" s="108" t="s">
        <v>43</v>
      </c>
      <c r="I145" s="158">
        <v>5</v>
      </c>
      <c r="J145" s="648"/>
      <c r="K145" s="562"/>
    </row>
    <row r="146" spans="1:12" ht="15.65" customHeight="1" x14ac:dyDescent="0.25">
      <c r="A146" s="585"/>
      <c r="B146" s="628"/>
      <c r="C146" s="629"/>
      <c r="D146" s="575" t="s">
        <v>28</v>
      </c>
      <c r="E146" s="653" t="s">
        <v>84</v>
      </c>
      <c r="F146" s="641" t="s">
        <v>144</v>
      </c>
      <c r="G146" s="565"/>
      <c r="H146" s="142" t="s">
        <v>21</v>
      </c>
      <c r="I146" s="287">
        <f>172-7+54.6-35-42</f>
        <v>142.6</v>
      </c>
      <c r="J146" s="434" t="s">
        <v>71</v>
      </c>
      <c r="K146" s="155"/>
    </row>
    <row r="147" spans="1:12" ht="15" customHeight="1" x14ac:dyDescent="0.25">
      <c r="A147" s="585"/>
      <c r="B147" s="628"/>
      <c r="C147" s="629"/>
      <c r="D147" s="586"/>
      <c r="E147" s="654"/>
      <c r="F147" s="642"/>
      <c r="G147" s="565"/>
      <c r="H147" s="14" t="s">
        <v>43</v>
      </c>
      <c r="I147" s="79">
        <v>7</v>
      </c>
      <c r="J147" s="420" t="s">
        <v>220</v>
      </c>
      <c r="K147" s="156">
        <v>1</v>
      </c>
    </row>
    <row r="148" spans="1:12" ht="15" customHeight="1" x14ac:dyDescent="0.25">
      <c r="A148" s="221"/>
      <c r="B148" s="235"/>
      <c r="C148" s="236"/>
      <c r="D148" s="26"/>
      <c r="E148" s="227"/>
      <c r="F148" s="642"/>
      <c r="G148" s="215"/>
      <c r="H148" s="14"/>
      <c r="I148" s="79"/>
      <c r="J148" s="421" t="s">
        <v>221</v>
      </c>
      <c r="K148" s="153">
        <v>1</v>
      </c>
    </row>
    <row r="149" spans="1:12" ht="15" customHeight="1" x14ac:dyDescent="0.25">
      <c r="A149" s="272"/>
      <c r="B149" s="275"/>
      <c r="C149" s="276"/>
      <c r="D149" s="26"/>
      <c r="E149" s="274"/>
      <c r="F149" s="642"/>
      <c r="G149" s="271"/>
      <c r="H149" s="14"/>
      <c r="I149" s="366"/>
      <c r="J149" s="421" t="s">
        <v>222</v>
      </c>
      <c r="K149" s="153">
        <v>1</v>
      </c>
    </row>
    <row r="150" spans="1:12" ht="15.65" customHeight="1" x14ac:dyDescent="0.25">
      <c r="A150" s="221"/>
      <c r="B150" s="235"/>
      <c r="C150" s="236"/>
      <c r="D150" s="26"/>
      <c r="E150" s="227"/>
      <c r="F150" s="649"/>
      <c r="G150" s="215"/>
      <c r="H150" s="394"/>
      <c r="I150" s="394"/>
      <c r="J150" s="423" t="s">
        <v>223</v>
      </c>
      <c r="K150" s="121">
        <v>1</v>
      </c>
    </row>
    <row r="151" spans="1:12" ht="30.9" customHeight="1" x14ac:dyDescent="0.25">
      <c r="A151" s="225"/>
      <c r="B151" s="60"/>
      <c r="C151" s="223"/>
      <c r="D151" s="218" t="s">
        <v>29</v>
      </c>
      <c r="E151" s="579" t="s">
        <v>62</v>
      </c>
      <c r="F151" s="232" t="s">
        <v>79</v>
      </c>
      <c r="G151" s="507" t="s">
        <v>176</v>
      </c>
      <c r="H151" s="14" t="s">
        <v>49</v>
      </c>
      <c r="I151" s="142">
        <f>12.4+20.9</f>
        <v>33.299999999999997</v>
      </c>
      <c r="J151" s="434" t="s">
        <v>169</v>
      </c>
      <c r="K151" s="62">
        <v>1</v>
      </c>
    </row>
    <row r="152" spans="1:12" ht="27.9" customHeight="1" x14ac:dyDescent="0.25">
      <c r="A152" s="242"/>
      <c r="B152" s="235"/>
      <c r="C152" s="41"/>
      <c r="D152" s="72"/>
      <c r="E152" s="583"/>
      <c r="F152" s="233" t="s">
        <v>144</v>
      </c>
      <c r="G152" s="516" t="s">
        <v>74</v>
      </c>
      <c r="H152" s="108" t="s">
        <v>49</v>
      </c>
      <c r="I152" s="165">
        <v>44.5</v>
      </c>
      <c r="J152" s="417" t="s">
        <v>243</v>
      </c>
      <c r="K152" s="515">
        <v>7</v>
      </c>
    </row>
    <row r="153" spans="1:12" s="2" customFormat="1" ht="16.399999999999999" customHeight="1" x14ac:dyDescent="0.25">
      <c r="A153" s="225"/>
      <c r="B153" s="60"/>
      <c r="C153" s="83"/>
      <c r="D153" s="575" t="s">
        <v>30</v>
      </c>
      <c r="E153" s="566" t="s">
        <v>83</v>
      </c>
      <c r="F153" s="182" t="s">
        <v>144</v>
      </c>
      <c r="G153" s="563" t="s">
        <v>94</v>
      </c>
      <c r="H153" s="162" t="s">
        <v>47</v>
      </c>
      <c r="I153" s="58">
        <f>360-260</f>
        <v>100</v>
      </c>
      <c r="J153" s="189" t="s">
        <v>152</v>
      </c>
      <c r="K153" s="92">
        <v>30</v>
      </c>
      <c r="L153" s="1"/>
    </row>
    <row r="154" spans="1:12" s="2" customFormat="1" ht="27.75" customHeight="1" x14ac:dyDescent="0.25">
      <c r="A154" s="37"/>
      <c r="B154" s="60"/>
      <c r="C154" s="151"/>
      <c r="D154" s="576"/>
      <c r="E154" s="567"/>
      <c r="F154" s="177" t="s">
        <v>218</v>
      </c>
      <c r="G154" s="564"/>
      <c r="H154" s="135" t="s">
        <v>21</v>
      </c>
      <c r="I154" s="456">
        <v>2</v>
      </c>
      <c r="J154" s="448"/>
      <c r="K154" s="449"/>
      <c r="L154" s="1"/>
    </row>
    <row r="155" spans="1:12" ht="15" customHeight="1" x14ac:dyDescent="0.25">
      <c r="A155" s="221"/>
      <c r="B155" s="235"/>
      <c r="C155" s="43"/>
      <c r="D155" s="218" t="s">
        <v>31</v>
      </c>
      <c r="E155" s="747" t="s">
        <v>150</v>
      </c>
      <c r="F155" s="178" t="s">
        <v>120</v>
      </c>
      <c r="G155" s="563" t="s">
        <v>162</v>
      </c>
      <c r="H155" s="58" t="s">
        <v>43</v>
      </c>
      <c r="I155" s="58">
        <v>562.5</v>
      </c>
      <c r="J155" s="439" t="s">
        <v>219</v>
      </c>
      <c r="K155" s="92">
        <v>100</v>
      </c>
    </row>
    <row r="156" spans="1:12" ht="15" customHeight="1" x14ac:dyDescent="0.25">
      <c r="A156" s="221"/>
      <c r="B156" s="235"/>
      <c r="C156" s="43"/>
      <c r="D156" s="179"/>
      <c r="E156" s="748"/>
      <c r="F156" s="233" t="s">
        <v>121</v>
      </c>
      <c r="G156" s="565"/>
      <c r="I156" s="95"/>
      <c r="J156" s="410"/>
      <c r="K156" s="150"/>
    </row>
    <row r="157" spans="1:12" ht="15" customHeight="1" x14ac:dyDescent="0.25">
      <c r="A157" s="221"/>
      <c r="B157" s="235"/>
      <c r="C157" s="43"/>
      <c r="D157" s="179"/>
      <c r="E157" s="748"/>
      <c r="F157" s="233" t="s">
        <v>144</v>
      </c>
      <c r="G157" s="322"/>
      <c r="H157" s="14"/>
      <c r="I157" s="79"/>
      <c r="J157" s="410"/>
      <c r="K157" s="150"/>
    </row>
    <row r="158" spans="1:12" ht="15" customHeight="1" x14ac:dyDescent="0.25">
      <c r="A158" s="221"/>
      <c r="B158" s="235"/>
      <c r="C158" s="43"/>
      <c r="D158" s="179"/>
      <c r="E158" s="748"/>
      <c r="F158" s="233" t="s">
        <v>99</v>
      </c>
      <c r="G158" s="322"/>
      <c r="H158" s="230"/>
      <c r="I158" s="136"/>
      <c r="J158" s="410"/>
      <c r="K158" s="150"/>
    </row>
    <row r="159" spans="1:12" ht="15" customHeight="1" x14ac:dyDescent="0.25">
      <c r="A159" s="221"/>
      <c r="B159" s="235"/>
      <c r="C159" s="43"/>
      <c r="D159" s="218" t="s">
        <v>73</v>
      </c>
      <c r="E159" s="566" t="s">
        <v>173</v>
      </c>
      <c r="F159" s="450" t="s">
        <v>120</v>
      </c>
      <c r="G159" s="563" t="s">
        <v>95</v>
      </c>
      <c r="H159" s="135" t="s">
        <v>21</v>
      </c>
      <c r="I159" s="145">
        <f>1245-37.9</f>
        <v>1207.0999999999999</v>
      </c>
      <c r="J159" s="189" t="s">
        <v>139</v>
      </c>
      <c r="K159" s="395">
        <v>13</v>
      </c>
    </row>
    <row r="160" spans="1:12" ht="14.15" customHeight="1" x14ac:dyDescent="0.25">
      <c r="A160" s="221"/>
      <c r="B160" s="235"/>
      <c r="C160" s="43"/>
      <c r="D160" s="179"/>
      <c r="E160" s="567"/>
      <c r="F160" s="184" t="s">
        <v>99</v>
      </c>
      <c r="G160" s="565"/>
      <c r="H160" s="229" t="s">
        <v>77</v>
      </c>
      <c r="I160" s="79">
        <v>7578.6</v>
      </c>
      <c r="J160" s="410"/>
      <c r="K160" s="150"/>
    </row>
    <row r="161" spans="1:19" ht="12.65" customHeight="1" x14ac:dyDescent="0.25">
      <c r="A161" s="221"/>
      <c r="B161" s="235"/>
      <c r="C161" s="43"/>
      <c r="D161" s="179"/>
      <c r="E161" s="567"/>
      <c r="F161" s="184" t="s">
        <v>38</v>
      </c>
      <c r="G161" s="322"/>
      <c r="H161" s="14"/>
      <c r="I161" s="79"/>
      <c r="J161" s="410"/>
      <c r="K161" s="150"/>
    </row>
    <row r="162" spans="1:19" ht="11.9" customHeight="1" x14ac:dyDescent="0.25">
      <c r="A162" s="221"/>
      <c r="B162" s="235"/>
      <c r="C162" s="43"/>
      <c r="D162" s="179"/>
      <c r="E162" s="567"/>
      <c r="F162" s="184" t="s">
        <v>144</v>
      </c>
      <c r="G162" s="322"/>
      <c r="H162" s="14"/>
      <c r="I162" s="79"/>
      <c r="J162" s="410"/>
      <c r="K162" s="150"/>
    </row>
    <row r="163" spans="1:19" ht="15" customHeight="1" x14ac:dyDescent="0.25">
      <c r="A163" s="221"/>
      <c r="B163" s="235"/>
      <c r="C163" s="43"/>
      <c r="D163" s="220"/>
      <c r="E163" s="635"/>
      <c r="F163" s="451" t="s">
        <v>121</v>
      </c>
      <c r="G163" s="322"/>
      <c r="H163" s="230"/>
      <c r="I163" s="76"/>
      <c r="J163" s="415"/>
      <c r="K163" s="204"/>
    </row>
    <row r="164" spans="1:19" ht="15" customHeight="1" x14ac:dyDescent="0.25">
      <c r="A164" s="340"/>
      <c r="B164" s="344"/>
      <c r="C164" s="43"/>
      <c r="D164" s="739" t="s">
        <v>89</v>
      </c>
      <c r="E164" s="566" t="s">
        <v>113</v>
      </c>
      <c r="F164" s="173" t="s">
        <v>120</v>
      </c>
      <c r="G164" s="563" t="s">
        <v>74</v>
      </c>
      <c r="H164" s="14" t="s">
        <v>49</v>
      </c>
      <c r="I164" s="79">
        <v>57.7</v>
      </c>
      <c r="J164" s="189" t="s">
        <v>37</v>
      </c>
      <c r="K164" s="395">
        <v>1</v>
      </c>
      <c r="M164" s="2"/>
      <c r="N164" s="2"/>
      <c r="O164" s="2"/>
      <c r="P164" s="2"/>
      <c r="Q164" s="2"/>
    </row>
    <row r="165" spans="1:19" ht="15" customHeight="1" x14ac:dyDescent="0.25">
      <c r="A165" s="340"/>
      <c r="B165" s="344"/>
      <c r="C165" s="43"/>
      <c r="D165" s="740"/>
      <c r="E165" s="567"/>
      <c r="F165" s="173" t="s">
        <v>144</v>
      </c>
      <c r="G165" s="565"/>
      <c r="H165" s="143"/>
      <c r="I165" s="185"/>
      <c r="J165" s="410"/>
      <c r="K165" s="447"/>
      <c r="M165" s="2"/>
      <c r="N165" s="2"/>
      <c r="O165" s="2"/>
      <c r="P165" s="2"/>
      <c r="Q165" s="2"/>
    </row>
    <row r="166" spans="1:19" ht="15" customHeight="1" x14ac:dyDescent="0.25">
      <c r="A166" s="340"/>
      <c r="B166" s="344"/>
      <c r="C166" s="43"/>
      <c r="D166" s="740"/>
      <c r="E166" s="567"/>
      <c r="F166" s="173" t="s">
        <v>38</v>
      </c>
      <c r="G166" s="565"/>
      <c r="I166" s="95"/>
      <c r="J166" s="410"/>
      <c r="K166" s="150"/>
      <c r="M166" s="2"/>
      <c r="N166" s="2"/>
      <c r="O166" s="2"/>
      <c r="P166" s="2"/>
      <c r="Q166" s="2"/>
    </row>
    <row r="167" spans="1:19" ht="15" customHeight="1" x14ac:dyDescent="0.25">
      <c r="A167" s="340"/>
      <c r="B167" s="344"/>
      <c r="C167" s="43"/>
      <c r="D167" s="741"/>
      <c r="E167" s="635"/>
      <c r="F167" s="173" t="s">
        <v>99</v>
      </c>
      <c r="G167" s="564"/>
      <c r="H167" s="144"/>
      <c r="I167" s="249"/>
      <c r="J167" s="113"/>
      <c r="K167" s="111"/>
      <c r="M167" s="2"/>
      <c r="N167" s="2"/>
      <c r="O167" s="2"/>
      <c r="P167" s="2"/>
      <c r="Q167" s="2"/>
    </row>
    <row r="168" spans="1:19" ht="15" customHeight="1" thickBot="1" x14ac:dyDescent="0.3">
      <c r="A168" s="51"/>
      <c r="B168" s="30"/>
      <c r="C168" s="38"/>
      <c r="D168" s="100"/>
      <c r="E168" s="195"/>
      <c r="F168" s="194"/>
      <c r="G168" s="193"/>
      <c r="H168" s="85" t="s">
        <v>4</v>
      </c>
      <c r="I168" s="147">
        <f>SUM(I133:I167)</f>
        <v>21092.3</v>
      </c>
      <c r="J168" s="435"/>
      <c r="K168" s="105"/>
    </row>
    <row r="169" spans="1:19" ht="15" customHeight="1" thickBot="1" x14ac:dyDescent="0.3">
      <c r="A169" s="18" t="s">
        <v>3</v>
      </c>
      <c r="B169" s="32" t="s">
        <v>5</v>
      </c>
      <c r="C169" s="650" t="s">
        <v>6</v>
      </c>
      <c r="D169" s="651"/>
      <c r="E169" s="651"/>
      <c r="F169" s="651"/>
      <c r="G169" s="651"/>
      <c r="H169" s="652"/>
      <c r="I169" s="146">
        <f t="shared" ref="I169" si="1">I168</f>
        <v>21092.3</v>
      </c>
      <c r="J169" s="749"/>
      <c r="K169" s="689"/>
    </row>
    <row r="170" spans="1:19" ht="15" customHeight="1" thickBot="1" x14ac:dyDescent="0.3">
      <c r="A170" s="16" t="s">
        <v>3</v>
      </c>
      <c r="B170" s="32" t="s">
        <v>24</v>
      </c>
      <c r="C170" s="630" t="s">
        <v>59</v>
      </c>
      <c r="D170" s="631"/>
      <c r="E170" s="631"/>
      <c r="F170" s="631"/>
      <c r="G170" s="631"/>
      <c r="H170" s="631"/>
      <c r="I170" s="631"/>
      <c r="J170" s="631"/>
      <c r="K170" s="396"/>
    </row>
    <row r="171" spans="1:19" ht="27" customHeight="1" x14ac:dyDescent="0.25">
      <c r="A171" s="57" t="s">
        <v>3</v>
      </c>
      <c r="B171" s="31" t="s">
        <v>24</v>
      </c>
      <c r="C171" s="39" t="s">
        <v>3</v>
      </c>
      <c r="D171" s="59"/>
      <c r="E171" s="27" t="s">
        <v>57</v>
      </c>
      <c r="F171" s="231" t="s">
        <v>79</v>
      </c>
      <c r="G171" s="28"/>
      <c r="H171" s="19"/>
      <c r="I171" s="79"/>
      <c r="J171" s="440"/>
      <c r="K171" s="103"/>
    </row>
    <row r="172" spans="1:19" ht="15" customHeight="1" x14ac:dyDescent="0.25">
      <c r="A172" s="221"/>
      <c r="B172" s="235"/>
      <c r="C172" s="236"/>
      <c r="D172" s="218" t="s">
        <v>3</v>
      </c>
      <c r="E172" s="566" t="s">
        <v>55</v>
      </c>
      <c r="F172" s="232" t="s">
        <v>99</v>
      </c>
      <c r="G172" s="717" t="s">
        <v>74</v>
      </c>
      <c r="H172" s="96" t="s">
        <v>21</v>
      </c>
      <c r="I172" s="142">
        <f>55.1+400+48+4.1+267.1</f>
        <v>774.3</v>
      </c>
      <c r="J172" s="577" t="s">
        <v>60</v>
      </c>
      <c r="K172" s="137">
        <v>16.3</v>
      </c>
    </row>
    <row r="173" spans="1:19" ht="15" customHeight="1" x14ac:dyDescent="0.25">
      <c r="A173" s="221"/>
      <c r="B173" s="235"/>
      <c r="C173" s="236"/>
      <c r="D173" s="219"/>
      <c r="E173" s="567"/>
      <c r="F173" s="233" t="s">
        <v>144</v>
      </c>
      <c r="G173" s="565"/>
      <c r="H173" s="14" t="s">
        <v>54</v>
      </c>
      <c r="I173" s="139">
        <f>100+15+369.8+100-266</f>
        <v>318.8</v>
      </c>
      <c r="J173" s="578"/>
      <c r="K173" s="13"/>
    </row>
    <row r="174" spans="1:19" ht="14.9" customHeight="1" x14ac:dyDescent="0.25">
      <c r="A174" s="221"/>
      <c r="B174" s="235"/>
      <c r="C174" s="236"/>
      <c r="D174" s="219"/>
      <c r="E174" s="214"/>
      <c r="F174" s="89"/>
      <c r="G174" s="565"/>
      <c r="H174" s="96" t="s">
        <v>47</v>
      </c>
      <c r="I174" s="79">
        <f>18.5+167.9</f>
        <v>186.4</v>
      </c>
      <c r="J174" s="569" t="s">
        <v>32</v>
      </c>
      <c r="K174" s="123">
        <v>95</v>
      </c>
      <c r="R174" s="284"/>
      <c r="S174" s="284"/>
    </row>
    <row r="175" spans="1:19" ht="14.9" customHeight="1" x14ac:dyDescent="0.25">
      <c r="A175" s="259"/>
      <c r="B175" s="261"/>
      <c r="C175" s="260"/>
      <c r="D175" s="258"/>
      <c r="E175" s="257"/>
      <c r="F175" s="89"/>
      <c r="G175" s="565"/>
      <c r="H175" s="96" t="s">
        <v>43</v>
      </c>
      <c r="I175" s="140">
        <v>20.5</v>
      </c>
      <c r="J175" s="578"/>
      <c r="K175" s="63"/>
      <c r="R175" s="284"/>
      <c r="S175" s="284"/>
    </row>
    <row r="176" spans="1:19" ht="27" customHeight="1" x14ac:dyDescent="0.25">
      <c r="A176" s="295"/>
      <c r="B176" s="297"/>
      <c r="C176" s="296"/>
      <c r="D176" s="294"/>
      <c r="E176" s="293"/>
      <c r="F176" s="89"/>
      <c r="G176" s="565"/>
      <c r="H176" s="96" t="s">
        <v>49</v>
      </c>
      <c r="I176" s="96">
        <f>30+38.2</f>
        <v>68.2</v>
      </c>
      <c r="J176" s="420" t="s">
        <v>186</v>
      </c>
      <c r="K176" s="385">
        <v>20</v>
      </c>
      <c r="R176" s="284"/>
      <c r="S176" s="284"/>
    </row>
    <row r="177" spans="1:11" ht="27" customHeight="1" x14ac:dyDescent="0.25">
      <c r="A177" s="367"/>
      <c r="B177" s="368"/>
      <c r="C177" s="369"/>
      <c r="D177" s="370"/>
      <c r="E177" s="371"/>
      <c r="F177" s="89"/>
      <c r="G177" s="373"/>
      <c r="H177" s="14" t="s">
        <v>36</v>
      </c>
      <c r="I177" s="14">
        <v>0.8</v>
      </c>
      <c r="J177" s="414" t="s">
        <v>215</v>
      </c>
      <c r="K177" s="75">
        <v>100</v>
      </c>
    </row>
    <row r="178" spans="1:11" ht="30" customHeight="1" x14ac:dyDescent="0.25">
      <c r="A178" s="221"/>
      <c r="B178" s="235"/>
      <c r="C178" s="236"/>
      <c r="D178" s="219"/>
      <c r="E178" s="217"/>
      <c r="F178" s="68"/>
      <c r="G178" s="228"/>
      <c r="H178" s="14"/>
      <c r="I178" s="480"/>
      <c r="J178" s="414" t="s">
        <v>170</v>
      </c>
      <c r="K178" s="75">
        <v>1</v>
      </c>
    </row>
    <row r="179" spans="1:11" ht="15" customHeight="1" x14ac:dyDescent="0.25">
      <c r="A179" s="333"/>
      <c r="B179" s="335"/>
      <c r="C179" s="334"/>
      <c r="D179" s="331"/>
      <c r="E179" s="332"/>
      <c r="F179" s="68"/>
      <c r="G179" s="336"/>
      <c r="H179" s="14"/>
      <c r="I179" s="479"/>
      <c r="J179" s="414" t="s">
        <v>86</v>
      </c>
      <c r="K179" s="104">
        <v>7</v>
      </c>
    </row>
    <row r="180" spans="1:11" ht="17.25" customHeight="1" x14ac:dyDescent="0.25">
      <c r="A180" s="333"/>
      <c r="B180" s="335"/>
      <c r="C180" s="334"/>
      <c r="D180" s="331"/>
      <c r="E180" s="332"/>
      <c r="F180" s="68"/>
      <c r="G180" s="336"/>
      <c r="H180" s="14"/>
      <c r="I180" s="479"/>
      <c r="J180" s="488" t="s">
        <v>198</v>
      </c>
      <c r="K180" s="406">
        <v>13</v>
      </c>
    </row>
    <row r="181" spans="1:11" ht="15" customHeight="1" x14ac:dyDescent="0.25">
      <c r="A181" s="349"/>
      <c r="B181" s="354"/>
      <c r="C181" s="352"/>
      <c r="D181" s="351"/>
      <c r="E181" s="350"/>
      <c r="F181" s="68"/>
      <c r="G181" s="70"/>
      <c r="H181" s="14"/>
      <c r="I181" s="479"/>
      <c r="J181" s="569" t="s">
        <v>146</v>
      </c>
      <c r="K181" s="123">
        <v>12</v>
      </c>
    </row>
    <row r="182" spans="1:11" ht="27.75" customHeight="1" x14ac:dyDescent="0.25">
      <c r="A182" s="349"/>
      <c r="B182" s="354"/>
      <c r="C182" s="352"/>
      <c r="D182" s="351"/>
      <c r="E182" s="350"/>
      <c r="F182" s="68"/>
      <c r="G182" s="70"/>
      <c r="H182" s="353"/>
      <c r="I182" s="76"/>
      <c r="J182" s="570"/>
      <c r="K182" s="64"/>
    </row>
    <row r="183" spans="1:11" ht="16.5" customHeight="1" x14ac:dyDescent="0.25">
      <c r="A183" s="221"/>
      <c r="B183" s="235"/>
      <c r="C183" s="236"/>
      <c r="D183" s="575" t="s">
        <v>5</v>
      </c>
      <c r="E183" s="744" t="s">
        <v>61</v>
      </c>
      <c r="F183" s="232" t="s">
        <v>144</v>
      </c>
      <c r="G183" s="745" t="s">
        <v>96</v>
      </c>
      <c r="H183" s="58" t="s">
        <v>47</v>
      </c>
      <c r="I183" s="138">
        <v>8</v>
      </c>
      <c r="J183" s="577" t="s">
        <v>111</v>
      </c>
      <c r="K183" s="62">
        <v>14</v>
      </c>
    </row>
    <row r="184" spans="1:11" ht="16.5" customHeight="1" x14ac:dyDescent="0.25">
      <c r="A184" s="242"/>
      <c r="B184" s="235"/>
      <c r="C184" s="43"/>
      <c r="D184" s="576"/>
      <c r="E184" s="705"/>
      <c r="F184" s="234" t="s">
        <v>156</v>
      </c>
      <c r="G184" s="746"/>
      <c r="H184" s="230"/>
      <c r="I184" s="249"/>
      <c r="J184" s="570"/>
      <c r="K184" s="63"/>
    </row>
    <row r="185" spans="1:11" ht="15" customHeight="1" x14ac:dyDescent="0.25">
      <c r="A185" s="242"/>
      <c r="B185" s="235"/>
      <c r="C185" s="41"/>
      <c r="D185" s="219" t="s">
        <v>24</v>
      </c>
      <c r="E185" s="566" t="s">
        <v>67</v>
      </c>
      <c r="F185" s="233" t="s">
        <v>144</v>
      </c>
      <c r="G185" s="746"/>
      <c r="H185" s="14" t="s">
        <v>21</v>
      </c>
      <c r="I185" s="79">
        <v>45.7</v>
      </c>
      <c r="J185" s="190" t="s">
        <v>112</v>
      </c>
      <c r="K185" s="360">
        <v>6</v>
      </c>
    </row>
    <row r="186" spans="1:11" ht="15" customHeight="1" x14ac:dyDescent="0.25">
      <c r="A186" s="242"/>
      <c r="B186" s="235"/>
      <c r="C186" s="41"/>
      <c r="D186" s="219"/>
      <c r="E186" s="635"/>
      <c r="F186" s="234" t="s">
        <v>156</v>
      </c>
      <c r="G186" s="291"/>
      <c r="H186" s="14"/>
      <c r="I186" s="79"/>
      <c r="J186" s="191"/>
      <c r="K186" s="262"/>
    </row>
    <row r="187" spans="1:11" ht="15" customHeight="1" x14ac:dyDescent="0.25">
      <c r="A187" s="221"/>
      <c r="B187" s="235"/>
      <c r="C187" s="236"/>
      <c r="D187" s="218" t="s">
        <v>28</v>
      </c>
      <c r="E187" s="579" t="s">
        <v>56</v>
      </c>
      <c r="F187" s="232" t="s">
        <v>144</v>
      </c>
      <c r="G187" s="563" t="s">
        <v>74</v>
      </c>
      <c r="H187" s="58" t="s">
        <v>47</v>
      </c>
      <c r="I187" s="265">
        <f>938.9+44.8</f>
        <v>983.7</v>
      </c>
      <c r="J187" s="190" t="s">
        <v>65</v>
      </c>
      <c r="K187" s="360">
        <v>173</v>
      </c>
    </row>
    <row r="188" spans="1:11" ht="15" customHeight="1" x14ac:dyDescent="0.25">
      <c r="A188" s="242"/>
      <c r="B188" s="235"/>
      <c r="C188" s="43"/>
      <c r="D188" s="220"/>
      <c r="E188" s="581"/>
      <c r="F188" s="234" t="s">
        <v>99</v>
      </c>
      <c r="G188" s="565"/>
      <c r="H188" s="108" t="s">
        <v>49</v>
      </c>
      <c r="I188" s="79">
        <v>65.8</v>
      </c>
      <c r="J188" s="415"/>
      <c r="K188" s="205"/>
    </row>
    <row r="189" spans="1:11" ht="17.25" customHeight="1" x14ac:dyDescent="0.25">
      <c r="A189" s="585"/>
      <c r="B189" s="582"/>
      <c r="C189" s="646"/>
      <c r="D189" s="714" t="s">
        <v>29</v>
      </c>
      <c r="E189" s="653" t="s">
        <v>163</v>
      </c>
      <c r="F189" s="174" t="s">
        <v>79</v>
      </c>
      <c r="G189" s="563" t="s">
        <v>45</v>
      </c>
      <c r="H189" s="14" t="s">
        <v>21</v>
      </c>
      <c r="I189" s="138">
        <v>159.30000000000001</v>
      </c>
      <c r="J189" s="191" t="s">
        <v>46</v>
      </c>
      <c r="K189" s="360">
        <v>18</v>
      </c>
    </row>
    <row r="190" spans="1:11" ht="17.25" customHeight="1" x14ac:dyDescent="0.25">
      <c r="A190" s="585"/>
      <c r="B190" s="582"/>
      <c r="C190" s="646"/>
      <c r="D190" s="715"/>
      <c r="E190" s="654"/>
      <c r="F190" s="233" t="s">
        <v>121</v>
      </c>
      <c r="G190" s="565"/>
      <c r="H190" s="14"/>
      <c r="I190" s="136"/>
      <c r="J190" s="209" t="s">
        <v>50</v>
      </c>
      <c r="K190" s="123">
        <v>7</v>
      </c>
    </row>
    <row r="191" spans="1:11" ht="17.25" customHeight="1" x14ac:dyDescent="0.25">
      <c r="A191" s="585"/>
      <c r="B191" s="582"/>
      <c r="C191" s="646"/>
      <c r="D191" s="715"/>
      <c r="E191" s="654"/>
      <c r="F191" s="81" t="s">
        <v>99</v>
      </c>
      <c r="G191" s="565"/>
      <c r="H191" s="712"/>
      <c r="I191" s="14"/>
      <c r="J191" s="578"/>
      <c r="K191" s="161"/>
    </row>
    <row r="192" spans="1:11" ht="16.5" customHeight="1" x14ac:dyDescent="0.25">
      <c r="A192" s="585"/>
      <c r="B192" s="582"/>
      <c r="C192" s="646"/>
      <c r="D192" s="733"/>
      <c r="E192" s="738"/>
      <c r="F192" s="233" t="s">
        <v>144</v>
      </c>
      <c r="G192" s="564"/>
      <c r="H192" s="713"/>
      <c r="I192" s="249"/>
      <c r="J192" s="570"/>
      <c r="K192" s="319"/>
    </row>
    <row r="193" spans="1:19" ht="27.65" customHeight="1" x14ac:dyDescent="0.25">
      <c r="A193" s="242"/>
      <c r="B193" s="235"/>
      <c r="C193" s="40"/>
      <c r="D193" s="77" t="s">
        <v>30</v>
      </c>
      <c r="E193" s="556" t="s">
        <v>114</v>
      </c>
      <c r="F193" s="557" t="s">
        <v>144</v>
      </c>
      <c r="G193" s="563" t="s">
        <v>74</v>
      </c>
      <c r="H193" s="55" t="s">
        <v>47</v>
      </c>
      <c r="I193" s="79"/>
      <c r="J193" s="558" t="s">
        <v>115</v>
      </c>
      <c r="K193" s="559"/>
    </row>
    <row r="194" spans="1:19" x14ac:dyDescent="0.25">
      <c r="A194" s="242"/>
      <c r="B194" s="222"/>
      <c r="C194" s="107"/>
      <c r="D194" s="552" t="s">
        <v>31</v>
      </c>
      <c r="E194" s="566" t="s">
        <v>140</v>
      </c>
      <c r="F194" s="554" t="s">
        <v>144</v>
      </c>
      <c r="G194" s="565"/>
      <c r="H194" s="14" t="s">
        <v>47</v>
      </c>
      <c r="I194" s="138"/>
      <c r="J194" s="416" t="s">
        <v>177</v>
      </c>
      <c r="K194" s="114"/>
    </row>
    <row r="195" spans="1:19" ht="29.4" customHeight="1" x14ac:dyDescent="0.25">
      <c r="A195" s="256"/>
      <c r="B195" s="255"/>
      <c r="C195" s="107"/>
      <c r="D195" s="553"/>
      <c r="E195" s="635"/>
      <c r="F195" s="555"/>
      <c r="G195" s="551"/>
      <c r="H195" s="394"/>
      <c r="I195" s="394"/>
      <c r="J195" s="560"/>
      <c r="K195" s="521"/>
    </row>
    <row r="196" spans="1:19" ht="18" customHeight="1" thickBot="1" x14ac:dyDescent="0.3">
      <c r="A196" s="15"/>
      <c r="B196" s="52"/>
      <c r="C196" s="42"/>
      <c r="D196" s="100"/>
      <c r="E196" s="101"/>
      <c r="F196" s="102"/>
      <c r="G196" s="197"/>
      <c r="H196" s="24" t="s">
        <v>4</v>
      </c>
      <c r="I196" s="147">
        <f>SUM(I172:I195)</f>
        <v>2631.5</v>
      </c>
      <c r="J196" s="441"/>
      <c r="K196" s="126"/>
    </row>
    <row r="197" spans="1:19" ht="15.65" customHeight="1" x14ac:dyDescent="0.25">
      <c r="A197" s="61" t="s">
        <v>3</v>
      </c>
      <c r="B197" s="56" t="s">
        <v>24</v>
      </c>
      <c r="C197" s="46" t="s">
        <v>5</v>
      </c>
      <c r="D197" s="59"/>
      <c r="E197" s="97" t="s">
        <v>90</v>
      </c>
      <c r="F197" s="98"/>
      <c r="G197" s="196"/>
      <c r="H197" s="45"/>
      <c r="I197" s="79"/>
      <c r="J197" s="442"/>
      <c r="K197" s="127"/>
    </row>
    <row r="198" spans="1:19" ht="15.65" customHeight="1" x14ac:dyDescent="0.25">
      <c r="A198" s="225"/>
      <c r="B198" s="226"/>
      <c r="C198" s="223"/>
      <c r="D198" s="575" t="s">
        <v>3</v>
      </c>
      <c r="E198" s="446" t="s">
        <v>116</v>
      </c>
      <c r="F198" s="80" t="s">
        <v>88</v>
      </c>
      <c r="G198" s="445"/>
      <c r="H198" s="58"/>
      <c r="I198" s="444"/>
      <c r="J198" s="207"/>
      <c r="K198" s="129"/>
    </row>
    <row r="199" spans="1:19" ht="15" customHeight="1" x14ac:dyDescent="0.25">
      <c r="A199" s="225"/>
      <c r="B199" s="226"/>
      <c r="C199" s="223"/>
      <c r="D199" s="586"/>
      <c r="E199" s="735" t="s">
        <v>118</v>
      </c>
      <c r="F199" s="81" t="s">
        <v>38</v>
      </c>
      <c r="G199" s="565" t="s">
        <v>74</v>
      </c>
      <c r="H199" s="160" t="s">
        <v>49</v>
      </c>
      <c r="I199" s="96">
        <v>11</v>
      </c>
      <c r="J199" s="426" t="s">
        <v>119</v>
      </c>
      <c r="K199" s="75">
        <v>12</v>
      </c>
    </row>
    <row r="200" spans="1:19" ht="15" customHeight="1" x14ac:dyDescent="0.25">
      <c r="A200" s="225"/>
      <c r="B200" s="226"/>
      <c r="C200" s="223"/>
      <c r="D200" s="586"/>
      <c r="E200" s="735"/>
      <c r="F200" s="233" t="s">
        <v>99</v>
      </c>
      <c r="G200" s="734"/>
      <c r="H200" s="91" t="s">
        <v>47</v>
      </c>
      <c r="I200" s="140">
        <f>133.1+-I199</f>
        <v>122.1</v>
      </c>
      <c r="J200" s="429"/>
      <c r="K200" s="443"/>
    </row>
    <row r="201" spans="1:19" ht="22.5" customHeight="1" x14ac:dyDescent="0.25">
      <c r="A201" s="225"/>
      <c r="B201" s="226"/>
      <c r="C201" s="223"/>
      <c r="D201" s="586"/>
      <c r="E201" s="736" t="s">
        <v>117</v>
      </c>
      <c r="F201" s="81" t="s">
        <v>144</v>
      </c>
      <c r="G201" s="717" t="s">
        <v>94</v>
      </c>
      <c r="H201" s="86" t="s">
        <v>43</v>
      </c>
      <c r="I201" s="140">
        <v>150</v>
      </c>
      <c r="J201" s="438" t="s">
        <v>151</v>
      </c>
      <c r="K201" s="75">
        <v>100</v>
      </c>
    </row>
    <row r="202" spans="1:19" ht="22.5" customHeight="1" x14ac:dyDescent="0.25">
      <c r="A202" s="225"/>
      <c r="B202" s="226"/>
      <c r="C202" s="520"/>
      <c r="D202" s="518"/>
      <c r="E202" s="737"/>
      <c r="F202" s="81"/>
      <c r="G202" s="564"/>
      <c r="H202" s="91" t="s">
        <v>47</v>
      </c>
      <c r="I202" s="140">
        <v>177</v>
      </c>
      <c r="J202" s="519"/>
      <c r="K202" s="63"/>
    </row>
    <row r="203" spans="1:19" ht="15" customHeight="1" x14ac:dyDescent="0.25">
      <c r="A203" s="585"/>
      <c r="B203" s="582"/>
      <c r="C203" s="646"/>
      <c r="D203" s="714" t="s">
        <v>5</v>
      </c>
      <c r="E203" s="579" t="s">
        <v>76</v>
      </c>
      <c r="F203" s="232" t="s">
        <v>99</v>
      </c>
      <c r="G203" s="563" t="s">
        <v>74</v>
      </c>
      <c r="H203" s="58" t="s">
        <v>47</v>
      </c>
      <c r="I203" s="391">
        <f>350-47-20</f>
        <v>283</v>
      </c>
      <c r="J203" s="577" t="s">
        <v>78</v>
      </c>
      <c r="K203" s="702">
        <f>16+5</f>
        <v>21</v>
      </c>
      <c r="R203" s="284"/>
      <c r="S203" s="284"/>
    </row>
    <row r="204" spans="1:19" ht="15" customHeight="1" x14ac:dyDescent="0.25">
      <c r="A204" s="585"/>
      <c r="B204" s="582"/>
      <c r="C204" s="646"/>
      <c r="D204" s="715"/>
      <c r="E204" s="583"/>
      <c r="F204" s="183" t="s">
        <v>85</v>
      </c>
      <c r="G204" s="565"/>
      <c r="H204" s="86"/>
      <c r="I204" s="136"/>
      <c r="J204" s="578"/>
      <c r="K204" s="703"/>
      <c r="R204" s="284"/>
      <c r="S204" s="284"/>
    </row>
    <row r="205" spans="1:19" ht="15" customHeight="1" x14ac:dyDescent="0.25">
      <c r="A205" s="585"/>
      <c r="B205" s="582"/>
      <c r="C205" s="646"/>
      <c r="D205" s="715"/>
      <c r="E205" s="583"/>
      <c r="F205" s="183" t="s">
        <v>144</v>
      </c>
      <c r="G205" s="565"/>
      <c r="H205" s="393" t="s">
        <v>49</v>
      </c>
      <c r="I205" s="393">
        <v>13.3</v>
      </c>
      <c r="J205" s="387"/>
      <c r="K205" s="536"/>
      <c r="R205" s="253"/>
      <c r="S205" s="253"/>
    </row>
    <row r="206" spans="1:19" ht="15" customHeight="1" x14ac:dyDescent="0.25">
      <c r="A206" s="585"/>
      <c r="B206" s="582"/>
      <c r="C206" s="646"/>
      <c r="D206" s="715"/>
      <c r="E206" s="583"/>
      <c r="F206" s="233" t="s">
        <v>121</v>
      </c>
      <c r="G206" s="565"/>
      <c r="H206" s="246"/>
      <c r="I206" s="383"/>
      <c r="J206" s="387"/>
      <c r="K206" s="128"/>
    </row>
    <row r="207" spans="1:19" ht="15.9" customHeight="1" x14ac:dyDescent="0.25">
      <c r="A207" s="242"/>
      <c r="B207" s="222"/>
      <c r="C207" s="130"/>
      <c r="D207" s="575" t="s">
        <v>24</v>
      </c>
      <c r="E207" s="579" t="s">
        <v>127</v>
      </c>
      <c r="F207" s="47" t="s">
        <v>157</v>
      </c>
      <c r="G207" s="563" t="s">
        <v>96</v>
      </c>
      <c r="H207" s="58" t="s">
        <v>21</v>
      </c>
      <c r="I207" s="145">
        <f>100.7+22</f>
        <v>122.7</v>
      </c>
      <c r="J207" s="409" t="s">
        <v>153</v>
      </c>
      <c r="K207" s="118">
        <v>5</v>
      </c>
    </row>
    <row r="208" spans="1:19" ht="15.9" customHeight="1" x14ac:dyDescent="0.25">
      <c r="A208" s="242"/>
      <c r="B208" s="222"/>
      <c r="C208" s="130"/>
      <c r="D208" s="586"/>
      <c r="E208" s="583"/>
      <c r="F208" s="87" t="s">
        <v>144</v>
      </c>
      <c r="G208" s="565"/>
      <c r="H208" s="160" t="s">
        <v>43</v>
      </c>
      <c r="I208" s="140">
        <v>11.4</v>
      </c>
      <c r="J208" s="414" t="s">
        <v>154</v>
      </c>
      <c r="K208" s="104">
        <v>6</v>
      </c>
    </row>
    <row r="209" spans="1:40" ht="15.9" customHeight="1" x14ac:dyDescent="0.25">
      <c r="A209" s="242"/>
      <c r="B209" s="222"/>
      <c r="C209" s="130"/>
      <c r="D209" s="586"/>
      <c r="E209" s="583"/>
      <c r="F209" s="87" t="s">
        <v>99</v>
      </c>
      <c r="G209" s="565"/>
      <c r="H209" s="96" t="s">
        <v>49</v>
      </c>
      <c r="I209" s="79">
        <v>75</v>
      </c>
      <c r="J209" s="414" t="s">
        <v>155</v>
      </c>
      <c r="K209" s="104">
        <v>1</v>
      </c>
    </row>
    <row r="210" spans="1:40" ht="15.9" customHeight="1" x14ac:dyDescent="0.25">
      <c r="A210" s="324"/>
      <c r="B210" s="323"/>
      <c r="C210" s="130"/>
      <c r="D210" s="575" t="s">
        <v>28</v>
      </c>
      <c r="E210" s="566" t="s">
        <v>249</v>
      </c>
      <c r="F210" s="312" t="s">
        <v>197</v>
      </c>
      <c r="G210" s="563" t="s">
        <v>74</v>
      </c>
      <c r="H210" s="58" t="s">
        <v>47</v>
      </c>
      <c r="I210" s="359">
        <v>179.4</v>
      </c>
      <c r="J210" s="189" t="s">
        <v>37</v>
      </c>
      <c r="K210" s="116"/>
    </row>
    <row r="211" spans="1:40" ht="15.9" customHeight="1" x14ac:dyDescent="0.25">
      <c r="A211" s="302"/>
      <c r="B211" s="303"/>
      <c r="C211" s="107"/>
      <c r="D211" s="586"/>
      <c r="E211" s="567"/>
      <c r="F211" s="173" t="s">
        <v>120</v>
      </c>
      <c r="G211" s="565"/>
      <c r="H211" s="14"/>
      <c r="I211" s="14"/>
      <c r="J211" s="410"/>
      <c r="K211" s="161"/>
    </row>
    <row r="212" spans="1:40" ht="15.9" customHeight="1" x14ac:dyDescent="0.25">
      <c r="A212" s="302"/>
      <c r="B212" s="303"/>
      <c r="C212" s="107"/>
      <c r="D212" s="586"/>
      <c r="E212" s="567"/>
      <c r="F212" s="313" t="s">
        <v>38</v>
      </c>
      <c r="G212" s="565"/>
      <c r="H212" s="14"/>
      <c r="I212" s="14"/>
      <c r="J212" s="410"/>
      <c r="K212" s="63"/>
    </row>
    <row r="213" spans="1:40" ht="15.9" customHeight="1" x14ac:dyDescent="0.25">
      <c r="A213" s="302"/>
      <c r="B213" s="303"/>
      <c r="C213" s="107"/>
      <c r="D213" s="576"/>
      <c r="E213" s="635"/>
      <c r="F213" s="313" t="s">
        <v>142</v>
      </c>
      <c r="G213" s="564"/>
      <c r="H213" s="314"/>
      <c r="I213" s="249"/>
      <c r="J213" s="415"/>
      <c r="K213" s="64"/>
    </row>
    <row r="214" spans="1:40" ht="15" customHeight="1" thickBot="1" x14ac:dyDescent="0.3">
      <c r="A214" s="15"/>
      <c r="B214" s="52"/>
      <c r="C214" s="42"/>
      <c r="D214" s="100"/>
      <c r="E214" s="187"/>
      <c r="F214" s="102"/>
      <c r="G214" s="197"/>
      <c r="H214" s="85" t="s">
        <v>4</v>
      </c>
      <c r="I214" s="147">
        <f>SUM(I199:I213)</f>
        <v>1144.9000000000001</v>
      </c>
      <c r="J214" s="441"/>
      <c r="K214" s="386"/>
    </row>
    <row r="215" spans="1:40" ht="15" customHeight="1" thickBot="1" x14ac:dyDescent="0.3">
      <c r="A215" s="18" t="s">
        <v>3</v>
      </c>
      <c r="B215" s="17" t="s">
        <v>24</v>
      </c>
      <c r="C215" s="651" t="s">
        <v>6</v>
      </c>
      <c r="D215" s="651"/>
      <c r="E215" s="651"/>
      <c r="F215" s="651"/>
      <c r="G215" s="651"/>
      <c r="H215" s="652"/>
      <c r="I215" s="148">
        <f>I214+I196</f>
        <v>3776.4</v>
      </c>
      <c r="J215" s="688"/>
      <c r="K215" s="689"/>
    </row>
    <row r="216" spans="1:40" ht="15" customHeight="1" thickBot="1" x14ac:dyDescent="0.3">
      <c r="A216" s="18" t="s">
        <v>3</v>
      </c>
      <c r="B216" s="661" t="s">
        <v>7</v>
      </c>
      <c r="C216" s="662"/>
      <c r="D216" s="662"/>
      <c r="E216" s="662"/>
      <c r="F216" s="662"/>
      <c r="G216" s="662"/>
      <c r="H216" s="663"/>
      <c r="I216" s="16">
        <f>I215+I169+I130</f>
        <v>49509</v>
      </c>
      <c r="J216" s="686"/>
      <c r="K216" s="687"/>
    </row>
    <row r="217" spans="1:40" ht="15" customHeight="1" thickBot="1" x14ac:dyDescent="0.3">
      <c r="A217" s="21" t="s">
        <v>30</v>
      </c>
      <c r="B217" s="664" t="s">
        <v>42</v>
      </c>
      <c r="C217" s="665"/>
      <c r="D217" s="665"/>
      <c r="E217" s="665"/>
      <c r="F217" s="665"/>
      <c r="G217" s="665"/>
      <c r="H217" s="666"/>
      <c r="I217" s="21">
        <f t="shared" ref="I217" si="2">SUM(I216)</f>
        <v>49509</v>
      </c>
      <c r="J217" s="684"/>
      <c r="K217" s="685"/>
    </row>
    <row r="218" spans="1:40" s="4" customFormat="1" ht="15.65" customHeight="1" x14ac:dyDescent="0.25">
      <c r="A218" s="683" t="s">
        <v>230</v>
      </c>
      <c r="B218" s="683"/>
      <c r="C218" s="683"/>
      <c r="D218" s="683"/>
      <c r="E218" s="683"/>
      <c r="F218" s="683"/>
      <c r="G218" s="683"/>
      <c r="H218" s="683"/>
      <c r="I218" s="683"/>
      <c r="J218" s="683"/>
      <c r="K218" s="68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40" s="5" customFormat="1" ht="27.9" customHeight="1" x14ac:dyDescent="0.25">
      <c r="A219" s="716" t="s">
        <v>253</v>
      </c>
      <c r="B219" s="716"/>
      <c r="C219" s="716"/>
      <c r="D219" s="716"/>
      <c r="E219" s="716"/>
      <c r="F219" s="716"/>
      <c r="G219" s="716"/>
      <c r="H219" s="716"/>
      <c r="I219" s="716"/>
      <c r="J219" s="716"/>
      <c r="K219" s="716"/>
      <c r="L219" s="517"/>
      <c r="M219" s="517"/>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40" ht="15" customHeight="1" x14ac:dyDescent="0.25">
      <c r="A220" s="84"/>
      <c r="B220" s="84"/>
      <c r="C220" s="84"/>
      <c r="D220" s="84"/>
      <c r="E220" s="84"/>
      <c r="F220" s="84"/>
      <c r="G220" s="84"/>
      <c r="H220" s="84"/>
      <c r="I220" s="216"/>
      <c r="J220" s="22"/>
      <c r="K220" s="22"/>
    </row>
    <row r="221" spans="1:40" s="5" customFormat="1" ht="15" customHeight="1" thickBot="1" x14ac:dyDescent="0.3">
      <c r="A221" s="682" t="s">
        <v>10</v>
      </c>
      <c r="B221" s="682"/>
      <c r="C221" s="682"/>
      <c r="D221" s="682"/>
      <c r="E221" s="682"/>
      <c r="F221" s="682"/>
      <c r="G221" s="682"/>
      <c r="H221" s="682"/>
      <c r="I221" s="199"/>
      <c r="J221" s="22"/>
      <c r="K221" s="22"/>
      <c r="L221" s="1"/>
      <c r="M221" s="1"/>
      <c r="N221" s="1"/>
      <c r="O221" s="1"/>
      <c r="P221" s="1"/>
      <c r="Q221" s="1"/>
      <c r="R221" s="1"/>
      <c r="S221" s="1"/>
      <c r="T221" s="1"/>
      <c r="U221" s="1"/>
      <c r="V221" s="1"/>
      <c r="W221" s="1"/>
      <c r="X221" s="1"/>
      <c r="Y221" s="1"/>
      <c r="Z221" s="1"/>
      <c r="AA221" s="1"/>
      <c r="AB221" s="1"/>
    </row>
    <row r="222" spans="1:40" ht="44.15" customHeight="1" thickBot="1" x14ac:dyDescent="0.3">
      <c r="A222" s="676" t="s">
        <v>8</v>
      </c>
      <c r="B222" s="677"/>
      <c r="C222" s="677"/>
      <c r="D222" s="677"/>
      <c r="E222" s="677"/>
      <c r="F222" s="677"/>
      <c r="G222" s="677"/>
      <c r="H222" s="678"/>
      <c r="I222" s="466" t="s">
        <v>231</v>
      </c>
      <c r="J222" s="9"/>
      <c r="K222" s="9"/>
    </row>
    <row r="223" spans="1:40" ht="14.25" customHeight="1" x14ac:dyDescent="0.25">
      <c r="A223" s="679" t="s">
        <v>11</v>
      </c>
      <c r="B223" s="680"/>
      <c r="C223" s="680"/>
      <c r="D223" s="680"/>
      <c r="E223" s="680"/>
      <c r="F223" s="680"/>
      <c r="G223" s="680"/>
      <c r="H223" s="681"/>
      <c r="I223" s="49">
        <f>I231+I224+I232+I234+I233</f>
        <v>46243.1</v>
      </c>
      <c r="J223" s="12"/>
      <c r="K223" s="9"/>
    </row>
    <row r="224" spans="1:40" ht="16.5" customHeight="1" x14ac:dyDescent="0.25">
      <c r="A224" s="658" t="s">
        <v>51</v>
      </c>
      <c r="B224" s="659"/>
      <c r="C224" s="659"/>
      <c r="D224" s="659"/>
      <c r="E224" s="659"/>
      <c r="F224" s="659"/>
      <c r="G224" s="659"/>
      <c r="H224" s="660"/>
      <c r="I224" s="48">
        <f>SUM(I225:I230)</f>
        <v>31945</v>
      </c>
      <c r="J224" s="12"/>
      <c r="K224" s="9"/>
    </row>
    <row r="225" spans="1:11" ht="14.25" customHeight="1" x14ac:dyDescent="0.25">
      <c r="A225" s="696" t="s">
        <v>16</v>
      </c>
      <c r="B225" s="697"/>
      <c r="C225" s="697"/>
      <c r="D225" s="697"/>
      <c r="E225" s="697"/>
      <c r="F225" s="697"/>
      <c r="G225" s="697"/>
      <c r="H225" s="698"/>
      <c r="I225" s="394">
        <f>SUMIF(H18:H217,"SB",I18:I217)</f>
        <v>7857.2</v>
      </c>
      <c r="J225" s="12"/>
      <c r="K225" s="9"/>
    </row>
    <row r="226" spans="1:11" ht="14.25" customHeight="1" x14ac:dyDescent="0.25">
      <c r="A226" s="693" t="s">
        <v>161</v>
      </c>
      <c r="B226" s="694"/>
      <c r="C226" s="694"/>
      <c r="D226" s="694"/>
      <c r="E226" s="694"/>
      <c r="F226" s="694"/>
      <c r="G226" s="694"/>
      <c r="H226" s="695"/>
      <c r="I226" s="394">
        <f>SUMIF(H18:H217,"SB(ŽP)",I18:I217)</f>
        <v>769.1</v>
      </c>
      <c r="J226" s="267"/>
      <c r="K226" s="270"/>
    </row>
    <row r="227" spans="1:11" ht="14.25" customHeight="1" x14ac:dyDescent="0.25">
      <c r="A227" s="706" t="s">
        <v>48</v>
      </c>
      <c r="B227" s="707"/>
      <c r="C227" s="707"/>
      <c r="D227" s="707"/>
      <c r="E227" s="707"/>
      <c r="F227" s="707"/>
      <c r="G227" s="707"/>
      <c r="H227" s="708"/>
      <c r="I227" s="394">
        <f>SUMIF(H18:H217,"SB(VR)",I18:I217)</f>
        <v>3202.5</v>
      </c>
      <c r="J227" s="268"/>
      <c r="K227" s="9"/>
    </row>
    <row r="228" spans="1:11" ht="14.25" customHeight="1" x14ac:dyDescent="0.25">
      <c r="A228" s="670" t="s">
        <v>166</v>
      </c>
      <c r="B228" s="671"/>
      <c r="C228" s="671"/>
      <c r="D228" s="671"/>
      <c r="E228" s="671"/>
      <c r="F228" s="671"/>
      <c r="G228" s="671"/>
      <c r="H228" s="672"/>
      <c r="I228" s="247">
        <f>SUMIF(H18:H217,"SB(ES)",I18:I217)</f>
        <v>8306.7000000000007</v>
      </c>
      <c r="J228" s="269"/>
      <c r="K228" s="9"/>
    </row>
    <row r="229" spans="1:11" ht="15.75" customHeight="1" x14ac:dyDescent="0.25">
      <c r="A229" s="693" t="s">
        <v>167</v>
      </c>
      <c r="B229" s="694"/>
      <c r="C229" s="694"/>
      <c r="D229" s="694"/>
      <c r="E229" s="694"/>
      <c r="F229" s="694"/>
      <c r="G229" s="694"/>
      <c r="H229" s="695"/>
      <c r="I229" s="247">
        <f>SUMIF(H18:H217,"SB(KPP)",I18:I217)</f>
        <v>5799.7</v>
      </c>
      <c r="J229" s="9"/>
      <c r="K229" s="9"/>
    </row>
    <row r="230" spans="1:11" ht="15.75" customHeight="1" x14ac:dyDescent="0.25">
      <c r="A230" s="693" t="s">
        <v>244</v>
      </c>
      <c r="B230" s="694"/>
      <c r="C230" s="694"/>
      <c r="D230" s="694"/>
      <c r="E230" s="694"/>
      <c r="F230" s="694"/>
      <c r="G230" s="694"/>
      <c r="H230" s="695"/>
      <c r="I230" s="247">
        <f>SUMIF(H18:H217,"SB(VB)",I18:I217)</f>
        <v>6009.8</v>
      </c>
      <c r="J230" s="9"/>
      <c r="K230" s="9"/>
    </row>
    <row r="231" spans="1:11" ht="15.75" customHeight="1" x14ac:dyDescent="0.25">
      <c r="A231" s="709" t="s">
        <v>245</v>
      </c>
      <c r="B231" s="710"/>
      <c r="C231" s="710"/>
      <c r="D231" s="710"/>
      <c r="E231" s="710"/>
      <c r="F231" s="710"/>
      <c r="G231" s="710"/>
      <c r="H231" s="711"/>
      <c r="I231" s="33">
        <f>SUMIF(H18:H217,"SB(ESL)",I18:I217)</f>
        <v>58</v>
      </c>
      <c r="J231" s="9"/>
      <c r="K231" s="9"/>
    </row>
    <row r="232" spans="1:11" ht="14.25" customHeight="1" x14ac:dyDescent="0.25">
      <c r="A232" s="699" t="s">
        <v>53</v>
      </c>
      <c r="B232" s="700"/>
      <c r="C232" s="700"/>
      <c r="D232" s="700"/>
      <c r="E232" s="700"/>
      <c r="F232" s="700"/>
      <c r="G232" s="700"/>
      <c r="H232" s="701"/>
      <c r="I232" s="33">
        <f>SUMIF(H18:H217,"SB(VRL)",I18:I217)</f>
        <v>468.8</v>
      </c>
      <c r="J232" s="9"/>
      <c r="K232" s="9"/>
    </row>
    <row r="233" spans="1:11" ht="14.25" customHeight="1" x14ac:dyDescent="0.25">
      <c r="A233" s="699" t="s">
        <v>251</v>
      </c>
      <c r="B233" s="700"/>
      <c r="C233" s="700"/>
      <c r="D233" s="700"/>
      <c r="E233" s="700"/>
      <c r="F233" s="700"/>
      <c r="G233" s="700"/>
      <c r="H233" s="701"/>
      <c r="I233" s="33">
        <f>SUMIF(H18:H217,"SB(ŽPL)",I18:I217)</f>
        <v>47.1</v>
      </c>
      <c r="J233" s="9"/>
      <c r="K233" s="9"/>
    </row>
    <row r="234" spans="1:11" ht="14.25" customHeight="1" x14ac:dyDescent="0.25">
      <c r="A234" s="690" t="s">
        <v>70</v>
      </c>
      <c r="B234" s="691"/>
      <c r="C234" s="691"/>
      <c r="D234" s="691"/>
      <c r="E234" s="691"/>
      <c r="F234" s="691"/>
      <c r="G234" s="691"/>
      <c r="H234" s="692"/>
      <c r="I234" s="33">
        <f>SUMIF(H18:H217,"SB(L)",I18:I217)</f>
        <v>13724.2</v>
      </c>
      <c r="J234" s="9"/>
      <c r="K234" s="9"/>
    </row>
    <row r="235" spans="1:11" ht="14.25" customHeight="1" x14ac:dyDescent="0.25">
      <c r="A235" s="667" t="s">
        <v>12</v>
      </c>
      <c r="B235" s="668"/>
      <c r="C235" s="668"/>
      <c r="D235" s="668"/>
      <c r="E235" s="668"/>
      <c r="F235" s="668"/>
      <c r="G235" s="668"/>
      <c r="H235" s="669"/>
      <c r="I235" s="34">
        <f t="shared" ref="I235" si="3">I237+I238+I239+I236</f>
        <v>3265.9</v>
      </c>
      <c r="J235" s="9"/>
      <c r="K235" s="9"/>
    </row>
    <row r="236" spans="1:11" ht="14.25" customHeight="1" x14ac:dyDescent="0.25">
      <c r="A236" s="670" t="s">
        <v>17</v>
      </c>
      <c r="B236" s="671"/>
      <c r="C236" s="671"/>
      <c r="D236" s="671"/>
      <c r="E236" s="671"/>
      <c r="F236" s="671"/>
      <c r="G236" s="671"/>
      <c r="H236" s="672"/>
      <c r="I236" s="247">
        <f>SUMIF(H18:H217,"ES",I18:I217)</f>
        <v>1339.3</v>
      </c>
      <c r="J236" s="9"/>
      <c r="K236" s="9"/>
    </row>
    <row r="237" spans="1:11" ht="14.25" customHeight="1" x14ac:dyDescent="0.25">
      <c r="A237" s="673" t="s">
        <v>18</v>
      </c>
      <c r="B237" s="674"/>
      <c r="C237" s="674"/>
      <c r="D237" s="674"/>
      <c r="E237" s="674"/>
      <c r="F237" s="674"/>
      <c r="G237" s="674"/>
      <c r="H237" s="675"/>
      <c r="I237" s="247">
        <f>SUMIF(H18:H217,"KVJUD",I18:I217)</f>
        <v>1800</v>
      </c>
      <c r="J237" s="12"/>
      <c r="K237" s="12"/>
    </row>
    <row r="238" spans="1:11" ht="14.25" customHeight="1" x14ac:dyDescent="0.25">
      <c r="A238" s="706" t="s">
        <v>19</v>
      </c>
      <c r="B238" s="707"/>
      <c r="C238" s="707"/>
      <c r="D238" s="707"/>
      <c r="E238" s="707"/>
      <c r="F238" s="707"/>
      <c r="G238" s="707"/>
      <c r="H238" s="708"/>
      <c r="I238" s="247">
        <f>SUMIF(H18:H217,"LRVB",I18:I217)</f>
        <v>0</v>
      </c>
      <c r="J238" s="12"/>
      <c r="K238" s="12"/>
    </row>
    <row r="239" spans="1:11" ht="14.25" customHeight="1" x14ac:dyDescent="0.25">
      <c r="A239" s="643" t="s">
        <v>20</v>
      </c>
      <c r="B239" s="644"/>
      <c r="C239" s="644"/>
      <c r="D239" s="644"/>
      <c r="E239" s="644"/>
      <c r="F239" s="644"/>
      <c r="G239" s="644"/>
      <c r="H239" s="645"/>
      <c r="I239" s="247">
        <f>SUMIF(H18:H217,"Kt",I18:I217)</f>
        <v>126.6</v>
      </c>
      <c r="J239" s="12"/>
      <c r="K239" s="12"/>
    </row>
    <row r="240" spans="1:11" ht="14.25" customHeight="1" thickBot="1" x14ac:dyDescent="0.3">
      <c r="A240" s="655" t="s">
        <v>13</v>
      </c>
      <c r="B240" s="656"/>
      <c r="C240" s="656"/>
      <c r="D240" s="656"/>
      <c r="E240" s="656"/>
      <c r="F240" s="656"/>
      <c r="G240" s="656"/>
      <c r="H240" s="657"/>
      <c r="I240" s="35">
        <f>SUM(I223,I235)</f>
        <v>49509</v>
      </c>
      <c r="J240" s="12"/>
      <c r="K240" s="12"/>
    </row>
    <row r="241" spans="1:11" x14ac:dyDescent="0.25">
      <c r="G241" s="210"/>
      <c r="H241" s="211"/>
      <c r="I241" s="212"/>
      <c r="J241" s="4"/>
      <c r="K241" s="9"/>
    </row>
    <row r="242" spans="1:11" x14ac:dyDescent="0.25">
      <c r="I242" s="467"/>
    </row>
    <row r="243" spans="1:11" x14ac:dyDescent="0.25">
      <c r="I243" s="9"/>
      <c r="J243" s="267"/>
      <c r="K243" s="290"/>
    </row>
    <row r="244" spans="1:11" s="2" customFormat="1" x14ac:dyDescent="0.25">
      <c r="D244" s="54"/>
      <c r="F244" s="69"/>
      <c r="G244" s="8"/>
      <c r="H244" s="3"/>
      <c r="I244" s="288"/>
      <c r="J244" s="320"/>
    </row>
    <row r="245" spans="1:11" x14ac:dyDescent="0.25">
      <c r="A245" s="1"/>
      <c r="B245" s="1"/>
      <c r="C245" s="1"/>
      <c r="I245" s="289"/>
      <c r="J245" s="321"/>
      <c r="K245" s="266"/>
    </row>
    <row r="247" spans="1:11" s="2" customFormat="1" x14ac:dyDescent="0.25">
      <c r="D247" s="54"/>
      <c r="F247" s="69"/>
      <c r="G247" s="8"/>
      <c r="H247" s="3"/>
      <c r="J247" s="9"/>
    </row>
    <row r="250" spans="1:11" s="2" customFormat="1" x14ac:dyDescent="0.25">
      <c r="D250" s="54"/>
      <c r="F250" s="69"/>
      <c r="G250" s="8"/>
      <c r="H250" s="3"/>
      <c r="J250" s="9"/>
    </row>
  </sheetData>
  <mergeCells count="199">
    <mergeCell ref="C130:H130"/>
    <mergeCell ref="E189:E192"/>
    <mergeCell ref="J191:J192"/>
    <mergeCell ref="D164:D167"/>
    <mergeCell ref="E164:E167"/>
    <mergeCell ref="G72:G74"/>
    <mergeCell ref="E62:E64"/>
    <mergeCell ref="G63:G64"/>
    <mergeCell ref="E65:E67"/>
    <mergeCell ref="G65:G67"/>
    <mergeCell ref="G68:G70"/>
    <mergeCell ref="G87:G88"/>
    <mergeCell ref="D183:D184"/>
    <mergeCell ref="E183:E184"/>
    <mergeCell ref="G183:G185"/>
    <mergeCell ref="E185:E186"/>
    <mergeCell ref="E153:E154"/>
    <mergeCell ref="E159:E163"/>
    <mergeCell ref="E155:E158"/>
    <mergeCell ref="G155:G156"/>
    <mergeCell ref="D153:D154"/>
    <mergeCell ref="G164:G167"/>
    <mergeCell ref="J169:K169"/>
    <mergeCell ref="G172:G176"/>
    <mergeCell ref="J172:J173"/>
    <mergeCell ref="J174:J175"/>
    <mergeCell ref="J181:J182"/>
    <mergeCell ref="J183:J184"/>
    <mergeCell ref="J203:J204"/>
    <mergeCell ref="C189:C192"/>
    <mergeCell ref="D189:D192"/>
    <mergeCell ref="G199:G200"/>
    <mergeCell ref="E199:E200"/>
    <mergeCell ref="E201:E202"/>
    <mergeCell ref="I1:K1"/>
    <mergeCell ref="I2:K2"/>
    <mergeCell ref="I3:K3"/>
    <mergeCell ref="A5:K5"/>
    <mergeCell ref="A6:K6"/>
    <mergeCell ref="A7:K7"/>
    <mergeCell ref="A120:A123"/>
    <mergeCell ref="B120:B123"/>
    <mergeCell ref="D120:D123"/>
    <mergeCell ref="E120:E123"/>
    <mergeCell ref="G120:G123"/>
    <mergeCell ref="J120:J123"/>
    <mergeCell ref="E75:E76"/>
    <mergeCell ref="D46:D48"/>
    <mergeCell ref="B79:B81"/>
    <mergeCell ref="J9:K9"/>
    <mergeCell ref="E89:E90"/>
    <mergeCell ref="A10:A12"/>
    <mergeCell ref="B10:B12"/>
    <mergeCell ref="C10:C12"/>
    <mergeCell ref="D10:D12"/>
    <mergeCell ref="J49:J50"/>
    <mergeCell ref="C29:C40"/>
    <mergeCell ref="E29:E34"/>
    <mergeCell ref="K203:K204"/>
    <mergeCell ref="E142:E143"/>
    <mergeCell ref="A238:H238"/>
    <mergeCell ref="A226:H226"/>
    <mergeCell ref="A227:H227"/>
    <mergeCell ref="A232:H232"/>
    <mergeCell ref="G210:G213"/>
    <mergeCell ref="D210:D213"/>
    <mergeCell ref="A230:H230"/>
    <mergeCell ref="A231:H231"/>
    <mergeCell ref="A189:A192"/>
    <mergeCell ref="B189:B192"/>
    <mergeCell ref="A203:A206"/>
    <mergeCell ref="H191:H192"/>
    <mergeCell ref="D203:D206"/>
    <mergeCell ref="E203:E206"/>
    <mergeCell ref="G203:G206"/>
    <mergeCell ref="G193:G194"/>
    <mergeCell ref="G189:G192"/>
    <mergeCell ref="E194:E195"/>
    <mergeCell ref="D198:D201"/>
    <mergeCell ref="A219:K219"/>
    <mergeCell ref="G201:G202"/>
    <mergeCell ref="A144:A145"/>
    <mergeCell ref="A240:H240"/>
    <mergeCell ref="A224:H224"/>
    <mergeCell ref="C215:H215"/>
    <mergeCell ref="B216:H216"/>
    <mergeCell ref="B217:H217"/>
    <mergeCell ref="D207:D209"/>
    <mergeCell ref="E207:E209"/>
    <mergeCell ref="A235:H235"/>
    <mergeCell ref="A236:H236"/>
    <mergeCell ref="A237:H237"/>
    <mergeCell ref="E210:E213"/>
    <mergeCell ref="A222:H222"/>
    <mergeCell ref="A223:H223"/>
    <mergeCell ref="A221:H221"/>
    <mergeCell ref="A218:K218"/>
    <mergeCell ref="J217:K217"/>
    <mergeCell ref="J216:K216"/>
    <mergeCell ref="J215:K215"/>
    <mergeCell ref="A234:H234"/>
    <mergeCell ref="G207:G209"/>
    <mergeCell ref="A228:H228"/>
    <mergeCell ref="A229:H229"/>
    <mergeCell ref="A225:H225"/>
    <mergeCell ref="A233:H233"/>
    <mergeCell ref="J85:J86"/>
    <mergeCell ref="E87:E88"/>
    <mergeCell ref="E108:E110"/>
    <mergeCell ref="B144:B145"/>
    <mergeCell ref="C144:C145"/>
    <mergeCell ref="D144:D145"/>
    <mergeCell ref="E144:E145"/>
    <mergeCell ref="F144:F145"/>
    <mergeCell ref="A239:H239"/>
    <mergeCell ref="B203:B206"/>
    <mergeCell ref="C203:C206"/>
    <mergeCell ref="J144:J145"/>
    <mergeCell ref="E151:E152"/>
    <mergeCell ref="F146:F150"/>
    <mergeCell ref="C170:J170"/>
    <mergeCell ref="G153:G154"/>
    <mergeCell ref="E172:E173"/>
    <mergeCell ref="G187:G188"/>
    <mergeCell ref="E187:E188"/>
    <mergeCell ref="G159:G160"/>
    <mergeCell ref="C169:H169"/>
    <mergeCell ref="D146:D147"/>
    <mergeCell ref="E146:E147"/>
    <mergeCell ref="G146:G147"/>
    <mergeCell ref="E79:E81"/>
    <mergeCell ref="E49:E52"/>
    <mergeCell ref="E46:E48"/>
    <mergeCell ref="D53:D54"/>
    <mergeCell ref="E53:E54"/>
    <mergeCell ref="E58:E61"/>
    <mergeCell ref="J46:J47"/>
    <mergeCell ref="A146:A147"/>
    <mergeCell ref="B146:B147"/>
    <mergeCell ref="C146:C147"/>
    <mergeCell ref="C131:K131"/>
    <mergeCell ref="C79:C81"/>
    <mergeCell ref="E117:E119"/>
    <mergeCell ref="G117:G119"/>
    <mergeCell ref="G108:G110"/>
    <mergeCell ref="D124:D126"/>
    <mergeCell ref="E124:E126"/>
    <mergeCell ref="E115:E116"/>
    <mergeCell ref="E106:E107"/>
    <mergeCell ref="G112:G114"/>
    <mergeCell ref="J130:K130"/>
    <mergeCell ref="E85:E86"/>
    <mergeCell ref="E112:E114"/>
    <mergeCell ref="D106:D107"/>
    <mergeCell ref="I10:I12"/>
    <mergeCell ref="J11:J12"/>
    <mergeCell ref="E18:E23"/>
    <mergeCell ref="G18:G20"/>
    <mergeCell ref="G21:G23"/>
    <mergeCell ref="E24:E28"/>
    <mergeCell ref="G24:G28"/>
    <mergeCell ref="E36:E40"/>
    <mergeCell ref="J20:J23"/>
    <mergeCell ref="E10:E12"/>
    <mergeCell ref="J10:K10"/>
    <mergeCell ref="F10:F12"/>
    <mergeCell ref="G10:G12"/>
    <mergeCell ref="H10:H12"/>
    <mergeCell ref="J36:J40"/>
    <mergeCell ref="G29:G30"/>
    <mergeCell ref="G31:G34"/>
    <mergeCell ref="A14:J14"/>
    <mergeCell ref="B15:J15"/>
    <mergeCell ref="C16:J16"/>
    <mergeCell ref="A13:J13"/>
    <mergeCell ref="K144:K145"/>
    <mergeCell ref="G89:G90"/>
    <mergeCell ref="G144:G145"/>
    <mergeCell ref="G139:G140"/>
    <mergeCell ref="E133:E138"/>
    <mergeCell ref="G133:G135"/>
    <mergeCell ref="J142:J143"/>
    <mergeCell ref="A41:A45"/>
    <mergeCell ref="D101:D104"/>
    <mergeCell ref="E101:E104"/>
    <mergeCell ref="G101:G104"/>
    <mergeCell ref="D89:D90"/>
    <mergeCell ref="J68:J70"/>
    <mergeCell ref="E68:E70"/>
    <mergeCell ref="E91:E93"/>
    <mergeCell ref="G91:G93"/>
    <mergeCell ref="E94:E96"/>
    <mergeCell ref="G97:G100"/>
    <mergeCell ref="B41:B45"/>
    <mergeCell ref="E41:E43"/>
    <mergeCell ref="C41:C45"/>
    <mergeCell ref="G41:G61"/>
    <mergeCell ref="A79:A81"/>
    <mergeCell ref="D79:D81"/>
  </mergeCells>
  <phoneticPr fontId="18" type="noConversion"/>
  <printOptions horizontalCentered="1"/>
  <pageMargins left="0.78740157480314965" right="0.39370078740157483" top="0.59055118110236227" bottom="0.39370078740157483" header="0" footer="0"/>
  <pageSetup paperSize="9" scale="69" fitToHeight="0" orientation="portrait" r:id="rId1"/>
  <headerFooter alignWithMargins="0"/>
  <rowBreaks count="4" manualBreakCount="4">
    <brk id="57" max="10" man="1"/>
    <brk id="110" max="10" man="1"/>
    <brk id="150" max="10" man="1"/>
    <brk id="202"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6 programa MVP</vt:lpstr>
      <vt:lpstr>'6 programa MVP'!Print_Area</vt:lpstr>
      <vt:lpstr>'6 programa MVP'!Print_Titles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Inga Mikalauskienė</cp:lastModifiedBy>
  <cp:lastPrinted>2023-12-14T15:18:47Z</cp:lastPrinted>
  <dcterms:created xsi:type="dcterms:W3CDTF">2007-07-27T10:32:34Z</dcterms:created>
  <dcterms:modified xsi:type="dcterms:W3CDTF">2023-12-15T17:45:15Z</dcterms:modified>
</cp:coreProperties>
</file>