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5. Keitimas (lapkritis)\"/>
    </mc:Choice>
  </mc:AlternateContent>
  <xr:revisionPtr revIDLastSave="0" documentId="13_ncr:1_{043860C6-CDA3-4EFE-9755-73E53AB4028F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7 programa 3 lentelė" sheetId="1" r:id="rId1"/>
    <sheet name="Lėšų suvestinė 2 lentelė" sheetId="3" r:id="rId2"/>
  </sheets>
  <definedNames>
    <definedName name="_xlnm.Print_Area" localSheetId="0">'7 programa 3 lentelė'!$A$1:$F$215</definedName>
    <definedName name="_xlnm.Print_Titles" localSheetId="0">'7 programa 3 lentelė'!$8:$8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8" i="1" l="1"/>
  <c r="E96" i="1"/>
  <c r="E196" i="1"/>
  <c r="E185" i="1"/>
  <c r="E181" i="1"/>
  <c r="E176" i="1"/>
  <c r="E157" i="1"/>
  <c r="E141" i="1"/>
  <c r="E137" i="1"/>
  <c r="E120" i="1"/>
  <c r="E117" i="1"/>
  <c r="E115" i="1"/>
  <c r="E111" i="1"/>
  <c r="E110" i="1"/>
  <c r="E108" i="1"/>
  <c r="E106" i="1"/>
  <c r="E105" i="1"/>
  <c r="E85" i="1"/>
  <c r="E72" i="1"/>
  <c r="E70" i="1"/>
  <c r="E66" i="1"/>
  <c r="E63" i="1"/>
  <c r="E61" i="1"/>
  <c r="E59" i="1"/>
  <c r="E57" i="1"/>
  <c r="E56" i="1"/>
  <c r="E53" i="1"/>
  <c r="E52" i="1"/>
  <c r="E50" i="1"/>
  <c r="E45" i="1"/>
  <c r="E43" i="1"/>
  <c r="E41" i="1"/>
  <c r="E39" i="1"/>
  <c r="E37" i="1"/>
  <c r="E35" i="1"/>
  <c r="E31" i="1"/>
  <c r="E23" i="1"/>
  <c r="E21" i="1"/>
  <c r="E20" i="1"/>
  <c r="E14" i="1"/>
  <c r="E160" i="1" l="1"/>
  <c r="E163" i="1"/>
  <c r="E191" i="1"/>
  <c r="E74" i="1"/>
  <c r="E172" i="1"/>
  <c r="D19" i="3" l="1"/>
  <c r="E201" i="1"/>
  <c r="E170" i="1"/>
  <c r="E168" i="1"/>
  <c r="E167" i="1"/>
  <c r="E147" i="1" l="1"/>
  <c r="E169" i="1" s="1"/>
  <c r="E146" i="1"/>
  <c r="E166" i="1"/>
  <c r="E89" i="1"/>
  <c r="E87" i="1"/>
  <c r="D21" i="3"/>
  <c r="D18" i="3" a="1"/>
  <c r="D18" i="3" s="1"/>
  <c r="D17" i="3" a="1"/>
  <c r="D17" i="3" s="1"/>
  <c r="D16" i="3" a="1"/>
  <c r="D16" i="3" s="1"/>
  <c r="D12" i="3"/>
  <c r="D11" i="3"/>
  <c r="D9" i="3"/>
  <c r="E197" i="1"/>
  <c r="E125" i="1"/>
  <c r="E18" i="1"/>
  <c r="E124" i="1"/>
  <c r="E126" i="1"/>
  <c r="E204" i="1" l="1"/>
  <c r="E82" i="1"/>
  <c r="D23" i="3"/>
  <c r="D8" i="3"/>
  <c r="E199" i="1"/>
  <c r="E194" i="1"/>
  <c r="E164" i="1"/>
  <c r="E92" i="1"/>
  <c r="E90" i="1" s="1"/>
  <c r="D20" i="3"/>
  <c r="E131" i="1"/>
  <c r="E80" i="1" l="1"/>
  <c r="D10" i="3"/>
  <c r="E123" i="1"/>
  <c r="E121" i="1" s="1"/>
  <c r="E81" i="1"/>
  <c r="D13" i="3"/>
  <c r="E129" i="1"/>
  <c r="E127" i="1" s="1"/>
  <c r="D14" i="3"/>
  <c r="E79" i="1"/>
  <c r="E77" i="1" s="1"/>
  <c r="E101" i="1"/>
  <c r="E99" i="1" s="1"/>
  <c r="E203" i="1" l="1"/>
  <c r="D6" i="3"/>
  <c r="D2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tc={12B3F2B6-CD29-4627-99C5-F705D5E22CF6}</author>
    <author>Inga Mikalauskienė</author>
    <author>tc={97C87235-8270-40A8-AF6A-02972F2E2F81}</author>
    <author>tc={F2DC119F-FE68-4E2C-B174-D02ED0872D8F}</author>
    <author>Saulina Paulauskienė</author>
  </authors>
  <commentList>
    <comment ref="E16" authorId="0" shapeId="0" xr:uid="{12B3F2B6-CD29-4627-99C5-F705D5E22CF6}">
      <text>
        <r>
          <rPr>
            <sz val="11"/>
            <color theme="1"/>
            <rFont val="Calibri"/>
            <family val="2"/>
            <charset val="186"/>
            <scheme val="minor"/>
          </rPr>
          <t>Dėl priskaičiuotų delspinigių už laiku neparengtą projektą.</t>
        </r>
      </text>
    </comment>
    <comment ref="E46" authorId="1" shapeId="0" xr:uid="{E854DB60-7E50-4E02-ADC9-FFBFA47E4023}">
      <text>
        <r>
          <rPr>
            <sz val="9"/>
            <color indexed="81"/>
            <rFont val="Tahoma"/>
            <family val="2"/>
            <charset val="186"/>
          </rPr>
          <t>1. Žaidimų ir lauko muzikos instrumentų aikštelė Draugystės parke.
2. Sniegalaukis.</t>
        </r>
        <r>
          <rPr>
            <b/>
            <sz val="9"/>
            <color indexed="81"/>
            <rFont val="Tahoma"/>
            <family val="2"/>
            <charset val="186"/>
          </rPr>
          <t xml:space="preserve">
</t>
        </r>
      </text>
    </comment>
    <comment ref="C55" authorId="2" shapeId="0" xr:uid="{97C87235-8270-40A8-AF6A-02972F2E2F81}">
      <text>
        <r>
          <rPr>
            <sz val="11"/>
            <color theme="1"/>
            <rFont val="Calibri"/>
            <family val="2"/>
            <charset val="186"/>
            <scheme val="minor"/>
          </rPr>
          <t>Vykdytojas BĮ „Klaipėdos paplūdimiai“</t>
        </r>
      </text>
    </comment>
    <comment ref="C58" authorId="3" shapeId="0" xr:uid="{F2DC119F-FE68-4E2C-B174-D02ED0872D8F}">
      <text>
        <r>
          <rPr>
            <sz val="11"/>
            <color theme="1"/>
            <rFont val="Calibri"/>
            <family val="2"/>
            <charset val="186"/>
            <scheme val="minor"/>
          </rPr>
          <t>Vykdytojas BĮ „Klaipėdos paplūdimiai“</t>
        </r>
      </text>
    </comment>
    <comment ref="D150" authorId="4" shapeId="0" xr:uid="{DAE44CA0-6122-4D12-B38B-04BEAD1E3A54}">
      <text>
        <r>
          <rPr>
            <sz val="11"/>
            <color theme="1"/>
            <rFont val="Calibri"/>
            <family val="2"/>
            <charset val="186"/>
            <scheme val="minor"/>
          </rPr>
          <t>Vykdytojas AB „Klaipėdos vanduo“</t>
        </r>
      </text>
    </comment>
    <comment ref="D152" authorId="4" shapeId="0" xr:uid="{A9A0AC58-FC9F-442C-84BE-31946F81CAF8}">
      <text>
        <r>
          <rPr>
            <sz val="11"/>
            <color theme="1"/>
            <rFont val="Calibri"/>
            <family val="2"/>
            <charset val="186"/>
            <scheme val="minor"/>
          </rPr>
          <t>Vykdytojas AB „Klaipėdos energija“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<sst xmlns="http://schemas.openxmlformats.org/spreadsheetml/2006/main" count="417" uniqueCount="257">
  <si>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</si>
  <si>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</si>
  <si>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</si>
  <si>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</si>
  <si>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Siekti, kad miesto viešosios erdvės būtų tvarkingos, jaukios ir saugios</t>
  </si>
  <si>
    <t>Priemonė: Miesto aikščių, skverų ir kitų bendro naudojimo teritorijų atnaujinimas ir priežiūra</t>
  </si>
  <si>
    <t>007-01-01-01</t>
  </si>
  <si>
    <t xml:space="preserve">Atgimimo aikštės sutvarkymas, didinant patrauklumą investicijoms, skatinant lankytojų srautus </t>
  </si>
  <si>
    <t xml:space="preserve">Savivaldybės biudžeto lėšos (nuosavos, be ankstesnių metų likučio) </t>
  </si>
  <si>
    <t xml:space="preserve">Ankstesnių metų likučiai
</t>
  </si>
  <si>
    <t xml:space="preserve">Skolintos lėšos 
</t>
  </si>
  <si>
    <t>Kiti šaltiniai (Europos Sąjungos paramos lėšos)</t>
  </si>
  <si>
    <t>007-01-01-03</t>
  </si>
  <si>
    <t xml:space="preserve">Muzikinio teatro pastato Danės g. 19 aplinkos tvarkybos darbai už sklypo ribos </t>
  </si>
  <si>
    <t>007-01-01-04</t>
  </si>
  <si>
    <t>Vingio mikrorajono aikštės atnaujinimas</t>
  </si>
  <si>
    <t> </t>
  </si>
  <si>
    <t>007-01-01-05</t>
  </si>
  <si>
    <t xml:space="preserve">Skvero ties prekybos centru „Maxima“  (Šilutės pl. 40A) ir pėsčiųjų ir dviračių tako nuo Šilutės pl. iki Taikos pr. atnaujinimas </t>
  </si>
  <si>
    <t>007-01-01-06</t>
  </si>
  <si>
    <t xml:space="preserve">AB „Klaipėdos energija“ teritorijos Danės g. 8, Klaipėdoje, konversija   </t>
  </si>
  <si>
    <t>007-01-01-08</t>
  </si>
  <si>
    <t>Teritorijos prie Santuokų rūmų atnaujinimas</t>
  </si>
  <si>
    <t>007-01-01-09</t>
  </si>
  <si>
    <t xml:space="preserve">Gėlynų atnaujinimas ir įrengimas </t>
  </si>
  <si>
    <t>007-01-01-10</t>
  </si>
  <si>
    <t>Fontanų priežiūra, remontas ir atnaujinimas</t>
  </si>
  <si>
    <t>007-01-01-11</t>
  </si>
  <si>
    <t>Miesto viešųjų teritorijų inventoriaus priežiūra, įrengimas ir įsigijimas</t>
  </si>
  <si>
    <t>Kiti šaltiniai (kiti finansavimo šaltiniai)</t>
  </si>
  <si>
    <t>007-01-01-12</t>
  </si>
  <si>
    <t>007-01-01-13</t>
  </si>
  <si>
    <t>007-01-01-14</t>
  </si>
  <si>
    <t xml:space="preserve">Laivų nuleidimo prieplaukos ir saugojimo aikštelės sklype šalia Liepų g. tilto įrengimas </t>
  </si>
  <si>
    <t>Projektų skyrius</t>
  </si>
  <si>
    <t>Lietuvos Respublikos valstybės biudžeto dotacijos</t>
  </si>
  <si>
    <t>007-01-01-15</t>
  </si>
  <si>
    <t xml:space="preserve">Dalyvaujamojo biudžeto iniciatyvų įgyvendinimas </t>
  </si>
  <si>
    <t>007-01-01-16</t>
  </si>
  <si>
    <t>Kompleksinis sporto ir laisvalaikio zonų sutvarkymas seniūnaitijose</t>
  </si>
  <si>
    <t>007-01-01-17</t>
  </si>
  <si>
    <t>BĮ „Klaipėdos paplūdimiai“ veiklos organizavimas</t>
  </si>
  <si>
    <t>Pajamų įmokos ir kitos pajamos</t>
  </si>
  <si>
    <t>007-01-01-18</t>
  </si>
  <si>
    <t>Smiltynės gelbėjimo stoties rekonstrukcija ir prieigų sutvarkymas</t>
  </si>
  <si>
    <t>007-01-01-19</t>
  </si>
  <si>
    <t>Danės upės ir Smiltynės krantinių remontas</t>
  </si>
  <si>
    <t>007-01-01-20</t>
  </si>
  <si>
    <t>Savivaldybei priskirtų teritorijų sanitarinis valymas, parkų, skverų, žaliųjų plotų želdinimas ir aplinkotvarka</t>
  </si>
  <si>
    <t>007-01-01-21</t>
  </si>
  <si>
    <t>Miesto viešųjų tualetų įrengimas, remontas, priežiūra ir nuoma</t>
  </si>
  <si>
    <t>007-01-01-22</t>
  </si>
  <si>
    <t>007-01-01-23</t>
  </si>
  <si>
    <t xml:space="preserve">Statinių, keliančių pavojų gyvybei ir sveikatai, griovimas </t>
  </si>
  <si>
    <t>007-01-01-24</t>
  </si>
  <si>
    <t>Šlaitų stabilizavimo darbų Šiaurės prospekte atlikimas</t>
  </si>
  <si>
    <t>007-01-01-25</t>
  </si>
  <si>
    <t>Automobilių nuvežimas ir saugojimas</t>
  </si>
  <si>
    <t>007-01-01-26</t>
  </si>
  <si>
    <t xml:space="preserve">Danės upės krantinių rekonstrukcija ir prieigų (Danės skveras su fontanais) sutvarkymas  </t>
  </si>
  <si>
    <t>Savivaldybės biudžetas (įskaitant skolintas lėšas)</t>
  </si>
  <si>
    <t>Iš jo:</t>
  </si>
  <si>
    <t xml:space="preserve">Savivaldybės biudžeto lėšos (nuosavos, be ankstesnių metų likučio)' </t>
  </si>
  <si>
    <t>Lietuvos Respublikos valstybės biudžeto dotacijos'</t>
  </si>
  <si>
    <t>Pajamų įmokos ir kitos pajamos'</t>
  </si>
  <si>
    <t>Ankstesnių metų likučiai'</t>
  </si>
  <si>
    <t>Skolintos lėšos'</t>
  </si>
  <si>
    <t xml:space="preserve">Kiti šaltiniai </t>
  </si>
  <si>
    <t>Iš jų:</t>
  </si>
  <si>
    <t>Kiti šaltiniai (kiti finansavimo šaltiniai)'</t>
  </si>
  <si>
    <t>Priemonė: Miesto viešųjų erdvių ir gatvių apšvietimo užtikrinimas</t>
  </si>
  <si>
    <t>007-01-02-01</t>
  </si>
  <si>
    <t>Gatvių ir viešųjų erdvių apšvietimo organizavimo funkcijos įgyvendinimas</t>
  </si>
  <si>
    <t>007-01-02-02</t>
  </si>
  <si>
    <t>Viešųjų erdvių (šviesoforų, fontanų, tualetų ir kt.) apšvietimo tinklų ir įrangos eksploatacija</t>
  </si>
  <si>
    <t>007-01-02-03</t>
  </si>
  <si>
    <t>Viešųjų erdvių ir gatvių apšvietimo įrengimas</t>
  </si>
  <si>
    <t>Uždavinys: Užtikrinti laidojimo paslaugų teikimą, miesto kapinių priežiūrą ir poreikius atitinkantį laidojimo vietų skaičių</t>
  </si>
  <si>
    <t>Priemonė: Laidojimo paslaugų teikimas ir kapinių priežiūros organizavimas</t>
  </si>
  <si>
    <t>007-02-01-01</t>
  </si>
  <si>
    <t xml:space="preserve">Mirusių (žuvusių) žmonių palaikų pervežimas iš įvykio vietos, laikymas (saugojimas) bei nenustatytos asmenybės palaikų laidojimas </t>
  </si>
  <si>
    <t>007-02-01-02</t>
  </si>
  <si>
    <t>Miesto kapinių priežiūra ir  infrastruktūros atnaujinimas</t>
  </si>
  <si>
    <t>Uždavinys: Užtikrinti švarą ir tvarką daugiabučių gyvenamųjų namų kvartaluose, skatinti gyventojus renovuoti, prižiūrėti ir saugoti savo turtą</t>
  </si>
  <si>
    <t>Priemonė: Daugiabučių gyvenamųjų namų kvartalų atnaujinimo ir priežiūros vykdymas</t>
  </si>
  <si>
    <t>007-03-01-01</t>
  </si>
  <si>
    <t>Daugiabučių namų kiemų automobilių stovėjimo aikštelių ir kitų kietųjų dangų projektavimas, įrengimas ir atnaujinimas</t>
  </si>
  <si>
    <t>007-03-01-02</t>
  </si>
  <si>
    <t>Daugiabučių namų kiemų apšvietimo projektavimas ir įrengimas</t>
  </si>
  <si>
    <t>007-03-01-03</t>
  </si>
  <si>
    <t>Daugiabučių namų kiemų infrastruktūros gerinimas su gyventojų daliniu prisidėjimu</t>
  </si>
  <si>
    <t>007-03-01-04</t>
  </si>
  <si>
    <t xml:space="preserve">Daugiabučių namų savininkų bendrijų (DNSB) pirmininkų mokymų organizavimas </t>
  </si>
  <si>
    <t>007-03-01-05</t>
  </si>
  <si>
    <t xml:space="preserve">Vaikų žaidimo aikštelių įrengimas, atnaujinimas ir priežiūra </t>
  </si>
  <si>
    <t>007-03-01-06</t>
  </si>
  <si>
    <t>Europos Sąjungos ir kitos tarptautinės finansinės paramos lėšos</t>
  </si>
  <si>
    <t>Priemonė: Saugios kaimynystės bendruomenėje projektų įgyvendinimas</t>
  </si>
  <si>
    <t>Uždavinys: Eksploatuoti, remontuoti ir plėtoti inžinerinio aprūpinimo sistemas</t>
  </si>
  <si>
    <t>Priemonė: Inžinerinio aprūpinimo sistemų tobulinimas</t>
  </si>
  <si>
    <t>007-04-01-01</t>
  </si>
  <si>
    <t>Klaipėdos miesto paviršinių nuotekų tinklų įrengimas, remontas ir rekonstrukcija</t>
  </si>
  <si>
    <t>007-04-01-02</t>
  </si>
  <si>
    <t>Dalinio finansavimo skyrimas namų ūkiams prisijungti prie centralizuotų geriamojo vandens tiekimo ir nuotekų tvarkymo infrastruktūros</t>
  </si>
  <si>
    <t>007-04-01-03</t>
  </si>
  <si>
    <t>47,4 ha Medelyno gyvenamojo rajono infrastruktūros išvystymas. I etapas</t>
  </si>
  <si>
    <t>007-04-01-04</t>
  </si>
  <si>
    <t>Kompensacijų mokėjimas infrastruktūros plėtros iniciatoriams už patirtas infrastruktūros plėtros sutartyje nustatytas savivaldybės infrastruktūros plėtros išlaidas</t>
  </si>
  <si>
    <t>007-04-01-05</t>
  </si>
  <si>
    <t>Klaipėdos miesto gatvių kietųjų dangų paviršinių nuotekų priežiūra</t>
  </si>
  <si>
    <t>007-04-01-06</t>
  </si>
  <si>
    <t>007-04-01-07</t>
  </si>
  <si>
    <t>Vartotojų prijungimas prie centralizuotų nuotekų surinkimo tinklų Klaipėdos miesto aglomeracijoje</t>
  </si>
  <si>
    <t>007-04-01-08</t>
  </si>
  <si>
    <t>Priemonė: Savivaldybei nuosavybės teise priklausančio ir patikėjimo teise valdomo turto valdymas, naudojimas ir disponavimas</t>
  </si>
  <si>
    <t>007-05-01-01</t>
  </si>
  <si>
    <t>Nekilnojamojo turto matavimai ir teisinė registracija</t>
  </si>
  <si>
    <t>Turto valdymo skyrius</t>
  </si>
  <si>
    <t>007-05-01-02</t>
  </si>
  <si>
    <t>Savivaldybei priklausančių patalpų eksploatacinių ir kitų išlaidų padengimas</t>
  </si>
  <si>
    <t>007-05-01-03</t>
  </si>
  <si>
    <t>Pastatų, kuriuose yra savivaldybei priklausančios negyvenamosios patalpos, bendro naudojimo objektų remonto išlaidų padengimas</t>
  </si>
  <si>
    <t>007-05-01-04</t>
  </si>
  <si>
    <t>Savivaldybės kontroliuojamų įmonių įstatinio kapitalo didinimas, perduodant inžinerinius tinklus funkcijoms vykdyti, neveikiančių įmonių likvidavimas</t>
  </si>
  <si>
    <t>007-05-01-05</t>
  </si>
  <si>
    <t>Automobilių statymo aikštelės prie „Švyturio“ arenos apšvietimo išlaidų dengimas ir energinių išteklių išlaidų kompensavimas UAB „Klaipėdos arena“</t>
  </si>
  <si>
    <t>007-05-01-06</t>
  </si>
  <si>
    <t>Objektų rengimas privatizavimui, privatizavimo programų rengimas, objektų privatizavimo organizavimas</t>
  </si>
  <si>
    <t>007-05-01-07</t>
  </si>
  <si>
    <t>Gyvenamųjų patalpų ir jų priklausinių, taip pat pagalbinės paskirties pastatų, jų dalių privatizavimo dokumentų rengimas</t>
  </si>
  <si>
    <t>007-05-01-08</t>
  </si>
  <si>
    <t>Turto valdymo dokumentų rengimas (galimybių studijos, ekspertizės ir kt.)</t>
  </si>
  <si>
    <t>007-05-01-09</t>
  </si>
  <si>
    <t>Savivaldybės turto valdymo strategijos priemonių plano įgyvendinimas</t>
  </si>
  <si>
    <t xml:space="preserve">Priemonė: Savivaldybei priklausančių statinių esamos techninės būklės įvertinimo paslaugų įsigijimas 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</si>
  <si>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</si>
  <si>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</si>
  <si>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</si>
  <si>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</si>
  <si>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</si>
  <si>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007 Miesto infrastruktūros objektų priežiūros ir modernizvimo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</si>
  <si>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</si>
  <si>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</si>
  <si>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</si>
  <si>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</si>
  <si>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</si>
  <si>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</si>
  <si>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</si>
  <si>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</si>
  <si>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</si>
  <si>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</si>
  <si>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</si>
  <si>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</si>
  <si>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</si>
  <si>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</si>
  <si>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</si>
  <si>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</si>
  <si>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</si>
  <si>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</si>
  <si>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</si>
  <si>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</si>
  <si>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</si>
  <si>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</si>
  <si>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</si>
  <si>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</si>
  <si>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</si>
  <si>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</si>
  <si>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</si>
  <si>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Gyvūnų gerovės ir apsaugos priemonių įgyvendinimas (beglobių gyvūnų gaudymas, sterilizacija ir kt.)</t>
  </si>
  <si>
    <t>007-01-01-27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</si>
  <si>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</si>
  <si>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</si>
  <si>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</si>
  <si>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</si>
  <si>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007-01 (T)</t>
  </si>
  <si>
    <t>007-01-01 (TP)</t>
  </si>
  <si>
    <t>007-01-02 (TP)</t>
  </si>
  <si>
    <t>007-02 (T)</t>
  </si>
  <si>
    <t>007-02-01 (TP)</t>
  </si>
  <si>
    <t>007-03 (T)</t>
  </si>
  <si>
    <t>007-03-01 (TP)</t>
  </si>
  <si>
    <t>007-03-02 (TP)</t>
  </si>
  <si>
    <t>007-04 (T)</t>
  </si>
  <si>
    <t>007-04-01 (TP)</t>
  </si>
  <si>
    <t>007-05 (T)</t>
  </si>
  <si>
    <t>007-05-01 (TP)</t>
  </si>
  <si>
    <t>007-05-02 (TP)</t>
  </si>
  <si>
    <t xml:space="preserve">Elektrostatinio filtro įrengimas Klaipėdos rajoninės katilinės biokuro katilams </t>
  </si>
  <si>
    <t>Turgaus aikštės su prieigomis atgaivinimas</t>
  </si>
  <si>
    <t xml:space="preserve">Danės teritorijos prieigų atgaivinimas Šiauriniame rage </t>
  </si>
  <si>
    <t>Retransliuojamo vaizdo stebėjimo kamerų viešosiose vietose įsigijimas ir eksploatacija</t>
  </si>
  <si>
    <t xml:space="preserve">Projektų skyrius
</t>
  </si>
  <si>
    <t>007-01-01-02 (RP)</t>
  </si>
  <si>
    <t>RP – regioninė pažangos priemonė.</t>
  </si>
  <si>
    <t>007-01-01-07(RP)</t>
  </si>
  <si>
    <t>3.1.1.4.</t>
  </si>
  <si>
    <t>3.2.2.3.</t>
  </si>
  <si>
    <t>3.2.2.5.</t>
  </si>
  <si>
    <t>3.2.1.2.</t>
  </si>
  <si>
    <t>3.2.1.1.</t>
  </si>
  <si>
    <t>3.2.2.5</t>
  </si>
  <si>
    <t>2.4.3.5.</t>
  </si>
  <si>
    <t>1.2.3.1</t>
  </si>
  <si>
    <t>2.6.4.3.</t>
  </si>
  <si>
    <t>1.2.1.5.</t>
  </si>
  <si>
    <t>3.3.2.4.</t>
  </si>
  <si>
    <t>3.2.2.6.</t>
  </si>
  <si>
    <t>3.2.2.1.</t>
  </si>
  <si>
    <t>3.2.2.2.</t>
  </si>
  <si>
    <t>3.3.3.4.</t>
  </si>
  <si>
    <t>3.2.2.7</t>
  </si>
  <si>
    <t>3.2.1.4.</t>
  </si>
  <si>
    <t>3.3.3.4</t>
  </si>
  <si>
    <t>Šventinis miesto papuošimas (kalėdinio laikotarpio)</t>
  </si>
  <si>
    <t>K. Donelaičio aikštės sutvarkymas</t>
  </si>
  <si>
    <t>Uždavinys: Efektyviai valdyti savivaldybei priklausantį turtą</t>
  </si>
  <si>
    <t>Klaipėdos miesto kvartalų energinio efektyvumo didinimo galimybių studija</t>
  </si>
  <si>
    <t>3 lentelė. Klaipėdos miesto savivaldybės 2024 metų 007 Miesto infrastruktūros objektų priežiūros ir modernizavimo programos uždaviniai, priemonės, asignavimai ir kitos lėšos (tūkst. eurų)</t>
  </si>
  <si>
    <t>2 lentelė.  2024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</si>
  <si>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</si>
  <si>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</si>
  <si>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 xml:space="preserve">                                                                2024 m. vasario 22 d. įsakymu Nr. AD1-164 </t>
  </si>
  <si>
    <t xml:space="preserve">                                                                (Klaipėdos miesto savivaldybės administracijos direktoriaus 
</t>
  </si>
  <si>
    <t>Kompleksinis tikslinės teritorijos daugiabučių namų kiemų tvarkymas</t>
  </si>
  <si>
    <t>007-03-01-07</t>
  </si>
  <si>
    <t>Europos Sąjungos ir kitos tarptautinės finansinės paramos lėšos'</t>
  </si>
  <si>
    <t>AB „Klaipėdos vanduo“ įstatinio kapitalo didinimas lietaus nuotekų tinklų įrengimui teritorijoje tarp Tilžės g. ir Vilniaus pl. (A1 magistralinio kelio)</t>
  </si>
  <si>
    <t>007-04-01-09</t>
  </si>
  <si>
    <t>007-04-01-10</t>
  </si>
  <si>
    <t>007-04-01-11</t>
  </si>
  <si>
    <t>007-04-01-12</t>
  </si>
  <si>
    <t>Tiesiogiai savivaldybės valdomų įmonių gaunamos dotacijos inžinerinio aprūpinimo sistemoms</t>
  </si>
  <si>
    <t>Gaisrinio vandentiekio tinklų tarp Metalo ir Verslo g. tiesimas (LEZ teritorija)</t>
  </si>
  <si>
    <t>Kiti šaltiniai (valstybės biudžeto lėšos)</t>
  </si>
  <si>
    <t>Vandentiekio ir nuotekų tinklų Klaipėdos miesto savivaldybės Kairių g. rekonstravimas ir tiesimas</t>
  </si>
  <si>
    <t>Kiti šaltiniai (valstybės biudžeto lėšos)'</t>
  </si>
  <si>
    <r>
      <t xml:space="preserve">Projekto </t>
    </r>
    <r>
      <rPr>
        <b/>
        <sz val="10"/>
        <rFont val="Times New Roman"/>
        <family val="1"/>
        <charset val="186"/>
      </rPr>
      <t>,,Lietaus nuotekų baseino su išleistuvu Nr. 20 į Trinyčių tvenkinį rekonstrukcija (teritorija nuo Vilniaus pl., Tilžės g., Šilutės pl. dalis, Mokyklos g., Technikos g., teritorija už geležinkelio) Klaipėdoje statybos projektas (projekto korektūra)“</t>
    </r>
    <r>
      <rPr>
        <sz val="10"/>
        <rFont val="Times New Roman"/>
        <family val="1"/>
        <charset val="186"/>
      </rPr>
      <t xml:space="preserve"> I etapo laidos B parengimas.</t>
    </r>
  </si>
  <si>
    <t>3.3.1.4</t>
  </si>
  <si>
    <t>3.3.3.2.</t>
  </si>
  <si>
    <t>MVPD 
Statybos skyrius</t>
  </si>
  <si>
    <t>MVPD 
Aplinkosaugos ir miesto tvarkymo skyrius</t>
  </si>
  <si>
    <t>AD Administracinės veiklos, kontrolės ir prevencijos skyrius</t>
  </si>
  <si>
    <t>MVPD Aplinkosaugos ir miesto tvarkymo skyrius</t>
  </si>
  <si>
    <t xml:space="preserve">MVPD Statinių administravimo skyrius </t>
  </si>
  <si>
    <t>UAD 
Urbanistikos skyrius</t>
  </si>
  <si>
    <t xml:space="preserve">Projektų skyrius </t>
  </si>
  <si>
    <t xml:space="preserve">Turto valdymo skyrius 
</t>
  </si>
  <si>
    <t>AD – Administravimo departamentas.</t>
  </si>
  <si>
    <t>UAD – Urbanistikos ir architektūros departamentas.</t>
  </si>
  <si>
    <t>MVPD – Miesto vystymo ir priežiūros departamentas.</t>
  </si>
  <si>
    <t>Vykdytojas (padalinys / asmuo)</t>
  </si>
  <si>
    <t xml:space="preserve">MVPD 
Statinių administravimo skyrius </t>
  </si>
  <si>
    <t>UAD
Statybų leidimų ir statinių priežiūros skyrius</t>
  </si>
  <si>
    <t>Projektų skyrius,
MVPD 
Statybos skyrius</t>
  </si>
  <si>
    <t>Projektų skyrius,
UAD 
Urbanistikos skyrius</t>
  </si>
  <si>
    <t>Projektų skyrius,
MVPD 
Statybos skyrius</t>
  </si>
  <si>
    <t xml:space="preserve">                                                                2024 m. lapkričio 25 d. įsakymo Nr. AD1-1061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</si>
</sst>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2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8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0"/>
      <name val="Times New Roman"/>
      <family val="1"/>
    </font>
    <font>
      <sz val="8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7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6" fillId="3" borderId="6" xfId="0" applyFont="1" applyFill="1" applyBorder="1" applyAlignment="1">
      <alignment horizontal="left" vertical="top" wrapText="1"/>
    </xf>
    <xf numFmtId="165" fontId="6" fillId="3" borderId="1" xfId="0" applyNumberFormat="1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vertical="top" wrapText="1"/>
    </xf>
    <xf numFmtId="0" fontId="6" fillId="5" borderId="1" xfId="0" applyFont="1" applyFill="1" applyBorder="1" applyAlignment="1">
      <alignment horizontal="justify"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vertical="top" wrapText="1"/>
    </xf>
    <xf numFmtId="0" fontId="6" fillId="3" borderId="3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top" wrapText="1"/>
    </xf>
    <xf numFmtId="0" fontId="6" fillId="3" borderId="6" xfId="0" applyFont="1" applyFill="1" applyBorder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0" fontId="6" fillId="0" borderId="3" xfId="0" applyFont="1" applyBorder="1" applyAlignment="1">
      <alignment horizontal="center" vertical="top" wrapText="1"/>
    </xf>
    <xf numFmtId="0" fontId="6" fillId="6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3" fontId="6" fillId="3" borderId="5" xfId="0" applyNumberFormat="1" applyFont="1" applyFill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6" borderId="1" xfId="0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6" fillId="3" borderId="8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vertical="top"/>
    </xf>
    <xf numFmtId="0" fontId="5" fillId="0" borderId="0" xfId="0" applyFont="1"/>
    <xf numFmtId="0" fontId="5" fillId="0" borderId="0" xfId="0" applyFont="1" applyAlignment="1">
      <alignment vertical="top"/>
    </xf>
    <xf numFmtId="0" fontId="1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center" vertical="top"/>
    </xf>
    <xf numFmtId="0" fontId="10" fillId="0" borderId="7" xfId="0" applyFont="1" applyBorder="1" applyAlignment="1">
      <alignment horizontal="left" vertical="top" wrapText="1"/>
    </xf>
    <xf numFmtId="0" fontId="9" fillId="3" borderId="14" xfId="0" applyFont="1" applyFill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3" fontId="6" fillId="3" borderId="2" xfId="0" applyNumberFormat="1" applyFont="1" applyFill="1" applyBorder="1" applyAlignment="1">
      <alignment vertical="top" wrapText="1"/>
    </xf>
    <xf numFmtId="3" fontId="6" fillId="3" borderId="3" xfId="0" applyNumberFormat="1" applyFont="1" applyFill="1" applyBorder="1" applyAlignment="1">
      <alignment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6" fillId="3" borderId="7" xfId="0" applyFont="1" applyFill="1" applyBorder="1" applyAlignment="1">
      <alignment vertical="top" wrapText="1"/>
    </xf>
    <xf numFmtId="0" fontId="6" fillId="4" borderId="6" xfId="0" applyFont="1" applyFill="1" applyBorder="1" applyAlignment="1">
      <alignment vertical="top" wrapText="1"/>
    </xf>
    <xf numFmtId="0" fontId="5" fillId="3" borderId="13" xfId="0" applyFont="1" applyFill="1" applyBorder="1" applyAlignment="1">
      <alignment vertical="top" wrapText="1"/>
    </xf>
    <xf numFmtId="0" fontId="15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left" vertical="top" wrapText="1"/>
    </xf>
    <xf numFmtId="165" fontId="5" fillId="0" borderId="3" xfId="0" applyNumberFormat="1" applyFont="1" applyBorder="1" applyAlignment="1">
      <alignment horizontal="center" vertical="top" wrapText="1"/>
    </xf>
    <xf numFmtId="0" fontId="6" fillId="0" borderId="19" xfId="0" applyFont="1" applyBorder="1" applyAlignment="1">
      <alignment vertical="top" wrapText="1"/>
    </xf>
    <xf numFmtId="0" fontId="6" fillId="6" borderId="28" xfId="0" applyFont="1" applyFill="1" applyBorder="1" applyAlignment="1">
      <alignment vertical="top"/>
    </xf>
    <xf numFmtId="0" fontId="6" fillId="3" borderId="21" xfId="0" applyFont="1" applyFill="1" applyBorder="1" applyAlignment="1">
      <alignment vertical="top" wrapText="1"/>
    </xf>
    <xf numFmtId="164" fontId="6" fillId="0" borderId="13" xfId="0" applyNumberFormat="1" applyFont="1" applyBorder="1" applyAlignment="1">
      <alignment horizontal="center" vertical="top" wrapText="1"/>
    </xf>
    <xf numFmtId="0" fontId="18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18" fillId="0" borderId="0" xfId="0" applyNumberFormat="1" applyFont="1"/>
    <xf numFmtId="164" fontId="5" fillId="0" borderId="1" xfId="0" applyNumberFormat="1" applyFont="1" applyBorder="1" applyAlignment="1">
      <alignment horizontal="center" vertical="top" wrapText="1"/>
    </xf>
    <xf numFmtId="0" fontId="5" fillId="8" borderId="1" xfId="0" applyFont="1" applyFill="1" applyBorder="1" applyAlignment="1">
      <alignment horizontal="center"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165" fontId="18" fillId="0" borderId="0" xfId="0" applyNumberFormat="1" applyFont="1"/>
    <xf numFmtId="0" fontId="5" fillId="3" borderId="11" xfId="0" applyFont="1" applyFill="1" applyBorder="1" applyAlignment="1">
      <alignment vertical="top" wrapText="1"/>
    </xf>
    <xf numFmtId="165" fontId="5" fillId="3" borderId="3" xfId="0" applyNumberFormat="1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vertical="top" wrapText="1"/>
    </xf>
    <xf numFmtId="165" fontId="5" fillId="7" borderId="3" xfId="0" applyNumberFormat="1" applyFont="1" applyFill="1" applyBorder="1" applyAlignment="1">
      <alignment horizontal="center" vertical="top" wrapText="1"/>
    </xf>
    <xf numFmtId="165" fontId="5" fillId="3" borderId="1" xfId="0" applyNumberFormat="1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165" fontId="5" fillId="3" borderId="10" xfId="0" applyNumberFormat="1" applyFont="1" applyFill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6" fillId="3" borderId="3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justify" vertical="center" wrapText="1"/>
    </xf>
    <xf numFmtId="0" fontId="5" fillId="6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164" fontId="6" fillId="5" borderId="1" xfId="0" applyNumberFormat="1" applyFont="1" applyFill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164" fontId="6" fillId="6" borderId="7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vertical="top" wrapText="1"/>
    </xf>
    <xf numFmtId="164" fontId="5" fillId="4" borderId="1" xfId="0" applyNumberFormat="1" applyFont="1" applyFill="1" applyBorder="1" applyAlignment="1">
      <alignment horizontal="center" vertical="top" wrapText="1"/>
    </xf>
    <xf numFmtId="165" fontId="5" fillId="0" borderId="1" xfId="0" applyNumberFormat="1" applyFont="1" applyBorder="1" applyAlignment="1">
      <alignment horizontal="center" vertical="top" wrapText="1"/>
    </xf>
    <xf numFmtId="0" fontId="5" fillId="6" borderId="3" xfId="0" applyFont="1" applyFill="1" applyBorder="1" applyAlignment="1">
      <alignment horizontal="center" vertical="top" wrapText="1"/>
    </xf>
    <xf numFmtId="165" fontId="6" fillId="6" borderId="1" xfId="0" applyNumberFormat="1" applyFont="1" applyFill="1" applyBorder="1" applyAlignment="1">
      <alignment horizontal="center" vertical="top" wrapText="1"/>
    </xf>
    <xf numFmtId="0" fontId="6" fillId="6" borderId="0" xfId="0" applyFont="1" applyFill="1" applyAlignment="1">
      <alignment vertical="top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top"/>
    </xf>
    <xf numFmtId="0" fontId="5" fillId="5" borderId="1" xfId="0" applyFont="1" applyFill="1" applyBorder="1" applyAlignment="1">
      <alignment horizontal="center" vertical="top" wrapText="1"/>
    </xf>
    <xf numFmtId="0" fontId="6" fillId="3" borderId="0" xfId="0" applyFont="1" applyFill="1" applyAlignment="1">
      <alignment vertical="top" wrapText="1"/>
    </xf>
    <xf numFmtId="164" fontId="5" fillId="3" borderId="13" xfId="0" applyNumberFormat="1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0" fontId="5" fillId="0" borderId="0" xfId="0" applyFont="1" applyBorder="1"/>
    <xf numFmtId="0" fontId="5" fillId="0" borderId="13" xfId="0" applyFont="1" applyBorder="1" applyAlignment="1">
      <alignment vertical="top" wrapText="1"/>
    </xf>
    <xf numFmtId="164" fontId="5" fillId="0" borderId="13" xfId="0" applyNumberFormat="1" applyFont="1" applyBorder="1" applyAlignment="1">
      <alignment horizontal="center" vertical="top" wrapText="1"/>
    </xf>
    <xf numFmtId="3" fontId="6" fillId="3" borderId="13" xfId="0" applyNumberFormat="1" applyFont="1" applyFill="1" applyBorder="1" applyAlignment="1">
      <alignment vertical="top" wrapText="1"/>
    </xf>
    <xf numFmtId="0" fontId="18" fillId="0" borderId="13" xfId="0" applyFont="1" applyBorder="1" applyAlignment="1">
      <alignment vertical="top"/>
    </xf>
    <xf numFmtId="0" fontId="5" fillId="6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center" wrapText="1"/>
    </xf>
    <xf numFmtId="164" fontId="6" fillId="6" borderId="13" xfId="0" applyNumberFormat="1" applyFont="1" applyFill="1" applyBorder="1" applyAlignment="1">
      <alignment horizontal="center" vertical="top" wrapText="1"/>
    </xf>
    <xf numFmtId="164" fontId="6" fillId="3" borderId="13" xfId="0" applyNumberFormat="1" applyFont="1" applyFill="1" applyBorder="1" applyAlignment="1">
      <alignment horizontal="center" vertical="top" wrapText="1"/>
    </xf>
    <xf numFmtId="0" fontId="21" fillId="0" borderId="29" xfId="0" applyFont="1" applyBorder="1" applyAlignment="1">
      <alignment vertical="top"/>
    </xf>
    <xf numFmtId="164" fontId="5" fillId="0" borderId="1" xfId="0" applyNumberFormat="1" applyFont="1" applyBorder="1" applyAlignment="1">
      <alignment vertical="top" wrapText="1"/>
    </xf>
    <xf numFmtId="0" fontId="6" fillId="0" borderId="6" xfId="0" applyFont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4" xfId="0" applyFont="1" applyBorder="1" applyAlignment="1">
      <alignment vertical="top"/>
    </xf>
    <xf numFmtId="0" fontId="18" fillId="0" borderId="0" xfId="0" applyFont="1" applyAlignment="1">
      <alignment vertical="top" wrapText="1"/>
    </xf>
    <xf numFmtId="164" fontId="5" fillId="0" borderId="0" xfId="0" applyNumberFormat="1" applyFont="1"/>
    <xf numFmtId="0" fontId="5" fillId="0" borderId="5" xfId="0" applyFont="1" applyBorder="1" applyAlignment="1">
      <alignment vertical="top" wrapText="1"/>
    </xf>
    <xf numFmtId="3" fontId="5" fillId="3" borderId="13" xfId="0" applyNumberFormat="1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3" fontId="5" fillId="3" borderId="2" xfId="0" applyNumberFormat="1" applyFont="1" applyFill="1" applyBorder="1" applyAlignment="1">
      <alignment horizontal="center" vertical="top" wrapText="1"/>
    </xf>
    <xf numFmtId="164" fontId="5" fillId="0" borderId="3" xfId="0" applyNumberFormat="1" applyFont="1" applyBorder="1" applyAlignment="1">
      <alignment horizontal="center" vertical="top" wrapText="1"/>
    </xf>
    <xf numFmtId="165" fontId="5" fillId="8" borderId="1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0" borderId="3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5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20" fillId="0" borderId="3" xfId="0" applyFont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5" fillId="0" borderId="16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3" fontId="5" fillId="3" borderId="2" xfId="0" applyNumberFormat="1" applyFont="1" applyFill="1" applyBorder="1" applyAlignment="1">
      <alignment horizontal="center" vertical="top" wrapText="1"/>
    </xf>
    <xf numFmtId="3" fontId="5" fillId="3" borderId="5" xfId="0" applyNumberFormat="1" applyFont="1" applyFill="1" applyBorder="1" applyAlignment="1">
      <alignment horizontal="center" vertical="top" wrapText="1"/>
    </xf>
    <xf numFmtId="3" fontId="5" fillId="3" borderId="10" xfId="0" applyNumberFormat="1" applyFont="1" applyFill="1" applyBorder="1" applyAlignment="1">
      <alignment horizontal="center" vertical="top" wrapText="1"/>
    </xf>
    <xf numFmtId="3" fontId="5" fillId="3" borderId="3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top" wrapText="1"/>
    </xf>
    <xf numFmtId="0" fontId="5" fillId="3" borderId="26" xfId="0" applyFont="1" applyFill="1" applyBorder="1" applyAlignment="1">
      <alignment horizontal="center" vertical="top" wrapText="1"/>
    </xf>
    <xf numFmtId="0" fontId="18" fillId="3" borderId="2" xfId="0" applyFont="1" applyFill="1" applyBorder="1" applyAlignment="1">
      <alignment horizontal="center" vertical="top" wrapText="1"/>
    </xf>
    <xf numFmtId="0" fontId="18" fillId="3" borderId="5" xfId="0" applyFont="1" applyFill="1" applyBorder="1" applyAlignment="1">
      <alignment horizontal="center" vertical="top" wrapText="1"/>
    </xf>
    <xf numFmtId="0" fontId="18" fillId="3" borderId="3" xfId="0" applyFont="1" applyFill="1" applyBorder="1" applyAlignment="1">
      <alignment horizontal="center" vertical="top" wrapText="1"/>
    </xf>
    <xf numFmtId="0" fontId="18" fillId="3" borderId="25" xfId="0" applyFont="1" applyFill="1" applyBorder="1" applyAlignment="1">
      <alignment horizontal="center" vertical="top" wrapText="1"/>
    </xf>
    <xf numFmtId="0" fontId="18" fillId="3" borderId="26" xfId="0" applyFont="1" applyFill="1" applyBorder="1" applyAlignment="1">
      <alignment horizontal="center" vertical="top" wrapText="1"/>
    </xf>
    <xf numFmtId="0" fontId="18" fillId="3" borderId="27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top" wrapText="1"/>
    </xf>
    <xf numFmtId="49" fontId="5" fillId="3" borderId="5" xfId="0" applyNumberFormat="1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5" fillId="3" borderId="12" xfId="0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19" xfId="0" applyFont="1" applyFill="1" applyBorder="1" applyAlignment="1">
      <alignment horizontal="left" vertical="top" wrapText="1"/>
    </xf>
    <xf numFmtId="0" fontId="5" fillId="3" borderId="20" xfId="0" applyFont="1" applyFill="1" applyBorder="1" applyAlignment="1">
      <alignment horizontal="left" vertical="top" wrapText="1"/>
    </xf>
    <xf numFmtId="0" fontId="17" fillId="0" borderId="0" xfId="0" applyFont="1" applyAlignment="1">
      <alignment horizontal="left" wrapText="1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3" fontId="5" fillId="3" borderId="14" xfId="0" applyNumberFormat="1" applyFont="1" applyFill="1" applyBorder="1" applyAlignment="1">
      <alignment horizontal="center" vertical="top" wrapText="1"/>
    </xf>
    <xf numFmtId="3" fontId="5" fillId="3" borderId="9" xfId="0" applyNumberFormat="1" applyFont="1" applyFill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left" vertical="top" wrapText="1"/>
    </xf>
    <xf numFmtId="0" fontId="20" fillId="3" borderId="3" xfId="0" applyFont="1" applyFill="1" applyBorder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12" fillId="5" borderId="22" xfId="0" applyFont="1" applyFill="1" applyBorder="1" applyAlignment="1">
      <alignment horizontal="center" vertical="center" wrapText="1"/>
    </xf>
    <xf numFmtId="0" fontId="12" fillId="5" borderId="23" xfId="0" applyFont="1" applyFill="1" applyBorder="1" applyAlignment="1">
      <alignment horizontal="center" vertical="center" wrapText="1"/>
    </xf>
    <xf numFmtId="0" fontId="12" fillId="5" borderId="24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8E47C4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ima Ališauskė" id="{B1F4A862-0918-4C16-ABED-D68979E8A8E5}" userId="S::rima.alisauske@klaipeda.lt::2a46de08-2630-4b0b-86dc-a8e04b82770f" providerId="AD"/>
  <person displayName="Inga Mikalauskienė" id="{CCEA3585-93B1-4FC7-ABBD-DD2A9A470F79}" userId="S::inga.mikalauskiene@klaipeda.lt::09dffb4a-b41a-4bf9-942e-223d7f7779a6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3" dT="2023-11-22T10:52:51.78" personId="{B1F4A862-0918-4C16-ABED-D68979E8A8E5}" id="{12B3F2B6-CD29-4627-99C5-F705D5E22CF6}">
    <text>suma tikslinama dėl priskaičiuotų delspinigių už laiku neparengtą projektą.</text>
  </threadedComment>
  <threadedComment ref="F58" dT="2023-10-27T06:07:41.24" personId="{CCEA3585-93B1-4FC7-ABBD-DD2A9A470F79}" id="{C877F21A-690D-4B01-9E15-74821C191674}">
    <text>Projekto vyk. priežiūrai</text>
  </threadedComment>
  <threadedComment ref="C67" dT="2023-10-26T13:54:35.88" personId="{CCEA3585-93B1-4FC7-ABBD-DD2A9A470F79}" id="{DBF0C39B-62CD-4C0F-9F0A-25DEEE146417}">
    <text>Tualetų priežiūra bus vykdoma iš priemonės "BĮ „Klaipėdos paplūdimiai“ veiklos organizavimas".</text>
  </threadedComment>
  <threadedComment ref="C76" dT="2023-11-13T16:06:40.53" personId="{CCEA3585-93B1-4FC7-ABBD-DD2A9A470F79}" id="{97C87235-8270-40A8-AF6A-02972F2E2F81}">
    <text>Vykdytojas BĮ „Klaipėdos paplūdimiai“</text>
  </threadedComment>
  <threadedComment ref="C79" dT="2023-11-13T16:06:49.92" personId="{CCEA3585-93B1-4FC7-ABBD-DD2A9A470F79}" id="{F2DC119F-FE68-4E2C-B174-D02ED0872D8F}">
    <text>Vykdytojas BĮ „Klaipėdos paplūdimiai“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K214"/>
  <sheetViews>
    <sheetView tabSelected="1" zoomScaleNormal="100" zoomScaleSheetLayoutView="70" workbookViewId="0">
      <selection activeCell="B7" sqref="B7:F7"/>
    </sheetView>
  </sheetViews>
  <sheetFormatPr defaultColWidth="9.33203125" defaultRowHeight="13.2" x14ac:dyDescent="0.25"/>
  <cols>
    <col min="1" max="1" width="2.5546875" style="28" customWidth="1"/>
    <col min="2" max="2" width="17.6640625" style="28" customWidth="1"/>
    <col min="3" max="3" width="44.6640625" style="29" customWidth="1"/>
    <col min="4" max="5" width="14.6640625" style="28" customWidth="1"/>
    <col min="6" max="6" width="15.6640625" style="28" customWidth="1"/>
    <col min="7" max="7" width="14.6640625" style="63" customWidth="1"/>
    <col min="8" max="8" width="9.33203125" style="63"/>
    <col min="9" max="16384" width="9.33203125" style="28"/>
  </cols>
  <sheetData>
    <row r="1" spans="2:9" ht="15.6" customHeight="1" x14ac:dyDescent="0.25">
      <c r="C1" s="196" t="s">
        <v>219</v>
      </c>
      <c r="D1" s="196"/>
      <c r="E1" s="196"/>
      <c r="F1" s="196"/>
      <c r="H1" s="28"/>
      <c r="I1" s="63"/>
    </row>
    <row r="2" spans="2:9" ht="15.6" customHeight="1" x14ac:dyDescent="0.25">
      <c r="C2" s="196" t="s">
        <v>220</v>
      </c>
      <c r="D2" s="196"/>
      <c r="E2" s="196"/>
      <c r="F2" s="196"/>
      <c r="H2" s="28"/>
      <c r="I2" s="63"/>
    </row>
    <row r="3" spans="2:9" ht="15.6" customHeight="1" x14ac:dyDescent="0.3">
      <c r="C3" s="195" t="s">
        <v>221</v>
      </c>
      <c r="D3" s="195"/>
      <c r="E3" s="195"/>
      <c r="F3" s="195"/>
      <c r="H3" s="28"/>
      <c r="I3" s="63"/>
    </row>
    <row r="4" spans="2:9" ht="15.6" customHeight="1" x14ac:dyDescent="0.3">
      <c r="C4" s="194" t="s">
        <v>222</v>
      </c>
      <c r="D4" s="195"/>
      <c r="E4" s="195"/>
      <c r="F4" s="195"/>
      <c r="H4" s="28"/>
      <c r="I4" s="63"/>
    </row>
    <row r="5" spans="2:9" ht="15.6" customHeight="1" x14ac:dyDescent="0.3">
      <c r="C5" s="194" t="s">
        <v>256</v>
      </c>
      <c r="D5" s="194"/>
      <c r="E5" s="194"/>
      <c r="F5" s="194"/>
      <c r="H5" s="28"/>
      <c r="I5" s="63"/>
    </row>
    <row r="6" spans="2:9" ht="15.45" customHeight="1" x14ac:dyDescent="0.25"/>
    <row r="7" spans="2:9" ht="39.6" customHeight="1" x14ac:dyDescent="0.25">
      <c r="B7" s="197" t="s">
        <v>217</v>
      </c>
      <c r="C7" s="197"/>
      <c r="D7" s="197"/>
      <c r="E7" s="197"/>
      <c r="F7" s="197"/>
    </row>
    <row r="8" spans="2:9" ht="55.5" customHeight="1" x14ac:dyDescent="0.25">
      <c r="B8" s="64" t="s">
        <v>0</v>
      </c>
      <c r="C8" s="64" t="s">
        <v>1</v>
      </c>
      <c r="D8" s="64" t="s">
        <v>250</v>
      </c>
      <c r="E8" s="64" t="s">
        <v>2</v>
      </c>
      <c r="F8" s="64" t="s">
        <v>3</v>
      </c>
    </row>
    <row r="9" spans="2:9" x14ac:dyDescent="0.25">
      <c r="B9" s="65">
        <v>1</v>
      </c>
      <c r="C9" s="66">
        <v>2</v>
      </c>
      <c r="D9" s="65">
        <v>3</v>
      </c>
      <c r="E9" s="65">
        <v>4</v>
      </c>
      <c r="F9" s="65">
        <v>5</v>
      </c>
    </row>
    <row r="10" spans="2:9" ht="29.7" customHeight="1" x14ac:dyDescent="0.25">
      <c r="B10" s="5" t="s">
        <v>174</v>
      </c>
      <c r="C10" s="5" t="s">
        <v>4</v>
      </c>
      <c r="D10" s="67"/>
      <c r="E10" s="68"/>
      <c r="F10" s="68"/>
    </row>
    <row r="11" spans="2:9" ht="28.5" customHeight="1" x14ac:dyDescent="0.25">
      <c r="B11" s="6" t="s">
        <v>175</v>
      </c>
      <c r="C11" s="8" t="s">
        <v>5</v>
      </c>
      <c r="D11" s="69"/>
      <c r="E11" s="70"/>
      <c r="F11" s="70"/>
    </row>
    <row r="12" spans="2:9" ht="30" customHeight="1" x14ac:dyDescent="0.25">
      <c r="B12" s="159" t="s">
        <v>6</v>
      </c>
      <c r="C12" s="14" t="s">
        <v>7</v>
      </c>
      <c r="D12" s="145" t="s">
        <v>253</v>
      </c>
      <c r="E12" s="22"/>
      <c r="F12" s="71" t="s">
        <v>195</v>
      </c>
    </row>
    <row r="13" spans="2:9" ht="31.5" customHeight="1" x14ac:dyDescent="0.25">
      <c r="B13" s="160"/>
      <c r="C13" s="25" t="s">
        <v>8</v>
      </c>
      <c r="D13" s="146"/>
      <c r="E13" s="74">
        <v>281.89999999999998</v>
      </c>
      <c r="F13" s="71"/>
    </row>
    <row r="14" spans="2:9" ht="18.600000000000001" customHeight="1" x14ac:dyDescent="0.25">
      <c r="B14" s="160"/>
      <c r="C14" s="17" t="s">
        <v>9</v>
      </c>
      <c r="D14" s="146"/>
      <c r="E14" s="72">
        <f>500+663.6</f>
        <v>1163.5999999999999</v>
      </c>
      <c r="F14" s="71"/>
      <c r="H14" s="73"/>
    </row>
    <row r="15" spans="2:9" ht="18.600000000000001" customHeight="1" x14ac:dyDescent="0.25">
      <c r="B15" s="139" t="s">
        <v>192</v>
      </c>
      <c r="C15" s="49" t="s">
        <v>188</v>
      </c>
      <c r="D15" s="145" t="s">
        <v>191</v>
      </c>
      <c r="E15" s="74"/>
      <c r="F15" s="71" t="s">
        <v>196</v>
      </c>
    </row>
    <row r="16" spans="2:9" ht="29.25" customHeight="1" x14ac:dyDescent="0.25">
      <c r="B16" s="140"/>
      <c r="C16" s="25" t="s">
        <v>8</v>
      </c>
      <c r="D16" s="146"/>
      <c r="E16" s="72">
        <v>47.7</v>
      </c>
      <c r="F16" s="71"/>
    </row>
    <row r="17" spans="2:8" ht="27.75" customHeight="1" x14ac:dyDescent="0.25">
      <c r="B17" s="159" t="s">
        <v>12</v>
      </c>
      <c r="C17" s="14" t="s">
        <v>13</v>
      </c>
      <c r="D17" s="145" t="s">
        <v>239</v>
      </c>
      <c r="E17" s="74"/>
      <c r="F17" s="71" t="s">
        <v>197</v>
      </c>
    </row>
    <row r="18" spans="2:8" ht="27.75" customHeight="1" x14ac:dyDescent="0.25">
      <c r="B18" s="160"/>
      <c r="C18" s="25" t="s">
        <v>8</v>
      </c>
      <c r="D18" s="146"/>
      <c r="E18" s="72">
        <f>184.5+1.1+3.4</f>
        <v>189</v>
      </c>
      <c r="F18" s="71"/>
    </row>
    <row r="19" spans="2:8" ht="17.25" customHeight="1" x14ac:dyDescent="0.25">
      <c r="B19" s="151" t="s">
        <v>14</v>
      </c>
      <c r="C19" s="14" t="s">
        <v>15</v>
      </c>
      <c r="D19" s="145" t="s">
        <v>240</v>
      </c>
      <c r="E19" s="74"/>
      <c r="F19" s="71" t="s">
        <v>197</v>
      </c>
    </row>
    <row r="20" spans="2:8" ht="29.25" customHeight="1" x14ac:dyDescent="0.25">
      <c r="B20" s="158"/>
      <c r="C20" s="17" t="s">
        <v>8</v>
      </c>
      <c r="D20" s="146"/>
      <c r="E20" s="143">
        <f>20.1-3.1</f>
        <v>17</v>
      </c>
      <c r="F20" s="71"/>
    </row>
    <row r="21" spans="2:8" ht="17.25" customHeight="1" x14ac:dyDescent="0.25">
      <c r="B21" s="202"/>
      <c r="C21" s="25" t="s">
        <v>9</v>
      </c>
      <c r="D21" s="148"/>
      <c r="E21" s="75">
        <f>18.6-12.4</f>
        <v>6.2000000000000011</v>
      </c>
      <c r="F21" s="71"/>
    </row>
    <row r="22" spans="2:8" ht="42.6" customHeight="1" x14ac:dyDescent="0.25">
      <c r="B22" s="151" t="s">
        <v>17</v>
      </c>
      <c r="C22" s="14" t="s">
        <v>18</v>
      </c>
      <c r="D22" s="145" t="s">
        <v>240</v>
      </c>
      <c r="E22" s="58" t="s">
        <v>16</v>
      </c>
      <c r="F22" s="71" t="s">
        <v>197</v>
      </c>
    </row>
    <row r="23" spans="2:8" ht="18" customHeight="1" x14ac:dyDescent="0.25">
      <c r="B23" s="158"/>
      <c r="C23" s="47" t="s">
        <v>10</v>
      </c>
      <c r="D23" s="146"/>
      <c r="E23" s="76">
        <f>1000+53.4</f>
        <v>1053.4000000000001</v>
      </c>
      <c r="F23" s="71"/>
      <c r="H23" s="77"/>
    </row>
    <row r="24" spans="2:8" ht="18.75" customHeight="1" x14ac:dyDescent="0.25">
      <c r="B24" s="182"/>
      <c r="C24" s="78" t="s">
        <v>9</v>
      </c>
      <c r="D24" s="148"/>
      <c r="E24" s="79">
        <v>378.5</v>
      </c>
      <c r="F24" s="71"/>
    </row>
    <row r="25" spans="2:8" ht="30.75" customHeight="1" x14ac:dyDescent="0.25">
      <c r="B25" s="201" t="s">
        <v>19</v>
      </c>
      <c r="C25" s="61" t="s">
        <v>20</v>
      </c>
      <c r="D25" s="200" t="s">
        <v>254</v>
      </c>
      <c r="E25" s="58" t="s">
        <v>16</v>
      </c>
      <c r="F25" s="71" t="s">
        <v>198</v>
      </c>
    </row>
    <row r="26" spans="2:8" ht="36.75" customHeight="1" x14ac:dyDescent="0.25">
      <c r="B26" s="160"/>
      <c r="C26" s="80" t="s">
        <v>8</v>
      </c>
      <c r="D26" s="146"/>
      <c r="E26" s="79">
        <v>18.2</v>
      </c>
      <c r="F26" s="71"/>
    </row>
    <row r="27" spans="2:8" ht="17.25" customHeight="1" x14ac:dyDescent="0.25">
      <c r="B27" s="151" t="s">
        <v>194</v>
      </c>
      <c r="C27" s="14" t="s">
        <v>189</v>
      </c>
      <c r="D27" s="149" t="s">
        <v>34</v>
      </c>
      <c r="E27" s="79" t="s">
        <v>16</v>
      </c>
      <c r="F27" s="71" t="s">
        <v>199</v>
      </c>
    </row>
    <row r="28" spans="2:8" ht="28.5" customHeight="1" x14ac:dyDescent="0.25">
      <c r="B28" s="158"/>
      <c r="C28" s="25" t="s">
        <v>8</v>
      </c>
      <c r="D28" s="150"/>
      <c r="E28" s="79" t="s">
        <v>16</v>
      </c>
      <c r="F28" s="50"/>
    </row>
    <row r="29" spans="2:8" ht="17.25" customHeight="1" x14ac:dyDescent="0.25">
      <c r="B29" s="158"/>
      <c r="C29" s="27" t="s">
        <v>11</v>
      </c>
      <c r="D29" s="150"/>
      <c r="E29" s="79" t="s">
        <v>16</v>
      </c>
      <c r="F29" s="50"/>
    </row>
    <row r="30" spans="2:8" ht="17.25" customHeight="1" x14ac:dyDescent="0.25">
      <c r="B30" s="139" t="s">
        <v>21</v>
      </c>
      <c r="C30" s="51" t="s">
        <v>22</v>
      </c>
      <c r="D30" s="149" t="s">
        <v>240</v>
      </c>
      <c r="E30" s="79" t="s">
        <v>16</v>
      </c>
      <c r="F30" s="50" t="s">
        <v>200</v>
      </c>
    </row>
    <row r="31" spans="2:8" ht="17.399999999999999" customHeight="1" x14ac:dyDescent="0.25">
      <c r="B31" s="140"/>
      <c r="C31" s="78" t="s">
        <v>9</v>
      </c>
      <c r="D31" s="150"/>
      <c r="E31" s="79">
        <f>1000-570</f>
        <v>430</v>
      </c>
      <c r="F31" s="50"/>
      <c r="H31" s="77"/>
    </row>
    <row r="32" spans="2:8" ht="18.75" customHeight="1" x14ac:dyDescent="0.25">
      <c r="B32" s="151" t="s">
        <v>23</v>
      </c>
      <c r="C32" s="14" t="s">
        <v>24</v>
      </c>
      <c r="D32" s="150"/>
      <c r="E32" s="81" t="s">
        <v>16</v>
      </c>
      <c r="F32" s="71"/>
    </row>
    <row r="33" spans="2:8" ht="27.75" customHeight="1" x14ac:dyDescent="0.25">
      <c r="B33" s="158"/>
      <c r="C33" s="25" t="s">
        <v>8</v>
      </c>
      <c r="D33" s="150"/>
      <c r="E33" s="82">
        <v>200</v>
      </c>
      <c r="F33" s="50"/>
    </row>
    <row r="34" spans="2:8" ht="15.75" customHeight="1" x14ac:dyDescent="0.25">
      <c r="B34" s="151" t="s">
        <v>25</v>
      </c>
      <c r="C34" s="10" t="s">
        <v>26</v>
      </c>
      <c r="D34" s="150"/>
      <c r="E34" s="58" t="s">
        <v>16</v>
      </c>
      <c r="F34" s="71"/>
    </row>
    <row r="35" spans="2:8" ht="27.75" customHeight="1" x14ac:dyDescent="0.25">
      <c r="B35" s="158"/>
      <c r="C35" s="17" t="s">
        <v>8</v>
      </c>
      <c r="D35" s="150"/>
      <c r="E35" s="79">
        <f>317.5+110-59.9-0.1-248</f>
        <v>119.5</v>
      </c>
      <c r="F35" s="71"/>
    </row>
    <row r="36" spans="2:8" ht="30.75" customHeight="1" x14ac:dyDescent="0.25">
      <c r="B36" s="151" t="s">
        <v>27</v>
      </c>
      <c r="C36" s="10" t="s">
        <v>28</v>
      </c>
      <c r="D36" s="150"/>
      <c r="E36" s="58" t="s">
        <v>16</v>
      </c>
      <c r="F36" s="71"/>
    </row>
    <row r="37" spans="2:8" ht="29.4" customHeight="1" x14ac:dyDescent="0.25">
      <c r="B37" s="158"/>
      <c r="C37" s="17" t="s">
        <v>8</v>
      </c>
      <c r="D37" s="150"/>
      <c r="E37" s="79">
        <f>174.2+20</f>
        <v>194.2</v>
      </c>
      <c r="F37" s="71"/>
    </row>
    <row r="38" spans="2:8" ht="17.25" customHeight="1" x14ac:dyDescent="0.25">
      <c r="B38" s="166" t="s">
        <v>30</v>
      </c>
      <c r="C38" s="51" t="s">
        <v>213</v>
      </c>
      <c r="D38" s="150"/>
      <c r="E38" s="58" t="s">
        <v>16</v>
      </c>
      <c r="F38" s="71"/>
    </row>
    <row r="39" spans="2:8" ht="27" customHeight="1" x14ac:dyDescent="0.25">
      <c r="B39" s="167"/>
      <c r="C39" s="83" t="s">
        <v>8</v>
      </c>
      <c r="D39" s="191"/>
      <c r="E39" s="79">
        <f>89+121.6</f>
        <v>210.6</v>
      </c>
      <c r="F39" s="71"/>
    </row>
    <row r="40" spans="2:8" ht="31.5" customHeight="1" x14ac:dyDescent="0.25">
      <c r="B40" s="151" t="s">
        <v>31</v>
      </c>
      <c r="C40" s="14" t="s">
        <v>190</v>
      </c>
      <c r="D40" s="145" t="s">
        <v>241</v>
      </c>
      <c r="E40" s="58" t="s">
        <v>16</v>
      </c>
      <c r="F40" s="71" t="s">
        <v>201</v>
      </c>
    </row>
    <row r="41" spans="2:8" ht="36" customHeight="1" x14ac:dyDescent="0.25">
      <c r="B41" s="158"/>
      <c r="C41" s="17" t="s">
        <v>8</v>
      </c>
      <c r="D41" s="148"/>
      <c r="E41" s="79">
        <f>336.9+1101.5-499.9-500-126</f>
        <v>312.50000000000011</v>
      </c>
      <c r="F41" s="71"/>
      <c r="H41" s="73"/>
    </row>
    <row r="42" spans="2:8" ht="30.75" customHeight="1" x14ac:dyDescent="0.25">
      <c r="B42" s="159" t="s">
        <v>32</v>
      </c>
      <c r="C42" s="14" t="s">
        <v>33</v>
      </c>
      <c r="D42" s="168" t="s">
        <v>34</v>
      </c>
      <c r="E42" s="58" t="s">
        <v>16</v>
      </c>
      <c r="F42" s="71" t="s">
        <v>202</v>
      </c>
    </row>
    <row r="43" spans="2:8" ht="29.25" customHeight="1" x14ac:dyDescent="0.25">
      <c r="B43" s="164"/>
      <c r="C43" s="17" t="s">
        <v>8</v>
      </c>
      <c r="D43" s="169"/>
      <c r="E43" s="79">
        <f>140.9-3.4+2.1</f>
        <v>139.6</v>
      </c>
      <c r="F43" s="71"/>
    </row>
    <row r="44" spans="2:8" ht="19.5" customHeight="1" x14ac:dyDescent="0.25">
      <c r="B44" s="151" t="s">
        <v>36</v>
      </c>
      <c r="C44" s="10" t="s">
        <v>37</v>
      </c>
      <c r="D44" s="131"/>
      <c r="E44" s="58"/>
      <c r="F44" s="71" t="s">
        <v>203</v>
      </c>
    </row>
    <row r="45" spans="2:8" ht="54.6" customHeight="1" x14ac:dyDescent="0.25">
      <c r="B45" s="158"/>
      <c r="C45" s="25" t="s">
        <v>8</v>
      </c>
      <c r="D45" s="141" t="s">
        <v>242</v>
      </c>
      <c r="E45" s="79">
        <f>100-4.5-45.5</f>
        <v>50</v>
      </c>
      <c r="F45" s="71"/>
    </row>
    <row r="46" spans="2:8" ht="55.2" customHeight="1" x14ac:dyDescent="0.25">
      <c r="B46" s="158"/>
      <c r="C46" s="17" t="s">
        <v>8</v>
      </c>
      <c r="D46" s="141" t="s">
        <v>251</v>
      </c>
      <c r="E46" s="79">
        <v>100</v>
      </c>
      <c r="F46" s="71"/>
    </row>
    <row r="47" spans="2:8" ht="29.25" customHeight="1" x14ac:dyDescent="0.25">
      <c r="B47" s="192"/>
      <c r="C47" s="53" t="s">
        <v>8</v>
      </c>
      <c r="D47" s="198" t="s">
        <v>244</v>
      </c>
      <c r="E47" s="79">
        <v>4.5</v>
      </c>
      <c r="F47" s="71"/>
    </row>
    <row r="48" spans="2:8" ht="18.75" customHeight="1" x14ac:dyDescent="0.25">
      <c r="B48" s="193"/>
      <c r="C48" s="53" t="s">
        <v>9</v>
      </c>
      <c r="D48" s="199"/>
      <c r="E48" s="79">
        <v>1.7</v>
      </c>
      <c r="F48" s="71"/>
    </row>
    <row r="49" spans="2:6" ht="29.25" customHeight="1" x14ac:dyDescent="0.25">
      <c r="B49" s="151" t="s">
        <v>38</v>
      </c>
      <c r="C49" s="43" t="s">
        <v>39</v>
      </c>
      <c r="D49" s="168" t="s">
        <v>242</v>
      </c>
      <c r="E49" s="58" t="s">
        <v>16</v>
      </c>
      <c r="F49" s="71" t="s">
        <v>197</v>
      </c>
    </row>
    <row r="50" spans="2:6" ht="29.25" customHeight="1" x14ac:dyDescent="0.25">
      <c r="B50" s="152"/>
      <c r="C50" s="17" t="s">
        <v>8</v>
      </c>
      <c r="D50" s="169"/>
      <c r="E50" s="79">
        <f>599.5+65+9</f>
        <v>673.5</v>
      </c>
      <c r="F50" s="71"/>
    </row>
    <row r="51" spans="2:6" ht="17.25" customHeight="1" x14ac:dyDescent="0.25">
      <c r="B51" s="159" t="s">
        <v>40</v>
      </c>
      <c r="C51" s="14" t="s">
        <v>41</v>
      </c>
      <c r="D51" s="169"/>
      <c r="E51" s="101" t="s">
        <v>16</v>
      </c>
      <c r="F51" s="17"/>
    </row>
    <row r="52" spans="2:6" ht="29.25" customHeight="1" x14ac:dyDescent="0.25">
      <c r="B52" s="160"/>
      <c r="C52" s="25" t="s">
        <v>8</v>
      </c>
      <c r="D52" s="169"/>
      <c r="E52" s="76">
        <f>2312.3-315.5+100</f>
        <v>2096.8000000000002</v>
      </c>
      <c r="F52" s="17"/>
    </row>
    <row r="53" spans="2:6" ht="16.5" customHeight="1" x14ac:dyDescent="0.25">
      <c r="B53" s="160"/>
      <c r="C53" s="25" t="s">
        <v>42</v>
      </c>
      <c r="D53" s="169"/>
      <c r="E53" s="79">
        <f>15.9+7.2</f>
        <v>23.1</v>
      </c>
      <c r="F53" s="71"/>
    </row>
    <row r="54" spans="2:6" ht="16.5" customHeight="1" x14ac:dyDescent="0.25">
      <c r="B54" s="160"/>
      <c r="C54" s="25" t="s">
        <v>9</v>
      </c>
      <c r="D54" s="169"/>
      <c r="E54" s="79">
        <v>12.3</v>
      </c>
      <c r="F54" s="71"/>
    </row>
    <row r="55" spans="2:6" ht="28.5" customHeight="1" x14ac:dyDescent="0.25">
      <c r="B55" s="159" t="s">
        <v>43</v>
      </c>
      <c r="C55" s="14" t="s">
        <v>44</v>
      </c>
      <c r="D55" s="169"/>
      <c r="E55" s="58" t="s">
        <v>16</v>
      </c>
      <c r="F55" s="71"/>
    </row>
    <row r="56" spans="2:6" ht="29.1" customHeight="1" x14ac:dyDescent="0.25">
      <c r="B56" s="160"/>
      <c r="C56" s="17" t="s">
        <v>8</v>
      </c>
      <c r="D56" s="169"/>
      <c r="E56" s="79">
        <f>414.9-399.9-3.3</f>
        <v>11.7</v>
      </c>
      <c r="F56" s="71"/>
    </row>
    <row r="57" spans="2:6" ht="20.25" customHeight="1" x14ac:dyDescent="0.25">
      <c r="B57" s="160"/>
      <c r="C57" s="25" t="s">
        <v>9</v>
      </c>
      <c r="D57" s="169"/>
      <c r="E57" s="79">
        <f>16.6-2.6</f>
        <v>14.000000000000002</v>
      </c>
      <c r="F57" s="71"/>
    </row>
    <row r="58" spans="2:6" ht="17.399999999999999" customHeight="1" x14ac:dyDescent="0.25">
      <c r="B58" s="159" t="s">
        <v>45</v>
      </c>
      <c r="C58" s="14" t="s">
        <v>46</v>
      </c>
      <c r="D58" s="169"/>
      <c r="E58" s="58" t="s">
        <v>16</v>
      </c>
      <c r="F58" s="71"/>
    </row>
    <row r="59" spans="2:6" ht="29.1" customHeight="1" x14ac:dyDescent="0.25">
      <c r="B59" s="160"/>
      <c r="C59" s="17" t="s">
        <v>8</v>
      </c>
      <c r="D59" s="169"/>
      <c r="E59" s="79">
        <f>363-100-263</f>
        <v>0</v>
      </c>
      <c r="F59" s="71"/>
    </row>
    <row r="60" spans="2:6" ht="28.5" customHeight="1" x14ac:dyDescent="0.25">
      <c r="B60" s="159" t="s">
        <v>47</v>
      </c>
      <c r="C60" s="14" t="s">
        <v>48</v>
      </c>
      <c r="D60" s="169"/>
      <c r="E60" s="79"/>
      <c r="F60" s="71"/>
    </row>
    <row r="61" spans="2:6" ht="28.5" customHeight="1" x14ac:dyDescent="0.25">
      <c r="B61" s="160"/>
      <c r="C61" s="17" t="s">
        <v>8</v>
      </c>
      <c r="D61" s="169"/>
      <c r="E61" s="79">
        <f>5080+898.5</f>
        <v>5978.5</v>
      </c>
      <c r="F61" s="50"/>
    </row>
    <row r="62" spans="2:6" ht="28.5" customHeight="1" x14ac:dyDescent="0.25">
      <c r="B62" s="159" t="s">
        <v>49</v>
      </c>
      <c r="C62" s="10" t="s">
        <v>50</v>
      </c>
      <c r="D62" s="169"/>
      <c r="E62" s="58" t="s">
        <v>16</v>
      </c>
      <c r="F62" s="71" t="s">
        <v>204</v>
      </c>
    </row>
    <row r="63" spans="2:6" ht="27.75" customHeight="1" x14ac:dyDescent="0.25">
      <c r="B63" s="160"/>
      <c r="C63" s="17" t="s">
        <v>8</v>
      </c>
      <c r="D63" s="169"/>
      <c r="E63" s="79">
        <f>262.1+331.5-35.9-144</f>
        <v>413.70000000000005</v>
      </c>
      <c r="F63" s="71"/>
    </row>
    <row r="64" spans="2:6" ht="18" customHeight="1" x14ac:dyDescent="0.25">
      <c r="B64" s="160"/>
      <c r="C64" s="25" t="s">
        <v>42</v>
      </c>
      <c r="D64" s="169"/>
      <c r="E64" s="79">
        <v>2</v>
      </c>
      <c r="F64" s="71"/>
    </row>
    <row r="65" spans="2:6" ht="30.75" customHeight="1" x14ac:dyDescent="0.25">
      <c r="B65" s="159" t="s">
        <v>51</v>
      </c>
      <c r="C65" s="10" t="s">
        <v>168</v>
      </c>
      <c r="D65" s="169"/>
      <c r="E65" s="58" t="s">
        <v>16</v>
      </c>
      <c r="F65" s="71"/>
    </row>
    <row r="66" spans="2:6" ht="29.25" customHeight="1" x14ac:dyDescent="0.25">
      <c r="B66" s="160"/>
      <c r="C66" s="17" t="s">
        <v>8</v>
      </c>
      <c r="D66" s="169"/>
      <c r="E66" s="79">
        <f>156+4.3-20</f>
        <v>140.30000000000001</v>
      </c>
      <c r="F66" s="71"/>
    </row>
    <row r="67" spans="2:6" ht="18.75" customHeight="1" x14ac:dyDescent="0.25">
      <c r="B67" s="159" t="s">
        <v>52</v>
      </c>
      <c r="C67" s="14" t="s">
        <v>53</v>
      </c>
      <c r="D67" s="169"/>
      <c r="E67" s="58" t="s">
        <v>16</v>
      </c>
      <c r="F67" s="71"/>
    </row>
    <row r="68" spans="2:6" ht="29.25" customHeight="1" x14ac:dyDescent="0.25">
      <c r="B68" s="160"/>
      <c r="C68" s="17" t="s">
        <v>8</v>
      </c>
      <c r="D68" s="169"/>
      <c r="E68" s="79">
        <v>100</v>
      </c>
      <c r="F68" s="71"/>
    </row>
    <row r="69" spans="2:6" ht="18.75" customHeight="1" x14ac:dyDescent="0.25">
      <c r="B69" s="159" t="s">
        <v>54</v>
      </c>
      <c r="C69" s="10" t="s">
        <v>55</v>
      </c>
      <c r="D69" s="169"/>
      <c r="E69" s="58" t="s">
        <v>16</v>
      </c>
      <c r="F69" s="71"/>
    </row>
    <row r="70" spans="2:6" ht="29.25" customHeight="1" x14ac:dyDescent="0.25">
      <c r="B70" s="165"/>
      <c r="C70" s="84" t="s">
        <v>8</v>
      </c>
      <c r="D70" s="170"/>
      <c r="E70" s="85">
        <f>249.2-32.8</f>
        <v>216.39999999999998</v>
      </c>
      <c r="F70" s="86"/>
    </row>
    <row r="71" spans="2:6" ht="18.75" customHeight="1" x14ac:dyDescent="0.25">
      <c r="B71" s="160" t="s">
        <v>56</v>
      </c>
      <c r="C71" s="87" t="s">
        <v>57</v>
      </c>
      <c r="D71" s="169" t="s">
        <v>241</v>
      </c>
      <c r="E71" s="58" t="s">
        <v>16</v>
      </c>
      <c r="F71" s="137"/>
    </row>
    <row r="72" spans="2:6" ht="51.75" customHeight="1" x14ac:dyDescent="0.25">
      <c r="B72" s="160"/>
      <c r="C72" s="17" t="s">
        <v>8</v>
      </c>
      <c r="D72" s="171"/>
      <c r="E72" s="79">
        <f>47.9-9.2</f>
        <v>38.700000000000003</v>
      </c>
      <c r="F72" s="71"/>
    </row>
    <row r="73" spans="2:6" ht="27.75" customHeight="1" x14ac:dyDescent="0.25">
      <c r="B73" s="159" t="s">
        <v>58</v>
      </c>
      <c r="C73" s="14" t="s">
        <v>59</v>
      </c>
      <c r="D73" s="145" t="s">
        <v>34</v>
      </c>
      <c r="E73" s="58" t="s">
        <v>16</v>
      </c>
      <c r="F73" s="71"/>
    </row>
    <row r="74" spans="2:6" ht="30" customHeight="1" x14ac:dyDescent="0.25">
      <c r="B74" s="160"/>
      <c r="C74" s="17" t="s">
        <v>8</v>
      </c>
      <c r="D74" s="146"/>
      <c r="E74" s="79">
        <f>368.9-326.4+30-2.1</f>
        <v>70.400000000000006</v>
      </c>
      <c r="F74" s="71"/>
    </row>
    <row r="75" spans="2:6" ht="19.5" customHeight="1" x14ac:dyDescent="0.25">
      <c r="B75" s="151" t="s">
        <v>169</v>
      </c>
      <c r="C75" s="14" t="s">
        <v>214</v>
      </c>
      <c r="D75" s="149" t="s">
        <v>242</v>
      </c>
      <c r="E75" s="79"/>
      <c r="F75" s="50" t="s">
        <v>197</v>
      </c>
    </row>
    <row r="76" spans="2:6" ht="36" customHeight="1" x14ac:dyDescent="0.25">
      <c r="B76" s="182"/>
      <c r="C76" s="25" t="s">
        <v>8</v>
      </c>
      <c r="D76" s="191"/>
      <c r="E76" s="79"/>
      <c r="F76" s="50"/>
    </row>
    <row r="77" spans="2:6" ht="19.5" customHeight="1" x14ac:dyDescent="0.25">
      <c r="B77" s="88"/>
      <c r="C77" s="16" t="s">
        <v>60</v>
      </c>
      <c r="D77" s="89"/>
      <c r="E77" s="24">
        <f>+E79+E80+E81+E82</f>
        <v>14709.5</v>
      </c>
      <c r="F77" s="90"/>
    </row>
    <row r="78" spans="2:6" ht="17.25" customHeight="1" x14ac:dyDescent="0.25">
      <c r="B78" s="172"/>
      <c r="C78" s="14" t="s">
        <v>61</v>
      </c>
      <c r="D78" s="91"/>
      <c r="E78" s="21"/>
      <c r="F78" s="7"/>
    </row>
    <row r="79" spans="2:6" ht="27.75" customHeight="1" x14ac:dyDescent="0.25">
      <c r="B79" s="183"/>
      <c r="C79" s="10" t="s">
        <v>62</v>
      </c>
      <c r="D79" s="92"/>
      <c r="E79" s="22">
        <f>SUMIF($C12:$C76,$C16,E12:E76)</f>
        <v>11624.7</v>
      </c>
      <c r="F79" s="11"/>
    </row>
    <row r="80" spans="2:6" ht="15" customHeight="1" x14ac:dyDescent="0.25">
      <c r="B80" s="183"/>
      <c r="C80" s="14" t="s">
        <v>64</v>
      </c>
      <c r="D80" s="92"/>
      <c r="E80" s="22">
        <f>SUMIF($C12:$C76,$C53,E12:E76)</f>
        <v>25.1</v>
      </c>
      <c r="F80" s="11"/>
    </row>
    <row r="81" spans="2:6" ht="16.5" customHeight="1" x14ac:dyDescent="0.25">
      <c r="B81" s="183"/>
      <c r="C81" s="10" t="s">
        <v>65</v>
      </c>
      <c r="D81" s="92"/>
      <c r="E81" s="22">
        <f>SUMIF($C12:$C76,$C14,E12:E76)</f>
        <v>2006.3</v>
      </c>
      <c r="F81" s="22"/>
    </row>
    <row r="82" spans="2:6" ht="15.75" customHeight="1" x14ac:dyDescent="0.25">
      <c r="B82" s="173"/>
      <c r="C82" s="10" t="s">
        <v>66</v>
      </c>
      <c r="D82" s="132"/>
      <c r="E82" s="22">
        <f>SUMIF($C12:$C76,$C23,E12:E76)</f>
        <v>1053.4000000000001</v>
      </c>
      <c r="F82" s="71"/>
    </row>
    <row r="83" spans="2:6" ht="30.6" customHeight="1" x14ac:dyDescent="0.25">
      <c r="B83" s="6" t="s">
        <v>176</v>
      </c>
      <c r="C83" s="8" t="s">
        <v>70</v>
      </c>
      <c r="D83" s="93"/>
      <c r="E83" s="94"/>
      <c r="F83" s="70"/>
    </row>
    <row r="84" spans="2:6" ht="31.2" customHeight="1" x14ac:dyDescent="0.25">
      <c r="B84" s="159" t="s">
        <v>71</v>
      </c>
      <c r="C84" s="10" t="s">
        <v>72</v>
      </c>
      <c r="D84" s="149" t="s">
        <v>242</v>
      </c>
      <c r="E84" s="22"/>
      <c r="F84" s="71" t="s">
        <v>205</v>
      </c>
    </row>
    <row r="85" spans="2:6" ht="28.5" customHeight="1" x14ac:dyDescent="0.25">
      <c r="B85" s="160"/>
      <c r="C85" s="17" t="s">
        <v>8</v>
      </c>
      <c r="D85" s="150"/>
      <c r="E85" s="72">
        <f>3400+121.2+165.3</f>
        <v>3686.5</v>
      </c>
      <c r="F85" s="17"/>
    </row>
    <row r="86" spans="2:6" ht="27.6" customHeight="1" x14ac:dyDescent="0.25">
      <c r="B86" s="151" t="s">
        <v>73</v>
      </c>
      <c r="C86" s="26" t="s">
        <v>74</v>
      </c>
      <c r="D86" s="150"/>
      <c r="E86" s="137" t="s">
        <v>16</v>
      </c>
      <c r="F86" s="71" t="s">
        <v>205</v>
      </c>
    </row>
    <row r="87" spans="2:6" ht="30.75" customHeight="1" x14ac:dyDescent="0.25">
      <c r="B87" s="158"/>
      <c r="C87" s="17" t="s">
        <v>8</v>
      </c>
      <c r="D87" s="150"/>
      <c r="E87" s="79">
        <f>200.4+106</f>
        <v>306.39999999999998</v>
      </c>
      <c r="F87" s="11"/>
    </row>
    <row r="88" spans="2:6" ht="18" customHeight="1" x14ac:dyDescent="0.25">
      <c r="B88" s="151" t="s">
        <v>75</v>
      </c>
      <c r="C88" s="26" t="s">
        <v>76</v>
      </c>
      <c r="D88" s="150"/>
      <c r="E88" s="137" t="s">
        <v>16</v>
      </c>
      <c r="F88" s="71" t="s">
        <v>205</v>
      </c>
    </row>
    <row r="89" spans="2:6" ht="29.25" customHeight="1" x14ac:dyDescent="0.25">
      <c r="B89" s="158"/>
      <c r="C89" s="25" t="s">
        <v>8</v>
      </c>
      <c r="D89" s="150"/>
      <c r="E89" s="138">
        <f>323.5-62</f>
        <v>261.5</v>
      </c>
      <c r="F89" s="11"/>
    </row>
    <row r="90" spans="2:6" ht="19.5" customHeight="1" x14ac:dyDescent="0.25">
      <c r="B90" s="88"/>
      <c r="C90" s="16" t="s">
        <v>60</v>
      </c>
      <c r="D90" s="89"/>
      <c r="E90" s="24">
        <f>+E92</f>
        <v>4254.3999999999996</v>
      </c>
      <c r="F90" s="90"/>
    </row>
    <row r="91" spans="2:6" ht="17.25" customHeight="1" x14ac:dyDescent="0.25">
      <c r="B91" s="172"/>
      <c r="C91" s="14" t="s">
        <v>61</v>
      </c>
      <c r="D91" s="91"/>
      <c r="E91" s="21"/>
      <c r="F91" s="7"/>
    </row>
    <row r="92" spans="2:6" ht="27.75" customHeight="1" x14ac:dyDescent="0.25">
      <c r="B92" s="183"/>
      <c r="C92" s="10" t="s">
        <v>62</v>
      </c>
      <c r="D92" s="92"/>
      <c r="E92" s="22">
        <f>SUMIF($C84:$C89,$C85,E84:E89)</f>
        <v>4254.3999999999996</v>
      </c>
      <c r="F92" s="11"/>
    </row>
    <row r="93" spans="2:6" ht="40.5" customHeight="1" x14ac:dyDescent="0.25">
      <c r="B93" s="5" t="s">
        <v>177</v>
      </c>
      <c r="C93" s="5" t="s">
        <v>77</v>
      </c>
      <c r="D93" s="67"/>
      <c r="E93" s="95"/>
      <c r="F93" s="68"/>
    </row>
    <row r="94" spans="2:6" ht="30.75" customHeight="1" x14ac:dyDescent="0.25">
      <c r="B94" s="6" t="s">
        <v>178</v>
      </c>
      <c r="C94" s="8" t="s">
        <v>78</v>
      </c>
      <c r="D94" s="93"/>
      <c r="E94" s="94"/>
      <c r="F94" s="70"/>
    </row>
    <row r="95" spans="2:6" ht="45" customHeight="1" x14ac:dyDescent="0.25">
      <c r="B95" s="159" t="s">
        <v>79</v>
      </c>
      <c r="C95" s="10" t="s">
        <v>80</v>
      </c>
      <c r="D95" s="145" t="s">
        <v>242</v>
      </c>
      <c r="E95" s="22"/>
      <c r="F95" s="17"/>
    </row>
    <row r="96" spans="2:6" ht="28.5" customHeight="1" x14ac:dyDescent="0.25">
      <c r="B96" s="160"/>
      <c r="C96" s="17" t="s">
        <v>8</v>
      </c>
      <c r="D96" s="146"/>
      <c r="E96" s="50">
        <f>8.8+5</f>
        <v>13.8</v>
      </c>
      <c r="F96" s="17"/>
    </row>
    <row r="97" spans="2:8" ht="28.2" customHeight="1" x14ac:dyDescent="0.25">
      <c r="B97" s="139" t="s">
        <v>81</v>
      </c>
      <c r="C97" s="26" t="s">
        <v>82</v>
      </c>
      <c r="D97" s="146"/>
      <c r="E97" s="137" t="s">
        <v>16</v>
      </c>
      <c r="F97" s="71" t="s">
        <v>206</v>
      </c>
    </row>
    <row r="98" spans="2:8" ht="30.75" customHeight="1" x14ac:dyDescent="0.25">
      <c r="B98" s="140"/>
      <c r="C98" s="17" t="s">
        <v>8</v>
      </c>
      <c r="D98" s="146"/>
      <c r="E98" s="138">
        <f>616+288.5-20-245-5</f>
        <v>634.5</v>
      </c>
      <c r="F98" s="11"/>
    </row>
    <row r="99" spans="2:8" ht="17.25" customHeight="1" x14ac:dyDescent="0.25">
      <c r="B99" s="88"/>
      <c r="C99" s="96" t="s">
        <v>60</v>
      </c>
      <c r="D99" s="97"/>
      <c r="E99" s="98">
        <f>+E101</f>
        <v>648.29999999999995</v>
      </c>
      <c r="F99" s="90"/>
      <c r="H99" s="73"/>
    </row>
    <row r="100" spans="2:8" ht="17.25" customHeight="1" x14ac:dyDescent="0.25">
      <c r="B100" s="172"/>
      <c r="C100" s="13" t="s">
        <v>61</v>
      </c>
      <c r="D100" s="10"/>
      <c r="E100" s="21"/>
      <c r="F100" s="7"/>
    </row>
    <row r="101" spans="2:8" ht="27.75" customHeight="1" x14ac:dyDescent="0.25">
      <c r="B101" s="183"/>
      <c r="C101" s="10" t="s">
        <v>62</v>
      </c>
      <c r="D101" s="10"/>
      <c r="E101" s="23">
        <f>SUMIF($C95:$C98,$C96,E95:E98)</f>
        <v>648.29999999999995</v>
      </c>
      <c r="F101" s="11"/>
    </row>
    <row r="102" spans="2:8" ht="41.7" customHeight="1" x14ac:dyDescent="0.25">
      <c r="B102" s="5" t="s">
        <v>179</v>
      </c>
      <c r="C102" s="52" t="s">
        <v>83</v>
      </c>
      <c r="D102" s="99"/>
      <c r="E102" s="100"/>
      <c r="F102" s="68"/>
    </row>
    <row r="103" spans="2:8" ht="30" customHeight="1" x14ac:dyDescent="0.25">
      <c r="B103" s="6" t="s">
        <v>180</v>
      </c>
      <c r="C103" s="8" t="s">
        <v>84</v>
      </c>
      <c r="D103" s="93"/>
      <c r="E103" s="94"/>
      <c r="F103" s="70"/>
    </row>
    <row r="104" spans="2:8" ht="42" customHeight="1" x14ac:dyDescent="0.25">
      <c r="B104" s="161" t="s">
        <v>85</v>
      </c>
      <c r="C104" s="42" t="s">
        <v>86</v>
      </c>
      <c r="D104" s="145" t="s">
        <v>242</v>
      </c>
      <c r="E104" s="74"/>
      <c r="F104" s="101" t="s">
        <v>207</v>
      </c>
    </row>
    <row r="105" spans="2:8" ht="29.25" customHeight="1" x14ac:dyDescent="0.25">
      <c r="B105" s="163"/>
      <c r="C105" s="25" t="s">
        <v>8</v>
      </c>
      <c r="D105" s="146"/>
      <c r="E105" s="82">
        <f>653.3+671.9+140</f>
        <v>1465.1999999999998</v>
      </c>
      <c r="F105" s="50"/>
      <c r="H105" s="77"/>
    </row>
    <row r="106" spans="2:8" ht="17.25" customHeight="1" x14ac:dyDescent="0.25">
      <c r="B106" s="163"/>
      <c r="C106" s="25" t="s">
        <v>35</v>
      </c>
      <c r="D106" s="146"/>
      <c r="E106" s="79">
        <f>2100+152-200</f>
        <v>2052</v>
      </c>
      <c r="F106" s="50"/>
    </row>
    <row r="107" spans="2:8" ht="30" customHeight="1" x14ac:dyDescent="0.25">
      <c r="B107" s="161" t="s">
        <v>87</v>
      </c>
      <c r="C107" s="14" t="s">
        <v>88</v>
      </c>
      <c r="D107" s="146"/>
      <c r="E107" s="58" t="s">
        <v>16</v>
      </c>
      <c r="F107" s="101" t="s">
        <v>207</v>
      </c>
    </row>
    <row r="108" spans="2:8" ht="17.25" customHeight="1" x14ac:dyDescent="0.25">
      <c r="B108" s="162"/>
      <c r="C108" s="25" t="s">
        <v>9</v>
      </c>
      <c r="D108" s="146"/>
      <c r="E108" s="79">
        <f>565.8-102.9-44</f>
        <v>418.9</v>
      </c>
      <c r="F108" s="101"/>
      <c r="H108" s="73"/>
    </row>
    <row r="109" spans="2:8" ht="29.4" customHeight="1" x14ac:dyDescent="0.25">
      <c r="B109" s="159" t="s">
        <v>89</v>
      </c>
      <c r="C109" s="10" t="s">
        <v>90</v>
      </c>
      <c r="D109" s="146"/>
      <c r="E109" s="74"/>
      <c r="F109" s="101" t="s">
        <v>208</v>
      </c>
      <c r="G109" s="77"/>
    </row>
    <row r="110" spans="2:8" ht="27" customHeight="1" x14ac:dyDescent="0.25">
      <c r="B110" s="160"/>
      <c r="C110" s="17" t="s">
        <v>8</v>
      </c>
      <c r="D110" s="146"/>
      <c r="E110" s="79">
        <f>162+25.2-44</f>
        <v>143.19999999999999</v>
      </c>
      <c r="F110" s="12"/>
    </row>
    <row r="111" spans="2:8" ht="18.75" customHeight="1" x14ac:dyDescent="0.25">
      <c r="B111" s="164"/>
      <c r="C111" s="27" t="s">
        <v>29</v>
      </c>
      <c r="D111" s="146"/>
      <c r="E111" s="79">
        <f>18+2.8</f>
        <v>20.8</v>
      </c>
      <c r="F111" s="12"/>
    </row>
    <row r="112" spans="2:8" ht="29.25" customHeight="1" x14ac:dyDescent="0.25">
      <c r="B112" s="159" t="s">
        <v>91</v>
      </c>
      <c r="C112" s="3" t="s">
        <v>92</v>
      </c>
      <c r="D112" s="145" t="s">
        <v>251</v>
      </c>
      <c r="E112" s="79"/>
      <c r="F112" s="71"/>
    </row>
    <row r="113" spans="2:8" ht="27.75" customHeight="1" x14ac:dyDescent="0.25">
      <c r="B113" s="164"/>
      <c r="C113" s="17" t="s">
        <v>8</v>
      </c>
      <c r="D113" s="146"/>
      <c r="E113" s="72">
        <v>2</v>
      </c>
      <c r="F113" s="12"/>
    </row>
    <row r="114" spans="2:8" ht="28.5" customHeight="1" x14ac:dyDescent="0.25">
      <c r="B114" s="159" t="s">
        <v>93</v>
      </c>
      <c r="C114" s="3" t="s">
        <v>94</v>
      </c>
      <c r="D114" s="146"/>
      <c r="E114" s="74"/>
      <c r="F114" s="71" t="s">
        <v>197</v>
      </c>
    </row>
    <row r="115" spans="2:8" ht="28.5" customHeight="1" x14ac:dyDescent="0.25">
      <c r="B115" s="160"/>
      <c r="C115" s="17" t="s">
        <v>8</v>
      </c>
      <c r="D115" s="148"/>
      <c r="E115" s="72">
        <f>280+297-20</f>
        <v>557</v>
      </c>
      <c r="F115" s="71"/>
      <c r="H115" s="73"/>
    </row>
    <row r="116" spans="2:8" ht="29.25" customHeight="1" x14ac:dyDescent="0.25">
      <c r="B116" s="159" t="s">
        <v>95</v>
      </c>
      <c r="C116" s="3" t="s">
        <v>216</v>
      </c>
      <c r="D116" s="145" t="s">
        <v>251</v>
      </c>
      <c r="E116" s="74"/>
      <c r="F116" s="101"/>
    </row>
    <row r="117" spans="2:8" ht="29.25" customHeight="1" x14ac:dyDescent="0.25">
      <c r="B117" s="164"/>
      <c r="C117" s="17" t="s">
        <v>8</v>
      </c>
      <c r="D117" s="146"/>
      <c r="E117" s="72">
        <f>30-30</f>
        <v>0</v>
      </c>
      <c r="F117" s="71"/>
    </row>
    <row r="118" spans="2:8" ht="29.25" customHeight="1" x14ac:dyDescent="0.25">
      <c r="B118" s="159" t="s">
        <v>224</v>
      </c>
      <c r="C118" s="3" t="s">
        <v>223</v>
      </c>
      <c r="D118" s="145" t="s">
        <v>245</v>
      </c>
      <c r="E118" s="72"/>
      <c r="F118" s="71"/>
    </row>
    <row r="119" spans="2:8" ht="29.25" customHeight="1" x14ac:dyDescent="0.25">
      <c r="B119" s="160"/>
      <c r="C119" s="57" t="s">
        <v>96</v>
      </c>
      <c r="D119" s="146"/>
      <c r="E119" s="72">
        <v>302.10000000000002</v>
      </c>
      <c r="F119" s="71"/>
    </row>
    <row r="120" spans="2:8" ht="19.95" customHeight="1" x14ac:dyDescent="0.25">
      <c r="B120" s="164"/>
      <c r="C120" s="25" t="s">
        <v>9</v>
      </c>
      <c r="D120" s="129"/>
      <c r="E120" s="72">
        <f>102.9-102.9</f>
        <v>0</v>
      </c>
      <c r="F120" s="71"/>
    </row>
    <row r="121" spans="2:8" ht="17.25" customHeight="1" x14ac:dyDescent="0.25">
      <c r="B121" s="88"/>
      <c r="C121" s="16" t="s">
        <v>60</v>
      </c>
      <c r="D121" s="97"/>
      <c r="E121" s="24">
        <f>+E123+E124+E125+E126</f>
        <v>4940.3999999999996</v>
      </c>
      <c r="F121" s="103"/>
    </row>
    <row r="122" spans="2:8" ht="17.25" customHeight="1" x14ac:dyDescent="0.25">
      <c r="B122" s="172"/>
      <c r="C122" s="14" t="s">
        <v>61</v>
      </c>
      <c r="D122" s="15"/>
      <c r="E122" s="21"/>
      <c r="F122" s="4"/>
    </row>
    <row r="123" spans="2:8" ht="27" customHeight="1" x14ac:dyDescent="0.25">
      <c r="B123" s="183"/>
      <c r="C123" s="10" t="s">
        <v>62</v>
      </c>
      <c r="D123" s="15"/>
      <c r="E123" s="22">
        <f>SUMIF($C104:$C120,$C105,E104:E120)</f>
        <v>2167.3999999999996</v>
      </c>
      <c r="F123" s="4"/>
    </row>
    <row r="124" spans="2:8" ht="19.5" customHeight="1" x14ac:dyDescent="0.25">
      <c r="B124" s="183"/>
      <c r="C124" s="14" t="s">
        <v>63</v>
      </c>
      <c r="D124" s="15"/>
      <c r="E124" s="22">
        <f>SUMIF($C104:$C120,$C106,E104:E120)</f>
        <v>2052</v>
      </c>
      <c r="F124" s="4"/>
    </row>
    <row r="125" spans="2:8" ht="28.95" customHeight="1" x14ac:dyDescent="0.25">
      <c r="B125" s="183"/>
      <c r="C125" s="56" t="s">
        <v>225</v>
      </c>
      <c r="D125" s="15"/>
      <c r="E125" s="22">
        <f>SUMIF($C104:$C120,$C119,E104:E120)</f>
        <v>302.10000000000002</v>
      </c>
      <c r="F125" s="4"/>
    </row>
    <row r="126" spans="2:8" ht="16.5" customHeight="1" x14ac:dyDescent="0.25">
      <c r="B126" s="183"/>
      <c r="C126" s="10" t="s">
        <v>65</v>
      </c>
      <c r="D126" s="15"/>
      <c r="E126" s="22">
        <f>SUMIF($C104:$C120,$C108,E104:E120)</f>
        <v>418.9</v>
      </c>
      <c r="F126" s="12"/>
    </row>
    <row r="127" spans="2:8" ht="17.25" customHeight="1" x14ac:dyDescent="0.25">
      <c r="B127" s="88"/>
      <c r="C127" s="104" t="s">
        <v>67</v>
      </c>
      <c r="D127" s="89"/>
      <c r="E127" s="24">
        <f>+E129</f>
        <v>20.8</v>
      </c>
      <c r="F127" s="90"/>
    </row>
    <row r="128" spans="2:8" ht="15" customHeight="1" x14ac:dyDescent="0.25">
      <c r="B128" s="172"/>
      <c r="C128" s="14" t="s">
        <v>68</v>
      </c>
      <c r="D128" s="105"/>
      <c r="E128" s="21"/>
      <c r="F128" s="7"/>
    </row>
    <row r="129" spans="2:6" ht="15" customHeight="1" x14ac:dyDescent="0.25">
      <c r="B129" s="173"/>
      <c r="C129" s="106" t="s">
        <v>69</v>
      </c>
      <c r="D129" s="105"/>
      <c r="E129" s="22">
        <f>SUMIF($C104:$C117,$C111,E104:E117)</f>
        <v>20.8</v>
      </c>
      <c r="F129" s="7"/>
    </row>
    <row r="130" spans="2:6" ht="67.5" customHeight="1" x14ac:dyDescent="0.25">
      <c r="B130" s="6" t="s">
        <v>181</v>
      </c>
      <c r="C130" s="8" t="s">
        <v>97</v>
      </c>
      <c r="D130" s="107" t="s">
        <v>241</v>
      </c>
      <c r="E130" s="94"/>
      <c r="F130" s="107" t="s">
        <v>201</v>
      </c>
    </row>
    <row r="131" spans="2:6" ht="17.25" customHeight="1" x14ac:dyDescent="0.25">
      <c r="B131" s="88"/>
      <c r="C131" s="16" t="s">
        <v>60</v>
      </c>
      <c r="D131" s="102"/>
      <c r="E131" s="24">
        <f t="shared" ref="E131" si="0">+E133</f>
        <v>63.1</v>
      </c>
      <c r="F131" s="103"/>
    </row>
    <row r="132" spans="2:6" ht="17.25" customHeight="1" x14ac:dyDescent="0.25">
      <c r="B132" s="172"/>
      <c r="C132" s="14" t="s">
        <v>61</v>
      </c>
      <c r="D132" s="15"/>
      <c r="E132" s="21"/>
      <c r="F132" s="4"/>
    </row>
    <row r="133" spans="2:6" ht="27" customHeight="1" x14ac:dyDescent="0.25">
      <c r="B133" s="173"/>
      <c r="C133" s="10" t="s">
        <v>8</v>
      </c>
      <c r="D133" s="15"/>
      <c r="E133" s="21">
        <v>63.1</v>
      </c>
      <c r="F133" s="4"/>
    </row>
    <row r="134" spans="2:6" ht="30" customHeight="1" x14ac:dyDescent="0.25">
      <c r="B134" s="5" t="s">
        <v>182</v>
      </c>
      <c r="C134" s="52" t="s">
        <v>98</v>
      </c>
      <c r="D134" s="99"/>
      <c r="E134" s="100"/>
      <c r="F134" s="68"/>
    </row>
    <row r="135" spans="2:6" ht="27.6" customHeight="1" x14ac:dyDescent="0.25">
      <c r="B135" s="6" t="s">
        <v>183</v>
      </c>
      <c r="C135" s="8" t="s">
        <v>99</v>
      </c>
      <c r="D135" s="93"/>
      <c r="E135" s="94"/>
      <c r="F135" s="70"/>
    </row>
    <row r="136" spans="2:6" ht="27.75" customHeight="1" x14ac:dyDescent="0.25">
      <c r="B136" s="159" t="s">
        <v>100</v>
      </c>
      <c r="C136" s="9" t="s">
        <v>101</v>
      </c>
      <c r="D136" s="145" t="s">
        <v>242</v>
      </c>
      <c r="E136" s="74"/>
      <c r="F136" s="71" t="s">
        <v>209</v>
      </c>
    </row>
    <row r="137" spans="2:6" ht="28.95" customHeight="1" x14ac:dyDescent="0.25">
      <c r="B137" s="164"/>
      <c r="C137" s="17" t="s">
        <v>9</v>
      </c>
      <c r="D137" s="148"/>
      <c r="E137" s="72">
        <f>105+42.3+140+194</f>
        <v>481.3</v>
      </c>
      <c r="F137" s="71"/>
    </row>
    <row r="138" spans="2:6" ht="43.2" customHeight="1" x14ac:dyDescent="0.25">
      <c r="B138" s="159" t="s">
        <v>102</v>
      </c>
      <c r="C138" s="3" t="s">
        <v>103</v>
      </c>
      <c r="D138" s="146" t="s">
        <v>243</v>
      </c>
      <c r="E138" s="142"/>
      <c r="F138" s="71" t="s">
        <v>210</v>
      </c>
    </row>
    <row r="139" spans="2:6" ht="27.75" customHeight="1" x14ac:dyDescent="0.25">
      <c r="B139" s="160"/>
      <c r="C139" s="17" t="s">
        <v>8</v>
      </c>
      <c r="D139" s="148"/>
      <c r="E139" s="72">
        <v>11.7</v>
      </c>
      <c r="F139" s="71"/>
    </row>
    <row r="140" spans="2:6" ht="33" customHeight="1" x14ac:dyDescent="0.25">
      <c r="B140" s="159" t="s">
        <v>104</v>
      </c>
      <c r="C140" s="108" t="s">
        <v>105</v>
      </c>
      <c r="D140" s="145" t="s">
        <v>255</v>
      </c>
      <c r="E140" s="74"/>
      <c r="F140" s="71" t="s">
        <v>211</v>
      </c>
    </row>
    <row r="141" spans="2:6" ht="27.75" customHeight="1" x14ac:dyDescent="0.25">
      <c r="B141" s="160"/>
      <c r="C141" s="17" t="s">
        <v>8</v>
      </c>
      <c r="D141" s="148"/>
      <c r="E141" s="74">
        <f>120.1-120.1</f>
        <v>0</v>
      </c>
      <c r="F141" s="71"/>
    </row>
    <row r="142" spans="2:6" ht="56.4" customHeight="1" x14ac:dyDescent="0.25">
      <c r="B142" s="159" t="s">
        <v>106</v>
      </c>
      <c r="C142" s="18" t="s">
        <v>107</v>
      </c>
      <c r="D142" s="186" t="s">
        <v>244</v>
      </c>
      <c r="E142" s="74"/>
      <c r="F142" s="71"/>
    </row>
    <row r="143" spans="2:6" ht="18.75" customHeight="1" x14ac:dyDescent="0.25">
      <c r="B143" s="160"/>
      <c r="C143" s="17" t="s">
        <v>42</v>
      </c>
      <c r="D143" s="187"/>
      <c r="E143" s="74">
        <v>800</v>
      </c>
      <c r="F143" s="71"/>
    </row>
    <row r="144" spans="2:6" ht="18.75" customHeight="1" x14ac:dyDescent="0.25">
      <c r="B144" s="133"/>
      <c r="C144" s="25" t="s">
        <v>9</v>
      </c>
      <c r="D144" s="135"/>
      <c r="E144" s="74">
        <v>250</v>
      </c>
      <c r="F144" s="71"/>
    </row>
    <row r="145" spans="2:11" ht="27.75" customHeight="1" x14ac:dyDescent="0.25">
      <c r="B145" s="151" t="s">
        <v>108</v>
      </c>
      <c r="C145" s="18" t="s">
        <v>109</v>
      </c>
      <c r="D145" s="149" t="s">
        <v>242</v>
      </c>
      <c r="F145" s="50"/>
    </row>
    <row r="146" spans="2:11" ht="28.5" customHeight="1" x14ac:dyDescent="0.25">
      <c r="B146" s="158"/>
      <c r="C146" s="25" t="s">
        <v>8</v>
      </c>
      <c r="D146" s="150"/>
      <c r="E146" s="109">
        <f>512.8-44</f>
        <v>468.79999999999995</v>
      </c>
      <c r="F146" s="50"/>
    </row>
    <row r="147" spans="2:11" ht="17.25" customHeight="1" x14ac:dyDescent="0.25">
      <c r="B147" s="182"/>
      <c r="C147" s="25" t="s">
        <v>9</v>
      </c>
      <c r="D147" s="150"/>
      <c r="E147" s="72">
        <f>1234.3-554.3+44</f>
        <v>724</v>
      </c>
      <c r="F147" s="50"/>
    </row>
    <row r="148" spans="2:11" ht="42" customHeight="1" x14ac:dyDescent="0.25">
      <c r="B148" s="159" t="s">
        <v>110</v>
      </c>
      <c r="C148" s="59" t="s">
        <v>226</v>
      </c>
      <c r="D148" s="189" t="s">
        <v>246</v>
      </c>
      <c r="E148" s="72"/>
      <c r="F148" s="50" t="s">
        <v>212</v>
      </c>
    </row>
    <row r="149" spans="2:11" ht="28.95" customHeight="1" x14ac:dyDescent="0.25">
      <c r="B149" s="164"/>
      <c r="C149" s="110" t="s">
        <v>8</v>
      </c>
      <c r="D149" s="190"/>
      <c r="E149" s="72">
        <v>300</v>
      </c>
      <c r="F149" s="71"/>
    </row>
    <row r="150" spans="2:11" ht="30.6" customHeight="1" x14ac:dyDescent="0.25">
      <c r="B150" s="159" t="s">
        <v>111</v>
      </c>
      <c r="C150" s="18" t="s">
        <v>112</v>
      </c>
      <c r="D150" s="150" t="s">
        <v>251</v>
      </c>
      <c r="E150" s="74"/>
      <c r="F150" s="71"/>
      <c r="K150" s="111"/>
    </row>
    <row r="151" spans="2:11" ht="27.6" customHeight="1" x14ac:dyDescent="0.25">
      <c r="B151" s="164"/>
      <c r="C151" s="17" t="s">
        <v>35</v>
      </c>
      <c r="D151" s="188"/>
      <c r="E151" s="72">
        <v>23.5</v>
      </c>
      <c r="F151" s="71"/>
      <c r="K151" s="111"/>
    </row>
    <row r="152" spans="2:11" ht="27.75" customHeight="1" x14ac:dyDescent="0.25">
      <c r="B152" s="159" t="s">
        <v>113</v>
      </c>
      <c r="C152" s="18" t="s">
        <v>187</v>
      </c>
      <c r="D152" s="149" t="s">
        <v>251</v>
      </c>
      <c r="E152" s="74"/>
      <c r="F152" s="71"/>
    </row>
    <row r="153" spans="2:11" ht="30" customHeight="1" x14ac:dyDescent="0.25">
      <c r="B153" s="164"/>
      <c r="C153" s="17" t="s">
        <v>35</v>
      </c>
      <c r="D153" s="150"/>
      <c r="E153" s="72">
        <v>107.2</v>
      </c>
      <c r="F153" s="71"/>
    </row>
    <row r="154" spans="2:11" ht="81" customHeight="1" x14ac:dyDescent="0.25">
      <c r="B154" s="159" t="s">
        <v>227</v>
      </c>
      <c r="C154" s="112" t="s">
        <v>236</v>
      </c>
      <c r="D154" s="136" t="s">
        <v>239</v>
      </c>
      <c r="E154" s="72"/>
      <c r="F154" s="71" t="s">
        <v>237</v>
      </c>
    </row>
    <row r="155" spans="2:11" ht="32.25" customHeight="1" x14ac:dyDescent="0.25">
      <c r="B155" s="164"/>
      <c r="C155" s="112" t="s">
        <v>8</v>
      </c>
      <c r="D155" s="138"/>
      <c r="E155" s="113">
        <v>5</v>
      </c>
      <c r="F155" s="71"/>
    </row>
    <row r="156" spans="2:11" ht="30.75" customHeight="1" x14ac:dyDescent="0.25">
      <c r="B156" s="159" t="s">
        <v>228</v>
      </c>
      <c r="C156" s="114" t="s">
        <v>231</v>
      </c>
      <c r="D156" s="174" t="s">
        <v>34</v>
      </c>
      <c r="F156" s="71"/>
    </row>
    <row r="157" spans="2:11" ht="17.399999999999999" customHeight="1" x14ac:dyDescent="0.25">
      <c r="B157" s="164"/>
      <c r="C157" s="112" t="s">
        <v>35</v>
      </c>
      <c r="D157" s="175"/>
      <c r="E157" s="109">
        <f>2.5+20.4</f>
        <v>22.9</v>
      </c>
      <c r="F157" s="71"/>
    </row>
    <row r="158" spans="2:11" ht="31.5" customHeight="1" x14ac:dyDescent="0.25">
      <c r="B158" s="159" t="s">
        <v>229</v>
      </c>
      <c r="C158" s="114" t="s">
        <v>232</v>
      </c>
      <c r="D158" s="176" t="s">
        <v>253</v>
      </c>
      <c r="E158" s="113"/>
      <c r="F158" s="71"/>
    </row>
    <row r="159" spans="2:11" ht="21" customHeight="1" x14ac:dyDescent="0.25">
      <c r="B159" s="160"/>
      <c r="C159" s="130" t="s">
        <v>35</v>
      </c>
      <c r="D159" s="177"/>
      <c r="E159" s="113">
        <v>276.3</v>
      </c>
      <c r="F159" s="71"/>
    </row>
    <row r="160" spans="2:11" ht="19.95" customHeight="1" x14ac:dyDescent="0.25">
      <c r="B160" s="164"/>
      <c r="C160" s="115" t="s">
        <v>233</v>
      </c>
      <c r="D160" s="178"/>
      <c r="E160" s="109">
        <f>275-275</f>
        <v>0</v>
      </c>
      <c r="F160" s="71"/>
    </row>
    <row r="161" spans="2:6" ht="30.75" customHeight="1" x14ac:dyDescent="0.25">
      <c r="B161" s="159" t="s">
        <v>230</v>
      </c>
      <c r="C161" s="114" t="s">
        <v>234</v>
      </c>
      <c r="D161" s="179" t="s">
        <v>253</v>
      </c>
      <c r="E161" s="113"/>
      <c r="F161" s="71" t="s">
        <v>238</v>
      </c>
    </row>
    <row r="162" spans="2:6" ht="16.95" customHeight="1" x14ac:dyDescent="0.25">
      <c r="B162" s="160"/>
      <c r="C162" s="130" t="s">
        <v>35</v>
      </c>
      <c r="D162" s="180"/>
      <c r="E162" s="113">
        <v>714.4</v>
      </c>
      <c r="F162" s="71"/>
    </row>
    <row r="163" spans="2:6" ht="16.95" customHeight="1" x14ac:dyDescent="0.25">
      <c r="B163" s="164"/>
      <c r="C163" s="115" t="s">
        <v>233</v>
      </c>
      <c r="D163" s="181"/>
      <c r="E163" s="109">
        <f>714.4-714.4</f>
        <v>0</v>
      </c>
      <c r="F163" s="71"/>
    </row>
    <row r="164" spans="2:6" ht="15" customHeight="1" x14ac:dyDescent="0.25">
      <c r="B164" s="88"/>
      <c r="C164" s="16" t="s">
        <v>60</v>
      </c>
      <c r="D164" s="116"/>
      <c r="E164" s="24">
        <f>+E166+E167+E168+E169</f>
        <v>4185.1000000000004</v>
      </c>
      <c r="F164" s="90"/>
    </row>
    <row r="165" spans="2:6" ht="15" customHeight="1" x14ac:dyDescent="0.25">
      <c r="B165" s="184"/>
      <c r="C165" s="14" t="s">
        <v>61</v>
      </c>
      <c r="D165" s="137"/>
      <c r="E165" s="21"/>
      <c r="F165" s="7"/>
    </row>
    <row r="166" spans="2:6" ht="28.2" customHeight="1" x14ac:dyDescent="0.25">
      <c r="B166" s="185"/>
      <c r="C166" s="10" t="s">
        <v>62</v>
      </c>
      <c r="D166" s="15"/>
      <c r="E166" s="22">
        <f>SUMIF($C136:$C163,$C139,E136:E163)</f>
        <v>785.5</v>
      </c>
      <c r="F166" s="11"/>
    </row>
    <row r="167" spans="2:6" ht="15" customHeight="1" x14ac:dyDescent="0.25">
      <c r="B167" s="185"/>
      <c r="C167" s="10" t="s">
        <v>63</v>
      </c>
      <c r="D167" s="15"/>
      <c r="E167" s="22">
        <f>SUMIF($C136:$C163,$C151,E136:E163)</f>
        <v>1144.3</v>
      </c>
      <c r="F167" s="11"/>
    </row>
    <row r="168" spans="2:6" ht="15" customHeight="1" x14ac:dyDescent="0.25">
      <c r="B168" s="185"/>
      <c r="C168" s="10" t="s">
        <v>64</v>
      </c>
      <c r="D168" s="15"/>
      <c r="E168" s="22">
        <f>SUMIF($C136:$C163,$C143,E136:E163)</f>
        <v>800</v>
      </c>
      <c r="F168" s="11"/>
    </row>
    <row r="169" spans="2:6" ht="15" customHeight="1" x14ac:dyDescent="0.25">
      <c r="B169" s="185"/>
      <c r="C169" s="10" t="s">
        <v>65</v>
      </c>
      <c r="D169" s="71"/>
      <c r="E169" s="22">
        <f>SUMIF($C136:$C163,$C147,E136:E163)</f>
        <v>1455.3</v>
      </c>
      <c r="F169" s="11"/>
    </row>
    <row r="170" spans="2:6" ht="15" customHeight="1" x14ac:dyDescent="0.25">
      <c r="B170" s="117"/>
      <c r="C170" s="60" t="s">
        <v>67</v>
      </c>
      <c r="D170" s="116"/>
      <c r="E170" s="118">
        <f>+E172</f>
        <v>0</v>
      </c>
      <c r="F170" s="90"/>
    </row>
    <row r="171" spans="2:6" ht="15" customHeight="1" x14ac:dyDescent="0.25">
      <c r="B171" s="134"/>
      <c r="C171" s="61" t="s">
        <v>68</v>
      </c>
      <c r="D171" s="71"/>
      <c r="E171" s="119"/>
      <c r="F171" s="11"/>
    </row>
    <row r="172" spans="2:6" ht="15" customHeight="1" x14ac:dyDescent="0.25">
      <c r="B172" s="134"/>
      <c r="C172" s="120" t="s">
        <v>235</v>
      </c>
      <c r="D172" s="71"/>
      <c r="E172" s="62">
        <f>SUMIF($C135:$C163,C160,E135:E163)</f>
        <v>0</v>
      </c>
      <c r="F172" s="11"/>
    </row>
    <row r="173" spans="2:6" ht="27.75" customHeight="1" x14ac:dyDescent="0.25">
      <c r="B173" s="5" t="s">
        <v>184</v>
      </c>
      <c r="C173" s="52" t="s">
        <v>215</v>
      </c>
      <c r="D173" s="99"/>
      <c r="E173" s="100"/>
      <c r="F173" s="68"/>
    </row>
    <row r="174" spans="2:6" ht="41.25" customHeight="1" x14ac:dyDescent="0.25">
      <c r="B174" s="6" t="s">
        <v>185</v>
      </c>
      <c r="C174" s="8" t="s">
        <v>114</v>
      </c>
      <c r="D174" s="107"/>
      <c r="E174" s="94"/>
      <c r="F174" s="70"/>
    </row>
    <row r="175" spans="2:6" ht="18" customHeight="1" x14ac:dyDescent="0.25">
      <c r="B175" s="151" t="s">
        <v>115</v>
      </c>
      <c r="C175" s="14" t="s">
        <v>116</v>
      </c>
      <c r="D175" s="149" t="s">
        <v>117</v>
      </c>
      <c r="E175" s="72"/>
      <c r="F175" s="7"/>
    </row>
    <row r="176" spans="2:6" ht="26.4" x14ac:dyDescent="0.25">
      <c r="B176" s="158"/>
      <c r="C176" s="25" t="s">
        <v>8</v>
      </c>
      <c r="D176" s="150"/>
      <c r="E176" s="72">
        <f>192-100</f>
        <v>92</v>
      </c>
      <c r="F176" s="7"/>
    </row>
    <row r="177" spans="2:6" ht="15" customHeight="1" x14ac:dyDescent="0.25">
      <c r="B177" s="158"/>
      <c r="C177" s="17" t="s">
        <v>35</v>
      </c>
      <c r="D177" s="150"/>
      <c r="E177" s="72">
        <v>10</v>
      </c>
      <c r="F177" s="7"/>
    </row>
    <row r="178" spans="2:6" ht="28.95" customHeight="1" x14ac:dyDescent="0.25">
      <c r="B178" s="151" t="s">
        <v>118</v>
      </c>
      <c r="C178" s="14" t="s">
        <v>119</v>
      </c>
      <c r="D178" s="150"/>
      <c r="E178" s="72"/>
      <c r="F178" s="7"/>
    </row>
    <row r="179" spans="2:6" ht="30" customHeight="1" x14ac:dyDescent="0.25">
      <c r="B179" s="158"/>
      <c r="C179" s="25" t="s">
        <v>8</v>
      </c>
      <c r="D179" s="150"/>
      <c r="E179" s="72">
        <v>90</v>
      </c>
      <c r="F179" s="7"/>
    </row>
    <row r="180" spans="2:6" ht="43.2" customHeight="1" x14ac:dyDescent="0.25">
      <c r="B180" s="156" t="s">
        <v>120</v>
      </c>
      <c r="C180" s="14" t="s">
        <v>121</v>
      </c>
      <c r="D180" s="150"/>
      <c r="F180" s="7"/>
    </row>
    <row r="181" spans="2:6" ht="30" customHeight="1" x14ac:dyDescent="0.25">
      <c r="B181" s="156"/>
      <c r="C181" s="25" t="s">
        <v>8</v>
      </c>
      <c r="D181" s="150"/>
      <c r="E181" s="72">
        <f>40-20</f>
        <v>20</v>
      </c>
      <c r="F181" s="7"/>
    </row>
    <row r="182" spans="2:6" ht="42.75" customHeight="1" x14ac:dyDescent="0.25">
      <c r="B182" s="151" t="s">
        <v>122</v>
      </c>
      <c r="C182" s="14" t="s">
        <v>123</v>
      </c>
      <c r="D182" s="150"/>
      <c r="F182" s="7"/>
    </row>
    <row r="183" spans="2:6" ht="28.95" customHeight="1" x14ac:dyDescent="0.25">
      <c r="B183" s="157"/>
      <c r="C183" s="25" t="s">
        <v>8</v>
      </c>
      <c r="D183" s="150"/>
      <c r="E183" s="72">
        <v>5</v>
      </c>
      <c r="F183" s="11"/>
    </row>
    <row r="184" spans="2:6" ht="52.8" x14ac:dyDescent="0.25">
      <c r="B184" s="151" t="s">
        <v>124</v>
      </c>
      <c r="C184" s="14" t="s">
        <v>125</v>
      </c>
      <c r="D184" s="150"/>
      <c r="F184" s="7"/>
    </row>
    <row r="185" spans="2:6" ht="29.4" customHeight="1" x14ac:dyDescent="0.25">
      <c r="B185" s="158"/>
      <c r="C185" s="25" t="s">
        <v>8</v>
      </c>
      <c r="D185" s="150"/>
      <c r="E185" s="72">
        <f>24.5-1.6-3.4</f>
        <v>19.5</v>
      </c>
      <c r="F185" s="7"/>
    </row>
    <row r="186" spans="2:6" ht="39.6" x14ac:dyDescent="0.25">
      <c r="B186" s="151" t="s">
        <v>126</v>
      </c>
      <c r="C186" s="14" t="s">
        <v>127</v>
      </c>
      <c r="D186" s="150"/>
      <c r="F186" s="7"/>
    </row>
    <row r="187" spans="2:6" ht="15" customHeight="1" x14ac:dyDescent="0.25">
      <c r="B187" s="157"/>
      <c r="C187" s="25" t="s">
        <v>8</v>
      </c>
      <c r="D187" s="150"/>
      <c r="E187" s="72">
        <v>2.5</v>
      </c>
      <c r="F187" s="11"/>
    </row>
    <row r="188" spans="2:6" ht="42.6" customHeight="1" x14ac:dyDescent="0.25">
      <c r="B188" s="151" t="s">
        <v>128</v>
      </c>
      <c r="C188" s="108" t="s">
        <v>129</v>
      </c>
      <c r="D188" s="150"/>
      <c r="F188" s="11"/>
    </row>
    <row r="189" spans="2:6" ht="31.95" customHeight="1" x14ac:dyDescent="0.25">
      <c r="B189" s="157"/>
      <c r="C189" s="25" t="s">
        <v>8</v>
      </c>
      <c r="D189" s="150"/>
      <c r="E189" s="72">
        <v>2.5</v>
      </c>
      <c r="F189" s="11"/>
    </row>
    <row r="190" spans="2:6" ht="29.4" customHeight="1" x14ac:dyDescent="0.25">
      <c r="B190" s="151" t="s">
        <v>130</v>
      </c>
      <c r="C190" s="108" t="s">
        <v>131</v>
      </c>
      <c r="D190" s="150"/>
      <c r="E190" s="72"/>
      <c r="F190" s="11"/>
    </row>
    <row r="191" spans="2:6" ht="31.2" customHeight="1" x14ac:dyDescent="0.25">
      <c r="B191" s="182"/>
      <c r="C191" s="25" t="s">
        <v>8</v>
      </c>
      <c r="D191" s="150"/>
      <c r="E191" s="72">
        <f>10+1.6</f>
        <v>11.6</v>
      </c>
      <c r="F191" s="11"/>
    </row>
    <row r="192" spans="2:6" ht="30.6" customHeight="1" x14ac:dyDescent="0.25">
      <c r="B192" s="151" t="s">
        <v>132</v>
      </c>
      <c r="C192" s="108" t="s">
        <v>133</v>
      </c>
      <c r="D192" s="150"/>
      <c r="E192" s="74"/>
      <c r="F192" s="11"/>
    </row>
    <row r="193" spans="2:7" ht="29.4" customHeight="1" x14ac:dyDescent="0.25">
      <c r="B193" s="182"/>
      <c r="C193" s="25" t="s">
        <v>8</v>
      </c>
      <c r="D193" s="191"/>
      <c r="E193" s="121"/>
      <c r="F193" s="11"/>
    </row>
    <row r="194" spans="2:7" ht="18" customHeight="1" x14ac:dyDescent="0.25">
      <c r="B194" s="88"/>
      <c r="C194" s="96" t="s">
        <v>60</v>
      </c>
      <c r="D194" s="97"/>
      <c r="E194" s="98">
        <f>+E196+E197</f>
        <v>253.1</v>
      </c>
      <c r="F194" s="90"/>
    </row>
    <row r="195" spans="2:7" ht="18" customHeight="1" x14ac:dyDescent="0.25">
      <c r="B195" s="172"/>
      <c r="C195" s="13" t="s">
        <v>61</v>
      </c>
      <c r="D195" s="10"/>
      <c r="E195" s="21"/>
      <c r="F195" s="7"/>
    </row>
    <row r="196" spans="2:7" ht="29.25" customHeight="1" x14ac:dyDescent="0.25">
      <c r="B196" s="183"/>
      <c r="C196" s="10" t="s">
        <v>62</v>
      </c>
      <c r="D196" s="10"/>
      <c r="E196" s="23">
        <f>SUMIF($C175:$C193,$C176,E175:E193)</f>
        <v>243.1</v>
      </c>
      <c r="F196" s="11"/>
    </row>
    <row r="197" spans="2:7" ht="18" customHeight="1" x14ac:dyDescent="0.25">
      <c r="B197" s="183"/>
      <c r="C197" s="14" t="s">
        <v>63</v>
      </c>
      <c r="D197" s="10"/>
      <c r="E197" s="23">
        <f>SUMIF($C175:$C193,$C177,E175:E193)</f>
        <v>10</v>
      </c>
      <c r="F197" s="11"/>
    </row>
    <row r="198" spans="2:7" ht="55.95" customHeight="1" x14ac:dyDescent="0.25">
      <c r="B198" s="6" t="s">
        <v>186</v>
      </c>
      <c r="C198" s="8" t="s">
        <v>134</v>
      </c>
      <c r="D198" s="107" t="s">
        <v>252</v>
      </c>
      <c r="E198" s="94"/>
      <c r="F198" s="70"/>
    </row>
    <row r="199" spans="2:7" ht="15" customHeight="1" x14ac:dyDescent="0.25">
      <c r="B199" s="88"/>
      <c r="C199" s="16" t="s">
        <v>60</v>
      </c>
      <c r="D199" s="89"/>
      <c r="E199" s="24">
        <f>+E201+E202</f>
        <v>37.5</v>
      </c>
      <c r="F199" s="90"/>
    </row>
    <row r="200" spans="2:7" ht="15" customHeight="1" x14ac:dyDescent="0.25">
      <c r="B200" s="153"/>
      <c r="C200" s="14" t="s">
        <v>61</v>
      </c>
      <c r="D200" s="91"/>
      <c r="E200" s="21"/>
      <c r="F200" s="7"/>
    </row>
    <row r="201" spans="2:7" ht="28.5" customHeight="1" x14ac:dyDescent="0.25">
      <c r="B201" s="154"/>
      <c r="C201" s="10" t="s">
        <v>8</v>
      </c>
      <c r="D201" s="122"/>
      <c r="E201" s="48">
        <f>20+13</f>
        <v>33</v>
      </c>
      <c r="F201" s="11"/>
    </row>
    <row r="202" spans="2:7" ht="15" customHeight="1" x14ac:dyDescent="0.25">
      <c r="B202" s="155"/>
      <c r="C202" s="14" t="s">
        <v>9</v>
      </c>
      <c r="D202" s="123"/>
      <c r="E202" s="21">
        <v>4.5</v>
      </c>
      <c r="F202" s="50"/>
    </row>
    <row r="203" spans="2:7" ht="26.25" customHeight="1" x14ac:dyDescent="0.25">
      <c r="B203" s="124"/>
      <c r="C203" s="16" t="s">
        <v>135</v>
      </c>
      <c r="D203" s="89"/>
      <c r="E203" s="24">
        <f>+E77+E90+E99+E121+E127+E131+E164+E194+E199+E170</f>
        <v>29112.199999999997</v>
      </c>
      <c r="F203" s="90"/>
    </row>
    <row r="204" spans="2:7" ht="15.75" customHeight="1" x14ac:dyDescent="0.25">
      <c r="B204" s="125"/>
      <c r="C204" s="14" t="s">
        <v>136</v>
      </c>
      <c r="D204" s="105"/>
      <c r="E204" s="21">
        <f>+E16</f>
        <v>47.7</v>
      </c>
      <c r="F204" s="11"/>
    </row>
    <row r="205" spans="2:7" ht="15" customHeight="1" x14ac:dyDescent="0.25">
      <c r="C205" s="126"/>
    </row>
    <row r="206" spans="2:7" ht="15" customHeight="1" x14ac:dyDescent="0.25">
      <c r="B206" s="144" t="s">
        <v>170</v>
      </c>
      <c r="C206" s="144"/>
      <c r="D206" s="144"/>
      <c r="E206" s="144"/>
      <c r="F206" s="144"/>
      <c r="G206" s="127"/>
    </row>
    <row r="207" spans="2:7" ht="15" customHeight="1" x14ac:dyDescent="0.25">
      <c r="B207" s="147" t="s">
        <v>171</v>
      </c>
      <c r="C207" s="147"/>
      <c r="D207" s="147"/>
      <c r="E207" s="147"/>
      <c r="F207" s="147"/>
      <c r="G207" s="127"/>
    </row>
    <row r="208" spans="2:7" ht="15" customHeight="1" x14ac:dyDescent="0.25">
      <c r="B208" s="144" t="s">
        <v>172</v>
      </c>
      <c r="C208" s="144"/>
      <c r="D208" s="144"/>
      <c r="E208" s="144"/>
      <c r="F208" s="144"/>
      <c r="G208" s="127"/>
    </row>
    <row r="209" spans="2:7" ht="15" customHeight="1" x14ac:dyDescent="0.25">
      <c r="B209" s="144" t="s">
        <v>173</v>
      </c>
      <c r="C209" s="144"/>
      <c r="D209" s="144"/>
      <c r="E209" s="144"/>
      <c r="F209" s="144"/>
      <c r="G209" s="127"/>
    </row>
    <row r="210" spans="2:7" ht="15" customHeight="1" x14ac:dyDescent="0.25">
      <c r="B210" s="144" t="s">
        <v>193</v>
      </c>
      <c r="C210" s="144"/>
      <c r="D210" s="144"/>
      <c r="E210" s="144"/>
      <c r="F210" s="144"/>
      <c r="G210" s="127"/>
    </row>
    <row r="212" spans="2:7" x14ac:dyDescent="0.25">
      <c r="B212" s="29" t="s">
        <v>247</v>
      </c>
      <c r="E212" s="128"/>
    </row>
    <row r="213" spans="2:7" x14ac:dyDescent="0.25">
      <c r="B213" s="29" t="s">
        <v>248</v>
      </c>
    </row>
    <row r="214" spans="2:7" x14ac:dyDescent="0.25">
      <c r="B214" s="29" t="s">
        <v>249</v>
      </c>
    </row>
  </sheetData>
  <mergeCells count="110">
    <mergeCell ref="C4:F4"/>
    <mergeCell ref="C5:F5"/>
    <mergeCell ref="C1:F1"/>
    <mergeCell ref="C2:F2"/>
    <mergeCell ref="C3:F3"/>
    <mergeCell ref="B7:F7"/>
    <mergeCell ref="B122:B126"/>
    <mergeCell ref="D12:D14"/>
    <mergeCell ref="D95:D98"/>
    <mergeCell ref="B17:B18"/>
    <mergeCell ref="D104:D111"/>
    <mergeCell ref="B60:B61"/>
    <mergeCell ref="D75:D76"/>
    <mergeCell ref="B112:B113"/>
    <mergeCell ref="D112:D115"/>
    <mergeCell ref="B75:B76"/>
    <mergeCell ref="B116:B117"/>
    <mergeCell ref="D30:D39"/>
    <mergeCell ref="D47:D48"/>
    <mergeCell ref="D25:D26"/>
    <mergeCell ref="B12:B14"/>
    <mergeCell ref="B25:B26"/>
    <mergeCell ref="B22:B24"/>
    <mergeCell ref="B19:B21"/>
    <mergeCell ref="B27:B29"/>
    <mergeCell ref="B84:B85"/>
    <mergeCell ref="B86:B87"/>
    <mergeCell ref="B88:B89"/>
    <mergeCell ref="B78:B82"/>
    <mergeCell ref="B62:B64"/>
    <mergeCell ref="B44:B48"/>
    <mergeCell ref="B58:B59"/>
    <mergeCell ref="B73:B74"/>
    <mergeCell ref="B65:B66"/>
    <mergeCell ref="B36:B37"/>
    <mergeCell ref="B32:B33"/>
    <mergeCell ref="B34:B35"/>
    <mergeCell ref="B40:B41"/>
    <mergeCell ref="B192:B193"/>
    <mergeCell ref="B210:F210"/>
    <mergeCell ref="B208:F208"/>
    <mergeCell ref="B95:B96"/>
    <mergeCell ref="B150:B151"/>
    <mergeCell ref="B165:B169"/>
    <mergeCell ref="B209:F209"/>
    <mergeCell ref="B114:B115"/>
    <mergeCell ref="B142:B143"/>
    <mergeCell ref="D142:D143"/>
    <mergeCell ref="D145:D147"/>
    <mergeCell ref="D150:D151"/>
    <mergeCell ref="D140:D141"/>
    <mergeCell ref="D136:D137"/>
    <mergeCell ref="D138:D139"/>
    <mergeCell ref="B140:B141"/>
    <mergeCell ref="B138:B139"/>
    <mergeCell ref="B148:B149"/>
    <mergeCell ref="D148:D149"/>
    <mergeCell ref="D152:D153"/>
    <mergeCell ref="B152:B153"/>
    <mergeCell ref="B195:B197"/>
    <mergeCell ref="B175:B177"/>
    <mergeCell ref="D175:D193"/>
    <mergeCell ref="B190:B191"/>
    <mergeCell ref="B145:B147"/>
    <mergeCell ref="B91:B92"/>
    <mergeCell ref="B128:B129"/>
    <mergeCell ref="B186:B187"/>
    <mergeCell ref="B118:B120"/>
    <mergeCell ref="B136:B137"/>
    <mergeCell ref="B100:B101"/>
    <mergeCell ref="B109:B111"/>
    <mergeCell ref="B154:B155"/>
    <mergeCell ref="B156:B157"/>
    <mergeCell ref="B158:B160"/>
    <mergeCell ref="B161:B163"/>
    <mergeCell ref="B178:B179"/>
    <mergeCell ref="D116:D117"/>
    <mergeCell ref="D71:D72"/>
    <mergeCell ref="D73:D74"/>
    <mergeCell ref="D84:D89"/>
    <mergeCell ref="B188:B189"/>
    <mergeCell ref="B132:B133"/>
    <mergeCell ref="D156:D157"/>
    <mergeCell ref="D158:D160"/>
    <mergeCell ref="D161:D163"/>
    <mergeCell ref="D118:D119"/>
    <mergeCell ref="B206:F206"/>
    <mergeCell ref="D17:D18"/>
    <mergeCell ref="D15:D16"/>
    <mergeCell ref="B207:F207"/>
    <mergeCell ref="D19:D21"/>
    <mergeCell ref="D27:D29"/>
    <mergeCell ref="B49:B50"/>
    <mergeCell ref="B200:B202"/>
    <mergeCell ref="B180:B181"/>
    <mergeCell ref="B182:B183"/>
    <mergeCell ref="B184:B185"/>
    <mergeCell ref="B67:B68"/>
    <mergeCell ref="B71:B72"/>
    <mergeCell ref="B107:B108"/>
    <mergeCell ref="B104:B106"/>
    <mergeCell ref="B42:B43"/>
    <mergeCell ref="B69:B70"/>
    <mergeCell ref="D22:D24"/>
    <mergeCell ref="B51:B54"/>
    <mergeCell ref="B55:B57"/>
    <mergeCell ref="B38:B39"/>
    <mergeCell ref="D42:D43"/>
    <mergeCell ref="D49:D70"/>
    <mergeCell ref="D40:D41"/>
  </mergeCells>
  <phoneticPr fontId="16" type="noConversion"/>
  <pageMargins left="0.39370078740157483" right="0.39370078740157483" top="0.55118110236220474" bottom="0.55118110236220474" header="0" footer="0"/>
  <pageSetup paperSize="9" scale="86" fitToHeight="0" orientation="portrait" r:id="rId1"/>
  <rowBreaks count="7" manualBreakCount="7">
    <brk id="35" max="5" man="1"/>
    <brk id="61" max="5" man="1"/>
    <brk id="89" max="5" man="1"/>
    <brk id="117" max="5" man="1"/>
    <brk id="144" max="5" man="1"/>
    <brk id="174" max="5" man="1"/>
    <brk id="198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9700C-3109-41A4-89F6-0709AA8EE948}">
  <sheetPr>
    <pageSetUpPr fitToPage="1"/>
  </sheetPr>
  <dimension ref="B1:D24"/>
  <sheetViews>
    <sheetView zoomScaleNormal="100" workbookViewId="0">
      <selection activeCell="D22" sqref="D22"/>
    </sheetView>
  </sheetViews>
  <sheetFormatPr defaultColWidth="9.33203125" defaultRowHeight="13.2" x14ac:dyDescent="0.25"/>
  <cols>
    <col min="1" max="1" width="2.5546875" style="1" customWidth="1"/>
    <col min="2" max="2" width="4.6640625" style="1" customWidth="1"/>
    <col min="3" max="3" width="44.6640625" style="2" customWidth="1"/>
    <col min="4" max="4" width="21.33203125" style="1" customWidth="1"/>
    <col min="5" max="16384" width="9.33203125" style="1"/>
  </cols>
  <sheetData>
    <row r="1" spans="2:4" ht="15.75" customHeight="1" x14ac:dyDescent="0.25">
      <c r="B1" s="203" t="s">
        <v>218</v>
      </c>
      <c r="C1" s="203"/>
      <c r="D1" s="203"/>
    </row>
    <row r="2" spans="2:4" x14ac:dyDescent="0.25">
      <c r="C2" s="1"/>
    </row>
    <row r="3" spans="2:4" ht="42.75" customHeight="1" x14ac:dyDescent="0.25">
      <c r="B3" s="30" t="s">
        <v>137</v>
      </c>
      <c r="C3" s="31" t="s">
        <v>138</v>
      </c>
      <c r="D3" s="32" t="s">
        <v>139</v>
      </c>
    </row>
    <row r="4" spans="2:4" ht="12.75" customHeight="1" x14ac:dyDescent="0.25">
      <c r="B4" s="54">
        <v>1</v>
      </c>
      <c r="C4" s="55">
        <v>2</v>
      </c>
      <c r="D4" s="54">
        <v>3</v>
      </c>
    </row>
    <row r="5" spans="2:4" ht="15.75" customHeight="1" x14ac:dyDescent="0.25">
      <c r="B5" s="204" t="s">
        <v>140</v>
      </c>
      <c r="C5" s="205"/>
      <c r="D5" s="206"/>
    </row>
    <row r="6" spans="2:4" ht="17.25" customHeight="1" x14ac:dyDescent="0.25">
      <c r="B6" s="33" t="s">
        <v>141</v>
      </c>
      <c r="C6" s="34" t="s">
        <v>60</v>
      </c>
      <c r="D6" s="20">
        <f t="shared" ref="D6" si="0">+D8+D9+D10+D11+D12+D13</f>
        <v>29091.399999999998</v>
      </c>
    </row>
    <row r="7" spans="2:4" ht="14.25" customHeight="1" x14ac:dyDescent="0.25">
      <c r="B7" s="35"/>
      <c r="C7" s="36" t="s">
        <v>142</v>
      </c>
      <c r="D7" s="44"/>
    </row>
    <row r="8" spans="2:4" ht="26.25" customHeight="1" x14ac:dyDescent="0.25">
      <c r="B8" s="35" t="s">
        <v>143</v>
      </c>
      <c r="C8" s="37" t="s">
        <v>144</v>
      </c>
      <c r="D8" s="45">
        <f>SUMIF('7 programa 3 lentelė'!$C10:$C204,'7 programa 3 lentelė'!$C16,'7 programa 3 lentelė'!E10:E204)</f>
        <v>19819.5</v>
      </c>
    </row>
    <row r="9" spans="2:4" ht="12.75" customHeight="1" x14ac:dyDescent="0.25">
      <c r="B9" s="35" t="s">
        <v>145</v>
      </c>
      <c r="C9" s="38" t="s">
        <v>35</v>
      </c>
      <c r="D9" s="45">
        <f>SUMIF('7 programa 3 lentelė'!$C10:$C204,'7 programa 3 lentelė'!$C151,'7 programa 3 lentelė'!E10:E204)</f>
        <v>3206.3</v>
      </c>
    </row>
    <row r="10" spans="2:4" ht="13.5" customHeight="1" x14ac:dyDescent="0.25">
      <c r="B10" s="35" t="s">
        <v>146</v>
      </c>
      <c r="C10" s="38" t="s">
        <v>147</v>
      </c>
      <c r="D10" s="45">
        <f>SUMIF('7 programa 3 lentelė'!$C10:$C204,'7 programa 3 lentelė'!$C53,'7 programa 3 lentelė'!E10:E204)</f>
        <v>825.1</v>
      </c>
    </row>
    <row r="11" spans="2:4" ht="27" customHeight="1" x14ac:dyDescent="0.25">
      <c r="B11" s="35" t="s">
        <v>148</v>
      </c>
      <c r="C11" s="38" t="s">
        <v>96</v>
      </c>
      <c r="D11" s="45">
        <f>SUMIF('7 programa 3 lentelė'!$C10:$C204,'7 programa 3 lentelė'!$C119,'7 programa 3 lentelė'!E10:E204)</f>
        <v>302.10000000000002</v>
      </c>
    </row>
    <row r="12" spans="2:4" ht="12.75" customHeight="1" x14ac:dyDescent="0.25">
      <c r="B12" s="35" t="s">
        <v>149</v>
      </c>
      <c r="C12" s="38" t="s">
        <v>150</v>
      </c>
      <c r="D12" s="45">
        <f>SUMIF('7 programa 3 lentelė'!$C10:$C204,'7 programa 3 lentelė'!$C23,'7 programa 3 lentelė'!E10:E204)</f>
        <v>1053.4000000000001</v>
      </c>
    </row>
    <row r="13" spans="2:4" ht="12.75" customHeight="1" x14ac:dyDescent="0.25">
      <c r="B13" s="35" t="s">
        <v>151</v>
      </c>
      <c r="C13" s="38" t="s">
        <v>152</v>
      </c>
      <c r="D13" s="45">
        <f>SUMIF('7 programa 3 lentelė'!$C10:$C204,'7 programa 3 lentelė'!$C14,'7 programa 3 lentelė'!E10:E204)</f>
        <v>3885</v>
      </c>
    </row>
    <row r="14" spans="2:4" ht="42" customHeight="1" x14ac:dyDescent="0.25">
      <c r="B14" s="33" t="s">
        <v>153</v>
      </c>
      <c r="C14" s="36" t="s">
        <v>154</v>
      </c>
      <c r="D14" s="46">
        <f t="shared" ref="D14" si="1">+D16+D17+D18+D19+D20+D21</f>
        <v>20.8</v>
      </c>
    </row>
    <row r="15" spans="2:4" ht="17.25" customHeight="1" x14ac:dyDescent="0.25">
      <c r="B15" s="35"/>
      <c r="C15" s="36" t="s">
        <v>142</v>
      </c>
      <c r="D15" s="19"/>
    </row>
    <row r="16" spans="2:4" ht="12.75" customHeight="1" x14ac:dyDescent="0.25">
      <c r="B16" s="35" t="s">
        <v>155</v>
      </c>
      <c r="C16" s="39" t="s">
        <v>156</v>
      </c>
      <c r="D16" s="45" cm="1">
        <f t="array" ref="D16">SUMIF('7 programa 3 lentelė'!$C10:$C204,'7 programa 3 lentelė'!C00,'7 programa 3 lentelė'!E10:E204)</f>
        <v>0</v>
      </c>
    </row>
    <row r="17" spans="2:4" ht="12.75" customHeight="1" x14ac:dyDescent="0.25">
      <c r="B17" s="35" t="s">
        <v>157</v>
      </c>
      <c r="C17" s="39" t="s">
        <v>158</v>
      </c>
      <c r="D17" s="45" cm="1">
        <f t="array" ref="D17">SUMIF('7 programa 3 lentelė'!$C10:$C204,'7 programa 3 lentelė'!C00,'7 programa 3 lentelė'!E10:E204)</f>
        <v>0</v>
      </c>
    </row>
    <row r="18" spans="2:4" ht="26.25" customHeight="1" x14ac:dyDescent="0.25">
      <c r="B18" s="35" t="s">
        <v>159</v>
      </c>
      <c r="C18" s="39" t="s">
        <v>160</v>
      </c>
      <c r="D18" s="45" cm="1">
        <f t="array" ref="D18">SUMIF('7 programa 3 lentelė'!$C10:$C204,'7 programa 3 lentelė'!C00,'7 programa 3 lentelė'!E10:E204)</f>
        <v>0</v>
      </c>
    </row>
    <row r="19" spans="2:4" ht="12.75" customHeight="1" x14ac:dyDescent="0.25">
      <c r="B19" s="35" t="s">
        <v>161</v>
      </c>
      <c r="C19" s="39" t="s">
        <v>162</v>
      </c>
      <c r="D19" s="45">
        <f>SUMIF('7 programa 3 lentelė'!$C10:$C204,'7 programa 3 lentelė'!C172,'7 programa 3 lentelė'!E10:E204)</f>
        <v>0</v>
      </c>
    </row>
    <row r="20" spans="2:4" ht="12.75" customHeight="1" x14ac:dyDescent="0.25">
      <c r="B20" s="35" t="s">
        <v>163</v>
      </c>
      <c r="C20" s="39" t="s">
        <v>164</v>
      </c>
      <c r="D20" s="45">
        <f>SUMIF('7 programa 3 lentelė'!$C10:$C204,'7 programa 3 lentelė'!$C111,'7 programa 3 lentelė'!E10:E204)</f>
        <v>20.8</v>
      </c>
    </row>
    <row r="21" spans="2:4" ht="12.75" customHeight="1" x14ac:dyDescent="0.25">
      <c r="B21" s="35" t="s">
        <v>165</v>
      </c>
      <c r="C21" s="39" t="s">
        <v>166</v>
      </c>
      <c r="D21" s="45">
        <f>SUMIF('7 programa 3 lentelė'!$C10:$C204,'7 programa 3 lentelė'!#REF!,'7 programa 3 lentelė'!E10:E204)</f>
        <v>0</v>
      </c>
    </row>
    <row r="22" spans="2:4" ht="26.4" x14ac:dyDescent="0.25">
      <c r="B22" s="35"/>
      <c r="C22" s="38" t="s">
        <v>167</v>
      </c>
      <c r="D22" s="20">
        <f>+D6+D14</f>
        <v>29112.199999999997</v>
      </c>
    </row>
    <row r="23" spans="2:4" ht="12.75" customHeight="1" x14ac:dyDescent="0.25">
      <c r="B23" s="35"/>
      <c r="C23" s="38" t="s">
        <v>136</v>
      </c>
      <c r="D23" s="19">
        <f>+'7 programa 3 lentelė'!E204</f>
        <v>47.7</v>
      </c>
    </row>
    <row r="24" spans="2:4" x14ac:dyDescent="0.25">
      <c r="B24" s="40"/>
      <c r="C24" s="41"/>
      <c r="D24" s="41"/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7 programa 3 lentelė</vt:lpstr>
      <vt:lpstr>Lėšų suvestinė 2 lentelė</vt:lpstr>
      <vt:lpstr>'7 programa 3 lentelė'!Print_Area</vt:lpstr>
      <vt:lpstr>'7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2024-11-20T06:40:45Z</cp:lastPrinted>
  <dcterms:created xsi:type="dcterms:W3CDTF">2023-07-11T10:34:54Z</dcterms:created>
  <dcterms:modified xsi:type="dcterms:W3CDTF">2024-11-25T11:14:31Z</dcterms:modified>
  <cp:category/>
  <cp:contentStatus/>
</cp:coreProperties>
</file>