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4 MVP\16. Keitimas (gruodis)\"/>
    </mc:Choice>
  </mc:AlternateContent>
  <xr:revisionPtr revIDLastSave="0" documentId="13_ncr:1_{97D7A564-0C10-440C-8945-E663217C1254}" xr6:coauthVersionLast="47" xr6:coauthVersionMax="47" xr10:uidLastSave="{00000000-0000-0000-0000-000000000000}"/>
  <bookViews>
    <workbookView xWindow="-108" yWindow="-108" windowWidth="23256" windowHeight="12456" xr2:uid="{EF082B20-5454-481E-8ECF-44F36E11C9BB}"/>
  </bookViews>
  <sheets>
    <sheet name="10 programa 3 lentelė" sheetId="1" r:id="rId1"/>
    <sheet name="Lėšų suvestinė 2 lentelė" sheetId="3" r:id="rId2"/>
  </sheets>
  <definedNames>
    <definedName name="_xlnm.Print_Area" localSheetId="0">'10 programa 3 lentelė'!$A$1:$F$332</definedName>
    <definedName name="_xlnm.Print_Titles" localSheetId="0">'10 programa 3 lentelė'!$5:$5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5" i="1" l="1"/>
  <c r="E82" i="1"/>
  <c r="E80" i="1"/>
  <c r="E78" i="1"/>
  <c r="E72" i="1"/>
  <c r="E68" i="1"/>
  <c r="E64" i="1"/>
  <c r="E62" i="1"/>
  <c r="E61" i="1"/>
  <c r="E57" i="1"/>
  <c r="E55" i="1"/>
  <c r="E48" i="1"/>
  <c r="E47" i="1"/>
  <c r="E41" i="1"/>
  <c r="E29" i="1"/>
  <c r="E27" i="1"/>
  <c r="E26" i="1"/>
  <c r="E24" i="1"/>
  <c r="E22" i="1"/>
  <c r="E20" i="1"/>
  <c r="E19" i="1"/>
  <c r="E17" i="1"/>
  <c r="E15" i="1"/>
  <c r="E13" i="1"/>
  <c r="E12" i="1"/>
  <c r="E11" i="1"/>
  <c r="E290" i="1"/>
  <c r="E270" i="1"/>
  <c r="E163" i="1"/>
  <c r="E161" i="1"/>
  <c r="E318" i="1"/>
  <c r="E287" i="1"/>
  <c r="E285" i="1"/>
  <c r="E281" i="1"/>
  <c r="E279" i="1"/>
  <c r="E277" i="1"/>
  <c r="E273" i="1"/>
  <c r="E268" i="1"/>
  <c r="E243" i="1"/>
  <c r="E241" i="1"/>
  <c r="E239" i="1"/>
  <c r="E221" i="1"/>
  <c r="E233" i="1"/>
  <c r="E231" i="1" s="1"/>
  <c r="E235" i="1"/>
  <c r="E234" i="1"/>
  <c r="E198" i="1"/>
  <c r="E196" i="1"/>
  <c r="E193" i="1"/>
  <c r="E191" i="1"/>
  <c r="E189" i="1"/>
  <c r="E187" i="1"/>
  <c r="E185" i="1"/>
  <c r="E183" i="1"/>
  <c r="E180" i="1"/>
  <c r="E176" i="1"/>
  <c r="E174" i="1"/>
  <c r="E172" i="1"/>
  <c r="E170" i="1"/>
  <c r="E169" i="1"/>
  <c r="E121" i="1"/>
  <c r="E99" i="1"/>
  <c r="E111" i="1"/>
  <c r="E110" i="1"/>
  <c r="E94" i="1"/>
  <c r="E92" i="1"/>
  <c r="E91" i="1"/>
  <c r="E87" i="1"/>
  <c r="E10" i="1"/>
  <c r="E314" i="1" l="1"/>
  <c r="E116" i="1"/>
  <c r="E115" i="1"/>
  <c r="D19" i="3"/>
  <c r="E108" i="1" l="1"/>
  <c r="E113" i="1"/>
  <c r="E96" i="1"/>
  <c r="E217" i="1" l="1"/>
  <c r="E214" i="1"/>
  <c r="E203" i="1"/>
  <c r="E208" i="1"/>
  <c r="E145" i="1"/>
  <c r="D16" i="3"/>
  <c r="E209" i="1"/>
  <c r="D11" i="3"/>
  <c r="E321" i="1"/>
  <c r="E296" i="1"/>
  <c r="E295" i="1"/>
  <c r="E263" i="1"/>
  <c r="E112" i="1" l="1"/>
  <c r="E109" i="1"/>
  <c r="E106" i="1" s="1"/>
  <c r="D23" i="3"/>
  <c r="E250" i="1"/>
  <c r="E249" i="1"/>
  <c r="E247" i="1"/>
  <c r="E126" i="1" l="1"/>
  <c r="D12" i="3" l="1"/>
  <c r="E316" i="1"/>
  <c r="E307" i="1"/>
  <c r="E311" i="1" s="1"/>
  <c r="E264" i="1"/>
  <c r="E261" i="1" s="1"/>
  <c r="D18" i="3" a="1"/>
  <c r="D18" i="3" s="1"/>
  <c r="D21" i="3" a="1"/>
  <c r="D21" i="3" s="1"/>
  <c r="D20" i="3"/>
  <c r="D17" i="3" a="1"/>
  <c r="D17" i="3" s="1"/>
  <c r="D13" i="3"/>
  <c r="E127" i="1"/>
  <c r="E124" i="1" s="1"/>
  <c r="D10" i="3"/>
  <c r="E302" i="1"/>
  <c r="E298" i="1"/>
  <c r="E211" i="1"/>
  <c r="E141" i="1"/>
  <c r="E210" i="1" l="1"/>
  <c r="E206" i="1" s="1"/>
  <c r="E294" i="1"/>
  <c r="E292" i="1" s="1"/>
  <c r="E313" i="1"/>
  <c r="D9" i="3"/>
  <c r="D8" i="3"/>
  <c r="D14" i="3"/>
  <c r="E129" i="1"/>
  <c r="E133" i="1"/>
  <c r="E137" i="1"/>
  <c r="E150" i="1"/>
  <c r="E320" i="1" l="1"/>
  <c r="D6" i="3"/>
  <c r="D22" i="3" s="1"/>
  <c r="D25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<sst xmlns="http://schemas.openxmlformats.org/spreadsheetml/2006/main" count="566" uniqueCount="322">
  <si>
    <t>Programos uždavinio, priemonės kodas ir požymis</t>
  </si>
  <si>
    <t>Uždavinio, priemonės pavadinimas, finansavimo šaltiniai</t>
  </si>
  <si>
    <t>2024 metų asignavimai ir kitos lėšos</t>
  </si>
  <si>
    <t>Savivaldybės strateginio plėtros plano priemonės kodas</t>
  </si>
  <si>
    <t>Uždavinys: Sudaryti sąlygas ugdytis ir gerinti ugdymo proceso kokybę</t>
  </si>
  <si>
    <t>Priemonė: Veiklos organizavimo užtikrinimas švietimo įstaigose</t>
  </si>
  <si>
    <t>010-01-01-01</t>
  </si>
  <si>
    <t>Ugdymo proceso ir aplinkos užtikrinimas savivaldybės ikimokyklinio ugdymo įstaigose</t>
  </si>
  <si>
    <t>Savivaldybės biudžeto lėšos (nuosavos, be ankstesnių metų likučio)</t>
  </si>
  <si>
    <t>Lietuvos Respublikos valstybės biudžeto dotacijos</t>
  </si>
  <si>
    <t>Pajamų įmokos ir kitos pajamos</t>
  </si>
  <si>
    <t>Ankstesnių metų likučiai</t>
  </si>
  <si>
    <t>010-01-01-02</t>
  </si>
  <si>
    <t>Ugdymo proceso užtikrinimas nevalstybinėse ikimokyklinio ugdymo įstaigose</t>
  </si>
  <si>
    <t>010-01-01-03</t>
  </si>
  <si>
    <t>010-01-01-04</t>
  </si>
  <si>
    <t>010-01-01-05</t>
  </si>
  <si>
    <t>Ugdymo proceso ir aplinkos užtikrinimas savivaldybės pradinėje mokykloje ir mokyklose-darželiuose</t>
  </si>
  <si>
    <t>010-01-01-06</t>
  </si>
  <si>
    <t>010-01-01-07</t>
  </si>
  <si>
    <t xml:space="preserve">Ugdymo proceso ir aplinkos užtikrinimas savivaldybės bendrojo ugdymo mokyklose </t>
  </si>
  <si>
    <t>010-01-01-08</t>
  </si>
  <si>
    <t>Projekto „Įdomus faktorius: sužaidybinimas įtraukiajam ugdymui“ įgyvendinimas Litorinos mokykloje</t>
  </si>
  <si>
    <t>Kiti šaltiniai (Europos Sąjungos paramos lėšos)</t>
  </si>
  <si>
    <t>010-01-01-09</t>
  </si>
  <si>
    <t>010-01-01-10</t>
  </si>
  <si>
    <t>„Tūkstantmečio mokyklų“ programos įgyvendinimas</t>
  </si>
  <si>
    <t>010-01-01-11</t>
  </si>
  <si>
    <t xml:space="preserve">Ugdymo proceso užtikrinimas nevalstybinėse bendrojo ugdymo mokyklose </t>
  </si>
  <si>
    <t>010-01-01-12</t>
  </si>
  <si>
    <t>Klaipėdos miesto bendrojo ugdymo mokyklų antrųjų klasių mokinių vežimo paslaugos mokyti plaukti užtikrinimas</t>
  </si>
  <si>
    <t>010-01-01-13</t>
  </si>
  <si>
    <t>010-01-01-14</t>
  </si>
  <si>
    <t>Ugdymo proceso ir aplinkos užtikrinimas savivaldybės neformaliojo vaikų švietimo įstaigose</t>
  </si>
  <si>
    <t>010-01-01-15</t>
  </si>
  <si>
    <t>Neformaliojo ugdymo įstaigų inventoriaus atnaujinimas</t>
  </si>
  <si>
    <t>010-01-01-16</t>
  </si>
  <si>
    <t>BĮ Klaipėdos pedagoginės psichologinės tarnybos veiklos užtikrinimas</t>
  </si>
  <si>
    <t>010-01-01-17</t>
  </si>
  <si>
    <t>Projekto „Integruota interaktyviųjų viešųjų sodų sistema Baltijos jūros regione „Interactive gardens“ įgyvendinimas</t>
  </si>
  <si>
    <t>010-01-01-18</t>
  </si>
  <si>
    <t>BĮ Klaipėdos regos ugdymo centro veiklos užtikrinimas</t>
  </si>
  <si>
    <t>010-01-01-19</t>
  </si>
  <si>
    <t>BĮ Klaipėdos miesto pedagogų švietimo ir kultūros centro veiklos užtikrinimas</t>
  </si>
  <si>
    <t>010-01-01-20</t>
  </si>
  <si>
    <t>Pasirengimas Gamtos mokslų, technologijų, inžinerijos, matematikos mokslų ir kūrybiškumo ugdymo (STEAM) centro įveiklinimui</t>
  </si>
  <si>
    <t>010-01-01-21</t>
  </si>
  <si>
    <t>010-01-01-22</t>
  </si>
  <si>
    <t>010-01-01-23</t>
  </si>
  <si>
    <t>Universitetinių klasių veiklos organizavimas (Baltijos, „Žemynos“, Vytauto Didžiojo ir „Vėtrungės“ gimnazijose)</t>
  </si>
  <si>
    <t>010-01-01-24</t>
  </si>
  <si>
    <t xml:space="preserve">Ugdymo prieinamumo ir ugdymo formų įvairovės užtikrinimas </t>
  </si>
  <si>
    <t>010-01-01-25</t>
  </si>
  <si>
    <t>010-01-01-26</t>
  </si>
  <si>
    <t>010-01-01-27</t>
  </si>
  <si>
    <t>Kompiuterių brandos egzaminams ir nacionaliniams mokinių pasiekimų patikrinimams organizuoti įsigijimas</t>
  </si>
  <si>
    <t>010-01-01-28</t>
  </si>
  <si>
    <t>Maitinimo paslaugų kompensavimas</t>
  </si>
  <si>
    <t>010-01-01-29</t>
  </si>
  <si>
    <t>Elektroninio mokinio pažymėjimo diegimas ir naudojimo užtikrinimas savivaldybės bendrojo ugdymo mokyklose</t>
  </si>
  <si>
    <t>010-01-01-30</t>
  </si>
  <si>
    <t>Klaipėdos miesto pedagogų rengimo, kvalifikacijos plėtojimo, profesinių kompetencijų tobulinimo ir mokytojų pritraukimo į mokyklas programos įgyvendinimas</t>
  </si>
  <si>
    <t>Savivaldybės biudžetas (įskaitant skolintas lėšas)</t>
  </si>
  <si>
    <t>Iš jo:</t>
  </si>
  <si>
    <t>Savivaldybės biudžeto lėšos (nuosavos, be ankstesnių metų likučio)'</t>
  </si>
  <si>
    <t>Lietuvos Respublikos valstybės biudžeto dotacijos'</t>
  </si>
  <si>
    <t>Pajamų įmokos ir kitos pajamos'</t>
  </si>
  <si>
    <t>Ankstesnių metų likučiai'</t>
  </si>
  <si>
    <t>Kiti šaltiniai</t>
  </si>
  <si>
    <t>Iš jų:</t>
  </si>
  <si>
    <t>Kiti šaltiniai (Europos Sąjungos paramos lėšos)'</t>
  </si>
  <si>
    <t>010-01-02 (TP)</t>
  </si>
  <si>
    <t>Priemonė: Neformaliojo vaikų ir suaugusiųjų švietimo organizavimas</t>
  </si>
  <si>
    <t>010-01-02-01</t>
  </si>
  <si>
    <t xml:space="preserve">Ugdymo proceso užtikrinimas sporto mokyklose </t>
  </si>
  <si>
    <t>010-01-02-02</t>
  </si>
  <si>
    <t>Vasaros poilsio organizavimas</t>
  </si>
  <si>
    <t>010-01-02-03</t>
  </si>
  <si>
    <t>Neformaliojo vaikų švietimo programų įgyvendinimas ir neformaliojo vaikų švietimo paslaugų plėtra</t>
  </si>
  <si>
    <t>010-01-03 (TP)</t>
  </si>
  <si>
    <t>Priemonė: Savivaldybės administracijos vaiko gerovės komisijos veiklos užtikrinimas</t>
  </si>
  <si>
    <t>010-01-04 (TP)</t>
  </si>
  <si>
    <t xml:space="preserve">Priemonė: Miesto metodinių būrelių veiklos užtikrinimas </t>
  </si>
  <si>
    <t>010-01-05 (TP)</t>
  </si>
  <si>
    <t>Priemonė: Priėmimo į savivaldybės bendrojo ir ikimokyklinio ugdymo įstaigas informacinių sistemų priežiūra</t>
  </si>
  <si>
    <t>010-01-06 (TP)</t>
  </si>
  <si>
    <t xml:space="preserve">Priemonė: Savivaldybės švietimo įstaigų civilinės atsakomybės draudimas </t>
  </si>
  <si>
    <t>Uždavinys: Renovuoti ugdymo įstaigų pastatus ir patalpas</t>
  </si>
  <si>
    <t>010-02-01 (TP)</t>
  </si>
  <si>
    <t>Turto valdymo skyrius</t>
  </si>
  <si>
    <t>Priemonė: Savivaldybės ugdymo įstaigų pastatų ir aplinkos modernizavimas bei plėtra</t>
  </si>
  <si>
    <t>Bendrojo ugdymo mokyklos pastato statyba šiaurinėje miesto dalyje</t>
  </si>
  <si>
    <t>010-02-02-01</t>
  </si>
  <si>
    <t>Mokyklos statyba šiaurinėje miesto dalyje</t>
  </si>
  <si>
    <t>010-02-02-02</t>
  </si>
  <si>
    <t>Projektų skyrius</t>
  </si>
  <si>
    <t>Europos Sąjungos ir kitos tarptautinės finansinės paramos lėšos</t>
  </si>
  <si>
    <t>010-02-02-03</t>
  </si>
  <si>
    <t xml:space="preserve">Klaipėdos „Saulėtekio“ progimnazijos pastato inžinerinių sistemų, vidaus patalpų ir pastato išorės remontas </t>
  </si>
  <si>
    <t>010-02-02-04</t>
  </si>
  <si>
    <t xml:space="preserve">Klaipėdos „Ąžuolyno“ gimnazijos modernizavimas </t>
  </si>
  <si>
    <t>010-02-02-05</t>
  </si>
  <si>
    <t xml:space="preserve">Skolintos lėšos
</t>
  </si>
  <si>
    <t>010-02-02-06</t>
  </si>
  <si>
    <t>010-02-02-07</t>
  </si>
  <si>
    <t>010-02-02-08</t>
  </si>
  <si>
    <t>010-02-02-09</t>
  </si>
  <si>
    <t>Vėdinimo ir kondicionavimo sistemų įrengimas biudžetinėse švietimo įstaigose</t>
  </si>
  <si>
    <t>Mokyklų modernizavimo techninių projektų parengimas</t>
  </si>
  <si>
    <t>010-02-02-10</t>
  </si>
  <si>
    <t>Ikimokyklinio ir priešmokyklinio ugdymo prieinamumo didinimas Klaipėdos mieste (lopšelio-darželio „Svirpliukas“ modernizavimas)</t>
  </si>
  <si>
    <t>Energinio efektyvumo didinimas ikimokyklinio ugdymo įstaigose:</t>
  </si>
  <si>
    <t>010-02-02-11</t>
  </si>
  <si>
    <t>010-02-02-12</t>
  </si>
  <si>
    <t>Klaipėdos lopšelio-darželio „Žiogelis“ pastato Kauno g. 27 modernizavimas</t>
  </si>
  <si>
    <t>010-02-02-13</t>
  </si>
  <si>
    <t>010-02-02-15</t>
  </si>
  <si>
    <t>010-02-02-16</t>
  </si>
  <si>
    <t>Ikimokyklinių įstaigų energetinių auditų atlikimas</t>
  </si>
  <si>
    <t>Klaipėdos lopšelio-darželio „Eglutė“ techninio projekto parengimas</t>
  </si>
  <si>
    <t>Neformaliojo vaikų švietimo įstaigų pastatų rekonstravimas:</t>
  </si>
  <si>
    <t>Klaipėdos Jeronimo Kačinsko muzikos mokyklos (Statybininkų pr. 5) pastato energinio efektyvumo didinimas</t>
  </si>
  <si>
    <t>Skolintos lėšos'</t>
  </si>
  <si>
    <t>Priemonė: Mokymosi aplinkos pritaikymas švietimo reikmėms</t>
  </si>
  <si>
    <t>010-02-03-01</t>
  </si>
  <si>
    <t>Lauko žaidimų aikštelių ir įrenginių atnaujinimas ikimokyklinėse ugdymo įstaigose</t>
  </si>
  <si>
    <t>010-02-03-02</t>
  </si>
  <si>
    <t>010-02-03-03</t>
  </si>
  <si>
    <t>Patalpų pritaikymas neįgalių vaikų ugdymui</t>
  </si>
  <si>
    <t>010-02-03-04</t>
  </si>
  <si>
    <t>Klaipėdos miesto gimnazijų gamtamokslinių laboratorijų steigimo ir modernizavimo 2022–2026 metų programos įgyvendinimas</t>
  </si>
  <si>
    <t>010-02-03-05</t>
  </si>
  <si>
    <t>Uždavinys: Aprūpinti švietimo įstaigas reikalingu inventoriumi</t>
  </si>
  <si>
    <t>Priemonė: Baldų ir įrangos atnaujinimas</t>
  </si>
  <si>
    <t>010-03-01-01</t>
  </si>
  <si>
    <t>Vaikiškų lovyčių įsigijimas savivaldybės ikimokyklinio ugdymo įstaigoms</t>
  </si>
  <si>
    <t>010-03-01-02</t>
  </si>
  <si>
    <t xml:space="preserve">Įrenginių įsigijimas švietimo įstaigų maisto blokams </t>
  </si>
  <si>
    <t>010-03-01-03</t>
  </si>
  <si>
    <t>Priemonė: Švietimo paslaugų modernizavimo  programos priemonių įgyvendinimas</t>
  </si>
  <si>
    <t>010-03-02-01</t>
  </si>
  <si>
    <t>Ikimokyklinio ugdymo, neformaliojo vaikų švietimo ir švietimo pagalbos įstaigų aprūpinimas kompiuteriais</t>
  </si>
  <si>
    <t>010-03-02-02</t>
  </si>
  <si>
    <t>Neformaliojo švietimo ir pagalbos įstaigų aprūpinimas mobilia interaktyvia įranga</t>
  </si>
  <si>
    <t>Išmaniųjų klasių įrengimas</t>
  </si>
  <si>
    <t>010-03-02-03</t>
  </si>
  <si>
    <t>Hibridinių klasių įrengimas</t>
  </si>
  <si>
    <t>010-04 (T)</t>
  </si>
  <si>
    <t>Uždavinys: Organizuoti materialinį, ūkinį ir techninį ugdymo įstaigų aptarnavimą</t>
  </si>
  <si>
    <t>010-04-01 (TP)</t>
  </si>
  <si>
    <t>Priemonė: Ugdymo įstaigų ūkinio aptarnavimo organizavimas</t>
  </si>
  <si>
    <t>010-04-01-01</t>
  </si>
  <si>
    <t xml:space="preserve">Švietimo įstaigų paprastasis remontas </t>
  </si>
  <si>
    <t>010-04-01-02</t>
  </si>
  <si>
    <t>Šilumos ir karšto vandens tiekimo sistemų priežiūra</t>
  </si>
  <si>
    <t>010-04-01-03</t>
  </si>
  <si>
    <t>Šilumos ir karšto vandens tiekimo sistemų renovacija ir remontas</t>
  </si>
  <si>
    <t>010-04-01-04</t>
  </si>
  <si>
    <t> </t>
  </si>
  <si>
    <t>010-04-01-05</t>
  </si>
  <si>
    <t>Švietimo įstaigų sanitarinių patalpų remontas</t>
  </si>
  <si>
    <t>010-04-01-06</t>
  </si>
  <si>
    <t xml:space="preserve">Švietimo įstaigų elektros instaliacijos remontas </t>
  </si>
  <si>
    <t>010-04-01-07</t>
  </si>
  <si>
    <t>Švietimo įstaigų stogų remontas</t>
  </si>
  <si>
    <t>010-04-01-08</t>
  </si>
  <si>
    <t xml:space="preserve">Švietimo įstaigų lauko inžinerinių tinklų remontas </t>
  </si>
  <si>
    <t>010-04-01-09</t>
  </si>
  <si>
    <t>Švietimo įstaigų teritorijų aptvėrimas</t>
  </si>
  <si>
    <t>010-04-01-10</t>
  </si>
  <si>
    <t>Įstaigų ūkinis aptarnavimas</t>
  </si>
  <si>
    <t>010-04-02 (TP)</t>
  </si>
  <si>
    <t xml:space="preserve">Priemonė: Mokinių pavėžėjimo užtikrinimas </t>
  </si>
  <si>
    <t>010-04-03 (TP)</t>
  </si>
  <si>
    <t>Priemonė: Švietimo įstaigų persikėlimo į kitas patalpas organizavimas</t>
  </si>
  <si>
    <t>010-04-04 (TP)</t>
  </si>
  <si>
    <t>Priemonė: Švietimo įstaigų energinių išteklių efektyvinimas</t>
  </si>
  <si>
    <t>010-04-04-01</t>
  </si>
  <si>
    <t>Automatizuotos šilumos punkto kontrolės ir valdymo sistemų aptarnavimas švietimo įstaigų pastatuose</t>
  </si>
  <si>
    <t>010-04-04-02</t>
  </si>
  <si>
    <t>Atsinaujinančių energijos išteklių (saulės) elektrinių įrengimas ir priežiūra</t>
  </si>
  <si>
    <t>010-04-05 (TP)</t>
  </si>
  <si>
    <t>Priemonė: Komunalinių paslaugų įsigijimas</t>
  </si>
  <si>
    <t xml:space="preserve">IŠ VISO programai finansuoti pagal finansavimo šaltinius </t>
  </si>
  <si>
    <t>Iš jų: regioninių pažangos priemonių lėšos</t>
  </si>
  <si>
    <t>Eil. Nr.</t>
  </si>
  <si>
    <t>Programos kodas ir pavadinimas</t>
  </si>
  <si>
    <t>2024 m. asignavimai ir kitos lėšos</t>
  </si>
  <si>
    <t>010 Ugdymo proceso užtikrinimo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</si>
  <si>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</si>
  <si>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</si>
  <si>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</si>
  <si>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</si>
  <si>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>1.2.</t>
  </si>
  <si>
    <t>1.3.</t>
  </si>
  <si>
    <t xml:space="preserve">pajamų įmokos ir kitos pajamos
</t>
  </si>
  <si>
    <t>1.4.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</si>
  <si>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</si>
  <si>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</si>
  <si>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</si>
  <si>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</si>
  <si>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</si>
  <si>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</si>
  <si>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</si>
  <si>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</si>
  <si>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</si>
  <si>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</si>
  <si>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</si>
  <si>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</si>
  <si>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</si>
  <si>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</si>
  <si>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</si>
  <si>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</si>
  <si>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</si>
  <si>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</si>
  <si>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</si>
  <si>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Ugdymo proceso užtikrinimas nevalstybinėje pradinėje mokykloje ir mokyklose-darželiuose</t>
  </si>
  <si>
    <t>Mokinių maitinimo ir pavežėjimo užtikrinimas sporto klasėse</t>
  </si>
  <si>
    <t>Mokinių maitinimo ir pavėžėjimo užtikrinimas Klaipėdos jūrų kadetų mokykloje</t>
  </si>
  <si>
    <t xml:space="preserve">Brandos egzaminų ir tarpinių patikrinimų administravimas </t>
  </si>
  <si>
    <t>Priemonė: Švietimo įstaigų modulinių kompleksų nuoma</t>
  </si>
  <si>
    <t xml:space="preserve">Sporto aikštynų atnaujinimas </t>
  </si>
  <si>
    <t>Patalpų ir inventoriaus atnaujinimas užtikrinant atitiktį higienos normoms</t>
  </si>
  <si>
    <t>010-02-02-18</t>
  </si>
  <si>
    <t>010-02-02-19</t>
  </si>
  <si>
    <t>010-02-02-20</t>
  </si>
  <si>
    <t>Švietimo ugdymo paslaugų plėtra Tauralaukyje  (Klaipėdos g. 31) – pastato rekonstravimas į ikimokyklinio ir priešmokyklinio ugdymo įstaigą</t>
  </si>
  <si>
    <t>Ikimokyklinių įstaigų plėtra: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</si>
  <si>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</si>
  <si>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</si>
  <si>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</si>
  <si>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</si>
  <si>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010-01 (T)</t>
  </si>
  <si>
    <t>010-01-01 (TP)</t>
  </si>
  <si>
    <t>010-03-02-04</t>
  </si>
  <si>
    <t>Klaipėdos karalienės Luizės jaunimo centro įgalinimas teikti šiuolaikinius jaunimo poreikius atitinkančias paslaugas</t>
  </si>
  <si>
    <t>010-02 (P)</t>
  </si>
  <si>
    <t>010-02-02 (PP)</t>
  </si>
  <si>
    <t>010-03-02 (TP)</t>
  </si>
  <si>
    <t>010-03-01 (TP)</t>
  </si>
  <si>
    <t>010-02-03 (TP)</t>
  </si>
  <si>
    <t>010-03 (T)</t>
  </si>
  <si>
    <t>Klaipėdos mokyklos-darželio „Saulutė“, lopšelio-darželio „Vėtrungėlė“, lopšelio-darželio „Vėtrungėlė“ skyriaus, lopšelio-darželio „Radastėlė“, lopšelio-darželio „Radastėlė“ skyriaus, lopšelio-darželio „Šaltinėlis“ „Kregždutės“ skyriaus pastatų atnaujinimas</t>
  </si>
  <si>
    <t>Ugdymo paslaugų prieinamumo didinimas, modernizuojant Klaipėdos lopšelio-darželio „Traukinukas“ „Boružėlės“ skyriaus pastatą</t>
  </si>
  <si>
    <t>RP – regioninė pažangos priemonė.</t>
  </si>
  <si>
    <t>010-03-01-04</t>
  </si>
  <si>
    <t>1.3.2.5.</t>
  </si>
  <si>
    <t xml:space="preserve">2.4.3.3.  
</t>
  </si>
  <si>
    <t>1.1.2.1.</t>
  </si>
  <si>
    <t>1.3.1.2.</t>
  </si>
  <si>
    <t>1.3.2.4.</t>
  </si>
  <si>
    <t>2.4.3.2.</t>
  </si>
  <si>
    <t>1.3.2.3.</t>
  </si>
  <si>
    <t>1.3.1.1.</t>
  </si>
  <si>
    <t>2.2.1.2.</t>
  </si>
  <si>
    <t>Karjeros specialistų etatų įvedimas ir didinimas švietimo įstaigose</t>
  </si>
  <si>
    <t>Klaipėdos Simono Dacho progimnazijos pradinių klasių mokinių vežiojimo į fizinio ugdymo pamokas užtikrinimas</t>
  </si>
  <si>
    <t>Ikimokyklinių ugdymo įstaigų ir mokyklų-darželių  informacinių technologijų aptarnavimas</t>
  </si>
  <si>
    <t>Modulinių patalpų, reikalingų vykdant mokyklų renovacijos ar remonto darbus, statyba</t>
  </si>
  <si>
    <t>Naujo ikimokyklinio ugdymo įstaigos pastato statyba vietoje Tauralaukio progimnazijos Klaipėdos g. 31</t>
  </si>
  <si>
    <t>Naujo ikimokyklinio ugdymo įstaigos pastato statyba Jaunystės g. 32</t>
  </si>
  <si>
    <t>Įrangos, baldų įsigijimas bendrojo ugdymo mokyklai šiaurinėje miesto dalyje</t>
  </si>
  <si>
    <t>Gaisrinės saugos reikalavimų vykdymas švietimo įstaigose</t>
  </si>
  <si>
    <t>Savivaldybės bendrojo ugdymo mokyklų pastatų ir aplinkos modernizavimas bei plėtra:</t>
  </si>
  <si>
    <t>Ikimokyklinio ugdymo įstaigų pastatų modernizavimas ir plėtra:</t>
  </si>
  <si>
    <t>3 lentelė. Klaipėdos miesto savivaldybės 2024 metų 010 Ugdymo proceso užtikrinimo programos uždaviniai, priemonės, asignavimai ir kitos lėšos (tūkst. eurų)</t>
  </si>
  <si>
    <t>010-02-02-14 (RP)</t>
  </si>
  <si>
    <t>010-02-02-17</t>
  </si>
  <si>
    <t xml:space="preserve">010-02-02-21
</t>
  </si>
  <si>
    <t>Edukacinių erdvių įrengimas Klaipėdos miesto bendrojo ugdymo mokyklose (2024–2025 m. – Vytauto Didžiojo gimnazijoje)</t>
  </si>
  <si>
    <t>2 lentelė.  2024 metų asignavimų ir kitų lėšų pasiskirstymas (tūkst. Eur)</t>
  </si>
  <si>
    <t>Klaipėdos Hermano Zudermano gimnazijos pastato kapitalinis remontas</t>
  </si>
  <si>
    <t>Europos Sąjungos ir kitos tarptautinės finansinės paramos lėšos'</t>
  </si>
  <si>
    <t>010-01-01-31</t>
  </si>
  <si>
    <t>010-01-01-32</t>
  </si>
  <si>
    <t>010-01-07</t>
  </si>
  <si>
    <t>Priemonė: Švietimo pagalbos ir koordinuotai teikiamų paslaugų užtikrinimo projekto parengimas</t>
  </si>
  <si>
    <t>010-02-03-06</t>
  </si>
  <si>
    <t>Elektroninių cigarečių detektorių įrengimas bendrojo ugdymo mokyklose</t>
  </si>
  <si>
    <t>1.3.2.9.</t>
  </si>
  <si>
    <t>1.3.2.2</t>
  </si>
  <si>
    <t xml:space="preserve">                                                         PATVIRTINTA
                                                         Klaipėdos miesto savivaldybės administracijos direktoriaus 
                                                         2024 m. vasario 22 d. įsakymu Nr. AD1-164</t>
  </si>
  <si>
    <t>„Dainų šventės „Kad giria žaliuotų“  dalyvių pavėžėjimo užtikrinimas“</t>
  </si>
  <si>
    <t>Vykdytojas (padalinys / asmuo)</t>
  </si>
  <si>
    <t>MVPD – Miesto vystymo ir priežiūros departamentas.</t>
  </si>
  <si>
    <t>AD – Administravimo departamentas.</t>
  </si>
  <si>
    <t>UAD – Urbanistikos ir architektūros departamentas.</t>
  </si>
  <si>
    <t>ŠSD 
Švietimo skyrius – priemonės vykdytojas, Planavimo ir analizės skyrius –  programos sąmatų rengimas</t>
  </si>
  <si>
    <t>MVPD 
Statinių administravimo skyrius</t>
  </si>
  <si>
    <t>ŠSD 
Švietimo skyrius – priemonės vykdytojas,  Planavimo ir analizės skyrius –  programos sąmatų rengimas</t>
  </si>
  <si>
    <t>ŠSD 
Švietimo skyrius</t>
  </si>
  <si>
    <t>ŠSD 
Švietimo skyrius – priemonės vykdytojas,
 Planavimo ir analizės skyrius –  programos sąmatų rengimas</t>
  </si>
  <si>
    <t>AD 
Kibernetinio saugumo ir IT skyrius</t>
  </si>
  <si>
    <t>ŠSD 
Sveikatos ir šeimos skyrius</t>
  </si>
  <si>
    <t>MVPD 
Statybos skyrius</t>
  </si>
  <si>
    <t>ŠSD 
Švietimo skyrius - priemonės vykdytojas,  Planavimo ir analizės skyrius –  programos sąmatų rengimas</t>
  </si>
  <si>
    <t>ŠSD 
Švietimo skyrius - priemonės vykdytojas, Planavimo ir analizės skyrius –  programos sąmatų rengimas</t>
  </si>
  <si>
    <t>Projektų skyrius,
 MVPD 
Statybos skyrius</t>
  </si>
  <si>
    <t>Projektų skyrius,
MVPD 
Statinių administravimo skyrius</t>
  </si>
  <si>
    <t>Projektų skyrius,
MVPD 
Statybos skyrius</t>
  </si>
  <si>
    <t>AD 
Kibernetinio saugumo ir IT  skyrius</t>
  </si>
  <si>
    <t>ŠSD  – Švietimo ir sveikatos departamentas.</t>
  </si>
  <si>
    <t>ŠSD 
Švietimo skyrius – priemonės vykdytojas, 
 Planavimo ir analizės skyrius –  programos sąmatų rengimas</t>
  </si>
  <si>
    <t xml:space="preserve">ŠSD 
Švietimo skyrius,
Planavimo ir analizės skyrius,
MVPD 
Statinių administravimo skyrius,
Projektų skyrius </t>
  </si>
  <si>
    <t>UAD 
Žemėtvarkos skyrius,
 Urbanistikos skyrius</t>
  </si>
  <si>
    <t xml:space="preserve">UAD 
Žemėtvarkos skyrius </t>
  </si>
  <si>
    <t>Kiti šaltiniai (valstybės biudžeto lėšos)</t>
  </si>
  <si>
    <t>Kiti šaltiniai (valstybės biudžeto lėšos)'</t>
  </si>
  <si>
    <t>Visos dienos mokyklos paslaugų prieinamumo didinimas
Savivaldybės biudžeto lėšos (nuosavos, be ankstesnių metų likučio)</t>
  </si>
  <si>
    <t xml:space="preserve">Švietimo įtraukties ir veiksmingumo didinimas, aprūpinant mokyklas geltonaisiais autobusais </t>
  </si>
  <si>
    <t>010-02-03-07</t>
  </si>
  <si>
    <t>Mokinio padėjėjų etatų skaičiaus didinimas</t>
  </si>
  <si>
    <t>Lietuvos liaudiškų šokių kolektyvų, dalyvavusių festivalyje „Vaikystės glėby“, dalinis transporto išlaidų kompensavimas</t>
  </si>
  <si>
    <t>Projekto ,,Įtraukties švietime stiprinimas (PASTIPRA)“ įgyvendinimas Klaipėdos ,,Medeinės“ mokykloje</t>
  </si>
  <si>
    <t>010-01-01-33</t>
  </si>
  <si>
    <t>010-01-01-34</t>
  </si>
  <si>
    <t>Abiturientų, išlaikiusių brandos egzaminus  aukščiausiais įvertinimais, ir juos paruošusių mokytojų skatinimas</t>
  </si>
  <si>
    <t>Sensorinių kambarių įrangos įsigijimas</t>
  </si>
  <si>
    <t xml:space="preserve">Vietų skaičiaus didinimas lopšelyje-darželyje „Atžalynas“ Panevėžio g. 3 </t>
  </si>
  <si>
    <t>ŠSD Švietimo skyrius</t>
  </si>
  <si>
    <t>Ugdymo prieinamumo užtikrinimas nevalstybinėse bendrojo ugdymo mokyklose besimokantiems mokiniams, atvykusiems į Lietuvos Respubliką iš Ukrainos dėl Rusijos Federacijos karinių veiksmų</t>
  </si>
  <si>
    <t xml:space="preserve">                                                         (Klaipėdos miesto savivaldybės administracijos direktoriaus
                                                         2024 m. gruodžio 3 d. įsakymo Nr. AD1-1091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</si>
</sst>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[$-409]General"/>
    <numFmt numFmtId="166" formatCode="0.0"/>
  </numFmts>
  <fonts count="23" x14ac:knownFonts="1">
    <font>
      <sz val="11"/>
      <color theme="1"/>
      <name val="Calibri"/>
      <family val="2"/>
      <charset val="186"/>
      <scheme val="minor"/>
    </font>
    <font>
      <sz val="10"/>
      <color theme="1"/>
      <name val="Times New Roman"/>
      <family val="1"/>
      <charset val="186"/>
    </font>
    <font>
      <sz val="11"/>
      <color rgb="FF000000"/>
      <name val="Calibri"/>
      <family val="2"/>
      <charset val="186"/>
    </font>
    <font>
      <b/>
      <sz val="1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8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sz val="8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i/>
      <sz val="10"/>
      <name val="Calibri"/>
      <family val="2"/>
      <charset val="186"/>
      <scheme val="minor"/>
    </font>
    <font>
      <sz val="10"/>
      <color theme="0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">
    <xf numFmtId="0" fontId="0" fillId="0" borderId="0"/>
    <xf numFmtId="165" fontId="2" fillId="0" borderId="0" applyBorder="0" applyProtection="0"/>
  </cellStyleXfs>
  <cellXfs count="274">
    <xf numFmtId="0" fontId="0" fillId="0" borderId="0" xfId="0"/>
    <xf numFmtId="0" fontId="1" fillId="0" borderId="0" xfId="0" applyFont="1" applyAlignment="1">
      <alignment vertical="top"/>
    </xf>
    <xf numFmtId="164" fontId="5" fillId="3" borderId="1" xfId="0" applyNumberFormat="1" applyFont="1" applyFill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4" fillId="0" borderId="1" xfId="0" applyNumberFormat="1" applyFont="1" applyBorder="1" applyAlignment="1">
      <alignment horizontal="center" vertical="top" wrapText="1"/>
    </xf>
    <xf numFmtId="0" fontId="3" fillId="8" borderId="1" xfId="0" applyFont="1" applyFill="1" applyBorder="1" applyAlignment="1">
      <alignment vertical="top" wrapText="1"/>
    </xf>
    <xf numFmtId="164" fontId="3" fillId="8" borderId="1" xfId="0" applyNumberFormat="1" applyFont="1" applyFill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164" fontId="3" fillId="5" borderId="1" xfId="0" applyNumberFormat="1" applyFont="1" applyFill="1" applyBorder="1" applyAlignment="1">
      <alignment horizontal="center" vertical="top"/>
    </xf>
    <xf numFmtId="164" fontId="3" fillId="8" borderId="1" xfId="0" applyNumberFormat="1" applyFont="1" applyFill="1" applyBorder="1" applyAlignment="1">
      <alignment horizontal="center" vertical="top"/>
    </xf>
    <xf numFmtId="164" fontId="3" fillId="3" borderId="1" xfId="0" applyNumberFormat="1" applyFont="1" applyFill="1" applyBorder="1" applyAlignment="1">
      <alignment horizontal="center" vertical="top"/>
    </xf>
    <xf numFmtId="0" fontId="1" fillId="0" borderId="0" xfId="0" applyFont="1"/>
    <xf numFmtId="0" fontId="3" fillId="3" borderId="1" xfId="0" applyFont="1" applyFill="1" applyBorder="1" applyAlignment="1">
      <alignment vertical="top" wrapText="1"/>
    </xf>
    <xf numFmtId="0" fontId="3" fillId="8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164" fontId="5" fillId="6" borderId="1" xfId="1" applyNumberFormat="1" applyFont="1" applyFill="1" applyBorder="1" applyAlignment="1">
      <alignment horizontal="center" vertical="top"/>
    </xf>
    <xf numFmtId="49" fontId="3" fillId="8" borderId="1" xfId="0" applyNumberFormat="1" applyFont="1" applyFill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164" fontId="3" fillId="6" borderId="1" xfId="1" applyNumberFormat="1" applyFont="1" applyFill="1" applyBorder="1" applyAlignment="1">
      <alignment horizontal="center" vertical="top"/>
    </xf>
    <xf numFmtId="0" fontId="3" fillId="8" borderId="4" xfId="0" applyFont="1" applyFill="1" applyBorder="1" applyAlignment="1">
      <alignment horizontal="left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164" fontId="1" fillId="0" borderId="2" xfId="0" applyNumberFormat="1" applyFont="1" applyBorder="1" applyAlignment="1">
      <alignment horizontal="center" vertical="top" wrapText="1"/>
    </xf>
    <xf numFmtId="49" fontId="3" fillId="7" borderId="1" xfId="0" applyNumberFormat="1" applyFont="1" applyFill="1" applyBorder="1" applyAlignment="1">
      <alignment horizontal="center" vertical="top" wrapText="1"/>
    </xf>
    <xf numFmtId="164" fontId="3" fillId="5" borderId="4" xfId="0" applyNumberFormat="1" applyFont="1" applyFill="1" applyBorder="1" applyAlignment="1">
      <alignment horizontal="center" vertical="top"/>
    </xf>
    <xf numFmtId="164" fontId="5" fillId="5" borderId="4" xfId="0" applyNumberFormat="1" applyFont="1" applyFill="1" applyBorder="1" applyAlignment="1">
      <alignment horizontal="center" vertical="top"/>
    </xf>
    <xf numFmtId="49" fontId="5" fillId="8" borderId="4" xfId="0" applyNumberFormat="1" applyFont="1" applyFill="1" applyBorder="1" applyAlignment="1">
      <alignment horizontal="center" vertical="top" wrapText="1"/>
    </xf>
    <xf numFmtId="164" fontId="3" fillId="8" borderId="4" xfId="0" applyNumberFormat="1" applyFont="1" applyFill="1" applyBorder="1" applyAlignment="1">
      <alignment horizontal="center" vertical="top"/>
    </xf>
    <xf numFmtId="49" fontId="3" fillId="0" borderId="4" xfId="0" applyNumberFormat="1" applyFont="1" applyBorder="1" applyAlignment="1">
      <alignment horizontal="center" vertical="top" wrapText="1"/>
    </xf>
    <xf numFmtId="49" fontId="3" fillId="8" borderId="4" xfId="0" applyNumberFormat="1" applyFont="1" applyFill="1" applyBorder="1" applyAlignment="1">
      <alignment horizontal="center" vertical="top" wrapText="1"/>
    </xf>
    <xf numFmtId="49" fontId="3" fillId="7" borderId="4" xfId="0" applyNumberFormat="1" applyFont="1" applyFill="1" applyBorder="1" applyAlignment="1">
      <alignment horizontal="center" vertical="top" wrapText="1"/>
    </xf>
    <xf numFmtId="164" fontId="3" fillId="7" borderId="4" xfId="0" applyNumberFormat="1" applyFont="1" applyFill="1" applyBorder="1" applyAlignment="1">
      <alignment horizontal="center" vertical="top"/>
    </xf>
    <xf numFmtId="49" fontId="3" fillId="3" borderId="4" xfId="0" applyNumberFormat="1" applyFont="1" applyFill="1" applyBorder="1" applyAlignment="1">
      <alignment horizontal="center" vertical="top" wrapText="1"/>
    </xf>
    <xf numFmtId="164" fontId="3" fillId="3" borderId="4" xfId="0" applyNumberFormat="1" applyFont="1" applyFill="1" applyBorder="1" applyAlignment="1">
      <alignment horizontal="center" vertical="top"/>
    </xf>
    <xf numFmtId="49" fontId="5" fillId="7" borderId="4" xfId="0" applyNumberFormat="1" applyFont="1" applyFill="1" applyBorder="1" applyAlignment="1">
      <alignment horizontal="center" vertical="top" wrapText="1"/>
    </xf>
    <xf numFmtId="0" fontId="5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vertical="top" wrapText="1"/>
    </xf>
    <xf numFmtId="0" fontId="5" fillId="7" borderId="1" xfId="0" applyFont="1" applyFill="1" applyBorder="1" applyAlignment="1">
      <alignment horizontal="center" vertical="top" wrapText="1"/>
    </xf>
    <xf numFmtId="164" fontId="3" fillId="7" borderId="1" xfId="0" applyNumberFormat="1" applyFont="1" applyFill="1" applyBorder="1" applyAlignment="1">
      <alignment horizontal="center" vertical="top" wrapText="1"/>
    </xf>
    <xf numFmtId="164" fontId="5" fillId="7" borderId="1" xfId="0" applyNumberFormat="1" applyFont="1" applyFill="1" applyBorder="1" applyAlignment="1">
      <alignment horizontal="center" vertical="top" wrapText="1"/>
    </xf>
    <xf numFmtId="0" fontId="1" fillId="0" borderId="0" xfId="0" applyFont="1" applyAlignment="1">
      <alignment horizontal="left" vertical="top"/>
    </xf>
    <xf numFmtId="0" fontId="18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 wrapText="1"/>
    </xf>
    <xf numFmtId="0" fontId="15" fillId="3" borderId="13" xfId="0" applyFont="1" applyFill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 wrapText="1"/>
    </xf>
    <xf numFmtId="0" fontId="15" fillId="0" borderId="6" xfId="0" applyFont="1" applyBorder="1" applyAlignment="1">
      <alignment horizontal="left" vertical="top" wrapText="1"/>
    </xf>
    <xf numFmtId="164" fontId="1" fillId="3" borderId="2" xfId="0" applyNumberFormat="1" applyFont="1" applyFill="1" applyBorder="1" applyAlignment="1">
      <alignment horizontal="center" vertical="top" wrapText="1"/>
    </xf>
    <xf numFmtId="164" fontId="4" fillId="3" borderId="2" xfId="0" applyNumberFormat="1" applyFont="1" applyFill="1" applyBorder="1" applyAlignment="1">
      <alignment horizontal="center" vertical="top" wrapText="1"/>
    </xf>
    <xf numFmtId="49" fontId="3" fillId="0" borderId="14" xfId="0" applyNumberFormat="1" applyFont="1" applyBorder="1" applyAlignment="1">
      <alignment horizontal="center" vertical="top" wrapText="1"/>
    </xf>
    <xf numFmtId="164" fontId="3" fillId="6" borderId="2" xfId="1" applyNumberFormat="1" applyFont="1" applyFill="1" applyBorder="1" applyAlignment="1">
      <alignment horizontal="center" vertical="top"/>
    </xf>
    <xf numFmtId="164" fontId="13" fillId="7" borderId="1" xfId="0" applyNumberFormat="1" applyFont="1" applyFill="1" applyBorder="1" applyAlignment="1">
      <alignment horizontal="center" vertical="top"/>
    </xf>
    <xf numFmtId="164" fontId="14" fillId="5" borderId="8" xfId="0" applyNumberFormat="1" applyFont="1" applyFill="1" applyBorder="1" applyAlignment="1">
      <alignment horizontal="center" vertical="top"/>
    </xf>
    <xf numFmtId="164" fontId="5" fillId="3" borderId="4" xfId="0" applyNumberFormat="1" applyFont="1" applyFill="1" applyBorder="1" applyAlignment="1">
      <alignment horizontal="center" vertical="top"/>
    </xf>
    <xf numFmtId="164" fontId="5" fillId="3" borderId="1" xfId="1" applyNumberFormat="1" applyFont="1" applyFill="1" applyBorder="1" applyAlignment="1">
      <alignment horizontal="center" vertical="top"/>
    </xf>
    <xf numFmtId="0" fontId="5" fillId="3" borderId="1" xfId="0" applyFont="1" applyFill="1" applyBorder="1" applyAlignment="1">
      <alignment vertical="top" wrapText="1"/>
    </xf>
    <xf numFmtId="4" fontId="1" fillId="0" borderId="0" xfId="0" applyNumberFormat="1" applyFont="1"/>
    <xf numFmtId="164" fontId="3" fillId="4" borderId="1" xfId="0" applyNumberFormat="1" applyFont="1" applyFill="1" applyBorder="1" applyAlignment="1">
      <alignment vertical="top" wrapText="1"/>
    </xf>
    <xf numFmtId="164" fontId="14" fillId="3" borderId="4" xfId="0" applyNumberFormat="1" applyFont="1" applyFill="1" applyBorder="1" applyAlignment="1">
      <alignment horizontal="center" vertical="top"/>
    </xf>
    <xf numFmtId="3" fontId="3" fillId="3" borderId="1" xfId="0" applyNumberFormat="1" applyFont="1" applyFill="1" applyBorder="1" applyAlignment="1">
      <alignment vertical="top" wrapText="1"/>
    </xf>
    <xf numFmtId="0" fontId="3" fillId="9" borderId="1" xfId="0" applyFont="1" applyFill="1" applyBorder="1" applyAlignment="1">
      <alignment vertical="top" wrapText="1"/>
    </xf>
    <xf numFmtId="0" fontId="14" fillId="3" borderId="1" xfId="0" applyFont="1" applyFill="1" applyBorder="1" applyAlignment="1">
      <alignment vertical="top" wrapText="1"/>
    </xf>
    <xf numFmtId="0" fontId="13" fillId="3" borderId="1" xfId="0" applyFont="1" applyFill="1" applyBorder="1" applyAlignment="1">
      <alignment vertical="top" wrapText="1"/>
    </xf>
    <xf numFmtId="0" fontId="14" fillId="3" borderId="0" xfId="0" applyFont="1" applyFill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3" fillId="0" borderId="0" xfId="0" applyFont="1" applyBorder="1" applyAlignment="1">
      <alignment horizontal="center" vertical="top" wrapText="1"/>
    </xf>
    <xf numFmtId="164" fontId="3" fillId="0" borderId="0" xfId="0" applyNumberFormat="1" applyFont="1" applyBorder="1" applyAlignment="1">
      <alignment horizontal="center" vertical="top" wrapText="1"/>
    </xf>
    <xf numFmtId="0" fontId="5" fillId="3" borderId="3" xfId="0" applyFont="1" applyFill="1" applyBorder="1" applyAlignment="1">
      <alignment vertical="top" wrapText="1"/>
    </xf>
    <xf numFmtId="164" fontId="5" fillId="3" borderId="3" xfId="0" applyNumberFormat="1" applyFont="1" applyFill="1" applyBorder="1" applyAlignment="1">
      <alignment horizontal="center" vertical="top"/>
    </xf>
    <xf numFmtId="164" fontId="3" fillId="3" borderId="1" xfId="0" applyNumberFormat="1" applyFont="1" applyFill="1" applyBorder="1" applyAlignment="1">
      <alignment horizontal="center" vertical="top" wrapText="1"/>
    </xf>
    <xf numFmtId="164" fontId="5" fillId="5" borderId="0" xfId="0" applyNumberFormat="1" applyFont="1" applyFill="1" applyBorder="1" applyAlignment="1">
      <alignment horizontal="center" vertical="top"/>
    </xf>
    <xf numFmtId="164" fontId="8" fillId="0" borderId="0" xfId="0" applyNumberFormat="1" applyFont="1" applyAlignment="1">
      <alignment vertical="top"/>
    </xf>
    <xf numFmtId="164" fontId="8" fillId="0" borderId="0" xfId="0" applyNumberFormat="1" applyFont="1" applyAlignment="1">
      <alignment horizontal="left" vertical="top"/>
    </xf>
    <xf numFmtId="0" fontId="14" fillId="10" borderId="14" xfId="0" applyFont="1" applyFill="1" applyBorder="1" applyAlignment="1">
      <alignment vertical="top" wrapText="1"/>
    </xf>
    <xf numFmtId="0" fontId="3" fillId="10" borderId="6" xfId="0" applyFont="1" applyFill="1" applyBorder="1" applyAlignment="1">
      <alignment vertical="top" wrapText="1"/>
    </xf>
    <xf numFmtId="3" fontId="9" fillId="2" borderId="1" xfId="0" applyNumberFormat="1" applyFont="1" applyFill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top"/>
    </xf>
    <xf numFmtId="0" fontId="1" fillId="0" borderId="20" xfId="0" applyFont="1" applyBorder="1" applyAlignment="1">
      <alignment horizontal="center" vertical="top"/>
    </xf>
    <xf numFmtId="0" fontId="14" fillId="0" borderId="0" xfId="0" applyFont="1" applyAlignment="1">
      <alignment vertical="top" wrapText="1"/>
    </xf>
    <xf numFmtId="0" fontId="13" fillId="0" borderId="6" xfId="0" applyFont="1" applyBorder="1" applyAlignment="1">
      <alignment vertical="top" wrapText="1"/>
    </xf>
    <xf numFmtId="164" fontId="5" fillId="0" borderId="1" xfId="0" applyNumberFormat="1" applyFont="1" applyBorder="1" applyAlignment="1">
      <alignment horizontal="center" vertical="top" wrapText="1"/>
    </xf>
    <xf numFmtId="164" fontId="13" fillId="3" borderId="1" xfId="0" applyNumberFormat="1" applyFont="1" applyFill="1" applyBorder="1" applyAlignment="1">
      <alignment horizontal="center" vertical="top" wrapText="1"/>
    </xf>
    <xf numFmtId="164" fontId="14" fillId="3" borderId="1" xfId="0" applyNumberFormat="1" applyFont="1" applyFill="1" applyBorder="1" applyAlignment="1">
      <alignment horizontal="center" vertical="top" wrapText="1"/>
    </xf>
    <xf numFmtId="164" fontId="13" fillId="3" borderId="2" xfId="0" applyNumberFormat="1" applyFont="1" applyFill="1" applyBorder="1" applyAlignment="1">
      <alignment horizontal="center" vertical="top" wrapText="1"/>
    </xf>
    <xf numFmtId="164" fontId="14" fillId="3" borderId="8" xfId="0" applyNumberFormat="1" applyFont="1" applyFill="1" applyBorder="1" applyAlignment="1">
      <alignment horizontal="center" vertical="top" wrapText="1"/>
    </xf>
    <xf numFmtId="164" fontId="13" fillId="3" borderId="8" xfId="0" applyNumberFormat="1" applyFont="1" applyFill="1" applyBorder="1" applyAlignment="1">
      <alignment horizontal="center" vertical="top"/>
    </xf>
    <xf numFmtId="164" fontId="13" fillId="3" borderId="4" xfId="0" applyNumberFormat="1" applyFont="1" applyFill="1" applyBorder="1" applyAlignment="1">
      <alignment horizontal="center" vertical="top" wrapText="1"/>
    </xf>
    <xf numFmtId="164" fontId="13" fillId="0" borderId="1" xfId="0" applyNumberFormat="1" applyFont="1" applyBorder="1" applyAlignment="1">
      <alignment horizontal="center" vertical="top" wrapText="1"/>
    </xf>
    <xf numFmtId="164" fontId="14" fillId="0" borderId="1" xfId="0" applyNumberFormat="1" applyFont="1" applyBorder="1" applyAlignment="1">
      <alignment horizontal="center" vertical="top" wrapText="1"/>
    </xf>
    <xf numFmtId="0" fontId="5" fillId="9" borderId="1" xfId="0" applyFont="1" applyFill="1" applyBorder="1" applyAlignment="1">
      <alignment horizontal="center" vertical="top" wrapText="1"/>
    </xf>
    <xf numFmtId="0" fontId="20" fillId="0" borderId="0" xfId="0" applyFont="1"/>
    <xf numFmtId="0" fontId="5" fillId="0" borderId="1" xfId="0" applyFont="1" applyBorder="1" applyAlignment="1">
      <alignment vertical="top" wrapText="1"/>
    </xf>
    <xf numFmtId="164" fontId="3" fillId="0" borderId="1" xfId="0" applyNumberFormat="1" applyFont="1" applyBorder="1" applyAlignment="1">
      <alignment vertical="top" wrapText="1"/>
    </xf>
    <xf numFmtId="164" fontId="20" fillId="0" borderId="0" xfId="0" applyNumberFormat="1" applyFont="1"/>
    <xf numFmtId="0" fontId="21" fillId="0" borderId="0" xfId="0" applyFont="1"/>
    <xf numFmtId="0" fontId="20" fillId="3" borderId="0" xfId="0" applyFont="1" applyFill="1"/>
    <xf numFmtId="0" fontId="3" fillId="0" borderId="1" xfId="0" applyFont="1" applyBorder="1" applyAlignment="1">
      <alignment horizontal="left" vertical="top" wrapText="1"/>
    </xf>
    <xf numFmtId="0" fontId="21" fillId="3" borderId="0" xfId="0" applyFont="1" applyFill="1"/>
    <xf numFmtId="0" fontId="5" fillId="3" borderId="0" xfId="0" applyFont="1" applyFill="1" applyBorder="1" applyAlignment="1">
      <alignment horizontal="left" vertical="top" wrapText="1"/>
    </xf>
    <xf numFmtId="164" fontId="3" fillId="0" borderId="2" xfId="0" applyNumberFormat="1" applyFont="1" applyBorder="1" applyAlignment="1">
      <alignment horizontal="center" vertical="top" wrapText="1"/>
    </xf>
    <xf numFmtId="164" fontId="3" fillId="0" borderId="8" xfId="0" applyNumberFormat="1" applyFont="1" applyBorder="1" applyAlignment="1">
      <alignment horizontal="center" vertical="top" wrapText="1"/>
    </xf>
    <xf numFmtId="164" fontId="3" fillId="0" borderId="4" xfId="0" applyNumberFormat="1" applyFont="1" applyBorder="1" applyAlignment="1">
      <alignment horizontal="center" vertical="top" wrapText="1"/>
    </xf>
    <xf numFmtId="0" fontId="5" fillId="9" borderId="1" xfId="0" applyFont="1" applyFill="1" applyBorder="1" applyAlignment="1">
      <alignment vertical="top" wrapText="1"/>
    </xf>
    <xf numFmtId="0" fontId="20" fillId="0" borderId="0" xfId="0" applyFont="1" applyAlignment="1">
      <alignment vertical="top"/>
    </xf>
    <xf numFmtId="164" fontId="5" fillId="9" borderId="12" xfId="0" applyNumberFormat="1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justify" vertical="top" wrapText="1"/>
    </xf>
    <xf numFmtId="164" fontId="5" fillId="7" borderId="1" xfId="0" applyNumberFormat="1" applyFont="1" applyFill="1" applyBorder="1" applyAlignment="1">
      <alignment horizontal="center" vertical="top"/>
    </xf>
    <xf numFmtId="0" fontId="13" fillId="3" borderId="2" xfId="0" applyFont="1" applyFill="1" applyBorder="1" applyAlignment="1">
      <alignment vertical="top" wrapText="1"/>
    </xf>
    <xf numFmtId="0" fontId="5" fillId="3" borderId="4" xfId="0" applyFont="1" applyFill="1" applyBorder="1" applyAlignment="1">
      <alignment vertical="top" wrapText="1"/>
    </xf>
    <xf numFmtId="0" fontId="5" fillId="8" borderId="1" xfId="0" applyFont="1" applyFill="1" applyBorder="1" applyAlignment="1">
      <alignment vertical="top" wrapText="1"/>
    </xf>
    <xf numFmtId="0" fontId="5" fillId="8" borderId="1" xfId="0" applyFont="1" applyFill="1" applyBorder="1" applyAlignment="1">
      <alignment horizontal="center" vertical="top" wrapText="1"/>
    </xf>
    <xf numFmtId="0" fontId="5" fillId="8" borderId="1" xfId="0" applyFont="1" applyFill="1" applyBorder="1" applyAlignment="1">
      <alignment horizontal="justify" vertical="top" wrapText="1"/>
    </xf>
    <xf numFmtId="0" fontId="3" fillId="4" borderId="1" xfId="0" applyFont="1" applyFill="1" applyBorder="1" applyAlignment="1">
      <alignment vertical="top"/>
    </xf>
    <xf numFmtId="164" fontId="3" fillId="4" borderId="1" xfId="0" applyNumberFormat="1" applyFont="1" applyFill="1" applyBorder="1" applyAlignment="1">
      <alignment vertical="top"/>
    </xf>
    <xf numFmtId="164" fontId="3" fillId="8" borderId="1" xfId="0" applyNumberFormat="1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justify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left" vertical="top" wrapText="1"/>
    </xf>
    <xf numFmtId="0" fontId="5" fillId="0" borderId="11" xfId="0" applyFont="1" applyBorder="1" applyAlignment="1">
      <alignment vertical="top" wrapText="1"/>
    </xf>
    <xf numFmtId="0" fontId="5" fillId="10" borderId="4" xfId="0" applyFont="1" applyFill="1" applyBorder="1" applyAlignment="1">
      <alignment vertical="top" wrapText="1"/>
    </xf>
    <xf numFmtId="166" fontId="5" fillId="10" borderId="1" xfId="0" applyNumberFormat="1" applyFont="1" applyFill="1" applyBorder="1" applyAlignment="1">
      <alignment horizontal="center" vertical="top" wrapText="1"/>
    </xf>
    <xf numFmtId="0" fontId="5" fillId="10" borderId="6" xfId="0" applyFont="1" applyFill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3" fillId="8" borderId="4" xfId="0" applyFont="1" applyFill="1" applyBorder="1" applyAlignment="1">
      <alignment horizontal="center" vertical="top" wrapText="1"/>
    </xf>
    <xf numFmtId="0" fontId="3" fillId="3" borderId="4" xfId="0" applyFont="1" applyFill="1" applyBorder="1" applyAlignment="1">
      <alignment horizontal="center" vertical="top" wrapText="1"/>
    </xf>
    <xf numFmtId="0" fontId="3" fillId="3" borderId="6" xfId="0" applyFont="1" applyFill="1" applyBorder="1" applyAlignment="1">
      <alignment horizontal="left" vertical="top" wrapText="1"/>
    </xf>
    <xf numFmtId="164" fontId="5" fillId="9" borderId="1" xfId="0" applyNumberFormat="1" applyFont="1" applyFill="1" applyBorder="1" applyAlignment="1">
      <alignment horizontal="center" vertical="top" wrapText="1"/>
    </xf>
    <xf numFmtId="164" fontId="5" fillId="8" borderId="1" xfId="0" applyNumberFormat="1" applyFont="1" applyFill="1" applyBorder="1" applyAlignment="1">
      <alignment horizontal="left" vertical="top" wrapText="1"/>
    </xf>
    <xf numFmtId="164" fontId="3" fillId="7" borderId="1" xfId="0" applyNumberFormat="1" applyFont="1" applyFill="1" applyBorder="1" applyAlignment="1">
      <alignment vertical="top" wrapText="1"/>
    </xf>
    <xf numFmtId="0" fontId="20" fillId="0" borderId="0" xfId="0" applyFont="1" applyBorder="1"/>
    <xf numFmtId="164" fontId="3" fillId="5" borderId="8" xfId="0" applyNumberFormat="1" applyFont="1" applyFill="1" applyBorder="1" applyAlignment="1">
      <alignment horizontal="center" vertical="top"/>
    </xf>
    <xf numFmtId="0" fontId="3" fillId="4" borderId="14" xfId="0" applyFont="1" applyFill="1" applyBorder="1" applyAlignment="1">
      <alignment vertical="top" wrapText="1"/>
    </xf>
    <xf numFmtId="164" fontId="3" fillId="4" borderId="8" xfId="0" applyNumberFormat="1" applyFont="1" applyFill="1" applyBorder="1" applyAlignment="1">
      <alignment vertical="top" wrapText="1"/>
    </xf>
    <xf numFmtId="164" fontId="3" fillId="7" borderId="4" xfId="0" applyNumberFormat="1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vertical="top" wrapText="1"/>
    </xf>
    <xf numFmtId="164" fontId="3" fillId="0" borderId="3" xfId="0" applyNumberFormat="1" applyFont="1" applyBorder="1" applyAlignment="1">
      <alignment vertical="top" wrapText="1"/>
    </xf>
    <xf numFmtId="0" fontId="5" fillId="3" borderId="5" xfId="0" applyFont="1" applyFill="1" applyBorder="1" applyAlignment="1">
      <alignment vertical="top" wrapText="1"/>
    </xf>
    <xf numFmtId="164" fontId="3" fillId="0" borderId="4" xfId="0" applyNumberFormat="1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21" fillId="0" borderId="9" xfId="0" applyFont="1" applyBorder="1" applyAlignment="1">
      <alignment wrapText="1"/>
    </xf>
    <xf numFmtId="0" fontId="21" fillId="0" borderId="0" xfId="0" applyFont="1" applyAlignment="1">
      <alignment wrapText="1"/>
    </xf>
    <xf numFmtId="0" fontId="14" fillId="0" borderId="1" xfId="0" applyFont="1" applyBorder="1" applyAlignment="1">
      <alignment vertical="top" wrapText="1"/>
    </xf>
    <xf numFmtId="164" fontId="14" fillId="0" borderId="4" xfId="0" applyNumberFormat="1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164" fontId="13" fillId="3" borderId="4" xfId="0" applyNumberFormat="1" applyFont="1" applyFill="1" applyBorder="1" applyAlignment="1">
      <alignment horizontal="center" vertical="top"/>
    </xf>
    <xf numFmtId="164" fontId="3" fillId="8" borderId="4" xfId="0" applyNumberFormat="1" applyFont="1" applyFill="1" applyBorder="1" applyAlignment="1">
      <alignment horizontal="left" vertical="top" wrapText="1"/>
    </xf>
    <xf numFmtId="164" fontId="3" fillId="8" borderId="4" xfId="0" applyNumberFormat="1" applyFont="1" applyFill="1" applyBorder="1" applyAlignment="1">
      <alignment vertical="top" wrapText="1"/>
    </xf>
    <xf numFmtId="164" fontId="3" fillId="7" borderId="4" xfId="0" applyNumberFormat="1" applyFont="1" applyFill="1" applyBorder="1" applyAlignment="1">
      <alignment vertical="top" wrapText="1"/>
    </xf>
    <xf numFmtId="164" fontId="3" fillId="3" borderId="3" xfId="0" applyNumberFormat="1" applyFont="1" applyFill="1" applyBorder="1" applyAlignment="1">
      <alignment vertical="top" wrapText="1"/>
    </xf>
    <xf numFmtId="164" fontId="3" fillId="3" borderId="4" xfId="0" applyNumberFormat="1" applyFont="1" applyFill="1" applyBorder="1" applyAlignment="1">
      <alignment vertical="top" wrapText="1"/>
    </xf>
    <xf numFmtId="164" fontId="5" fillId="0" borderId="4" xfId="0" applyNumberFormat="1" applyFont="1" applyBorder="1" applyAlignment="1">
      <alignment horizontal="center" vertical="top" wrapText="1"/>
    </xf>
    <xf numFmtId="0" fontId="3" fillId="8" borderId="4" xfId="0" applyFont="1" applyFill="1" applyBorder="1" applyAlignment="1">
      <alignment vertical="top" wrapText="1"/>
    </xf>
    <xf numFmtId="0" fontId="5" fillId="0" borderId="0" xfId="0" applyFont="1" applyBorder="1" applyAlignment="1">
      <alignment horizontal="justify" vertical="top" wrapText="1"/>
    </xf>
    <xf numFmtId="0" fontId="13" fillId="0" borderId="0" xfId="0" applyFont="1" applyAlignment="1">
      <alignment vertical="top" wrapText="1"/>
    </xf>
    <xf numFmtId="0" fontId="13" fillId="0" borderId="0" xfId="0" applyFont="1"/>
    <xf numFmtId="0" fontId="5" fillId="0" borderId="0" xfId="0" applyFont="1"/>
    <xf numFmtId="0" fontId="20" fillId="0" borderId="0" xfId="0" applyFont="1" applyAlignment="1">
      <alignment horizontal="center" vertical="top"/>
    </xf>
    <xf numFmtId="164" fontId="20" fillId="0" borderId="0" xfId="0" applyNumberFormat="1" applyFont="1" applyAlignment="1">
      <alignment horizontal="center" vertical="top"/>
    </xf>
    <xf numFmtId="164" fontId="3" fillId="0" borderId="2" xfId="0" applyNumberFormat="1" applyFont="1" applyBorder="1" applyAlignment="1">
      <alignment vertical="top" wrapText="1"/>
    </xf>
    <xf numFmtId="0" fontId="21" fillId="0" borderId="0" xfId="0" applyFont="1" applyBorder="1" applyAlignment="1">
      <alignment wrapText="1"/>
    </xf>
    <xf numFmtId="0" fontId="5" fillId="3" borderId="11" xfId="0" applyFont="1" applyFill="1" applyBorder="1" applyAlignment="1">
      <alignment horizontal="center" vertical="top" wrapText="1"/>
    </xf>
    <xf numFmtId="49" fontId="13" fillId="0" borderId="1" xfId="0" applyNumberFormat="1" applyFont="1" applyBorder="1" applyAlignment="1">
      <alignment horizontal="center" vertical="top" wrapText="1"/>
    </xf>
    <xf numFmtId="0" fontId="5" fillId="0" borderId="10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13" fillId="9" borderId="1" xfId="0" applyFont="1" applyFill="1" applyBorder="1" applyAlignment="1">
      <alignment horizontal="center" vertical="top" wrapText="1"/>
    </xf>
    <xf numFmtId="0" fontId="13" fillId="9" borderId="22" xfId="0" applyFont="1" applyFill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5" fillId="3" borderId="4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5" fillId="0" borderId="4" xfId="0" applyFont="1" applyBorder="1" applyAlignment="1">
      <alignment horizontal="left" vertical="top" wrapText="1"/>
    </xf>
    <xf numFmtId="0" fontId="5" fillId="3" borderId="3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justify" vertical="top" wrapText="1"/>
    </xf>
    <xf numFmtId="0" fontId="5" fillId="0" borderId="0" xfId="0" applyFont="1" applyAlignment="1">
      <alignment vertical="top" wrapText="1"/>
    </xf>
    <xf numFmtId="0" fontId="5" fillId="0" borderId="0" xfId="0" applyFont="1" applyAlignment="1">
      <alignment horizontal="left" vertical="top" wrapText="1"/>
    </xf>
    <xf numFmtId="0" fontId="3" fillId="0" borderId="23" xfId="0" applyFont="1" applyBorder="1" applyAlignment="1">
      <alignment vertical="top" wrapText="1"/>
    </xf>
    <xf numFmtId="0" fontId="3" fillId="3" borderId="24" xfId="0" applyFont="1" applyFill="1" applyBorder="1" applyAlignment="1">
      <alignment vertical="top" wrapText="1"/>
    </xf>
    <xf numFmtId="0" fontId="3" fillId="9" borderId="24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4" xfId="0" applyFont="1" applyBorder="1" applyAlignment="1">
      <alignment vertical="top" wrapText="1"/>
    </xf>
    <xf numFmtId="166" fontId="13" fillId="10" borderId="1" xfId="0" applyNumberFormat="1" applyFont="1" applyFill="1" applyBorder="1" applyAlignment="1">
      <alignment horizontal="center" vertical="top" wrapText="1"/>
    </xf>
    <xf numFmtId="164" fontId="20" fillId="3" borderId="0" xfId="0" applyNumberFormat="1" applyFont="1" applyFill="1"/>
    <xf numFmtId="0" fontId="5" fillId="0" borderId="0" xfId="0" applyFont="1" applyBorder="1" applyAlignment="1">
      <alignment horizontal="left" vertical="top"/>
    </xf>
    <xf numFmtId="164" fontId="22" fillId="0" borderId="0" xfId="0" applyNumberFormat="1" applyFont="1"/>
    <xf numFmtId="164" fontId="13" fillId="3" borderId="1" xfId="0" applyNumberFormat="1" applyFont="1" applyFill="1" applyBorder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164" fontId="13" fillId="3" borderId="8" xfId="0" applyNumberFormat="1" applyFont="1" applyFill="1" applyBorder="1" applyAlignment="1">
      <alignment horizontal="center" vertical="top" wrapText="1"/>
    </xf>
    <xf numFmtId="0" fontId="5" fillId="3" borderId="9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3" borderId="2" xfId="0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164" fontId="13" fillId="0" borderId="2" xfId="0" applyNumberFormat="1" applyFont="1" applyBorder="1" applyAlignment="1">
      <alignment horizontal="left" vertical="top" wrapText="1"/>
    </xf>
    <xf numFmtId="164" fontId="13" fillId="0" borderId="3" xfId="0" applyNumberFormat="1" applyFont="1" applyBorder="1" applyAlignment="1">
      <alignment horizontal="left" vertical="top" wrapText="1"/>
    </xf>
    <xf numFmtId="164" fontId="13" fillId="0" borderId="4" xfId="0" applyNumberFormat="1" applyFont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3" fillId="3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49" fontId="5" fillId="3" borderId="2" xfId="0" applyNumberFormat="1" applyFont="1" applyFill="1" applyBorder="1" applyAlignment="1">
      <alignment horizontal="center" vertical="top" wrapText="1"/>
    </xf>
    <xf numFmtId="49" fontId="5" fillId="3" borderId="4" xfId="0" applyNumberFormat="1" applyFont="1" applyFill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left" vertical="top" wrapText="1"/>
    </xf>
    <xf numFmtId="164" fontId="5" fillId="0" borderId="4" xfId="0" applyNumberFormat="1" applyFont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4" xfId="0" applyFont="1" applyFill="1" applyBorder="1" applyAlignment="1">
      <alignment horizontal="left" vertical="top" wrapText="1"/>
    </xf>
    <xf numFmtId="0" fontId="5" fillId="3" borderId="3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left" vertical="top" wrapText="1"/>
    </xf>
    <xf numFmtId="0" fontId="13" fillId="0" borderId="3" xfId="0" applyFont="1" applyBorder="1" applyAlignment="1">
      <alignment horizontal="left" vertical="top" wrapText="1"/>
    </xf>
    <xf numFmtId="0" fontId="13" fillId="0" borderId="4" xfId="0" applyFont="1" applyBorder="1" applyAlignment="1">
      <alignment horizontal="left" vertical="top" wrapText="1"/>
    </xf>
    <xf numFmtId="0" fontId="13" fillId="3" borderId="2" xfId="0" applyFont="1" applyFill="1" applyBorder="1" applyAlignment="1">
      <alignment horizontal="center" vertical="top" wrapText="1"/>
    </xf>
    <xf numFmtId="0" fontId="13" fillId="3" borderId="4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horizontal="left" vertical="top" wrapText="1"/>
    </xf>
    <xf numFmtId="164" fontId="5" fillId="3" borderId="2" xfId="0" applyNumberFormat="1" applyFont="1" applyFill="1" applyBorder="1" applyAlignment="1">
      <alignment horizontal="left" vertical="top" wrapText="1"/>
    </xf>
    <xf numFmtId="164" fontId="5" fillId="3" borderId="3" xfId="0" applyNumberFormat="1" applyFont="1" applyFill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10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164" fontId="3" fillId="0" borderId="2" xfId="0" applyNumberFormat="1" applyFont="1" applyBorder="1" applyAlignment="1">
      <alignment horizontal="left" vertical="top" wrapText="1"/>
    </xf>
    <xf numFmtId="164" fontId="3" fillId="0" borderId="3" xfId="0" applyNumberFormat="1" applyFont="1" applyBorder="1" applyAlignment="1">
      <alignment horizontal="left" vertical="top" wrapText="1"/>
    </xf>
    <xf numFmtId="164" fontId="3" fillId="0" borderId="4" xfId="0" applyNumberFormat="1" applyFont="1" applyBorder="1" applyAlignment="1">
      <alignment horizontal="left" vertical="top" wrapText="1"/>
    </xf>
    <xf numFmtId="164" fontId="3" fillId="3" borderId="2" xfId="0" applyNumberFormat="1" applyFont="1" applyFill="1" applyBorder="1" applyAlignment="1">
      <alignment horizontal="left" vertical="top" wrapText="1"/>
    </xf>
    <xf numFmtId="164" fontId="3" fillId="3" borderId="3" xfId="0" applyNumberFormat="1" applyFont="1" applyFill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164" fontId="5" fillId="3" borderId="4" xfId="0" applyNumberFormat="1" applyFont="1" applyFill="1" applyBorder="1" applyAlignment="1">
      <alignment horizontal="left" vertical="top" wrapText="1"/>
    </xf>
    <xf numFmtId="49" fontId="5" fillId="0" borderId="2" xfId="0" applyNumberFormat="1" applyFont="1" applyBorder="1" applyAlignment="1">
      <alignment horizontal="center" vertical="top" wrapText="1"/>
    </xf>
    <xf numFmtId="49" fontId="5" fillId="0" borderId="3" xfId="0" applyNumberFormat="1" applyFont="1" applyBorder="1" applyAlignment="1">
      <alignment horizontal="center" vertical="top" wrapText="1"/>
    </xf>
    <xf numFmtId="49" fontId="5" fillId="0" borderId="4" xfId="0" applyNumberFormat="1" applyFont="1" applyBorder="1" applyAlignment="1">
      <alignment horizontal="center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5" fillId="0" borderId="15" xfId="0" applyFont="1" applyBorder="1" applyAlignment="1">
      <alignment horizontal="left" vertical="top" wrapText="1"/>
    </xf>
    <xf numFmtId="0" fontId="5" fillId="0" borderId="16" xfId="0" applyFont="1" applyBorder="1" applyAlignment="1">
      <alignment horizontal="left" vertical="top" wrapText="1"/>
    </xf>
    <xf numFmtId="0" fontId="5" fillId="3" borderId="3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justify" vertical="top" wrapText="1"/>
    </xf>
    <xf numFmtId="0" fontId="13" fillId="0" borderId="1" xfId="0" applyFont="1" applyBorder="1" applyAlignment="1">
      <alignment horizontal="left" vertical="top" wrapText="1"/>
    </xf>
    <xf numFmtId="49" fontId="13" fillId="0" borderId="2" xfId="0" applyNumberFormat="1" applyFont="1" applyBorder="1" applyAlignment="1">
      <alignment horizontal="center" vertical="top" wrapText="1"/>
    </xf>
    <xf numFmtId="49" fontId="13" fillId="0" borderId="3" xfId="0" applyNumberFormat="1" applyFont="1" applyBorder="1" applyAlignment="1">
      <alignment horizontal="center" vertical="top" wrapText="1"/>
    </xf>
    <xf numFmtId="49" fontId="13" fillId="0" borderId="4" xfId="0" applyNumberFormat="1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 wrapText="1"/>
    </xf>
    <xf numFmtId="164" fontId="3" fillId="3" borderId="2" xfId="0" applyNumberFormat="1" applyFont="1" applyFill="1" applyBorder="1" applyAlignment="1">
      <alignment horizontal="center" vertical="top" wrapText="1"/>
    </xf>
    <xf numFmtId="164" fontId="3" fillId="3" borderId="3" xfId="0" applyNumberFormat="1" applyFont="1" applyFill="1" applyBorder="1" applyAlignment="1">
      <alignment horizontal="center" vertical="top" wrapText="1"/>
    </xf>
    <xf numFmtId="164" fontId="3" fillId="3" borderId="4" xfId="0" applyNumberFormat="1" applyFont="1" applyFill="1" applyBorder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5" fillId="0" borderId="15" xfId="0" applyFont="1" applyBorder="1" applyAlignment="1">
      <alignment horizontal="center" vertical="top" wrapText="1"/>
    </xf>
    <xf numFmtId="0" fontId="5" fillId="0" borderId="9" xfId="0" applyFont="1" applyBorder="1" applyAlignment="1">
      <alignment horizontal="center" vertical="top" wrapText="1"/>
    </xf>
    <xf numFmtId="0" fontId="5" fillId="0" borderId="16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0" fontId="13" fillId="0" borderId="3" xfId="0" applyFont="1" applyBorder="1" applyAlignment="1">
      <alignment horizontal="center" vertical="top" wrapText="1"/>
    </xf>
    <xf numFmtId="0" fontId="13" fillId="0" borderId="15" xfId="0" applyFont="1" applyBorder="1" applyAlignment="1">
      <alignment horizontal="left" vertical="top" wrapText="1"/>
    </xf>
    <xf numFmtId="0" fontId="13" fillId="0" borderId="16" xfId="0" applyFont="1" applyBorder="1" applyAlignment="1">
      <alignment horizontal="left" vertical="top" wrapText="1"/>
    </xf>
    <xf numFmtId="0" fontId="16" fillId="0" borderId="0" xfId="0" applyFont="1" applyAlignment="1">
      <alignment horizontal="center" vertical="center" wrapText="1"/>
    </xf>
    <xf numFmtId="0" fontId="17" fillId="7" borderId="9" xfId="0" applyFont="1" applyFill="1" applyBorder="1" applyAlignment="1">
      <alignment horizontal="center" vertical="center" wrapText="1"/>
    </xf>
    <xf numFmtId="0" fontId="17" fillId="7" borderId="0" xfId="0" applyFont="1" applyFill="1" applyBorder="1" applyAlignment="1">
      <alignment horizontal="center" vertical="center" wrapText="1"/>
    </xf>
    <xf numFmtId="0" fontId="17" fillId="7" borderId="12" xfId="0" applyFont="1" applyFill="1" applyBorder="1" applyAlignment="1">
      <alignment horizontal="center" vertical="center" wrapText="1"/>
    </xf>
  </cellXfs>
  <cellStyles count="2">
    <cellStyle name="Excel Built-in Normal" xfId="1" xr:uid="{48795526-0D47-4B88-AE3F-56B560CE652A}"/>
    <cellStyle name="Įprastas" xfId="0" builtinId="0"/>
  </cellStyles>
  <dxfs count="0"/>
  <tableStyles count="0" defaultTableStyle="TableStyleMedium2" defaultPivotStyle="PivotStyleLight16"/>
  <colors>
    <mruColors>
      <color rgb="FFFFFFCC"/>
      <color rgb="FFFFCCFF"/>
      <color rgb="FFFFFFFF"/>
      <color rgb="FF99FFCC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Ingrida Urbonavičienė" id="{AAEBD5AE-F9D1-4016-A09E-EFF4E226930A}" userId="S::ingrida.urbonaviciene@klaipeda.lt::d33d6e8e-9d5c-419c-9de0-ef40eb7ef2e0" providerId="AD"/>
</personList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33" dT="2023-10-24T06:39:48.97" personId="{AAEBD5AE-F9D1-4016-A09E-EFF4E226930A}" id="{EA0F4740-596B-4C29-A52D-D5664D3BDD5C}">
    <text>Laikinai skirtos lėšos, kurios bus grąžintos</text>
  </threadedComment>
  <threadedComment ref="F58" dT="2023-10-24T06:40:41.06" personId="{AAEBD5AE-F9D1-4016-A09E-EFF4E226930A}" id="{C247F29B-4D73-4CCF-AA1A-5996C488F63E}">
    <text>iš jų 87,4 tūkst. Eur laikinai skirtos lėšos, kurios bus grąžintos</text>
  </threadedComment>
  <threadedComment ref="G58" dT="2023-10-24T06:41:19.62" personId="{AAEBD5AE-F9D1-4016-A09E-EFF4E226930A}" id="{69475DD7-7A10-454B-9C99-342BC5C50C63}">
    <text>iš jų 87,3 tūkst. Eur laikinai skirtos lėšos, kurios bus grąžintos</text>
  </threadedComment>
  <threadedComment ref="H58" dT="2023-10-24T06:41:38.03" personId="{AAEBD5AE-F9D1-4016-A09E-EFF4E226930A}" id="{A7FB00C7-D610-4477-A0E7-08E976A990CD}">
    <text>iš jų 49,5 tūkst. Eur laikinai skirtos lėšos, kurios bus grąžintos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E112-3B8F-41F4-9BAA-5145454E912F}">
  <dimension ref="B1:N332"/>
  <sheetViews>
    <sheetView tabSelected="1" zoomScaleNormal="100" zoomScaleSheetLayoutView="80" workbookViewId="0">
      <selection activeCell="B4" sqref="B4:F4"/>
    </sheetView>
  </sheetViews>
  <sheetFormatPr defaultColWidth="9.109375" defaultRowHeight="13.8" x14ac:dyDescent="0.3"/>
  <cols>
    <col min="1" max="1" width="2.5546875" style="101" customWidth="1"/>
    <col min="2" max="2" width="17.6640625" style="114" customWidth="1"/>
    <col min="3" max="3" width="44.6640625" style="114" customWidth="1"/>
    <col min="4" max="4" width="14.5546875" style="167" customWidth="1"/>
    <col min="5" max="6" width="14.6640625" style="168" customWidth="1"/>
    <col min="7" max="7" width="9.109375" style="101"/>
    <col min="8" max="8" width="7" style="101" customWidth="1"/>
    <col min="9" max="9" width="11" style="101" customWidth="1"/>
    <col min="10" max="10" width="8.33203125" style="101" customWidth="1"/>
    <col min="11" max="11" width="8.109375" style="101" customWidth="1"/>
    <col min="12" max="16384" width="9.109375" style="101"/>
  </cols>
  <sheetData>
    <row r="1" spans="2:8" ht="49.95" customHeight="1" x14ac:dyDescent="0.3">
      <c r="B1" s="35"/>
      <c r="C1" s="261" t="s">
        <v>281</v>
      </c>
      <c r="D1" s="262"/>
      <c r="E1" s="262"/>
      <c r="F1" s="262"/>
    </row>
    <row r="2" spans="2:8" ht="34.950000000000003" customHeight="1" x14ac:dyDescent="0.3">
      <c r="B2" s="35"/>
      <c r="C2" s="261" t="s">
        <v>321</v>
      </c>
      <c r="D2" s="261"/>
      <c r="E2" s="261"/>
      <c r="F2" s="261"/>
    </row>
    <row r="3" spans="2:8" ht="16.95" customHeight="1" x14ac:dyDescent="0.3">
      <c r="B3" s="35"/>
      <c r="C3" s="35"/>
      <c r="D3" s="36"/>
      <c r="E3" s="77"/>
      <c r="F3" s="78"/>
    </row>
    <row r="4" spans="2:8" ht="34.200000000000003" customHeight="1" x14ac:dyDescent="0.3">
      <c r="B4" s="266" t="s">
        <v>265</v>
      </c>
      <c r="C4" s="266"/>
      <c r="D4" s="266"/>
      <c r="E4" s="266"/>
      <c r="F4" s="266"/>
    </row>
    <row r="5" spans="2:8" ht="60" customHeight="1" x14ac:dyDescent="0.3">
      <c r="B5" s="37" t="s">
        <v>0</v>
      </c>
      <c r="C5" s="37" t="s">
        <v>1</v>
      </c>
      <c r="D5" s="37" t="s">
        <v>283</v>
      </c>
      <c r="E5" s="38" t="s">
        <v>2</v>
      </c>
      <c r="F5" s="38" t="s">
        <v>3</v>
      </c>
    </row>
    <row r="6" spans="2:8" ht="12.6" customHeight="1" x14ac:dyDescent="0.3">
      <c r="B6" s="39">
        <v>1</v>
      </c>
      <c r="C6" s="39">
        <v>2</v>
      </c>
      <c r="D6" s="39">
        <v>3</v>
      </c>
      <c r="E6" s="81">
        <v>4</v>
      </c>
      <c r="F6" s="39">
        <v>5</v>
      </c>
    </row>
    <row r="7" spans="2:8" ht="28.5" customHeight="1" x14ac:dyDescent="0.3">
      <c r="B7" s="40" t="s">
        <v>232</v>
      </c>
      <c r="C7" s="41" t="s">
        <v>4</v>
      </c>
      <c r="D7" s="41"/>
      <c r="E7" s="63"/>
      <c r="F7" s="41"/>
    </row>
    <row r="8" spans="2:8" ht="30" customHeight="1" x14ac:dyDescent="0.3">
      <c r="B8" s="42" t="s">
        <v>233</v>
      </c>
      <c r="C8" s="42" t="s">
        <v>5</v>
      </c>
      <c r="D8" s="43"/>
      <c r="E8" s="44"/>
      <c r="F8" s="45"/>
    </row>
    <row r="9" spans="2:8" ht="29.25" customHeight="1" x14ac:dyDescent="0.3">
      <c r="B9" s="201" t="s">
        <v>6</v>
      </c>
      <c r="C9" s="13" t="s">
        <v>7</v>
      </c>
      <c r="D9" s="204" t="s">
        <v>302</v>
      </c>
      <c r="E9" s="3"/>
      <c r="F9" s="91" t="s">
        <v>246</v>
      </c>
    </row>
    <row r="10" spans="2:8" ht="28.2" customHeight="1" x14ac:dyDescent="0.3">
      <c r="B10" s="202"/>
      <c r="C10" s="102" t="s">
        <v>8</v>
      </c>
      <c r="D10" s="222"/>
      <c r="E10" s="92">
        <f>33678.6+17.2+29.7-47.3+8.3</f>
        <v>33686.499999999993</v>
      </c>
      <c r="F10" s="103"/>
    </row>
    <row r="11" spans="2:8" ht="18" customHeight="1" x14ac:dyDescent="0.3">
      <c r="B11" s="202"/>
      <c r="C11" s="102" t="s">
        <v>9</v>
      </c>
      <c r="D11" s="222"/>
      <c r="E11" s="92">
        <f>19190.9+238.3+35.1+1193.4</f>
        <v>20657.7</v>
      </c>
      <c r="F11" s="3"/>
      <c r="H11" s="104"/>
    </row>
    <row r="12" spans="2:8" ht="17.25" customHeight="1" x14ac:dyDescent="0.3">
      <c r="B12" s="202"/>
      <c r="C12" s="102" t="s">
        <v>10</v>
      </c>
      <c r="D12" s="222"/>
      <c r="E12" s="92">
        <f>5465.1+2.4</f>
        <v>5467.5</v>
      </c>
      <c r="F12" s="3"/>
    </row>
    <row r="13" spans="2:8" ht="17.25" customHeight="1" x14ac:dyDescent="0.3">
      <c r="B13" s="203"/>
      <c r="C13" s="102" t="s">
        <v>11</v>
      </c>
      <c r="D13" s="222"/>
      <c r="E13" s="92">
        <f>112.3+222.2</f>
        <v>334.5</v>
      </c>
      <c r="F13" s="3"/>
    </row>
    <row r="14" spans="2:8" ht="28.5" customHeight="1" x14ac:dyDescent="0.3">
      <c r="B14" s="201" t="s">
        <v>12</v>
      </c>
      <c r="C14" s="8" t="s">
        <v>13</v>
      </c>
      <c r="D14" s="222"/>
      <c r="E14" s="93"/>
      <c r="F14" s="91" t="s">
        <v>246</v>
      </c>
    </row>
    <row r="15" spans="2:8" ht="17.399999999999999" customHeight="1" x14ac:dyDescent="0.3">
      <c r="B15" s="203"/>
      <c r="C15" s="102" t="s">
        <v>9</v>
      </c>
      <c r="D15" s="222"/>
      <c r="E15" s="92">
        <f>1476.7+6.5+114.8</f>
        <v>1598</v>
      </c>
      <c r="F15" s="3"/>
    </row>
    <row r="16" spans="2:8" ht="18.75" customHeight="1" x14ac:dyDescent="0.3">
      <c r="B16" s="201" t="s">
        <v>14</v>
      </c>
      <c r="C16" s="8" t="s">
        <v>311</v>
      </c>
      <c r="D16" s="222"/>
      <c r="E16" s="93"/>
      <c r="F16" s="3"/>
      <c r="G16" s="105"/>
    </row>
    <row r="17" spans="2:7" ht="28.2" customHeight="1" x14ac:dyDescent="0.3">
      <c r="B17" s="203"/>
      <c r="C17" s="102" t="s">
        <v>8</v>
      </c>
      <c r="D17" s="222"/>
      <c r="E17" s="92">
        <f>463+47.3</f>
        <v>510.3</v>
      </c>
      <c r="F17" s="3"/>
      <c r="G17" s="106"/>
    </row>
    <row r="18" spans="2:7" ht="43.95" customHeight="1" x14ac:dyDescent="0.3">
      <c r="B18" s="201" t="s">
        <v>15</v>
      </c>
      <c r="C18" s="8" t="s">
        <v>17</v>
      </c>
      <c r="D18" s="222"/>
      <c r="E18" s="93"/>
      <c r="F18" s="3"/>
    </row>
    <row r="19" spans="2:7" ht="32.25" customHeight="1" x14ac:dyDescent="0.3">
      <c r="B19" s="202"/>
      <c r="C19" s="102" t="s">
        <v>8</v>
      </c>
      <c r="D19" s="222"/>
      <c r="E19" s="92">
        <f>2312.3+5.2</f>
        <v>2317.5</v>
      </c>
      <c r="F19" s="3"/>
    </row>
    <row r="20" spans="2:7" ht="18" customHeight="1" x14ac:dyDescent="0.3">
      <c r="B20" s="202"/>
      <c r="C20" s="102" t="s">
        <v>9</v>
      </c>
      <c r="D20" s="222"/>
      <c r="E20" s="97">
        <f>2831.6+6.5+284.6</f>
        <v>3122.7</v>
      </c>
      <c r="F20" s="3"/>
    </row>
    <row r="21" spans="2:7" ht="16.95" customHeight="1" x14ac:dyDescent="0.3">
      <c r="B21" s="202"/>
      <c r="C21" s="102" t="s">
        <v>10</v>
      </c>
      <c r="D21" s="222"/>
      <c r="E21" s="97">
        <v>561.6</v>
      </c>
      <c r="F21" s="3"/>
    </row>
    <row r="22" spans="2:7" ht="18" customHeight="1" x14ac:dyDescent="0.3">
      <c r="B22" s="203"/>
      <c r="C22" s="102" t="s">
        <v>11</v>
      </c>
      <c r="D22" s="222"/>
      <c r="E22" s="92">
        <f>19+24.8</f>
        <v>43.8</v>
      </c>
      <c r="F22" s="3"/>
    </row>
    <row r="23" spans="2:7" ht="30.75" customHeight="1" x14ac:dyDescent="0.3">
      <c r="B23" s="201" t="s">
        <v>16</v>
      </c>
      <c r="C23" s="65" t="s">
        <v>216</v>
      </c>
      <c r="D23" s="222"/>
      <c r="E23" s="93"/>
      <c r="F23" s="3"/>
    </row>
    <row r="24" spans="2:7" ht="18" customHeight="1" x14ac:dyDescent="0.3">
      <c r="B24" s="203"/>
      <c r="C24" s="102" t="s">
        <v>9</v>
      </c>
      <c r="D24" s="222"/>
      <c r="E24" s="92">
        <f>444.1+0.7+70.1</f>
        <v>514.9</v>
      </c>
      <c r="F24" s="3"/>
    </row>
    <row r="25" spans="2:7" ht="31.5" customHeight="1" x14ac:dyDescent="0.3">
      <c r="B25" s="201" t="s">
        <v>18</v>
      </c>
      <c r="C25" s="8" t="s">
        <v>20</v>
      </c>
      <c r="D25" s="222"/>
      <c r="E25" s="98"/>
      <c r="F25" s="3"/>
    </row>
    <row r="26" spans="2:7" ht="31.5" customHeight="1" x14ac:dyDescent="0.3">
      <c r="B26" s="202"/>
      <c r="C26" s="102" t="s">
        <v>8</v>
      </c>
      <c r="D26" s="222"/>
      <c r="E26" s="92">
        <f>14795.1+81.8+193.3</f>
        <v>15070.199999999999</v>
      </c>
      <c r="F26" s="3"/>
    </row>
    <row r="27" spans="2:7" ht="19.2" customHeight="1" x14ac:dyDescent="0.3">
      <c r="B27" s="202"/>
      <c r="C27" s="102" t="s">
        <v>9</v>
      </c>
      <c r="D27" s="222"/>
      <c r="E27" s="98">
        <f>58260.1+4271.5</f>
        <v>62531.6</v>
      </c>
      <c r="F27" s="3"/>
    </row>
    <row r="28" spans="2:7" ht="20.399999999999999" customHeight="1" x14ac:dyDescent="0.3">
      <c r="B28" s="202"/>
      <c r="C28" s="102" t="s">
        <v>10</v>
      </c>
      <c r="D28" s="222"/>
      <c r="E28" s="92">
        <v>1402.6</v>
      </c>
      <c r="F28" s="3"/>
    </row>
    <row r="29" spans="2:7" ht="18" customHeight="1" x14ac:dyDescent="0.3">
      <c r="B29" s="203"/>
      <c r="C29" s="102" t="s">
        <v>11</v>
      </c>
      <c r="D29" s="222"/>
      <c r="E29" s="92">
        <f>97.6+19.1</f>
        <v>116.69999999999999</v>
      </c>
      <c r="F29" s="3"/>
    </row>
    <row r="30" spans="2:7" ht="40.950000000000003" customHeight="1" x14ac:dyDescent="0.3">
      <c r="B30" s="223" t="s">
        <v>19</v>
      </c>
      <c r="C30" s="107" t="s">
        <v>22</v>
      </c>
      <c r="D30" s="222"/>
      <c r="E30" s="99"/>
      <c r="F30" s="3"/>
      <c r="G30" s="105"/>
    </row>
    <row r="31" spans="2:7" ht="19.2" customHeight="1" x14ac:dyDescent="0.3">
      <c r="B31" s="225"/>
      <c r="C31" s="61" t="s">
        <v>23</v>
      </c>
      <c r="D31" s="222"/>
      <c r="E31" s="92">
        <v>96</v>
      </c>
      <c r="F31" s="3"/>
      <c r="G31" s="108"/>
    </row>
    <row r="32" spans="2:7" ht="31.2" customHeight="1" x14ac:dyDescent="0.3">
      <c r="B32" s="201" t="s">
        <v>21</v>
      </c>
      <c r="C32" s="8" t="s">
        <v>255</v>
      </c>
      <c r="D32" s="73"/>
      <c r="E32" s="99"/>
      <c r="F32" s="91"/>
      <c r="G32" s="108"/>
    </row>
    <row r="33" spans="2:7" ht="20.399999999999999" customHeight="1" x14ac:dyDescent="0.3">
      <c r="B33" s="203"/>
      <c r="C33" s="102" t="s">
        <v>9</v>
      </c>
      <c r="D33" s="73"/>
      <c r="E33" s="92">
        <v>518.70000000000005</v>
      </c>
      <c r="F33" s="3"/>
      <c r="G33" s="108"/>
    </row>
    <row r="34" spans="2:7" ht="153.6" customHeight="1" x14ac:dyDescent="0.3">
      <c r="B34" s="201" t="s">
        <v>24</v>
      </c>
      <c r="C34" s="13" t="s">
        <v>26</v>
      </c>
      <c r="D34" s="171" t="s">
        <v>303</v>
      </c>
      <c r="E34" s="93"/>
      <c r="F34" s="3"/>
      <c r="G34" s="200"/>
    </row>
    <row r="35" spans="2:7" ht="21" customHeight="1" x14ac:dyDescent="0.3">
      <c r="B35" s="202"/>
      <c r="C35" s="61" t="s">
        <v>9</v>
      </c>
      <c r="D35" s="204" t="s">
        <v>287</v>
      </c>
      <c r="E35" s="92">
        <v>421.6</v>
      </c>
      <c r="F35" s="3"/>
      <c r="G35" s="200"/>
    </row>
    <row r="36" spans="2:7" ht="87.6" customHeight="1" x14ac:dyDescent="0.3">
      <c r="B36" s="202"/>
      <c r="C36" s="61" t="s">
        <v>96</v>
      </c>
      <c r="D36" s="205"/>
      <c r="E36" s="92">
        <v>2147.1999999999998</v>
      </c>
      <c r="F36" s="3"/>
      <c r="G36" s="200"/>
    </row>
    <row r="37" spans="2:7" ht="18.600000000000001" customHeight="1" x14ac:dyDescent="0.3">
      <c r="B37" s="202"/>
      <c r="C37" s="61" t="s">
        <v>9</v>
      </c>
      <c r="D37" s="204" t="s">
        <v>288</v>
      </c>
      <c r="E37" s="92">
        <v>19.3</v>
      </c>
      <c r="F37" s="75"/>
      <c r="G37" s="200"/>
    </row>
    <row r="38" spans="2:7" ht="37.200000000000003" customHeight="1" x14ac:dyDescent="0.3">
      <c r="B38" s="202"/>
      <c r="C38" s="61" t="s">
        <v>96</v>
      </c>
      <c r="D38" s="205"/>
      <c r="E38" s="92">
        <v>91.5</v>
      </c>
      <c r="F38" s="75"/>
      <c r="G38" s="109"/>
    </row>
    <row r="39" spans="2:7" ht="33.6" customHeight="1" x14ac:dyDescent="0.3">
      <c r="B39" s="203"/>
      <c r="C39" s="61" t="s">
        <v>96</v>
      </c>
      <c r="D39" s="181" t="s">
        <v>95</v>
      </c>
      <c r="E39" s="92">
        <v>53.5</v>
      </c>
      <c r="F39" s="75"/>
      <c r="G39" s="109"/>
    </row>
    <row r="40" spans="2:7" ht="30" customHeight="1" x14ac:dyDescent="0.3">
      <c r="B40" s="201" t="s">
        <v>25</v>
      </c>
      <c r="C40" s="8" t="s">
        <v>28</v>
      </c>
      <c r="D40" s="212" t="s">
        <v>289</v>
      </c>
      <c r="E40" s="93"/>
      <c r="F40" s="91"/>
    </row>
    <row r="41" spans="2:7" ht="77.400000000000006" customHeight="1" x14ac:dyDescent="0.3">
      <c r="B41" s="203"/>
      <c r="C41" s="102" t="s">
        <v>9</v>
      </c>
      <c r="D41" s="214"/>
      <c r="E41" s="92">
        <f>4564.9+2.2+493.8</f>
        <v>5060.8999999999996</v>
      </c>
      <c r="F41" s="3"/>
    </row>
    <row r="42" spans="2:7" ht="42" customHeight="1" x14ac:dyDescent="0.3">
      <c r="B42" s="201" t="s">
        <v>27</v>
      </c>
      <c r="C42" s="8" t="s">
        <v>30</v>
      </c>
      <c r="D42" s="212" t="s">
        <v>290</v>
      </c>
      <c r="E42" s="92"/>
      <c r="F42" s="3"/>
    </row>
    <row r="43" spans="2:7" ht="29.4" customHeight="1" x14ac:dyDescent="0.3">
      <c r="B43" s="203"/>
      <c r="C43" s="102" t="s">
        <v>8</v>
      </c>
      <c r="D43" s="214"/>
      <c r="E43" s="92">
        <v>41.3</v>
      </c>
      <c r="F43" s="3"/>
    </row>
    <row r="44" spans="2:7" ht="44.4" customHeight="1" x14ac:dyDescent="0.3">
      <c r="B44" s="201" t="s">
        <v>29</v>
      </c>
      <c r="C44" s="8" t="s">
        <v>256</v>
      </c>
      <c r="D44" s="263" t="s">
        <v>291</v>
      </c>
      <c r="E44" s="92"/>
      <c r="F44" s="3"/>
    </row>
    <row r="45" spans="2:7" ht="32.25" customHeight="1" x14ac:dyDescent="0.3">
      <c r="B45" s="203"/>
      <c r="C45" s="102" t="s">
        <v>8</v>
      </c>
      <c r="D45" s="264"/>
      <c r="E45" s="94">
        <v>12.6</v>
      </c>
      <c r="F45" s="110"/>
      <c r="G45" s="105"/>
    </row>
    <row r="46" spans="2:7" ht="32.25" customHeight="1" x14ac:dyDescent="0.3">
      <c r="B46" s="201" t="s">
        <v>31</v>
      </c>
      <c r="C46" s="8" t="s">
        <v>33</v>
      </c>
      <c r="D46" s="264"/>
      <c r="E46" s="95"/>
      <c r="F46" s="111"/>
    </row>
    <row r="47" spans="2:7" ht="32.25" customHeight="1" x14ac:dyDescent="0.3">
      <c r="B47" s="202"/>
      <c r="C47" s="102" t="s">
        <v>8</v>
      </c>
      <c r="D47" s="264"/>
      <c r="E47" s="96">
        <f>10995.6+1</f>
        <v>10996.6</v>
      </c>
      <c r="F47" s="111"/>
    </row>
    <row r="48" spans="2:7" ht="18.600000000000001" customHeight="1" x14ac:dyDescent="0.3">
      <c r="B48" s="202"/>
      <c r="C48" s="102" t="s">
        <v>9</v>
      </c>
      <c r="D48" s="264"/>
      <c r="E48" s="199">
        <f>160.2+3.8</f>
        <v>164</v>
      </c>
      <c r="F48" s="111"/>
    </row>
    <row r="49" spans="2:7" ht="19.2" customHeight="1" x14ac:dyDescent="0.3">
      <c r="B49" s="202"/>
      <c r="C49" s="102" t="s">
        <v>10</v>
      </c>
      <c r="D49" s="264"/>
      <c r="E49" s="97">
        <v>488.7</v>
      </c>
      <c r="F49" s="112"/>
    </row>
    <row r="50" spans="2:7" ht="18" customHeight="1" x14ac:dyDescent="0.3">
      <c r="B50" s="203"/>
      <c r="C50" s="102" t="s">
        <v>11</v>
      </c>
      <c r="D50" s="264"/>
      <c r="E50" s="92">
        <v>105.9</v>
      </c>
      <c r="F50" s="3"/>
    </row>
    <row r="51" spans="2:7" ht="28.2" customHeight="1" x14ac:dyDescent="0.3">
      <c r="B51" s="201" t="s">
        <v>32</v>
      </c>
      <c r="C51" s="8" t="s">
        <v>35</v>
      </c>
      <c r="D51" s="264"/>
      <c r="E51" s="92"/>
      <c r="F51" s="3"/>
    </row>
    <row r="52" spans="2:7" ht="30.75" customHeight="1" x14ac:dyDescent="0.3">
      <c r="B52" s="203"/>
      <c r="C52" s="102" t="s">
        <v>8</v>
      </c>
      <c r="D52" s="264"/>
      <c r="E52" s="92">
        <v>53.1</v>
      </c>
      <c r="F52" s="3"/>
      <c r="G52" s="106"/>
    </row>
    <row r="53" spans="2:7" ht="30.75" customHeight="1" x14ac:dyDescent="0.3">
      <c r="B53" s="201" t="s">
        <v>34</v>
      </c>
      <c r="C53" s="8" t="s">
        <v>37</v>
      </c>
      <c r="D53" s="264"/>
      <c r="E53" s="93"/>
      <c r="F53" s="184" t="s">
        <v>247</v>
      </c>
    </row>
    <row r="54" spans="2:7" ht="30.75" customHeight="1" x14ac:dyDescent="0.3">
      <c r="B54" s="202"/>
      <c r="C54" s="102" t="s">
        <v>8</v>
      </c>
      <c r="D54" s="264"/>
      <c r="E54" s="92">
        <v>563.5</v>
      </c>
      <c r="F54" s="3"/>
    </row>
    <row r="55" spans="2:7" ht="18" customHeight="1" x14ac:dyDescent="0.3">
      <c r="B55" s="202"/>
      <c r="C55" s="102" t="s">
        <v>9</v>
      </c>
      <c r="D55" s="264"/>
      <c r="E55" s="97">
        <f>1145.3+64.7</f>
        <v>1210</v>
      </c>
      <c r="F55" s="3"/>
    </row>
    <row r="56" spans="2:7" ht="18" customHeight="1" x14ac:dyDescent="0.3">
      <c r="B56" s="202"/>
      <c r="C56" s="102" t="s">
        <v>10</v>
      </c>
      <c r="D56" s="264"/>
      <c r="E56" s="97">
        <v>22</v>
      </c>
      <c r="F56" s="3"/>
    </row>
    <row r="57" spans="2:7" ht="18" customHeight="1" x14ac:dyDescent="0.3">
      <c r="B57" s="203"/>
      <c r="C57" s="102" t="s">
        <v>11</v>
      </c>
      <c r="D57" s="264"/>
      <c r="E57" s="92">
        <f>3.3+0.6</f>
        <v>3.9</v>
      </c>
      <c r="F57" s="3"/>
    </row>
    <row r="58" spans="2:7" ht="42.6" customHeight="1" x14ac:dyDescent="0.3">
      <c r="B58" s="201" t="s">
        <v>36</v>
      </c>
      <c r="C58" s="8" t="s">
        <v>39</v>
      </c>
      <c r="D58" s="264"/>
      <c r="E58" s="93"/>
      <c r="F58" s="3"/>
      <c r="G58" s="105"/>
    </row>
    <row r="59" spans="2:7" s="114" customFormat="1" ht="29.25" customHeight="1" x14ac:dyDescent="0.3">
      <c r="B59" s="202"/>
      <c r="C59" s="113" t="s">
        <v>8</v>
      </c>
      <c r="D59" s="264"/>
      <c r="E59" s="92">
        <v>97.1</v>
      </c>
      <c r="F59" s="3"/>
    </row>
    <row r="60" spans="2:7" ht="27.75" customHeight="1" x14ac:dyDescent="0.3">
      <c r="B60" s="201" t="s">
        <v>38</v>
      </c>
      <c r="C60" s="8" t="s">
        <v>41</v>
      </c>
      <c r="D60" s="264"/>
      <c r="E60" s="93"/>
      <c r="F60" s="91"/>
    </row>
    <row r="61" spans="2:7" ht="29.25" customHeight="1" x14ac:dyDescent="0.3">
      <c r="B61" s="202"/>
      <c r="C61" s="102" t="s">
        <v>8</v>
      </c>
      <c r="D61" s="264"/>
      <c r="E61" s="92">
        <f>884.3+0.6</f>
        <v>884.9</v>
      </c>
      <c r="F61" s="3"/>
    </row>
    <row r="62" spans="2:7" ht="19.5" customHeight="1" x14ac:dyDescent="0.3">
      <c r="B62" s="202"/>
      <c r="C62" s="102" t="s">
        <v>9</v>
      </c>
      <c r="D62" s="264"/>
      <c r="E62" s="97">
        <f>410.6+0.7+34.6</f>
        <v>445.90000000000003</v>
      </c>
      <c r="F62" s="3"/>
    </row>
    <row r="63" spans="2:7" ht="16.95" customHeight="1" x14ac:dyDescent="0.3">
      <c r="B63" s="202"/>
      <c r="C63" s="102" t="s">
        <v>10</v>
      </c>
      <c r="D63" s="264"/>
      <c r="E63" s="97">
        <v>60.4</v>
      </c>
      <c r="F63" s="3"/>
    </row>
    <row r="64" spans="2:7" ht="18" customHeight="1" x14ac:dyDescent="0.3">
      <c r="B64" s="203"/>
      <c r="C64" s="102" t="s">
        <v>11</v>
      </c>
      <c r="D64" s="264"/>
      <c r="E64" s="92">
        <f>4.8+1.9</f>
        <v>6.6999999999999993</v>
      </c>
      <c r="F64" s="3"/>
    </row>
    <row r="65" spans="2:6" ht="28.5" customHeight="1" x14ac:dyDescent="0.3">
      <c r="B65" s="201" t="s">
        <v>40</v>
      </c>
      <c r="C65" s="8" t="s">
        <v>43</v>
      </c>
      <c r="D65" s="264"/>
      <c r="E65" s="93"/>
      <c r="F65" s="91" t="s">
        <v>248</v>
      </c>
    </row>
    <row r="66" spans="2:6" ht="28.5" customHeight="1" x14ac:dyDescent="0.3">
      <c r="B66" s="202"/>
      <c r="C66" s="102" t="s">
        <v>8</v>
      </c>
      <c r="D66" s="264"/>
      <c r="E66" s="92">
        <v>517</v>
      </c>
      <c r="F66" s="3"/>
    </row>
    <row r="67" spans="2:6" ht="18" customHeight="1" x14ac:dyDescent="0.3">
      <c r="B67" s="202"/>
      <c r="C67" s="102" t="s">
        <v>10</v>
      </c>
      <c r="D67" s="264"/>
      <c r="E67" s="97">
        <v>35</v>
      </c>
      <c r="F67" s="3"/>
    </row>
    <row r="68" spans="2:6" ht="17.399999999999999" customHeight="1" x14ac:dyDescent="0.3">
      <c r="B68" s="203"/>
      <c r="C68" s="102" t="s">
        <v>11</v>
      </c>
      <c r="D68" s="265"/>
      <c r="E68" s="92">
        <f>2.5+1.5</f>
        <v>4</v>
      </c>
      <c r="F68" s="3"/>
    </row>
    <row r="69" spans="2:6" ht="42" customHeight="1" x14ac:dyDescent="0.3">
      <c r="B69" s="201" t="s">
        <v>42</v>
      </c>
      <c r="C69" s="8" t="s">
        <v>45</v>
      </c>
      <c r="D69" s="212" t="s">
        <v>290</v>
      </c>
      <c r="E69" s="98"/>
      <c r="F69" s="184" t="s">
        <v>249</v>
      </c>
    </row>
    <row r="70" spans="2:6" ht="28.5" customHeight="1" x14ac:dyDescent="0.3">
      <c r="B70" s="203"/>
      <c r="C70" s="102" t="s">
        <v>8</v>
      </c>
      <c r="D70" s="214"/>
      <c r="E70" s="98">
        <v>10.4</v>
      </c>
      <c r="F70" s="3"/>
    </row>
    <row r="71" spans="2:6" ht="30.6" customHeight="1" x14ac:dyDescent="0.3">
      <c r="B71" s="201" t="s">
        <v>44</v>
      </c>
      <c r="C71" s="66" t="s">
        <v>217</v>
      </c>
      <c r="D71" s="212" t="s">
        <v>289</v>
      </c>
      <c r="E71" s="98"/>
      <c r="F71" s="91"/>
    </row>
    <row r="72" spans="2:6" ht="28.5" customHeight="1" x14ac:dyDescent="0.3">
      <c r="B72" s="203"/>
      <c r="C72" s="102" t="s">
        <v>8</v>
      </c>
      <c r="D72" s="213"/>
      <c r="E72" s="92">
        <f>137-20</f>
        <v>117</v>
      </c>
      <c r="F72" s="3"/>
    </row>
    <row r="73" spans="2:6" ht="31.2" customHeight="1" x14ac:dyDescent="0.3">
      <c r="B73" s="201" t="s">
        <v>46</v>
      </c>
      <c r="C73" s="8" t="s">
        <v>218</v>
      </c>
      <c r="D73" s="213"/>
      <c r="E73" s="98"/>
      <c r="F73" s="3"/>
    </row>
    <row r="74" spans="2:6" ht="28.5" customHeight="1" x14ac:dyDescent="0.3">
      <c r="B74" s="203"/>
      <c r="C74" s="102" t="s">
        <v>8</v>
      </c>
      <c r="D74" s="213"/>
      <c r="E74" s="92">
        <v>143.6</v>
      </c>
      <c r="F74" s="3"/>
    </row>
    <row r="75" spans="2:6" ht="45.6" customHeight="1" x14ac:dyDescent="0.3">
      <c r="B75" s="201" t="s">
        <v>47</v>
      </c>
      <c r="C75" s="8" t="s">
        <v>49</v>
      </c>
      <c r="D75" s="213"/>
      <c r="E75" s="98"/>
      <c r="F75" s="184" t="s">
        <v>250</v>
      </c>
    </row>
    <row r="76" spans="2:6" ht="31.5" customHeight="1" x14ac:dyDescent="0.3">
      <c r="B76" s="203"/>
      <c r="C76" s="102" t="s">
        <v>8</v>
      </c>
      <c r="D76" s="214"/>
      <c r="E76" s="98">
        <v>400.1</v>
      </c>
      <c r="F76" s="3"/>
    </row>
    <row r="77" spans="2:6" ht="31.5" customHeight="1" x14ac:dyDescent="0.3">
      <c r="B77" s="201" t="s">
        <v>48</v>
      </c>
      <c r="C77" s="13" t="s">
        <v>51</v>
      </c>
      <c r="D77" s="204" t="s">
        <v>290</v>
      </c>
      <c r="E77" s="92"/>
      <c r="F77" s="3"/>
    </row>
    <row r="78" spans="2:6" ht="31.5" customHeight="1" x14ac:dyDescent="0.3">
      <c r="B78" s="202"/>
      <c r="C78" s="61" t="s">
        <v>8</v>
      </c>
      <c r="D78" s="222"/>
      <c r="E78" s="92">
        <f>92.8+101.6</f>
        <v>194.39999999999998</v>
      </c>
      <c r="F78" s="3"/>
    </row>
    <row r="79" spans="2:6" ht="18" customHeight="1" x14ac:dyDescent="0.3">
      <c r="B79" s="202"/>
      <c r="C79" s="61" t="s">
        <v>11</v>
      </c>
      <c r="D79" s="222"/>
      <c r="E79" s="92">
        <v>395.2</v>
      </c>
      <c r="F79" s="3"/>
    </row>
    <row r="80" spans="2:6" ht="18" customHeight="1" x14ac:dyDescent="0.3">
      <c r="B80" s="203"/>
      <c r="C80" s="61" t="s">
        <v>9</v>
      </c>
      <c r="D80" s="222"/>
      <c r="E80" s="92">
        <f>593.6+1370.6-1619.2</f>
        <v>344.99999999999977</v>
      </c>
      <c r="F80" s="3"/>
    </row>
    <row r="81" spans="2:9" ht="53.25" customHeight="1" x14ac:dyDescent="0.3">
      <c r="B81" s="201" t="s">
        <v>50</v>
      </c>
      <c r="C81" s="13" t="s">
        <v>320</v>
      </c>
      <c r="D81" s="222"/>
      <c r="E81" s="92"/>
      <c r="F81" s="3"/>
    </row>
    <row r="82" spans="2:9" ht="29.25" customHeight="1" x14ac:dyDescent="0.3">
      <c r="B82" s="202"/>
      <c r="C82" s="61" t="s">
        <v>8</v>
      </c>
      <c r="D82" s="222"/>
      <c r="E82" s="92">
        <f>132.4-5.7</f>
        <v>126.7</v>
      </c>
      <c r="F82" s="3"/>
    </row>
    <row r="83" spans="2:9" ht="19.2" customHeight="1" x14ac:dyDescent="0.3">
      <c r="B83" s="203"/>
      <c r="C83" s="61" t="s">
        <v>9</v>
      </c>
      <c r="D83" s="222"/>
      <c r="E83" s="92">
        <v>5</v>
      </c>
      <c r="F83" s="3"/>
    </row>
    <row r="84" spans="2:9" ht="32.4" customHeight="1" x14ac:dyDescent="0.3">
      <c r="B84" s="201" t="s">
        <v>52</v>
      </c>
      <c r="C84" s="13" t="s">
        <v>219</v>
      </c>
      <c r="D84" s="222"/>
      <c r="E84" s="93"/>
      <c r="F84" s="91"/>
    </row>
    <row r="85" spans="2:9" ht="20.25" customHeight="1" x14ac:dyDescent="0.3">
      <c r="B85" s="203"/>
      <c r="C85" s="61" t="s">
        <v>9</v>
      </c>
      <c r="D85" s="205"/>
      <c r="E85" s="92">
        <f>137-43.1</f>
        <v>93.9</v>
      </c>
      <c r="F85" s="3"/>
    </row>
    <row r="86" spans="2:9" ht="20.25" customHeight="1" x14ac:dyDescent="0.3">
      <c r="B86" s="201" t="s">
        <v>53</v>
      </c>
      <c r="C86" s="8" t="s">
        <v>57</v>
      </c>
      <c r="D86" s="212" t="s">
        <v>289</v>
      </c>
      <c r="E86" s="98"/>
      <c r="F86" s="3"/>
    </row>
    <row r="87" spans="2:9" ht="90" customHeight="1" x14ac:dyDescent="0.3">
      <c r="B87" s="203"/>
      <c r="C87" s="102" t="s">
        <v>8</v>
      </c>
      <c r="D87" s="214"/>
      <c r="E87" s="98">
        <f>632.2-54</f>
        <v>578.20000000000005</v>
      </c>
      <c r="F87" s="3"/>
    </row>
    <row r="88" spans="2:9" ht="42.75" customHeight="1" x14ac:dyDescent="0.3">
      <c r="B88" s="201" t="s">
        <v>54</v>
      </c>
      <c r="C88" s="8" t="s">
        <v>59</v>
      </c>
      <c r="D88" s="212" t="s">
        <v>290</v>
      </c>
      <c r="E88" s="98"/>
      <c r="F88" s="3"/>
    </row>
    <row r="89" spans="2:9" ht="27.75" customHeight="1" x14ac:dyDescent="0.3">
      <c r="B89" s="203"/>
      <c r="C89" s="102" t="s">
        <v>8</v>
      </c>
      <c r="D89" s="214"/>
      <c r="E89" s="92">
        <v>48.8</v>
      </c>
      <c r="F89" s="3"/>
    </row>
    <row r="90" spans="2:9" ht="55.95" customHeight="1" x14ac:dyDescent="0.3">
      <c r="B90" s="201" t="s">
        <v>56</v>
      </c>
      <c r="C90" s="8" t="s">
        <v>61</v>
      </c>
      <c r="D90" s="212" t="s">
        <v>289</v>
      </c>
      <c r="E90" s="98"/>
      <c r="F90" s="91" t="s">
        <v>248</v>
      </c>
    </row>
    <row r="91" spans="2:9" ht="34.950000000000003" customHeight="1" x14ac:dyDescent="0.3">
      <c r="B91" s="202"/>
      <c r="C91" s="102" t="s">
        <v>8</v>
      </c>
      <c r="D91" s="213"/>
      <c r="E91" s="92">
        <f>455.7+2.2</f>
        <v>457.9</v>
      </c>
      <c r="F91" s="3"/>
    </row>
    <row r="92" spans="2:9" ht="17.399999999999999" customHeight="1" x14ac:dyDescent="0.3">
      <c r="B92" s="203"/>
      <c r="C92" s="102" t="s">
        <v>9</v>
      </c>
      <c r="D92" s="214"/>
      <c r="E92" s="92">
        <f>5.1+64.8</f>
        <v>69.899999999999991</v>
      </c>
      <c r="F92" s="3"/>
    </row>
    <row r="93" spans="2:9" ht="33" customHeight="1" x14ac:dyDescent="0.3">
      <c r="B93" s="201" t="s">
        <v>58</v>
      </c>
      <c r="C93" s="8" t="s">
        <v>257</v>
      </c>
      <c r="D93" s="212" t="s">
        <v>292</v>
      </c>
      <c r="E93" s="99"/>
      <c r="F93" s="3"/>
    </row>
    <row r="94" spans="2:9" ht="30" customHeight="1" x14ac:dyDescent="0.3">
      <c r="B94" s="203"/>
      <c r="C94" s="102" t="s">
        <v>8</v>
      </c>
      <c r="D94" s="214"/>
      <c r="E94" s="92">
        <f>75-35</f>
        <v>40</v>
      </c>
      <c r="F94" s="3"/>
      <c r="I94" s="106"/>
    </row>
    <row r="95" spans="2:9" ht="30" customHeight="1" x14ac:dyDescent="0.3">
      <c r="B95" s="201" t="s">
        <v>60</v>
      </c>
      <c r="C95" s="89" t="s">
        <v>282</v>
      </c>
      <c r="D95" s="256" t="s">
        <v>289</v>
      </c>
      <c r="E95" s="92"/>
      <c r="F95" s="3"/>
      <c r="I95" s="106"/>
    </row>
    <row r="96" spans="2:9" ht="30" customHeight="1" x14ac:dyDescent="0.3">
      <c r="B96" s="202"/>
      <c r="C96" s="90" t="s">
        <v>8</v>
      </c>
      <c r="D96" s="267"/>
      <c r="E96" s="175">
        <f>18.4-18.4</f>
        <v>0</v>
      </c>
      <c r="F96" s="3"/>
      <c r="I96" s="106"/>
    </row>
    <row r="97" spans="2:9" ht="51.75" customHeight="1" x14ac:dyDescent="0.3">
      <c r="B97" s="203"/>
      <c r="C97" s="90" t="s">
        <v>306</v>
      </c>
      <c r="D97" s="257"/>
      <c r="E97" s="175">
        <v>18.100000000000001</v>
      </c>
      <c r="F97" s="3"/>
      <c r="I97" s="106"/>
    </row>
    <row r="98" spans="2:9" ht="38.4" customHeight="1" x14ac:dyDescent="0.3">
      <c r="B98" s="201" t="s">
        <v>273</v>
      </c>
      <c r="C98" s="188" t="s">
        <v>316</v>
      </c>
      <c r="D98" s="256" t="s">
        <v>289</v>
      </c>
      <c r="E98" s="100"/>
      <c r="F98" s="91" t="s">
        <v>279</v>
      </c>
      <c r="I98" s="106"/>
    </row>
    <row r="99" spans="2:9" ht="72" customHeight="1" x14ac:dyDescent="0.3">
      <c r="B99" s="203"/>
      <c r="C99" s="102" t="s">
        <v>8</v>
      </c>
      <c r="D99" s="257"/>
      <c r="E99" s="137">
        <f>15+49.8</f>
        <v>64.8</v>
      </c>
      <c r="F99" s="3"/>
      <c r="I99" s="106"/>
    </row>
    <row r="100" spans="2:9" ht="42.6" customHeight="1" x14ac:dyDescent="0.3">
      <c r="B100" s="247" t="s">
        <v>274</v>
      </c>
      <c r="C100" s="189" t="s">
        <v>312</v>
      </c>
      <c r="D100" s="226" t="s">
        <v>319</v>
      </c>
      <c r="E100" s="137"/>
      <c r="F100" s="3"/>
      <c r="I100" s="106"/>
    </row>
    <row r="101" spans="2:9" ht="18" customHeight="1" x14ac:dyDescent="0.3">
      <c r="B101" s="248"/>
      <c r="C101" s="61" t="s">
        <v>306</v>
      </c>
      <c r="D101" s="227"/>
      <c r="E101" s="137">
        <v>1.5</v>
      </c>
      <c r="F101" s="3"/>
      <c r="I101" s="106"/>
    </row>
    <row r="102" spans="2:9" ht="42" customHeight="1" x14ac:dyDescent="0.3">
      <c r="B102" s="252" t="s">
        <v>314</v>
      </c>
      <c r="C102" s="177" t="s">
        <v>308</v>
      </c>
      <c r="D102" s="226" t="s">
        <v>95</v>
      </c>
      <c r="E102" s="137"/>
      <c r="F102" s="3"/>
      <c r="I102" s="106"/>
    </row>
    <row r="103" spans="2:9" ht="38.4" customHeight="1" x14ac:dyDescent="0.3">
      <c r="B103" s="252"/>
      <c r="C103" s="176" t="s">
        <v>8</v>
      </c>
      <c r="D103" s="227"/>
      <c r="E103" s="115">
        <v>5.7</v>
      </c>
      <c r="F103" s="3"/>
      <c r="I103" s="106"/>
    </row>
    <row r="104" spans="2:9" ht="39.6" customHeight="1" x14ac:dyDescent="0.3">
      <c r="B104" s="268" t="s">
        <v>315</v>
      </c>
      <c r="C104" s="190" t="s">
        <v>313</v>
      </c>
      <c r="D104" s="226" t="s">
        <v>319</v>
      </c>
      <c r="E104" s="137"/>
      <c r="F104" s="3"/>
      <c r="I104" s="106"/>
    </row>
    <row r="105" spans="2:9" ht="31.95" customHeight="1" x14ac:dyDescent="0.3">
      <c r="B105" s="269"/>
      <c r="C105" s="191" t="s">
        <v>96</v>
      </c>
      <c r="D105" s="227"/>
      <c r="E105" s="115">
        <v>52.8</v>
      </c>
      <c r="F105" s="3"/>
      <c r="I105" s="106"/>
    </row>
    <row r="106" spans="2:9" ht="21.6" customHeight="1" x14ac:dyDescent="0.3">
      <c r="B106" s="20"/>
      <c r="C106" s="6" t="s">
        <v>62</v>
      </c>
      <c r="D106" s="14"/>
      <c r="E106" s="7">
        <f>SUM(E107:E112)</f>
        <v>175110.79999999996</v>
      </c>
      <c r="F106" s="7"/>
      <c r="G106" s="104"/>
    </row>
    <row r="107" spans="2:9" ht="20.25" customHeight="1" x14ac:dyDescent="0.3">
      <c r="B107" s="244"/>
      <c r="C107" s="8" t="s">
        <v>63</v>
      </c>
      <c r="D107" s="15"/>
      <c r="E107" s="3"/>
      <c r="F107" s="3"/>
    </row>
    <row r="108" spans="2:9" ht="30" customHeight="1" x14ac:dyDescent="0.3">
      <c r="B108" s="245"/>
      <c r="C108" s="8" t="s">
        <v>64</v>
      </c>
      <c r="D108" s="15"/>
      <c r="E108" s="3">
        <f>SUMIF(C9:C105,C10,E9:E105)</f>
        <v>66938.199999999983</v>
      </c>
      <c r="F108" s="3"/>
    </row>
    <row r="109" spans="2:9" ht="19.95" customHeight="1" x14ac:dyDescent="0.3">
      <c r="B109" s="245"/>
      <c r="C109" s="8" t="s">
        <v>65</v>
      </c>
      <c r="D109" s="15"/>
      <c r="E109" s="3">
        <f>SUMIF(C9:C105,C11,E9:E105)</f>
        <v>96779.099999999977</v>
      </c>
      <c r="F109" s="3"/>
    </row>
    <row r="110" spans="2:9" ht="26.4" customHeight="1" x14ac:dyDescent="0.3">
      <c r="B110" s="245"/>
      <c r="C110" s="8" t="s">
        <v>272</v>
      </c>
      <c r="D110" s="15"/>
      <c r="E110" s="3">
        <f>SUMIF(C9:C105,C38,E9:E105)</f>
        <v>2345</v>
      </c>
      <c r="F110" s="3"/>
    </row>
    <row r="111" spans="2:9" ht="20.25" customHeight="1" x14ac:dyDescent="0.3">
      <c r="B111" s="245"/>
      <c r="C111" s="8" t="s">
        <v>66</v>
      </c>
      <c r="D111" s="15"/>
      <c r="E111" s="3">
        <f>SUMIF(C9:C105,C12,E9:E105)</f>
        <v>8037.8</v>
      </c>
      <c r="F111" s="3"/>
    </row>
    <row r="112" spans="2:9" ht="20.25" customHeight="1" x14ac:dyDescent="0.3">
      <c r="B112" s="246"/>
      <c r="C112" s="8" t="s">
        <v>67</v>
      </c>
      <c r="D112" s="15"/>
      <c r="E112" s="3">
        <f>SUMIF(C9:C105,C13,E9:E105)</f>
        <v>1010.7</v>
      </c>
      <c r="F112" s="3"/>
    </row>
    <row r="113" spans="2:11" ht="20.25" customHeight="1" x14ac:dyDescent="0.3">
      <c r="B113" s="20"/>
      <c r="C113" s="6" t="s">
        <v>68</v>
      </c>
      <c r="D113" s="14"/>
      <c r="E113" s="7">
        <f>E116+E115</f>
        <v>115.6</v>
      </c>
      <c r="F113" s="7"/>
      <c r="I113" s="104"/>
      <c r="J113" s="104"/>
      <c r="K113" s="104"/>
    </row>
    <row r="114" spans="2:11" ht="20.25" customHeight="1" x14ac:dyDescent="0.3">
      <c r="B114" s="244"/>
      <c r="C114" s="8" t="s">
        <v>69</v>
      </c>
      <c r="D114" s="15"/>
      <c r="E114" s="3"/>
      <c r="F114" s="3"/>
      <c r="I114" s="104"/>
      <c r="J114" s="104"/>
      <c r="K114" s="104"/>
    </row>
    <row r="115" spans="2:11" ht="20.25" customHeight="1" x14ac:dyDescent="0.3">
      <c r="B115" s="245"/>
      <c r="C115" s="8" t="s">
        <v>307</v>
      </c>
      <c r="D115" s="15"/>
      <c r="E115" s="3">
        <f>SUMIF(C8:C103,C97,E8:E103)</f>
        <v>19.600000000000001</v>
      </c>
      <c r="F115" s="3"/>
      <c r="I115" s="104"/>
      <c r="J115" s="104"/>
      <c r="K115" s="104"/>
    </row>
    <row r="116" spans="2:11" ht="20.25" customHeight="1" x14ac:dyDescent="0.3">
      <c r="B116" s="246"/>
      <c r="C116" s="8" t="s">
        <v>70</v>
      </c>
      <c r="D116" s="15"/>
      <c r="E116" s="3">
        <f>SUMIF(C9:C103,C31,E9:E103)</f>
        <v>96</v>
      </c>
      <c r="F116" s="3"/>
      <c r="I116" s="104"/>
      <c r="J116" s="104"/>
      <c r="K116" s="104"/>
    </row>
    <row r="117" spans="2:11" ht="33.6" customHeight="1" x14ac:dyDescent="0.3">
      <c r="B117" s="116" t="s">
        <v>71</v>
      </c>
      <c r="C117" s="42" t="s">
        <v>72</v>
      </c>
      <c r="D117" s="43"/>
      <c r="E117" s="117"/>
      <c r="F117" s="45"/>
    </row>
    <row r="118" spans="2:11" ht="22.2" customHeight="1" x14ac:dyDescent="0.3">
      <c r="B118" s="118" t="s">
        <v>73</v>
      </c>
      <c r="C118" s="13" t="s">
        <v>74</v>
      </c>
      <c r="D118" s="204" t="s">
        <v>289</v>
      </c>
      <c r="E118" s="2"/>
      <c r="F118" s="21"/>
    </row>
    <row r="119" spans="2:11" ht="88.2" customHeight="1" x14ac:dyDescent="0.3">
      <c r="B119" s="119"/>
      <c r="C119" s="102" t="s">
        <v>9</v>
      </c>
      <c r="D119" s="205"/>
      <c r="E119" s="2">
        <v>348.5</v>
      </c>
      <c r="F119" s="21"/>
    </row>
    <row r="120" spans="2:11" ht="16.95" customHeight="1" x14ac:dyDescent="0.3">
      <c r="B120" s="220" t="s">
        <v>75</v>
      </c>
      <c r="C120" s="13" t="s">
        <v>76</v>
      </c>
      <c r="D120" s="204" t="s">
        <v>290</v>
      </c>
      <c r="E120" s="2"/>
      <c r="F120" s="21" t="s">
        <v>251</v>
      </c>
    </row>
    <row r="121" spans="2:11" ht="19.95" customHeight="1" x14ac:dyDescent="0.3">
      <c r="B121" s="221"/>
      <c r="C121" s="102" t="s">
        <v>11</v>
      </c>
      <c r="D121" s="222"/>
      <c r="E121" s="2">
        <f>300-8</f>
        <v>292</v>
      </c>
      <c r="F121" s="21"/>
    </row>
    <row r="122" spans="2:11" ht="43.95" customHeight="1" x14ac:dyDescent="0.3">
      <c r="B122" s="220" t="s">
        <v>77</v>
      </c>
      <c r="C122" s="13" t="s">
        <v>78</v>
      </c>
      <c r="D122" s="222"/>
      <c r="E122" s="2"/>
      <c r="F122" s="21" t="s">
        <v>252</v>
      </c>
    </row>
    <row r="123" spans="2:11" ht="19.2" customHeight="1" x14ac:dyDescent="0.3">
      <c r="B123" s="221"/>
      <c r="C123" s="102" t="s">
        <v>9</v>
      </c>
      <c r="D123" s="205"/>
      <c r="E123" s="2">
        <v>1352</v>
      </c>
      <c r="F123" s="21"/>
    </row>
    <row r="124" spans="2:11" ht="19.5" customHeight="1" x14ac:dyDescent="0.3">
      <c r="B124" s="120"/>
      <c r="C124" s="6" t="s">
        <v>62</v>
      </c>
      <c r="D124" s="14"/>
      <c r="E124" s="7">
        <f>SUM(E126:E127)</f>
        <v>1992.5</v>
      </c>
      <c r="F124" s="7"/>
    </row>
    <row r="125" spans="2:11" ht="15.6" customHeight="1" x14ac:dyDescent="0.3">
      <c r="B125" s="201"/>
      <c r="C125" s="8" t="s">
        <v>63</v>
      </c>
      <c r="D125" s="15"/>
      <c r="E125" s="103"/>
      <c r="F125" s="103"/>
    </row>
    <row r="126" spans="2:11" ht="19.95" customHeight="1" x14ac:dyDescent="0.3">
      <c r="B126" s="202"/>
      <c r="C126" s="8" t="s">
        <v>67</v>
      </c>
      <c r="D126" s="15"/>
      <c r="E126" s="11">
        <f>SUMIF(C118:C123,C121,E118:E123)</f>
        <v>292</v>
      </c>
      <c r="F126" s="103"/>
    </row>
    <row r="127" spans="2:11" ht="16.2" customHeight="1" x14ac:dyDescent="0.3">
      <c r="B127" s="203"/>
      <c r="C127" s="8" t="s">
        <v>65</v>
      </c>
      <c r="D127" s="15"/>
      <c r="E127" s="11">
        <f>SUMIF(C118:C123,C119,E118:E123)</f>
        <v>1700.5</v>
      </c>
      <c r="F127" s="3"/>
    </row>
    <row r="128" spans="2:11" s="106" customFormat="1" ht="43.2" customHeight="1" x14ac:dyDescent="0.3">
      <c r="B128" s="116" t="s">
        <v>79</v>
      </c>
      <c r="C128" s="42" t="s">
        <v>80</v>
      </c>
      <c r="D128" s="43" t="s">
        <v>293</v>
      </c>
      <c r="E128" s="44"/>
      <c r="F128" s="44"/>
    </row>
    <row r="129" spans="2:6" ht="16.95" customHeight="1" x14ac:dyDescent="0.3">
      <c r="B129" s="120"/>
      <c r="C129" s="6" t="s">
        <v>62</v>
      </c>
      <c r="D129" s="121"/>
      <c r="E129" s="7">
        <f>SUM(E131:E131)</f>
        <v>3.9</v>
      </c>
      <c r="F129" s="7"/>
    </row>
    <row r="130" spans="2:6" ht="14.4" customHeight="1" x14ac:dyDescent="0.3">
      <c r="B130" s="250"/>
      <c r="C130" s="8" t="s">
        <v>63</v>
      </c>
      <c r="D130" s="15"/>
      <c r="E130" s="103"/>
      <c r="F130" s="103"/>
    </row>
    <row r="131" spans="2:6" ht="28.2" customHeight="1" x14ac:dyDescent="0.3">
      <c r="B131" s="250"/>
      <c r="C131" s="8" t="s">
        <v>8</v>
      </c>
      <c r="D131" s="15"/>
      <c r="E131" s="75">
        <v>3.9</v>
      </c>
      <c r="F131" s="103"/>
    </row>
    <row r="132" spans="2:6" ht="108.6" customHeight="1" x14ac:dyDescent="0.3">
      <c r="B132" s="116" t="s">
        <v>81</v>
      </c>
      <c r="C132" s="42" t="s">
        <v>82</v>
      </c>
      <c r="D132" s="43" t="s">
        <v>287</v>
      </c>
      <c r="E132" s="44"/>
      <c r="F132" s="44"/>
    </row>
    <row r="133" spans="2:6" ht="14.4" customHeight="1" x14ac:dyDescent="0.3">
      <c r="B133" s="122"/>
      <c r="C133" s="6" t="s">
        <v>62</v>
      </c>
      <c r="D133" s="121"/>
      <c r="E133" s="7">
        <f>+E135</f>
        <v>62.5</v>
      </c>
      <c r="F133" s="7"/>
    </row>
    <row r="134" spans="2:6" ht="14.4" customHeight="1" x14ac:dyDescent="0.3">
      <c r="B134" s="251"/>
      <c r="C134" s="8" t="s">
        <v>63</v>
      </c>
      <c r="D134" s="15"/>
      <c r="E134" s="103"/>
      <c r="F134" s="103"/>
    </row>
    <row r="135" spans="2:6" ht="29.4" customHeight="1" x14ac:dyDescent="0.3">
      <c r="B135" s="251"/>
      <c r="C135" s="8" t="s">
        <v>8</v>
      </c>
      <c r="D135" s="15"/>
      <c r="E135" s="3">
        <v>62.5</v>
      </c>
      <c r="F135" s="103"/>
    </row>
    <row r="136" spans="2:6" s="106" customFormat="1" ht="53.4" customHeight="1" x14ac:dyDescent="0.3">
      <c r="B136" s="116" t="s">
        <v>83</v>
      </c>
      <c r="C136" s="42" t="s">
        <v>84</v>
      </c>
      <c r="D136" s="43" t="s">
        <v>292</v>
      </c>
      <c r="E136" s="44"/>
      <c r="F136" s="45"/>
    </row>
    <row r="137" spans="2:6" ht="18" customHeight="1" x14ac:dyDescent="0.3">
      <c r="B137" s="122"/>
      <c r="C137" s="6" t="s">
        <v>62</v>
      </c>
      <c r="D137" s="121"/>
      <c r="E137" s="7">
        <f>+E139</f>
        <v>4.4000000000000004</v>
      </c>
      <c r="F137" s="7"/>
    </row>
    <row r="138" spans="2:6" ht="14.4" customHeight="1" x14ac:dyDescent="0.3">
      <c r="B138" s="251"/>
      <c r="C138" s="8" t="s">
        <v>63</v>
      </c>
      <c r="D138" s="15"/>
      <c r="E138" s="103"/>
      <c r="F138" s="103"/>
    </row>
    <row r="139" spans="2:6" ht="29.4" customHeight="1" x14ac:dyDescent="0.3">
      <c r="B139" s="251"/>
      <c r="C139" s="8" t="s">
        <v>8</v>
      </c>
      <c r="D139" s="15"/>
      <c r="E139" s="75">
        <v>4.4000000000000004</v>
      </c>
      <c r="F139" s="103"/>
    </row>
    <row r="140" spans="2:6" ht="33.75" customHeight="1" x14ac:dyDescent="0.3">
      <c r="B140" s="116" t="s">
        <v>85</v>
      </c>
      <c r="C140" s="42" t="s">
        <v>86</v>
      </c>
      <c r="D140" s="43" t="s">
        <v>290</v>
      </c>
      <c r="E140" s="44"/>
      <c r="F140" s="44"/>
    </row>
    <row r="141" spans="2:6" ht="16.95" customHeight="1" x14ac:dyDescent="0.3">
      <c r="B141" s="120"/>
      <c r="C141" s="6" t="s">
        <v>62</v>
      </c>
      <c r="D141" s="121"/>
      <c r="E141" s="7">
        <f>SUM(E143:E143)</f>
        <v>20</v>
      </c>
      <c r="F141" s="7"/>
    </row>
    <row r="142" spans="2:6" ht="14.4" customHeight="1" x14ac:dyDescent="0.3">
      <c r="B142" s="250"/>
      <c r="C142" s="8" t="s">
        <v>63</v>
      </c>
      <c r="D142" s="15"/>
      <c r="E142" s="103"/>
      <c r="F142" s="103"/>
    </row>
    <row r="143" spans="2:6" ht="30.6" customHeight="1" x14ac:dyDescent="0.3">
      <c r="B143" s="250"/>
      <c r="C143" s="8" t="s">
        <v>8</v>
      </c>
      <c r="D143" s="15"/>
      <c r="E143" s="3">
        <v>20</v>
      </c>
      <c r="F143" s="103"/>
    </row>
    <row r="144" spans="2:6" ht="30.6" customHeight="1" x14ac:dyDescent="0.3">
      <c r="B144" s="116" t="s">
        <v>275</v>
      </c>
      <c r="C144" s="42" t="s">
        <v>276</v>
      </c>
      <c r="D144" s="43" t="s">
        <v>290</v>
      </c>
      <c r="E144" s="44"/>
      <c r="F144" s="45" t="s">
        <v>280</v>
      </c>
    </row>
    <row r="145" spans="2:7" ht="16.95" customHeight="1" x14ac:dyDescent="0.3">
      <c r="B145" s="120"/>
      <c r="C145" s="6" t="s">
        <v>62</v>
      </c>
      <c r="D145" s="121"/>
      <c r="E145" s="7">
        <f t="shared" ref="E145" si="0">+E147</f>
        <v>5</v>
      </c>
      <c r="F145" s="7"/>
    </row>
    <row r="146" spans="2:7" ht="16.95" customHeight="1" x14ac:dyDescent="0.3">
      <c r="B146" s="250"/>
      <c r="C146" s="8" t="s">
        <v>63</v>
      </c>
      <c r="D146" s="15"/>
      <c r="E146" s="103"/>
      <c r="F146" s="103"/>
    </row>
    <row r="147" spans="2:7" ht="30.6" customHeight="1" x14ac:dyDescent="0.3">
      <c r="B147" s="250"/>
      <c r="C147" s="8" t="s">
        <v>8</v>
      </c>
      <c r="D147" s="15"/>
      <c r="E147" s="75">
        <v>5</v>
      </c>
      <c r="F147" s="103"/>
    </row>
    <row r="148" spans="2:7" ht="27" customHeight="1" x14ac:dyDescent="0.3">
      <c r="B148" s="40" t="s">
        <v>236</v>
      </c>
      <c r="C148" s="41" t="s">
        <v>87</v>
      </c>
      <c r="D148" s="123"/>
      <c r="E148" s="124"/>
      <c r="F148" s="123"/>
    </row>
    <row r="149" spans="2:7" ht="31.95" customHeight="1" x14ac:dyDescent="0.3">
      <c r="B149" s="116" t="s">
        <v>88</v>
      </c>
      <c r="C149" s="42" t="s">
        <v>220</v>
      </c>
      <c r="D149" s="43" t="s">
        <v>89</v>
      </c>
      <c r="E149" s="44"/>
      <c r="F149" s="45"/>
    </row>
    <row r="150" spans="2:7" ht="15" customHeight="1" x14ac:dyDescent="0.3">
      <c r="B150" s="120"/>
      <c r="C150" s="6" t="s">
        <v>62</v>
      </c>
      <c r="D150" s="121"/>
      <c r="E150" s="7">
        <f>SUM(E152:E152)</f>
        <v>71.8</v>
      </c>
      <c r="F150" s="125"/>
    </row>
    <row r="151" spans="2:7" ht="15.6" customHeight="1" x14ac:dyDescent="0.3">
      <c r="B151" s="201"/>
      <c r="C151" s="8" t="s">
        <v>63</v>
      </c>
      <c r="D151" s="15"/>
      <c r="E151" s="3"/>
      <c r="F151" s="3"/>
    </row>
    <row r="152" spans="2:7" ht="29.4" customHeight="1" x14ac:dyDescent="0.3">
      <c r="B152" s="203"/>
      <c r="C152" s="8" t="s">
        <v>8</v>
      </c>
      <c r="D152" s="15"/>
      <c r="E152" s="75">
        <v>71.8</v>
      </c>
      <c r="F152" s="103"/>
    </row>
    <row r="153" spans="2:7" ht="30.75" customHeight="1" x14ac:dyDescent="0.3">
      <c r="B153" s="116" t="s">
        <v>237</v>
      </c>
      <c r="C153" s="42" t="s">
        <v>90</v>
      </c>
      <c r="D153" s="43"/>
      <c r="E153" s="44"/>
      <c r="F153" s="45"/>
    </row>
    <row r="154" spans="2:7" ht="28.5" customHeight="1" x14ac:dyDescent="0.3">
      <c r="B154" s="126"/>
      <c r="C154" s="13" t="s">
        <v>263</v>
      </c>
      <c r="D154" s="127"/>
      <c r="E154" s="75"/>
      <c r="F154" s="21"/>
    </row>
    <row r="155" spans="2:7" ht="33" customHeight="1" x14ac:dyDescent="0.3">
      <c r="B155" s="220" t="s">
        <v>92</v>
      </c>
      <c r="C155" s="13" t="s">
        <v>91</v>
      </c>
      <c r="D155" s="204" t="s">
        <v>294</v>
      </c>
      <c r="E155" s="75"/>
      <c r="F155" s="21" t="s">
        <v>253</v>
      </c>
    </row>
    <row r="156" spans="2:7" ht="18.75" customHeight="1" x14ac:dyDescent="0.3">
      <c r="B156" s="249"/>
      <c r="C156" s="102" t="s">
        <v>11</v>
      </c>
      <c r="D156" s="222"/>
      <c r="E156" s="21">
        <v>1250.4000000000001</v>
      </c>
      <c r="F156" s="91"/>
      <c r="G156" s="106"/>
    </row>
    <row r="157" spans="2:7" ht="35.4" customHeight="1" x14ac:dyDescent="0.3">
      <c r="B157" s="221"/>
      <c r="C157" s="102" t="s">
        <v>8</v>
      </c>
      <c r="D157" s="205"/>
      <c r="E157" s="21">
        <v>12.7</v>
      </c>
      <c r="F157" s="91"/>
      <c r="G157" s="106"/>
    </row>
    <row r="158" spans="2:7" ht="15.6" customHeight="1" x14ac:dyDescent="0.3">
      <c r="B158" s="183" t="s">
        <v>94</v>
      </c>
      <c r="C158" s="13" t="s">
        <v>93</v>
      </c>
      <c r="D158" s="204" t="s">
        <v>304</v>
      </c>
      <c r="E158" s="21"/>
      <c r="F158" s="3"/>
    </row>
    <row r="159" spans="2:7" ht="57" customHeight="1" x14ac:dyDescent="0.3">
      <c r="B159" s="128"/>
      <c r="C159" s="102" t="s">
        <v>8</v>
      </c>
      <c r="D159" s="205"/>
      <c r="E159" s="21"/>
      <c r="F159" s="3"/>
    </row>
    <row r="160" spans="2:7" ht="19.5" customHeight="1" x14ac:dyDescent="0.3">
      <c r="B160" s="202" t="s">
        <v>97</v>
      </c>
      <c r="C160" s="8" t="s">
        <v>221</v>
      </c>
      <c r="D160" s="212" t="s">
        <v>288</v>
      </c>
      <c r="E160" s="21"/>
      <c r="F160" s="91" t="s">
        <v>254</v>
      </c>
    </row>
    <row r="161" spans="2:8" ht="30" customHeight="1" x14ac:dyDescent="0.3">
      <c r="B161" s="202"/>
      <c r="C161" s="102" t="s">
        <v>8</v>
      </c>
      <c r="D161" s="213"/>
      <c r="E161" s="92">
        <f>227.4+4.3-3.1-0.3</f>
        <v>228.3</v>
      </c>
      <c r="F161" s="3"/>
      <c r="G161" s="106"/>
      <c r="H161" s="106"/>
    </row>
    <row r="162" spans="2:8" ht="40.950000000000003" customHeight="1" x14ac:dyDescent="0.3">
      <c r="B162" s="201" t="s">
        <v>99</v>
      </c>
      <c r="C162" s="8" t="s">
        <v>98</v>
      </c>
      <c r="D162" s="213"/>
      <c r="E162" s="98"/>
      <c r="F162" s="3"/>
    </row>
    <row r="163" spans="2:8" ht="27.6" customHeight="1" x14ac:dyDescent="0.3">
      <c r="B163" s="202"/>
      <c r="C163" s="102" t="s">
        <v>8</v>
      </c>
      <c r="D163" s="214"/>
      <c r="E163" s="92">
        <f>395.4-4.7-4.3-19.4+0.3</f>
        <v>367.3</v>
      </c>
      <c r="F163" s="3"/>
      <c r="G163" s="106"/>
      <c r="H163" s="106"/>
    </row>
    <row r="164" spans="2:8" ht="108.6" customHeight="1" x14ac:dyDescent="0.3">
      <c r="B164" s="203"/>
      <c r="C164" s="102" t="s">
        <v>8</v>
      </c>
      <c r="D164" s="184" t="s">
        <v>295</v>
      </c>
      <c r="E164" s="21">
        <v>4.7</v>
      </c>
      <c r="F164" s="3"/>
      <c r="G164" s="106"/>
      <c r="H164" s="106"/>
    </row>
    <row r="165" spans="2:8" ht="18.600000000000001" customHeight="1" x14ac:dyDescent="0.3">
      <c r="B165" s="223" t="s">
        <v>101</v>
      </c>
      <c r="C165" s="13" t="s">
        <v>100</v>
      </c>
      <c r="D165" s="212" t="s">
        <v>95</v>
      </c>
      <c r="E165" s="21"/>
      <c r="F165" s="91" t="s">
        <v>253</v>
      </c>
    </row>
    <row r="166" spans="2:8" ht="30.6" customHeight="1" x14ac:dyDescent="0.3">
      <c r="B166" s="224"/>
      <c r="C166" s="61" t="s">
        <v>8</v>
      </c>
      <c r="D166" s="213"/>
      <c r="E166" s="21">
        <v>14.6</v>
      </c>
      <c r="F166" s="3"/>
    </row>
    <row r="167" spans="2:8" ht="19.2" customHeight="1" x14ac:dyDescent="0.3">
      <c r="B167" s="225"/>
      <c r="C167" s="102" t="s">
        <v>11</v>
      </c>
      <c r="D167" s="214"/>
      <c r="E167" s="21">
        <v>39.4</v>
      </c>
      <c r="F167" s="3"/>
    </row>
    <row r="168" spans="2:8" ht="30.6" customHeight="1" x14ac:dyDescent="0.3">
      <c r="B168" s="223" t="s">
        <v>103</v>
      </c>
      <c r="C168" s="13" t="s">
        <v>271</v>
      </c>
      <c r="D168" s="212" t="s">
        <v>297</v>
      </c>
      <c r="E168" s="21"/>
      <c r="F168" s="91" t="s">
        <v>253</v>
      </c>
    </row>
    <row r="169" spans="2:8" ht="20.399999999999999" customHeight="1" x14ac:dyDescent="0.3">
      <c r="B169" s="224"/>
      <c r="C169" s="102" t="s">
        <v>11</v>
      </c>
      <c r="D169" s="213"/>
      <c r="E169" s="92">
        <f>2486.8-1424+221.4-86.8</f>
        <v>1197.4000000000003</v>
      </c>
      <c r="F169" s="3"/>
      <c r="G169" s="106"/>
    </row>
    <row r="170" spans="2:8" ht="18" customHeight="1" x14ac:dyDescent="0.3">
      <c r="B170" s="225"/>
      <c r="C170" s="61" t="s">
        <v>102</v>
      </c>
      <c r="D170" s="214"/>
      <c r="E170" s="92">
        <f>1424-221.4+418</f>
        <v>1620.6</v>
      </c>
      <c r="F170" s="75"/>
    </row>
    <row r="171" spans="2:8" ht="32.4" customHeight="1" x14ac:dyDescent="0.3">
      <c r="B171" s="201" t="s">
        <v>104</v>
      </c>
      <c r="C171" s="8" t="s">
        <v>107</v>
      </c>
      <c r="D171" s="212" t="s">
        <v>296</v>
      </c>
      <c r="E171" s="98"/>
      <c r="F171" s="3"/>
    </row>
    <row r="172" spans="2:8" ht="78.599999999999994" customHeight="1" x14ac:dyDescent="0.3">
      <c r="B172" s="203"/>
      <c r="C172" s="102" t="s">
        <v>8</v>
      </c>
      <c r="D172" s="214"/>
      <c r="E172" s="98">
        <f>211.5+400.5</f>
        <v>612</v>
      </c>
      <c r="F172" s="3"/>
    </row>
    <row r="173" spans="2:8" ht="30.6" customHeight="1" x14ac:dyDescent="0.3">
      <c r="B173" s="201" t="s">
        <v>105</v>
      </c>
      <c r="C173" s="67" t="s">
        <v>108</v>
      </c>
      <c r="D173" s="204" t="s">
        <v>297</v>
      </c>
      <c r="E173" s="91"/>
      <c r="F173" s="3"/>
    </row>
    <row r="174" spans="2:8" ht="30" customHeight="1" x14ac:dyDescent="0.3">
      <c r="B174" s="203"/>
      <c r="C174" s="68" t="s">
        <v>8</v>
      </c>
      <c r="D174" s="205"/>
      <c r="E174" s="92">
        <f>50-50</f>
        <v>0</v>
      </c>
      <c r="F174" s="3"/>
    </row>
    <row r="175" spans="2:8" ht="30.75" customHeight="1" x14ac:dyDescent="0.3">
      <c r="B175" s="201" t="s">
        <v>106</v>
      </c>
      <c r="C175" s="69" t="s">
        <v>258</v>
      </c>
      <c r="D175" s="204" t="s">
        <v>297</v>
      </c>
      <c r="E175" s="92"/>
      <c r="F175" s="3"/>
    </row>
    <row r="176" spans="2:8" ht="31.2" customHeight="1" x14ac:dyDescent="0.3">
      <c r="B176" s="203"/>
      <c r="C176" s="68" t="s">
        <v>8</v>
      </c>
      <c r="D176" s="205"/>
      <c r="E176" s="92">
        <f>25.9-12.7-13.2</f>
        <v>0</v>
      </c>
      <c r="F176" s="3"/>
    </row>
    <row r="177" spans="2:7" ht="30.6" customHeight="1" x14ac:dyDescent="0.3">
      <c r="B177" s="182"/>
      <c r="C177" s="13" t="s">
        <v>264</v>
      </c>
      <c r="D177" s="184"/>
      <c r="E177" s="91"/>
      <c r="F177" s="3"/>
    </row>
    <row r="178" spans="2:7" ht="42.75" customHeight="1" x14ac:dyDescent="0.3">
      <c r="B178" s="220" t="s">
        <v>109</v>
      </c>
      <c r="C178" s="13" t="s">
        <v>110</v>
      </c>
      <c r="D178" s="204" t="s">
        <v>95</v>
      </c>
      <c r="E178" s="21"/>
      <c r="F178" s="91" t="s">
        <v>253</v>
      </c>
    </row>
    <row r="179" spans="2:7" ht="31.2" customHeight="1" x14ac:dyDescent="0.3">
      <c r="B179" s="249"/>
      <c r="C179" s="61" t="s">
        <v>96</v>
      </c>
      <c r="D179" s="222"/>
      <c r="E179" s="21">
        <v>5.9</v>
      </c>
      <c r="F179" s="91"/>
    </row>
    <row r="180" spans="2:7" ht="18" customHeight="1" x14ac:dyDescent="0.3">
      <c r="B180" s="221"/>
      <c r="C180" s="102" t="s">
        <v>11</v>
      </c>
      <c r="D180" s="222"/>
      <c r="E180" s="92">
        <f>214.7-100</f>
        <v>114.69999999999999</v>
      </c>
      <c r="F180" s="75"/>
    </row>
    <row r="181" spans="2:7" ht="30.6" customHeight="1" x14ac:dyDescent="0.3">
      <c r="B181" s="178"/>
      <c r="C181" s="13" t="s">
        <v>111</v>
      </c>
      <c r="D181" s="205"/>
      <c r="E181" s="92"/>
      <c r="F181" s="75"/>
    </row>
    <row r="182" spans="2:7" ht="82.2" customHeight="1" x14ac:dyDescent="0.3">
      <c r="B182" s="220" t="s">
        <v>112</v>
      </c>
      <c r="C182" s="13" t="s">
        <v>242</v>
      </c>
      <c r="D182" s="204" t="s">
        <v>297</v>
      </c>
      <c r="E182" s="92"/>
      <c r="F182" s="91" t="s">
        <v>253</v>
      </c>
    </row>
    <row r="183" spans="2:7" ht="18" customHeight="1" x14ac:dyDescent="0.3">
      <c r="B183" s="221"/>
      <c r="C183" s="102" t="s">
        <v>11</v>
      </c>
      <c r="D183" s="205"/>
      <c r="E183" s="92">
        <f>750.9-200</f>
        <v>550.9</v>
      </c>
      <c r="F183" s="75"/>
    </row>
    <row r="184" spans="2:7" ht="31.95" customHeight="1" x14ac:dyDescent="0.3">
      <c r="B184" s="220" t="s">
        <v>113</v>
      </c>
      <c r="C184" s="8" t="s">
        <v>114</v>
      </c>
      <c r="D184" s="204" t="s">
        <v>95</v>
      </c>
      <c r="E184" s="92"/>
      <c r="F184" s="91" t="s">
        <v>253</v>
      </c>
    </row>
    <row r="185" spans="2:7" ht="19.95" customHeight="1" x14ac:dyDescent="0.3">
      <c r="B185" s="221"/>
      <c r="C185" s="102" t="s">
        <v>11</v>
      </c>
      <c r="D185" s="205"/>
      <c r="E185" s="92">
        <f>126.5-88.4</f>
        <v>38.099999999999994</v>
      </c>
      <c r="F185" s="75"/>
    </row>
    <row r="186" spans="2:7" ht="44.4" customHeight="1" x14ac:dyDescent="0.3">
      <c r="B186" s="201" t="s">
        <v>115</v>
      </c>
      <c r="C186" s="13" t="s">
        <v>226</v>
      </c>
      <c r="D186" s="204" t="s">
        <v>297</v>
      </c>
      <c r="E186" s="92"/>
      <c r="F186" s="91" t="s">
        <v>253</v>
      </c>
    </row>
    <row r="187" spans="2:7" ht="19.2" customHeight="1" x14ac:dyDescent="0.3">
      <c r="B187" s="203"/>
      <c r="C187" s="102" t="s">
        <v>11</v>
      </c>
      <c r="D187" s="205"/>
      <c r="E187" s="92">
        <f>1205-376.6-225</f>
        <v>603.4</v>
      </c>
      <c r="F187" s="75"/>
    </row>
    <row r="188" spans="2:7" ht="45.6" customHeight="1" x14ac:dyDescent="0.3">
      <c r="B188" s="220" t="s">
        <v>266</v>
      </c>
      <c r="C188" s="13" t="s">
        <v>243</v>
      </c>
      <c r="D188" s="204" t="s">
        <v>297</v>
      </c>
      <c r="E188" s="92"/>
      <c r="F188" s="21" t="s">
        <v>253</v>
      </c>
      <c r="G188" s="106"/>
    </row>
    <row r="189" spans="2:7" ht="27" customHeight="1" x14ac:dyDescent="0.3">
      <c r="B189" s="249"/>
      <c r="C189" s="61" t="s">
        <v>8</v>
      </c>
      <c r="D189" s="205"/>
      <c r="E189" s="92">
        <f>106-106</f>
        <v>0</v>
      </c>
      <c r="F189" s="75"/>
      <c r="G189" s="106"/>
    </row>
    <row r="190" spans="2:7" ht="20.399999999999999" customHeight="1" x14ac:dyDescent="0.3">
      <c r="B190" s="201" t="s">
        <v>116</v>
      </c>
      <c r="C190" s="8" t="s">
        <v>118</v>
      </c>
      <c r="D190" s="204" t="s">
        <v>298</v>
      </c>
      <c r="E190" s="21"/>
      <c r="F190" s="75"/>
    </row>
    <row r="191" spans="2:7" ht="62.4" customHeight="1" x14ac:dyDescent="0.3">
      <c r="B191" s="231"/>
      <c r="C191" s="102" t="s">
        <v>8</v>
      </c>
      <c r="D191" s="205"/>
      <c r="E191" s="92">
        <f>15-15</f>
        <v>0</v>
      </c>
      <c r="F191" s="75"/>
      <c r="G191" s="108"/>
    </row>
    <row r="192" spans="2:7" ht="31.95" customHeight="1" x14ac:dyDescent="0.3">
      <c r="B192" s="173" t="s">
        <v>117</v>
      </c>
      <c r="C192" s="13" t="s">
        <v>119</v>
      </c>
      <c r="D192" s="204" t="s">
        <v>297</v>
      </c>
      <c r="E192" s="92"/>
      <c r="F192" s="75"/>
      <c r="G192" s="108"/>
    </row>
    <row r="193" spans="2:11" ht="27" customHeight="1" x14ac:dyDescent="0.3">
      <c r="B193" s="174"/>
      <c r="C193" s="102" t="s">
        <v>8</v>
      </c>
      <c r="D193" s="205"/>
      <c r="E193" s="92">
        <f>39-39</f>
        <v>0</v>
      </c>
      <c r="F193" s="75"/>
      <c r="G193" s="108"/>
    </row>
    <row r="194" spans="2:11" ht="19.95" customHeight="1" x14ac:dyDescent="0.3">
      <c r="B194" s="129"/>
      <c r="C194" s="13" t="s">
        <v>227</v>
      </c>
      <c r="D194" s="179"/>
      <c r="E194" s="92"/>
      <c r="F194" s="75"/>
    </row>
    <row r="195" spans="2:11" ht="34.200000000000003" customHeight="1" x14ac:dyDescent="0.3">
      <c r="B195" s="247" t="s">
        <v>267</v>
      </c>
      <c r="C195" s="79" t="s">
        <v>259</v>
      </c>
      <c r="D195" s="204" t="s">
        <v>297</v>
      </c>
      <c r="E195" s="92"/>
      <c r="F195" s="75"/>
    </row>
    <row r="196" spans="2:11" ht="30.6" customHeight="1" x14ac:dyDescent="0.3">
      <c r="B196" s="248"/>
      <c r="C196" s="130" t="s">
        <v>8</v>
      </c>
      <c r="D196" s="222"/>
      <c r="E196" s="193">
        <f>15-15</f>
        <v>0</v>
      </c>
      <c r="F196" s="75"/>
    </row>
    <row r="197" spans="2:11" ht="32.4" customHeight="1" x14ac:dyDescent="0.3">
      <c r="B197" s="201" t="s">
        <v>223</v>
      </c>
      <c r="C197" s="80" t="s">
        <v>318</v>
      </c>
      <c r="D197" s="222"/>
      <c r="E197" s="193"/>
      <c r="F197" s="75"/>
    </row>
    <row r="198" spans="2:11" ht="30" customHeight="1" x14ac:dyDescent="0.3">
      <c r="B198" s="203"/>
      <c r="C198" s="132" t="s">
        <v>8</v>
      </c>
      <c r="D198" s="205"/>
      <c r="E198" s="193">
        <f>15+43.7</f>
        <v>58.7</v>
      </c>
      <c r="F198" s="75"/>
    </row>
    <row r="199" spans="2:11" ht="29.4" customHeight="1" x14ac:dyDescent="0.3">
      <c r="B199" s="201" t="s">
        <v>224</v>
      </c>
      <c r="C199" s="80" t="s">
        <v>260</v>
      </c>
      <c r="D199" s="204" t="s">
        <v>305</v>
      </c>
      <c r="E199" s="131"/>
      <c r="F199" s="75"/>
    </row>
    <row r="200" spans="2:11" ht="29.4" customHeight="1" x14ac:dyDescent="0.3">
      <c r="B200" s="203"/>
      <c r="C200" s="132" t="s">
        <v>8</v>
      </c>
      <c r="D200" s="205"/>
      <c r="E200" s="131"/>
      <c r="F200" s="75"/>
    </row>
    <row r="201" spans="2:11" ht="27.6" customHeight="1" x14ac:dyDescent="0.3">
      <c r="B201" s="133"/>
      <c r="C201" s="13" t="s">
        <v>120</v>
      </c>
      <c r="D201" s="179"/>
      <c r="E201" s="21"/>
      <c r="F201" s="75"/>
    </row>
    <row r="202" spans="2:11" ht="43.95" customHeight="1" x14ac:dyDescent="0.3">
      <c r="B202" s="201" t="s">
        <v>225</v>
      </c>
      <c r="C202" s="13" t="s">
        <v>121</v>
      </c>
      <c r="D202" s="204" t="s">
        <v>299</v>
      </c>
      <c r="E202" s="21"/>
      <c r="F202" s="91" t="s">
        <v>253</v>
      </c>
    </row>
    <row r="203" spans="2:11" ht="17.399999999999999" customHeight="1" x14ac:dyDescent="0.3">
      <c r="B203" s="231"/>
      <c r="C203" s="102" t="s">
        <v>11</v>
      </c>
      <c r="D203" s="205"/>
      <c r="E203" s="21">
        <f>676.1-336.1</f>
        <v>340</v>
      </c>
      <c r="F203" s="75"/>
    </row>
    <row r="204" spans="2:11" ht="43.5" customHeight="1" x14ac:dyDescent="0.3">
      <c r="B204" s="232" t="s">
        <v>268</v>
      </c>
      <c r="C204" s="13" t="s">
        <v>235</v>
      </c>
      <c r="D204" s="204" t="s">
        <v>294</v>
      </c>
      <c r="E204" s="21"/>
      <c r="F204" s="75"/>
    </row>
    <row r="205" spans="2:11" ht="29.25" customHeight="1" x14ac:dyDescent="0.3">
      <c r="B205" s="231"/>
      <c r="C205" s="61" t="s">
        <v>8</v>
      </c>
      <c r="D205" s="205"/>
      <c r="E205" s="21">
        <v>0</v>
      </c>
      <c r="F205" s="75"/>
    </row>
    <row r="206" spans="2:11" ht="19.95" customHeight="1" x14ac:dyDescent="0.3">
      <c r="B206" s="20"/>
      <c r="C206" s="6" t="s">
        <v>62</v>
      </c>
      <c r="D206" s="134"/>
      <c r="E206" s="7">
        <f>SUM(E207:E211)</f>
        <v>7059.1000000000013</v>
      </c>
      <c r="F206" s="7"/>
      <c r="I206" s="104"/>
      <c r="J206" s="104"/>
      <c r="K206" s="104"/>
    </row>
    <row r="207" spans="2:11" ht="18" customHeight="1" x14ac:dyDescent="0.3">
      <c r="B207" s="209"/>
      <c r="C207" s="8" t="s">
        <v>63</v>
      </c>
      <c r="D207" s="135"/>
      <c r="E207" s="75"/>
      <c r="F207" s="75"/>
      <c r="I207" s="104"/>
      <c r="J207" s="104"/>
      <c r="K207" s="104"/>
    </row>
    <row r="208" spans="2:11" ht="30" customHeight="1" x14ac:dyDescent="0.3">
      <c r="B208" s="210"/>
      <c r="C208" s="8" t="s">
        <v>64</v>
      </c>
      <c r="D208" s="135"/>
      <c r="E208" s="75">
        <f>SUMIF(C155:C205,C159,E155:E205)</f>
        <v>1298.3</v>
      </c>
      <c r="F208" s="75"/>
    </row>
    <row r="209" spans="2:9" ht="30" customHeight="1" x14ac:dyDescent="0.3">
      <c r="B209" s="210"/>
      <c r="C209" s="136" t="s">
        <v>272</v>
      </c>
      <c r="D209" s="135"/>
      <c r="E209" s="75">
        <f>SUMIF(C155:C205,C179,E155:E205)</f>
        <v>5.9</v>
      </c>
      <c r="F209" s="75"/>
    </row>
    <row r="210" spans="2:9" ht="19.2" customHeight="1" x14ac:dyDescent="0.3">
      <c r="B210" s="210"/>
      <c r="C210" s="8" t="s">
        <v>122</v>
      </c>
      <c r="D210" s="135"/>
      <c r="E210" s="75">
        <f>SUMIF(C155:C205,C170,E155:E205)</f>
        <v>1620.6</v>
      </c>
      <c r="F210" s="75"/>
    </row>
    <row r="211" spans="2:9" ht="19.2" customHeight="1" x14ac:dyDescent="0.3">
      <c r="B211" s="211"/>
      <c r="C211" s="8" t="s">
        <v>67</v>
      </c>
      <c r="D211" s="135"/>
      <c r="E211" s="75">
        <f>SUMIF(C155:C205,C156,E155:E205)</f>
        <v>4134.3000000000011</v>
      </c>
      <c r="F211" s="75"/>
    </row>
    <row r="212" spans="2:9" ht="31.2" customHeight="1" x14ac:dyDescent="0.3">
      <c r="B212" s="116" t="s">
        <v>240</v>
      </c>
      <c r="C212" s="42" t="s">
        <v>123</v>
      </c>
      <c r="D212" s="43"/>
      <c r="E212" s="44"/>
      <c r="F212" s="44"/>
    </row>
    <row r="213" spans="2:9" ht="31.2" customHeight="1" x14ac:dyDescent="0.3">
      <c r="B213" s="220" t="s">
        <v>124</v>
      </c>
      <c r="C213" s="13" t="s">
        <v>125</v>
      </c>
      <c r="D213" s="204" t="s">
        <v>289</v>
      </c>
      <c r="E213" s="75"/>
      <c r="F213" s="75"/>
    </row>
    <row r="214" spans="2:9" ht="30.6" customHeight="1" x14ac:dyDescent="0.3">
      <c r="B214" s="249"/>
      <c r="C214" s="102" t="s">
        <v>8</v>
      </c>
      <c r="D214" s="222"/>
      <c r="E214" s="137">
        <f>252+7.4</f>
        <v>259.39999999999998</v>
      </c>
      <c r="F214" s="75"/>
    </row>
    <row r="215" spans="2:9" ht="21" customHeight="1" x14ac:dyDescent="0.3">
      <c r="B215" s="221"/>
      <c r="C215" s="102" t="s">
        <v>11</v>
      </c>
      <c r="D215" s="222"/>
      <c r="E215" s="137">
        <v>15</v>
      </c>
      <c r="F215" s="75"/>
    </row>
    <row r="216" spans="2:9" ht="30.6" customHeight="1" x14ac:dyDescent="0.3">
      <c r="B216" s="220" t="s">
        <v>126</v>
      </c>
      <c r="C216" s="8" t="s">
        <v>222</v>
      </c>
      <c r="D216" s="222"/>
      <c r="E216" s="21"/>
      <c r="F216" s="21"/>
    </row>
    <row r="217" spans="2:9" ht="30.6" customHeight="1" x14ac:dyDescent="0.3">
      <c r="B217" s="249"/>
      <c r="C217" s="102" t="s">
        <v>8</v>
      </c>
      <c r="D217" s="222"/>
      <c r="E217" s="21">
        <f>265-15+185.5+10+1.8+4.8+29.4+16.1</f>
        <v>497.6</v>
      </c>
      <c r="F217" s="75"/>
      <c r="G217" s="106"/>
      <c r="H217" s="106"/>
      <c r="I217" s="106"/>
    </row>
    <row r="218" spans="2:9" ht="21" customHeight="1" x14ac:dyDescent="0.3">
      <c r="B218" s="220" t="s">
        <v>127</v>
      </c>
      <c r="C218" s="8" t="s">
        <v>128</v>
      </c>
      <c r="D218" s="222"/>
      <c r="E218" s="75"/>
      <c r="F218" s="21" t="s">
        <v>253</v>
      </c>
    </row>
    <row r="219" spans="2:9" ht="30.6" customHeight="1" x14ac:dyDescent="0.3">
      <c r="B219" s="221"/>
      <c r="C219" s="102" t="s">
        <v>8</v>
      </c>
      <c r="D219" s="222"/>
      <c r="E219" s="21">
        <v>19</v>
      </c>
      <c r="F219" s="75"/>
    </row>
    <row r="220" spans="2:9" ht="43.2" customHeight="1" x14ac:dyDescent="0.3">
      <c r="B220" s="220" t="s">
        <v>129</v>
      </c>
      <c r="C220" s="8" t="s">
        <v>130</v>
      </c>
      <c r="D220" s="222"/>
      <c r="E220" s="75"/>
      <c r="F220" s="75"/>
    </row>
    <row r="221" spans="2:9" ht="30.6" customHeight="1" x14ac:dyDescent="0.3">
      <c r="B221" s="221"/>
      <c r="C221" s="102" t="s">
        <v>8</v>
      </c>
      <c r="D221" s="222"/>
      <c r="E221" s="21">
        <f>162.2+14.9</f>
        <v>177.1</v>
      </c>
      <c r="F221" s="75"/>
    </row>
    <row r="222" spans="2:9" ht="45.6" customHeight="1" x14ac:dyDescent="0.3">
      <c r="B222" s="220" t="s">
        <v>131</v>
      </c>
      <c r="C222" s="13" t="s">
        <v>269</v>
      </c>
      <c r="D222" s="222"/>
      <c r="E222" s="75"/>
      <c r="F222" s="75"/>
    </row>
    <row r="223" spans="2:9" ht="30.6" customHeight="1" x14ac:dyDescent="0.3">
      <c r="B223" s="221"/>
      <c r="C223" s="102" t="s">
        <v>8</v>
      </c>
      <c r="D223" s="222"/>
      <c r="E223" s="21">
        <v>50</v>
      </c>
      <c r="F223" s="75"/>
      <c r="G223" s="106"/>
      <c r="H223" s="106"/>
      <c r="I223" s="106"/>
    </row>
    <row r="224" spans="2:9" ht="30.6" customHeight="1" x14ac:dyDescent="0.3">
      <c r="B224" s="220" t="s">
        <v>277</v>
      </c>
      <c r="C224" s="8" t="s">
        <v>278</v>
      </c>
      <c r="D224" s="222"/>
      <c r="E224" s="21"/>
      <c r="F224" s="75"/>
      <c r="G224" s="106"/>
      <c r="H224" s="106"/>
      <c r="I224" s="106"/>
    </row>
    <row r="225" spans="2:9" ht="30.6" customHeight="1" x14ac:dyDescent="0.3">
      <c r="B225" s="221"/>
      <c r="C225" s="102" t="s">
        <v>8</v>
      </c>
      <c r="D225" s="205"/>
      <c r="E225" s="21">
        <v>87.4</v>
      </c>
      <c r="F225" s="75"/>
      <c r="G225" s="106"/>
      <c r="H225" s="106"/>
      <c r="I225" s="106"/>
    </row>
    <row r="226" spans="2:9" ht="18" customHeight="1" x14ac:dyDescent="0.3">
      <c r="B226" s="183"/>
      <c r="C226" s="8" t="s">
        <v>317</v>
      </c>
      <c r="D226" s="180"/>
      <c r="E226" s="21"/>
      <c r="F226" s="75"/>
      <c r="G226" s="106"/>
      <c r="H226" s="106"/>
      <c r="I226" s="106"/>
    </row>
    <row r="227" spans="2:9" ht="30.6" customHeight="1" x14ac:dyDescent="0.3">
      <c r="B227" s="183"/>
      <c r="C227" s="102" t="s">
        <v>8</v>
      </c>
      <c r="D227" s="180"/>
      <c r="E227" s="21">
        <v>202.8</v>
      </c>
      <c r="F227" s="75"/>
      <c r="G227" s="106"/>
      <c r="H227" s="106"/>
      <c r="I227" s="106"/>
    </row>
    <row r="228" spans="2:9" ht="30.6" customHeight="1" x14ac:dyDescent="0.3">
      <c r="B228" s="220" t="s">
        <v>310</v>
      </c>
      <c r="C228" s="8" t="s">
        <v>309</v>
      </c>
      <c r="D228" s="180"/>
      <c r="E228" s="21"/>
      <c r="F228" s="75"/>
      <c r="G228" s="106"/>
      <c r="H228" s="106"/>
      <c r="I228" s="106"/>
    </row>
    <row r="229" spans="2:9" ht="30.6" customHeight="1" x14ac:dyDescent="0.3">
      <c r="B229" s="249"/>
      <c r="C229" s="102" t="s">
        <v>8</v>
      </c>
      <c r="D229" s="180"/>
      <c r="E229" s="21">
        <v>100</v>
      </c>
      <c r="F229" s="75"/>
      <c r="G229" s="106"/>
      <c r="H229" s="106"/>
      <c r="I229" s="106"/>
    </row>
    <row r="230" spans="2:9" ht="18.600000000000001" customHeight="1" x14ac:dyDescent="0.3">
      <c r="B230" s="221"/>
      <c r="C230" s="102" t="s">
        <v>9</v>
      </c>
      <c r="D230" s="180"/>
      <c r="E230" s="21">
        <v>68</v>
      </c>
      <c r="F230" s="75"/>
      <c r="G230" s="194"/>
      <c r="H230" s="106"/>
      <c r="I230" s="106"/>
    </row>
    <row r="231" spans="2:9" ht="15.6" customHeight="1" x14ac:dyDescent="0.3">
      <c r="B231" s="120"/>
      <c r="C231" s="6" t="s">
        <v>62</v>
      </c>
      <c r="D231" s="121"/>
      <c r="E231" s="7">
        <f>SUM(E233:E235)</f>
        <v>1476.3</v>
      </c>
      <c r="F231" s="125"/>
    </row>
    <row r="232" spans="2:9" ht="15.6" customHeight="1" x14ac:dyDescent="0.3">
      <c r="B232" s="201"/>
      <c r="C232" s="8" t="s">
        <v>63</v>
      </c>
      <c r="D232" s="15"/>
      <c r="E232" s="3"/>
      <c r="F232" s="3"/>
    </row>
    <row r="233" spans="2:9" ht="29.4" customHeight="1" x14ac:dyDescent="0.3">
      <c r="B233" s="202"/>
      <c r="C233" s="8" t="s">
        <v>64</v>
      </c>
      <c r="D233" s="15"/>
      <c r="E233" s="3">
        <f>SUMIF(C213:C230,C217,E213:E230)</f>
        <v>1393.3</v>
      </c>
      <c r="F233" s="103"/>
    </row>
    <row r="234" spans="2:9" ht="18.600000000000001" customHeight="1" x14ac:dyDescent="0.3">
      <c r="B234" s="202"/>
      <c r="C234" s="8" t="s">
        <v>65</v>
      </c>
      <c r="D234" s="15"/>
      <c r="E234" s="3">
        <f>SUMIF(C214:C230,C230,E214:E230)</f>
        <v>68</v>
      </c>
      <c r="F234" s="103"/>
    </row>
    <row r="235" spans="2:9" ht="18.600000000000001" customHeight="1" x14ac:dyDescent="0.3">
      <c r="B235" s="203"/>
      <c r="C235" s="8" t="s">
        <v>67</v>
      </c>
      <c r="D235" s="15"/>
      <c r="E235" s="3">
        <f>SUMIF(C213:C230,C215,E213:E230)</f>
        <v>15</v>
      </c>
      <c r="F235" s="103"/>
    </row>
    <row r="236" spans="2:9" ht="32.25" customHeight="1" x14ac:dyDescent="0.3">
      <c r="B236" s="40" t="s">
        <v>241</v>
      </c>
      <c r="C236" s="41" t="s">
        <v>132</v>
      </c>
      <c r="D236" s="41"/>
      <c r="E236" s="63"/>
      <c r="F236" s="41"/>
    </row>
    <row r="237" spans="2:9" ht="20.399999999999999" customHeight="1" x14ac:dyDescent="0.3">
      <c r="B237" s="116" t="s">
        <v>239</v>
      </c>
      <c r="C237" s="42" t="s">
        <v>133</v>
      </c>
      <c r="D237" s="43"/>
      <c r="E237" s="44"/>
      <c r="F237" s="44"/>
    </row>
    <row r="238" spans="2:9" ht="30.6" customHeight="1" x14ac:dyDescent="0.3">
      <c r="B238" s="201" t="s">
        <v>134</v>
      </c>
      <c r="C238" s="8" t="s">
        <v>135</v>
      </c>
      <c r="D238" s="241" t="s">
        <v>289</v>
      </c>
      <c r="E238" s="3"/>
      <c r="F238" s="91"/>
    </row>
    <row r="239" spans="2:9" ht="30.6" customHeight="1" x14ac:dyDescent="0.3">
      <c r="B239" s="202"/>
      <c r="C239" s="102" t="s">
        <v>8</v>
      </c>
      <c r="D239" s="242"/>
      <c r="E239" s="2">
        <f>12.7+54.5</f>
        <v>67.2</v>
      </c>
      <c r="F239" s="3"/>
    </row>
    <row r="240" spans="2:9" ht="19.2" customHeight="1" x14ac:dyDescent="0.3">
      <c r="B240" s="201" t="s">
        <v>136</v>
      </c>
      <c r="C240" s="8" t="s">
        <v>137</v>
      </c>
      <c r="D240" s="242"/>
      <c r="E240" s="21"/>
      <c r="F240" s="91"/>
    </row>
    <row r="241" spans="2:14" ht="31.2" customHeight="1" x14ac:dyDescent="0.3">
      <c r="B241" s="202"/>
      <c r="C241" s="102" t="s">
        <v>8</v>
      </c>
      <c r="D241" s="242"/>
      <c r="E241" s="21">
        <f>35.3+110.8</f>
        <v>146.1</v>
      </c>
      <c r="F241" s="91"/>
    </row>
    <row r="242" spans="2:14" ht="31.95" customHeight="1" x14ac:dyDescent="0.3">
      <c r="B242" s="201" t="s">
        <v>138</v>
      </c>
      <c r="C242" s="13" t="s">
        <v>261</v>
      </c>
      <c r="D242" s="242"/>
      <c r="E242" s="75"/>
      <c r="F242" s="91"/>
    </row>
    <row r="243" spans="2:14" ht="16.5" customHeight="1" x14ac:dyDescent="0.3">
      <c r="B243" s="202"/>
      <c r="C243" s="61" t="s">
        <v>11</v>
      </c>
      <c r="D243" s="242"/>
      <c r="E243" s="16">
        <f>600-64.8</f>
        <v>535.20000000000005</v>
      </c>
      <c r="F243" s="103"/>
    </row>
    <row r="244" spans="2:14" ht="16.8" customHeight="1" x14ac:dyDescent="0.3">
      <c r="B244" s="203"/>
      <c r="C244" s="61" t="s">
        <v>11</v>
      </c>
      <c r="D244" s="242"/>
      <c r="E244" s="60">
        <v>462.6</v>
      </c>
      <c r="F244" s="103"/>
    </row>
    <row r="245" spans="2:14" ht="42" customHeight="1" x14ac:dyDescent="0.3">
      <c r="B245" s="220" t="s">
        <v>245</v>
      </c>
      <c r="C245" s="13" t="s">
        <v>55</v>
      </c>
      <c r="D245" s="242"/>
      <c r="E245" s="75"/>
      <c r="F245" s="75"/>
    </row>
    <row r="246" spans="2:14" ht="35.4" customHeight="1" x14ac:dyDescent="0.3">
      <c r="B246" s="221"/>
      <c r="C246" s="61" t="s">
        <v>8</v>
      </c>
      <c r="D246" s="243"/>
      <c r="E246" s="21">
        <v>156</v>
      </c>
      <c r="F246" s="75"/>
    </row>
    <row r="247" spans="2:14" ht="19.2" customHeight="1" x14ac:dyDescent="0.3">
      <c r="B247" s="138"/>
      <c r="C247" s="6" t="s">
        <v>62</v>
      </c>
      <c r="D247" s="17"/>
      <c r="E247" s="10">
        <f>SUM(E238:E246)</f>
        <v>1367.1</v>
      </c>
      <c r="F247" s="125"/>
    </row>
    <row r="248" spans="2:14" ht="18" customHeight="1" x14ac:dyDescent="0.3">
      <c r="B248" s="217"/>
      <c r="C248" s="8" t="s">
        <v>63</v>
      </c>
      <c r="D248" s="18"/>
      <c r="E248" s="19"/>
      <c r="F248" s="103"/>
    </row>
    <row r="249" spans="2:14" ht="28.95" customHeight="1" x14ac:dyDescent="0.3">
      <c r="B249" s="218"/>
      <c r="C249" s="8" t="s">
        <v>64</v>
      </c>
      <c r="D249" s="18"/>
      <c r="E249" s="9">
        <f>SUMIF(C238:C246,C239,E238:E246)</f>
        <v>369.3</v>
      </c>
      <c r="F249" s="103"/>
    </row>
    <row r="250" spans="2:14" ht="19.2" customHeight="1" x14ac:dyDescent="0.3">
      <c r="B250" s="219"/>
      <c r="C250" s="8" t="s">
        <v>67</v>
      </c>
      <c r="D250" s="18"/>
      <c r="E250" s="9">
        <f>SUMIF(C238:C246,C243,E238:E246)</f>
        <v>997.80000000000007</v>
      </c>
      <c r="F250" s="103"/>
    </row>
    <row r="251" spans="2:14" ht="31.95" customHeight="1" x14ac:dyDescent="0.3">
      <c r="B251" s="116" t="s">
        <v>238</v>
      </c>
      <c r="C251" s="42" t="s">
        <v>139</v>
      </c>
      <c r="D251" s="43"/>
      <c r="E251" s="57"/>
      <c r="F251" s="139"/>
    </row>
    <row r="252" spans="2:14" ht="39" customHeight="1" x14ac:dyDescent="0.3">
      <c r="B252" s="201" t="s">
        <v>140</v>
      </c>
      <c r="C252" s="8" t="s">
        <v>141</v>
      </c>
      <c r="D252" s="212" t="s">
        <v>287</v>
      </c>
      <c r="E252" s="16"/>
      <c r="F252" s="103"/>
    </row>
    <row r="253" spans="2:14" ht="68.400000000000006" customHeight="1" x14ac:dyDescent="0.3">
      <c r="B253" s="203"/>
      <c r="C253" s="102" t="s">
        <v>8</v>
      </c>
      <c r="D253" s="214"/>
      <c r="E253" s="60">
        <v>100</v>
      </c>
      <c r="F253" s="103"/>
      <c r="M253" s="76"/>
      <c r="N253" s="140"/>
    </row>
    <row r="254" spans="2:14" ht="29.4" customHeight="1" x14ac:dyDescent="0.3">
      <c r="B254" s="201" t="s">
        <v>142</v>
      </c>
      <c r="C254" s="8" t="s">
        <v>143</v>
      </c>
      <c r="D254" s="212" t="s">
        <v>300</v>
      </c>
      <c r="E254" s="16"/>
      <c r="F254" s="103"/>
    </row>
    <row r="255" spans="2:14" ht="27.6" customHeight="1" x14ac:dyDescent="0.3">
      <c r="B255" s="202"/>
      <c r="C255" s="102" t="s">
        <v>8</v>
      </c>
      <c r="D255" s="213"/>
      <c r="E255" s="16">
        <v>141</v>
      </c>
      <c r="F255" s="103"/>
    </row>
    <row r="256" spans="2:14" ht="18" customHeight="1" x14ac:dyDescent="0.3">
      <c r="B256" s="203"/>
      <c r="C256" s="102" t="s">
        <v>11</v>
      </c>
      <c r="D256" s="213"/>
      <c r="E256" s="16">
        <v>15</v>
      </c>
      <c r="F256" s="103"/>
    </row>
    <row r="257" spans="2:9" ht="19.95" customHeight="1" x14ac:dyDescent="0.3">
      <c r="B257" s="201" t="s">
        <v>145</v>
      </c>
      <c r="C257" s="8" t="s">
        <v>144</v>
      </c>
      <c r="D257" s="213"/>
      <c r="E257" s="16"/>
      <c r="F257" s="91" t="s">
        <v>249</v>
      </c>
    </row>
    <row r="258" spans="2:9" ht="19.95" customHeight="1" x14ac:dyDescent="0.3">
      <c r="B258" s="203"/>
      <c r="C258" s="102" t="s">
        <v>11</v>
      </c>
      <c r="D258" s="213"/>
      <c r="E258" s="16">
        <v>35</v>
      </c>
      <c r="F258" s="103"/>
    </row>
    <row r="259" spans="2:9" ht="20.399999999999999" customHeight="1" x14ac:dyDescent="0.3">
      <c r="B259" s="220" t="s">
        <v>234</v>
      </c>
      <c r="C259" s="13" t="s">
        <v>146</v>
      </c>
      <c r="D259" s="213"/>
      <c r="E259" s="16"/>
      <c r="F259" s="103"/>
    </row>
    <row r="260" spans="2:9" ht="27.75" customHeight="1" x14ac:dyDescent="0.3">
      <c r="B260" s="221"/>
      <c r="C260" s="61" t="s">
        <v>8</v>
      </c>
      <c r="D260" s="214"/>
      <c r="E260" s="16">
        <v>60</v>
      </c>
      <c r="F260" s="103"/>
    </row>
    <row r="261" spans="2:9" ht="18.75" customHeight="1" x14ac:dyDescent="0.3">
      <c r="B261" s="138"/>
      <c r="C261" s="6" t="s">
        <v>62</v>
      </c>
      <c r="D261" s="17"/>
      <c r="E261" s="10">
        <f>SUM(E263:E264)</f>
        <v>351</v>
      </c>
      <c r="F261" s="125"/>
    </row>
    <row r="262" spans="2:9" ht="15" customHeight="1" x14ac:dyDescent="0.3">
      <c r="B262" s="217"/>
      <c r="C262" s="8" t="s">
        <v>63</v>
      </c>
      <c r="D262" s="18"/>
      <c r="E262" s="56"/>
      <c r="F262" s="103"/>
    </row>
    <row r="263" spans="2:9" ht="29.4" customHeight="1" x14ac:dyDescent="0.3">
      <c r="B263" s="218"/>
      <c r="C263" s="8" t="s">
        <v>64</v>
      </c>
      <c r="D263" s="55"/>
      <c r="E263" s="141">
        <f>SUMIF(C252:C260,C253,E252:E260)</f>
        <v>301</v>
      </c>
      <c r="F263" s="103"/>
    </row>
    <row r="264" spans="2:9" ht="16.95" customHeight="1" x14ac:dyDescent="0.3">
      <c r="B264" s="219"/>
      <c r="C264" s="8" t="s">
        <v>67</v>
      </c>
      <c r="D264" s="55"/>
      <c r="E264" s="58">
        <f>SUMIF(C252:C258,C258,E252:E258)</f>
        <v>50</v>
      </c>
      <c r="F264" s="103"/>
    </row>
    <row r="265" spans="2:9" ht="28.95" customHeight="1" x14ac:dyDescent="0.3">
      <c r="B265" s="40" t="s">
        <v>147</v>
      </c>
      <c r="C265" s="41" t="s">
        <v>148</v>
      </c>
      <c r="D265" s="142"/>
      <c r="E265" s="143"/>
      <c r="F265" s="41"/>
    </row>
    <row r="266" spans="2:9" ht="30" customHeight="1" x14ac:dyDescent="0.3">
      <c r="B266" s="144" t="s">
        <v>149</v>
      </c>
      <c r="C266" s="42" t="s">
        <v>150</v>
      </c>
      <c r="D266" s="23"/>
      <c r="E266" s="31"/>
      <c r="F266" s="139"/>
    </row>
    <row r="267" spans="2:9" ht="16.95" customHeight="1" x14ac:dyDescent="0.3">
      <c r="B267" s="217" t="s">
        <v>151</v>
      </c>
      <c r="C267" s="8" t="s">
        <v>152</v>
      </c>
      <c r="D267" s="18"/>
      <c r="E267" s="9"/>
      <c r="F267" s="103"/>
    </row>
    <row r="268" spans="2:9" ht="27.6" customHeight="1" x14ac:dyDescent="0.3">
      <c r="B268" s="218"/>
      <c r="C268" s="61" t="s">
        <v>8</v>
      </c>
      <c r="D268" s="215" t="s">
        <v>288</v>
      </c>
      <c r="E268" s="2">
        <f>1038-24+67</f>
        <v>1081</v>
      </c>
      <c r="F268" s="103"/>
      <c r="G268" s="106"/>
      <c r="H268" s="106"/>
      <c r="I268" s="106"/>
    </row>
    <row r="269" spans="2:9" ht="26.4" customHeight="1" x14ac:dyDescent="0.3">
      <c r="B269" s="218"/>
      <c r="C269" s="145" t="s">
        <v>11</v>
      </c>
      <c r="D269" s="216"/>
      <c r="E269" s="74">
        <v>40</v>
      </c>
      <c r="F269" s="146"/>
      <c r="G269" s="106"/>
      <c r="H269" s="106"/>
      <c r="I269" s="106"/>
    </row>
    <row r="270" spans="2:9" ht="31.5" customHeight="1" x14ac:dyDescent="0.3">
      <c r="B270" s="218"/>
      <c r="C270" s="61" t="s">
        <v>8</v>
      </c>
      <c r="D270" s="215" t="s">
        <v>295</v>
      </c>
      <c r="E270" s="197">
        <f>18.1+5+280.3+4.2</f>
        <v>307.60000000000002</v>
      </c>
      <c r="F270" s="169"/>
      <c r="G270" s="106"/>
      <c r="H270" s="106"/>
      <c r="I270" s="106"/>
    </row>
    <row r="271" spans="2:9" ht="81.599999999999994" customHeight="1" x14ac:dyDescent="0.3">
      <c r="B271" s="219"/>
      <c r="C271" s="147" t="s">
        <v>11</v>
      </c>
      <c r="D271" s="216"/>
      <c r="E271" s="155">
        <v>19</v>
      </c>
      <c r="F271" s="148"/>
      <c r="G271" s="104"/>
    </row>
    <row r="272" spans="2:9" ht="21.6" customHeight="1" x14ac:dyDescent="0.3">
      <c r="B272" s="217" t="s">
        <v>153</v>
      </c>
      <c r="C272" s="149" t="s">
        <v>154</v>
      </c>
      <c r="D272" s="253" t="s">
        <v>288</v>
      </c>
      <c r="E272" s="64"/>
      <c r="F272" s="148"/>
    </row>
    <row r="273" spans="2:11" ht="29.4" customHeight="1" x14ac:dyDescent="0.3">
      <c r="B273" s="218"/>
      <c r="C273" s="102" t="s">
        <v>8</v>
      </c>
      <c r="D273" s="254"/>
      <c r="E273" s="155">
        <f>37+3.7</f>
        <v>40.700000000000003</v>
      </c>
      <c r="F273" s="148"/>
    </row>
    <row r="274" spans="2:11" ht="30" customHeight="1" x14ac:dyDescent="0.3">
      <c r="B274" s="217" t="s">
        <v>155</v>
      </c>
      <c r="C274" s="8" t="s">
        <v>156</v>
      </c>
      <c r="D274" s="254"/>
      <c r="E274" s="64"/>
      <c r="F274" s="148"/>
    </row>
    <row r="275" spans="2:11" ht="31.95" customHeight="1" x14ac:dyDescent="0.3">
      <c r="B275" s="219"/>
      <c r="C275" s="102" t="s">
        <v>8</v>
      </c>
      <c r="D275" s="254"/>
      <c r="E275" s="155">
        <v>170</v>
      </c>
      <c r="F275" s="148"/>
    </row>
    <row r="276" spans="2:11" ht="28.2" customHeight="1" x14ac:dyDescent="0.3">
      <c r="B276" s="217" t="s">
        <v>157</v>
      </c>
      <c r="C276" s="8" t="s">
        <v>262</v>
      </c>
      <c r="D276" s="254"/>
      <c r="E276" s="64"/>
      <c r="F276" s="148"/>
    </row>
    <row r="277" spans="2:11" ht="31.95" customHeight="1" x14ac:dyDescent="0.3">
      <c r="B277" s="219"/>
      <c r="C277" s="102" t="s">
        <v>8</v>
      </c>
      <c r="D277" s="254"/>
      <c r="E277" s="155">
        <f>178-5</f>
        <v>173</v>
      </c>
      <c r="F277" s="148"/>
    </row>
    <row r="278" spans="2:11" ht="19.2" customHeight="1" x14ac:dyDescent="0.3">
      <c r="B278" s="217" t="s">
        <v>159</v>
      </c>
      <c r="C278" s="8" t="s">
        <v>160</v>
      </c>
      <c r="D278" s="254"/>
      <c r="E278" s="64" t="s">
        <v>158</v>
      </c>
      <c r="F278" s="148"/>
    </row>
    <row r="279" spans="2:11" ht="30" customHeight="1" x14ac:dyDescent="0.3">
      <c r="B279" s="219"/>
      <c r="C279" s="102" t="s">
        <v>8</v>
      </c>
      <c r="D279" s="254"/>
      <c r="E279" s="155">
        <f>183-25</f>
        <v>158</v>
      </c>
      <c r="F279" s="148"/>
    </row>
    <row r="280" spans="2:11" ht="21.6" customHeight="1" x14ac:dyDescent="0.3">
      <c r="B280" s="217" t="s">
        <v>161</v>
      </c>
      <c r="C280" s="8" t="s">
        <v>162</v>
      </c>
      <c r="D280" s="254"/>
      <c r="E280" s="64" t="s">
        <v>158</v>
      </c>
      <c r="F280" s="148"/>
    </row>
    <row r="281" spans="2:11" ht="30" customHeight="1" x14ac:dyDescent="0.3">
      <c r="B281" s="219"/>
      <c r="C281" s="102" t="s">
        <v>8</v>
      </c>
      <c r="D281" s="254"/>
      <c r="E281" s="155">
        <f>300-4.1</f>
        <v>295.89999999999998</v>
      </c>
      <c r="F281" s="148"/>
    </row>
    <row r="282" spans="2:11" ht="18.600000000000001" customHeight="1" x14ac:dyDescent="0.3">
      <c r="B282" s="217" t="s">
        <v>163</v>
      </c>
      <c r="C282" s="8" t="s">
        <v>164</v>
      </c>
      <c r="D282" s="254"/>
      <c r="E282" s="33" t="s">
        <v>158</v>
      </c>
      <c r="F282" s="148"/>
    </row>
    <row r="283" spans="2:11" ht="30" customHeight="1" x14ac:dyDescent="0.3">
      <c r="B283" s="218"/>
      <c r="C283" s="102" t="s">
        <v>8</v>
      </c>
      <c r="D283" s="254"/>
      <c r="E283" s="59">
        <v>299</v>
      </c>
      <c r="F283" s="148"/>
    </row>
    <row r="284" spans="2:11" ht="22.2" customHeight="1" x14ac:dyDescent="0.3">
      <c r="B284" s="217" t="s">
        <v>165</v>
      </c>
      <c r="C284" s="8" t="s">
        <v>166</v>
      </c>
      <c r="D284" s="254"/>
      <c r="E284" s="33" t="s">
        <v>158</v>
      </c>
      <c r="F284" s="148"/>
    </row>
    <row r="285" spans="2:11" ht="29.4" customHeight="1" x14ac:dyDescent="0.3">
      <c r="B285" s="218"/>
      <c r="C285" s="102" t="s">
        <v>8</v>
      </c>
      <c r="D285" s="254"/>
      <c r="E285" s="155">
        <f>228.7-188.2</f>
        <v>40.5</v>
      </c>
      <c r="F285" s="148"/>
    </row>
    <row r="286" spans="2:11" ht="19.95" customHeight="1" x14ac:dyDescent="0.3">
      <c r="B286" s="217" t="s">
        <v>167</v>
      </c>
      <c r="C286" s="8" t="s">
        <v>168</v>
      </c>
      <c r="D286" s="254"/>
      <c r="E286" s="64" t="s">
        <v>158</v>
      </c>
      <c r="F286" s="148"/>
    </row>
    <row r="287" spans="2:11" ht="33" customHeight="1" x14ac:dyDescent="0.3">
      <c r="B287" s="218"/>
      <c r="C287" s="102" t="s">
        <v>8</v>
      </c>
      <c r="D287" s="254"/>
      <c r="E287" s="155">
        <f>92.8-74.7</f>
        <v>18.099999999999994</v>
      </c>
      <c r="F287" s="148"/>
      <c r="G287" s="150"/>
      <c r="H287" s="151"/>
      <c r="I287" s="151"/>
      <c r="J287" s="151"/>
      <c r="K287" s="151"/>
    </row>
    <row r="288" spans="2:11" ht="106.5" customHeight="1" x14ac:dyDescent="0.3">
      <c r="B288" s="219"/>
      <c r="C288" s="102" t="s">
        <v>8</v>
      </c>
      <c r="D288" s="172" t="s">
        <v>295</v>
      </c>
      <c r="E288" s="59">
        <v>7.2</v>
      </c>
      <c r="F288" s="148"/>
      <c r="G288" s="170"/>
      <c r="H288" s="151"/>
      <c r="I288" s="151"/>
      <c r="J288" s="151"/>
      <c r="K288" s="151"/>
    </row>
    <row r="289" spans="2:7" ht="18" customHeight="1" x14ac:dyDescent="0.3">
      <c r="B289" s="206" t="s">
        <v>169</v>
      </c>
      <c r="C289" s="152" t="s">
        <v>170</v>
      </c>
      <c r="D289" s="253" t="s">
        <v>288</v>
      </c>
      <c r="E289" s="64" t="s">
        <v>158</v>
      </c>
      <c r="F289" s="153"/>
      <c r="G289" s="105"/>
    </row>
    <row r="290" spans="2:7" ht="33" customHeight="1" x14ac:dyDescent="0.3">
      <c r="B290" s="207"/>
      <c r="C290" s="154" t="s">
        <v>8</v>
      </c>
      <c r="D290" s="254"/>
      <c r="E290" s="155">
        <f>18+269.1+35+15+5-4.2</f>
        <v>337.90000000000003</v>
      </c>
      <c r="F290" s="153"/>
    </row>
    <row r="291" spans="2:7" ht="18" customHeight="1" x14ac:dyDescent="0.3">
      <c r="B291" s="208"/>
      <c r="C291" s="154" t="s">
        <v>9</v>
      </c>
      <c r="D291" s="255"/>
      <c r="E291" s="155">
        <v>2.9</v>
      </c>
      <c r="F291" s="153"/>
    </row>
    <row r="292" spans="2:7" ht="18.600000000000001" customHeight="1" x14ac:dyDescent="0.3">
      <c r="B292" s="156"/>
      <c r="C292" s="6" t="s">
        <v>62</v>
      </c>
      <c r="D292" s="26"/>
      <c r="E292" s="27">
        <f>SUM(E293:E296)</f>
        <v>2990.7999999999997</v>
      </c>
      <c r="F292" s="157"/>
    </row>
    <row r="293" spans="2:7" ht="16.2" customHeight="1" x14ac:dyDescent="0.3">
      <c r="B293" s="234"/>
      <c r="C293" s="8" t="s">
        <v>63</v>
      </c>
      <c r="D293" s="28"/>
      <c r="E293" s="24"/>
      <c r="F293" s="148"/>
    </row>
    <row r="294" spans="2:7" ht="33" customHeight="1" x14ac:dyDescent="0.3">
      <c r="B294" s="235"/>
      <c r="C294" s="8" t="s">
        <v>64</v>
      </c>
      <c r="D294" s="28"/>
      <c r="E294" s="24">
        <f>SUMIF(C267:C291,C268,E267:E291)</f>
        <v>2928.8999999999996</v>
      </c>
      <c r="F294" s="148"/>
    </row>
    <row r="295" spans="2:7" ht="19.2" customHeight="1" x14ac:dyDescent="0.3">
      <c r="B295" s="235"/>
      <c r="C295" s="8" t="s">
        <v>65</v>
      </c>
      <c r="D295" s="28"/>
      <c r="E295" s="24">
        <f>SUMIF(C267:C291,C291,E267:E291)</f>
        <v>2.9</v>
      </c>
      <c r="F295" s="148"/>
    </row>
    <row r="296" spans="2:7" ht="19.2" customHeight="1" x14ac:dyDescent="0.3">
      <c r="B296" s="236"/>
      <c r="C296" s="8" t="s">
        <v>67</v>
      </c>
      <c r="D296" s="28"/>
      <c r="E296" s="24">
        <f>SUMIF(C267:C291,C269,E267:E291)</f>
        <v>59</v>
      </c>
      <c r="F296" s="148"/>
    </row>
    <row r="297" spans="2:7" ht="109.95" customHeight="1" x14ac:dyDescent="0.3">
      <c r="B297" s="144" t="s">
        <v>171</v>
      </c>
      <c r="C297" s="42" t="s">
        <v>172</v>
      </c>
      <c r="D297" s="34" t="s">
        <v>289</v>
      </c>
      <c r="E297" s="31"/>
      <c r="F297" s="158"/>
    </row>
    <row r="298" spans="2:7" ht="21" customHeight="1" x14ac:dyDescent="0.3">
      <c r="B298" s="125"/>
      <c r="C298" s="6" t="s">
        <v>62</v>
      </c>
      <c r="D298" s="29"/>
      <c r="E298" s="27">
        <f>E300</f>
        <v>29.4</v>
      </c>
      <c r="F298" s="157"/>
    </row>
    <row r="299" spans="2:7" ht="18.600000000000001" customHeight="1" x14ac:dyDescent="0.3">
      <c r="B299" s="159"/>
      <c r="C299" s="8" t="s">
        <v>63</v>
      </c>
      <c r="D299" s="32"/>
      <c r="E299" s="33"/>
      <c r="F299" s="160"/>
    </row>
    <row r="300" spans="2:7" ht="31.2" customHeight="1" x14ac:dyDescent="0.3">
      <c r="B300" s="160"/>
      <c r="C300" s="8" t="s">
        <v>8</v>
      </c>
      <c r="D300" s="28"/>
      <c r="E300" s="24">
        <v>29.4</v>
      </c>
      <c r="F300" s="148"/>
    </row>
    <row r="301" spans="2:7" ht="31.95" customHeight="1" x14ac:dyDescent="0.3">
      <c r="B301" s="158" t="s">
        <v>173</v>
      </c>
      <c r="C301" s="42" t="s">
        <v>174</v>
      </c>
      <c r="D301" s="34" t="s">
        <v>290</v>
      </c>
      <c r="E301" s="31"/>
      <c r="F301" s="158"/>
    </row>
    <row r="302" spans="2:7" ht="20.399999999999999" customHeight="1" x14ac:dyDescent="0.3">
      <c r="B302" s="125"/>
      <c r="C302" s="6" t="s">
        <v>62</v>
      </c>
      <c r="D302" s="29"/>
      <c r="E302" s="27">
        <f>E304</f>
        <v>40</v>
      </c>
      <c r="F302" s="157"/>
    </row>
    <row r="303" spans="2:7" ht="19.2" customHeight="1" x14ac:dyDescent="0.3">
      <c r="B303" s="159"/>
      <c r="C303" s="8" t="s">
        <v>63</v>
      </c>
      <c r="D303" s="28"/>
      <c r="E303" s="24"/>
      <c r="F303" s="148"/>
    </row>
    <row r="304" spans="2:7" ht="31.2" customHeight="1" x14ac:dyDescent="0.3">
      <c r="B304" s="160"/>
      <c r="C304" s="8" t="s">
        <v>8</v>
      </c>
      <c r="D304" s="28"/>
      <c r="E304" s="24">
        <v>40</v>
      </c>
      <c r="F304" s="148"/>
    </row>
    <row r="305" spans="2:6" ht="30.6" customHeight="1" x14ac:dyDescent="0.3">
      <c r="B305" s="158" t="s">
        <v>175</v>
      </c>
      <c r="C305" s="42" t="s">
        <v>176</v>
      </c>
      <c r="D305" s="30"/>
      <c r="E305" s="31"/>
      <c r="F305" s="158"/>
    </row>
    <row r="306" spans="2:6" ht="31.2" customHeight="1" x14ac:dyDescent="0.3">
      <c r="B306" s="229" t="s">
        <v>177</v>
      </c>
      <c r="C306" s="8" t="s">
        <v>178</v>
      </c>
      <c r="D306" s="241" t="s">
        <v>288</v>
      </c>
      <c r="E306" s="24"/>
      <c r="F306" s="148"/>
    </row>
    <row r="307" spans="2:6" ht="31.2" customHeight="1" x14ac:dyDescent="0.3">
      <c r="B307" s="230"/>
      <c r="C307" s="102" t="s">
        <v>8</v>
      </c>
      <c r="D307" s="243"/>
      <c r="E307" s="59">
        <f>14.5+18</f>
        <v>32.5</v>
      </c>
      <c r="F307" s="148"/>
    </row>
    <row r="308" spans="2:6" ht="32.4" customHeight="1" x14ac:dyDescent="0.3">
      <c r="B308" s="229" t="s">
        <v>179</v>
      </c>
      <c r="C308" s="8" t="s">
        <v>180</v>
      </c>
      <c r="D308" s="241" t="s">
        <v>289</v>
      </c>
      <c r="E308" s="25"/>
      <c r="F308" s="161"/>
    </row>
    <row r="309" spans="2:6" ht="36.6" customHeight="1" x14ac:dyDescent="0.3">
      <c r="B309" s="230"/>
      <c r="C309" s="102" t="s">
        <v>8</v>
      </c>
      <c r="D309" s="242"/>
      <c r="E309" s="25">
        <v>7.4</v>
      </c>
      <c r="F309" s="148"/>
    </row>
    <row r="310" spans="2:6" ht="43.2" customHeight="1" x14ac:dyDescent="0.3">
      <c r="B310" s="240"/>
      <c r="C310" s="192" t="s">
        <v>9</v>
      </c>
      <c r="D310" s="243"/>
      <c r="E310" s="25">
        <v>0.4</v>
      </c>
      <c r="F310" s="148"/>
    </row>
    <row r="311" spans="2:6" ht="21" customHeight="1" x14ac:dyDescent="0.3">
      <c r="B311" s="156"/>
      <c r="C311" s="162" t="s">
        <v>62</v>
      </c>
      <c r="D311" s="17"/>
      <c r="E311" s="27">
        <f>SUM(E306:E310)</f>
        <v>40.299999999999997</v>
      </c>
      <c r="F311" s="157"/>
    </row>
    <row r="312" spans="2:6" ht="19.2" customHeight="1" x14ac:dyDescent="0.3">
      <c r="B312" s="258"/>
      <c r="C312" s="8" t="s">
        <v>63</v>
      </c>
      <c r="D312" s="28"/>
      <c r="E312" s="24"/>
      <c r="F312" s="148"/>
    </row>
    <row r="313" spans="2:6" ht="31.2" customHeight="1" x14ac:dyDescent="0.3">
      <c r="B313" s="259"/>
      <c r="C313" s="8" t="s">
        <v>64</v>
      </c>
      <c r="D313" s="28"/>
      <c r="E313" s="24">
        <f>SUMIF(C306:C309,C309,E306:E309)</f>
        <v>39.9</v>
      </c>
      <c r="F313" s="148"/>
    </row>
    <row r="314" spans="2:6" ht="18.600000000000001" customHeight="1" x14ac:dyDescent="0.3">
      <c r="B314" s="260"/>
      <c r="C314" s="8" t="s">
        <v>65</v>
      </c>
      <c r="D314" s="28"/>
      <c r="E314" s="24">
        <f>SUMIF(C307:C310,C310,E307:E310)</f>
        <v>0.4</v>
      </c>
      <c r="F314" s="148"/>
    </row>
    <row r="315" spans="2:6" ht="55.2" customHeight="1" x14ac:dyDescent="0.3">
      <c r="B315" s="158" t="s">
        <v>181</v>
      </c>
      <c r="C315" s="42" t="s">
        <v>182</v>
      </c>
      <c r="D315" s="34" t="s">
        <v>288</v>
      </c>
      <c r="E315" s="31"/>
      <c r="F315" s="158"/>
    </row>
    <row r="316" spans="2:6" ht="17.399999999999999" customHeight="1" x14ac:dyDescent="0.3">
      <c r="B316" s="156"/>
      <c r="C316" s="6" t="s">
        <v>62</v>
      </c>
      <c r="D316" s="29"/>
      <c r="E316" s="27">
        <f>SUM(E317:E319)</f>
        <v>3969.8999999999996</v>
      </c>
      <c r="F316" s="157"/>
    </row>
    <row r="317" spans="2:6" ht="17.399999999999999" customHeight="1" x14ac:dyDescent="0.3">
      <c r="B317" s="237"/>
      <c r="C317" s="8" t="s">
        <v>63</v>
      </c>
      <c r="D317" s="28"/>
      <c r="E317" s="24"/>
      <c r="F317" s="148"/>
    </row>
    <row r="318" spans="2:6" ht="28.2" customHeight="1" x14ac:dyDescent="0.3">
      <c r="B318" s="238"/>
      <c r="C318" s="8" t="s">
        <v>8</v>
      </c>
      <c r="D318" s="28"/>
      <c r="E318" s="33">
        <f>4750-280-165.1-350</f>
        <v>3954.8999999999996</v>
      </c>
      <c r="F318" s="148"/>
    </row>
    <row r="319" spans="2:6" ht="17.399999999999999" customHeight="1" x14ac:dyDescent="0.3">
      <c r="B319" s="238"/>
      <c r="C319" s="8" t="s">
        <v>9</v>
      </c>
      <c r="D319" s="28"/>
      <c r="E319" s="33">
        <v>15</v>
      </c>
      <c r="F319" s="148"/>
    </row>
    <row r="320" spans="2:6" ht="27.75" customHeight="1" x14ac:dyDescent="0.3">
      <c r="B320" s="122"/>
      <c r="C320" s="6" t="s">
        <v>183</v>
      </c>
      <c r="D320" s="121"/>
      <c r="E320" s="7">
        <f>E106+E113+E124+E129+E133+E137+E141+E150+E206+E231+E247+E261+E292+E298+E302+E311+E316+E145</f>
        <v>194710.39999999991</v>
      </c>
      <c r="F320" s="7"/>
    </row>
    <row r="321" spans="2:12" ht="17.399999999999999" customHeight="1" x14ac:dyDescent="0.3">
      <c r="B321" s="185"/>
      <c r="C321" s="8" t="s">
        <v>184</v>
      </c>
      <c r="D321" s="15"/>
      <c r="E321" s="75">
        <f>E189</f>
        <v>0</v>
      </c>
      <c r="F321" s="3"/>
    </row>
    <row r="322" spans="2:12" ht="15" customHeight="1" x14ac:dyDescent="0.3">
      <c r="B322" s="163"/>
      <c r="C322" s="70"/>
      <c r="D322" s="71"/>
      <c r="E322" s="72"/>
      <c r="F322" s="72"/>
    </row>
    <row r="323" spans="2:12" s="166" customFormat="1" ht="15" customHeight="1" x14ac:dyDescent="0.25">
      <c r="B323" s="233" t="s">
        <v>228</v>
      </c>
      <c r="C323" s="233"/>
      <c r="D323" s="233"/>
      <c r="E323" s="233"/>
      <c r="F323" s="233"/>
      <c r="G323" s="186"/>
      <c r="H323" s="164"/>
      <c r="I323" s="165"/>
      <c r="J323" s="165"/>
      <c r="K323" s="165"/>
      <c r="L323" s="165"/>
    </row>
    <row r="324" spans="2:12" s="166" customFormat="1" ht="15" customHeight="1" x14ac:dyDescent="0.25">
      <c r="B324" s="239" t="s">
        <v>229</v>
      </c>
      <c r="C324" s="239"/>
      <c r="D324" s="239"/>
      <c r="E324" s="239"/>
      <c r="F324" s="239"/>
      <c r="G324" s="186"/>
      <c r="H324" s="164"/>
      <c r="I324" s="165"/>
      <c r="J324" s="165"/>
      <c r="K324" s="165"/>
      <c r="L324" s="165"/>
    </row>
    <row r="325" spans="2:12" s="166" customFormat="1" ht="15" customHeight="1" x14ac:dyDescent="0.25">
      <c r="B325" s="233" t="s">
        <v>230</v>
      </c>
      <c r="C325" s="233"/>
      <c r="D325" s="233"/>
      <c r="E325" s="233"/>
      <c r="F325" s="233"/>
      <c r="G325" s="186"/>
      <c r="H325" s="164"/>
      <c r="I325" s="165"/>
      <c r="J325" s="165"/>
      <c r="K325" s="165"/>
      <c r="L325" s="165"/>
    </row>
    <row r="326" spans="2:12" s="166" customFormat="1" ht="15" customHeight="1" x14ac:dyDescent="0.25">
      <c r="B326" s="233" t="s">
        <v>231</v>
      </c>
      <c r="C326" s="233"/>
      <c r="D326" s="233"/>
      <c r="E326" s="233"/>
      <c r="F326" s="233"/>
      <c r="G326" s="186"/>
      <c r="H326" s="164"/>
      <c r="I326" s="165"/>
      <c r="J326" s="165"/>
      <c r="K326" s="165"/>
      <c r="L326" s="165"/>
    </row>
    <row r="327" spans="2:12" s="166" customFormat="1" ht="15" customHeight="1" x14ac:dyDescent="0.25">
      <c r="B327" s="228" t="s">
        <v>244</v>
      </c>
      <c r="C327" s="228"/>
      <c r="D327" s="187"/>
      <c r="E327" s="198"/>
      <c r="F327" s="187"/>
      <c r="G327" s="186"/>
      <c r="H327" s="164"/>
      <c r="I327" s="165"/>
      <c r="J327" s="165"/>
      <c r="K327" s="165"/>
      <c r="L327" s="165"/>
    </row>
    <row r="329" spans="2:12" x14ac:dyDescent="0.3">
      <c r="B329" s="35" t="s">
        <v>301</v>
      </c>
    </row>
    <row r="330" spans="2:12" x14ac:dyDescent="0.3">
      <c r="B330" s="35" t="s">
        <v>284</v>
      </c>
    </row>
    <row r="331" spans="2:12" x14ac:dyDescent="0.3">
      <c r="B331" s="35" t="s">
        <v>285</v>
      </c>
    </row>
    <row r="332" spans="2:12" x14ac:dyDescent="0.3">
      <c r="B332" s="35" t="s">
        <v>286</v>
      </c>
    </row>
  </sheetData>
  <mergeCells count="156">
    <mergeCell ref="C1:F1"/>
    <mergeCell ref="D190:D191"/>
    <mergeCell ref="D192:D193"/>
    <mergeCell ref="D86:D87"/>
    <mergeCell ref="D118:D119"/>
    <mergeCell ref="D44:D68"/>
    <mergeCell ref="D195:D198"/>
    <mergeCell ref="D199:D200"/>
    <mergeCell ref="B197:B198"/>
    <mergeCell ref="B199:B200"/>
    <mergeCell ref="B9:B13"/>
    <mergeCell ref="B30:B31"/>
    <mergeCell ref="B178:B180"/>
    <mergeCell ref="B182:B183"/>
    <mergeCell ref="B186:B187"/>
    <mergeCell ref="B4:F4"/>
    <mergeCell ref="D95:D97"/>
    <mergeCell ref="B95:B97"/>
    <mergeCell ref="D71:D76"/>
    <mergeCell ref="B75:B76"/>
    <mergeCell ref="B71:B72"/>
    <mergeCell ref="D104:D105"/>
    <mergeCell ref="D100:D101"/>
    <mergeCell ref="B104:B105"/>
    <mergeCell ref="B312:B314"/>
    <mergeCell ref="C2:F2"/>
    <mergeCell ref="B259:B260"/>
    <mergeCell ref="B58:B59"/>
    <mergeCell ref="B23:B24"/>
    <mergeCell ref="B69:B70"/>
    <mergeCell ref="B32:B33"/>
    <mergeCell ref="B14:B15"/>
    <mergeCell ref="D9:D31"/>
    <mergeCell ref="D40:D41"/>
    <mergeCell ref="D42:D43"/>
    <mergeCell ref="D69:D70"/>
    <mergeCell ref="B60:B64"/>
    <mergeCell ref="B65:B68"/>
    <mergeCell ref="B16:B17"/>
    <mergeCell ref="B18:B22"/>
    <mergeCell ref="B25:B29"/>
    <mergeCell ref="B40:B41"/>
    <mergeCell ref="B44:B45"/>
    <mergeCell ref="B42:B43"/>
    <mergeCell ref="B46:B50"/>
    <mergeCell ref="B51:B52"/>
    <mergeCell ref="B53:B57"/>
    <mergeCell ref="D306:D307"/>
    <mergeCell ref="D289:D291"/>
    <mergeCell ref="B188:B189"/>
    <mergeCell ref="D184:D185"/>
    <mergeCell ref="D213:D225"/>
    <mergeCell ref="B248:B250"/>
    <mergeCell ref="D173:D174"/>
    <mergeCell ref="D188:D189"/>
    <mergeCell ref="D93:D94"/>
    <mergeCell ref="D98:D99"/>
    <mergeCell ref="B280:B281"/>
    <mergeCell ref="B286:B288"/>
    <mergeCell ref="B228:B230"/>
    <mergeCell ref="B272:B273"/>
    <mergeCell ref="B213:B215"/>
    <mergeCell ref="B274:B275"/>
    <mergeCell ref="D238:D246"/>
    <mergeCell ref="D171:D172"/>
    <mergeCell ref="B173:B174"/>
    <mergeCell ref="B262:B264"/>
    <mergeCell ref="B257:B258"/>
    <mergeCell ref="B220:B221"/>
    <mergeCell ref="B224:B225"/>
    <mergeCell ref="D270:D271"/>
    <mergeCell ref="D272:D287"/>
    <mergeCell ref="B77:B80"/>
    <mergeCell ref="B142:B143"/>
    <mergeCell ref="B134:B135"/>
    <mergeCell ref="B102:B103"/>
    <mergeCell ref="B146:B147"/>
    <mergeCell ref="B88:B89"/>
    <mergeCell ref="B90:B92"/>
    <mergeCell ref="B93:B94"/>
    <mergeCell ref="B107:B112"/>
    <mergeCell ref="B98:B99"/>
    <mergeCell ref="B120:B121"/>
    <mergeCell ref="B100:B101"/>
    <mergeCell ref="D308:D310"/>
    <mergeCell ref="B190:B191"/>
    <mergeCell ref="B114:B116"/>
    <mergeCell ref="B195:B196"/>
    <mergeCell ref="B175:B176"/>
    <mergeCell ref="B171:B172"/>
    <mergeCell ref="B155:B157"/>
    <mergeCell ref="D175:D176"/>
    <mergeCell ref="B276:B277"/>
    <mergeCell ref="B245:B246"/>
    <mergeCell ref="B216:B217"/>
    <mergeCell ref="B218:B219"/>
    <mergeCell ref="B162:B164"/>
    <mergeCell ref="B165:B167"/>
    <mergeCell ref="B151:B152"/>
    <mergeCell ref="B130:B131"/>
    <mergeCell ref="D158:D159"/>
    <mergeCell ref="D178:D181"/>
    <mergeCell ref="D182:D183"/>
    <mergeCell ref="D186:D187"/>
    <mergeCell ref="D155:D157"/>
    <mergeCell ref="B160:B161"/>
    <mergeCell ref="B125:B127"/>
    <mergeCell ref="B138:B139"/>
    <mergeCell ref="B327:C327"/>
    <mergeCell ref="B306:B307"/>
    <mergeCell ref="B202:B203"/>
    <mergeCell ref="B238:B239"/>
    <mergeCell ref="B240:B241"/>
    <mergeCell ref="B204:B205"/>
    <mergeCell ref="B254:B256"/>
    <mergeCell ref="B222:B223"/>
    <mergeCell ref="B232:B235"/>
    <mergeCell ref="B242:B244"/>
    <mergeCell ref="B278:B279"/>
    <mergeCell ref="B284:B285"/>
    <mergeCell ref="B326:F326"/>
    <mergeCell ref="B325:F325"/>
    <mergeCell ref="B293:B296"/>
    <mergeCell ref="B282:B283"/>
    <mergeCell ref="D204:D205"/>
    <mergeCell ref="B317:B319"/>
    <mergeCell ref="D252:D253"/>
    <mergeCell ref="B323:F323"/>
    <mergeCell ref="B324:F324"/>
    <mergeCell ref="B308:B310"/>
    <mergeCell ref="B252:B253"/>
    <mergeCell ref="D202:D203"/>
    <mergeCell ref="G34:G37"/>
    <mergeCell ref="B34:B39"/>
    <mergeCell ref="D35:D36"/>
    <mergeCell ref="D37:D38"/>
    <mergeCell ref="B81:B83"/>
    <mergeCell ref="B289:B291"/>
    <mergeCell ref="B207:B211"/>
    <mergeCell ref="D254:D260"/>
    <mergeCell ref="D268:D269"/>
    <mergeCell ref="B267:B271"/>
    <mergeCell ref="B184:B185"/>
    <mergeCell ref="D160:D163"/>
    <mergeCell ref="D165:D167"/>
    <mergeCell ref="D120:D123"/>
    <mergeCell ref="D168:D170"/>
    <mergeCell ref="B168:B170"/>
    <mergeCell ref="B86:B87"/>
    <mergeCell ref="B122:B123"/>
    <mergeCell ref="D88:D89"/>
    <mergeCell ref="D90:D92"/>
    <mergeCell ref="B73:B74"/>
    <mergeCell ref="B84:B85"/>
    <mergeCell ref="D102:D103"/>
    <mergeCell ref="D77:D85"/>
  </mergeCells>
  <phoneticPr fontId="19" type="noConversion"/>
  <printOptions horizontalCentered="1"/>
  <pageMargins left="0.39370078740157483" right="0.39370078740157483" top="0.59055118110236227" bottom="0.59055118110236227" header="0" footer="0"/>
  <pageSetup paperSize="9" scale="87" orientation="portrait" r:id="rId1"/>
  <rowBreaks count="11" manualBreakCount="11">
    <brk id="31" max="5" man="1"/>
    <brk id="50" max="5" man="1"/>
    <brk id="76" max="5" man="1"/>
    <brk id="97" max="5" man="1"/>
    <brk id="121" max="5" man="1"/>
    <brk id="149" max="5" man="1"/>
    <brk id="172" max="5" man="1"/>
    <brk id="196" max="5" man="1"/>
    <brk id="223" max="5" man="1"/>
    <brk id="250" max="5" man="1"/>
    <brk id="300" max="5" man="1"/>
  </rowBreaks>
  <ignoredErrors>
    <ignoredError sqref="E21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2B7DE-1137-4D5E-9D15-BD7BEEB77719}">
  <sheetPr>
    <pageSetUpPr fitToPage="1"/>
  </sheetPr>
  <dimension ref="B1:F29"/>
  <sheetViews>
    <sheetView zoomScaleNormal="100" workbookViewId="0">
      <selection activeCell="D25" sqref="D25"/>
    </sheetView>
  </sheetViews>
  <sheetFormatPr defaultColWidth="9.109375" defaultRowHeight="13.2" x14ac:dyDescent="0.25"/>
  <cols>
    <col min="1" max="1" width="2.5546875" style="12" customWidth="1"/>
    <col min="2" max="2" width="4.6640625" style="12" customWidth="1"/>
    <col min="3" max="3" width="44.6640625" style="1" customWidth="1"/>
    <col min="4" max="4" width="14.6640625" style="12" customWidth="1"/>
    <col min="5" max="5" width="9.109375" style="12"/>
    <col min="6" max="6" width="9.5546875" style="12" bestFit="1" customWidth="1"/>
    <col min="7" max="16384" width="9.109375" style="12"/>
  </cols>
  <sheetData>
    <row r="1" spans="2:4" ht="30.6" customHeight="1" x14ac:dyDescent="0.25">
      <c r="B1" s="270" t="s">
        <v>270</v>
      </c>
      <c r="C1" s="270"/>
      <c r="D1" s="270"/>
    </row>
    <row r="2" spans="2:4" x14ac:dyDescent="0.25">
      <c r="C2" s="12"/>
    </row>
    <row r="3" spans="2:4" ht="51.75" customHeight="1" x14ac:dyDescent="0.25">
      <c r="B3" s="82" t="s">
        <v>185</v>
      </c>
      <c r="C3" s="83" t="s">
        <v>186</v>
      </c>
      <c r="D3" s="84" t="s">
        <v>187</v>
      </c>
    </row>
    <row r="4" spans="2:4" ht="12.75" customHeight="1" x14ac:dyDescent="0.25">
      <c r="B4" s="85">
        <v>1</v>
      </c>
      <c r="C4" s="47">
        <v>2</v>
      </c>
      <c r="D4" s="86">
        <v>3</v>
      </c>
    </row>
    <row r="5" spans="2:4" ht="15.75" customHeight="1" x14ac:dyDescent="0.25">
      <c r="B5" s="271" t="s">
        <v>188</v>
      </c>
      <c r="C5" s="272"/>
      <c r="D5" s="273"/>
    </row>
    <row r="6" spans="2:4" ht="12.75" customHeight="1" x14ac:dyDescent="0.25">
      <c r="B6" s="87" t="s">
        <v>189</v>
      </c>
      <c r="C6" s="48" t="s">
        <v>62</v>
      </c>
      <c r="D6" s="5">
        <f>SUM(D8:D13)</f>
        <v>194594.7999999999</v>
      </c>
    </row>
    <row r="7" spans="2:4" ht="12.75" customHeight="1" x14ac:dyDescent="0.25">
      <c r="B7" s="88"/>
      <c r="C7" s="49" t="s">
        <v>190</v>
      </c>
      <c r="D7" s="22"/>
    </row>
    <row r="8" spans="2:4" ht="29.25" customHeight="1" x14ac:dyDescent="0.25">
      <c r="B8" s="88" t="s">
        <v>191</v>
      </c>
      <c r="C8" s="50" t="s">
        <v>192</v>
      </c>
      <c r="D8" s="53">
        <f>SUMIF('10 programa 3 lentelė'!C7:C321,'10 programa 3 lentelė'!C10,'10 programa 3 lentelė'!E7:E321)</f>
        <v>77460.799999999959</v>
      </c>
    </row>
    <row r="9" spans="2:4" ht="12.75" customHeight="1" x14ac:dyDescent="0.25">
      <c r="B9" s="88" t="s">
        <v>193</v>
      </c>
      <c r="C9" s="51" t="s">
        <v>9</v>
      </c>
      <c r="D9" s="53">
        <f>SUMIF('10 programa 3 lentelė'!C7:C321,'10 programa 3 lentelė'!C11,'10 programa 3 lentelė'!E7:E321)</f>
        <v>98565.899999999965</v>
      </c>
    </row>
    <row r="10" spans="2:4" ht="12.75" customHeight="1" x14ac:dyDescent="0.25">
      <c r="B10" s="88" t="s">
        <v>194</v>
      </c>
      <c r="C10" s="51" t="s">
        <v>195</v>
      </c>
      <c r="D10" s="53">
        <f>SUMIF('10 programa 3 lentelė'!C7:C321,'10 programa 3 lentelė'!C12,'10 programa 3 lentelė'!E7:E321)</f>
        <v>8037.8</v>
      </c>
    </row>
    <row r="11" spans="2:4" ht="24.75" customHeight="1" x14ac:dyDescent="0.25">
      <c r="B11" s="88" t="s">
        <v>196</v>
      </c>
      <c r="C11" s="51" t="s">
        <v>96</v>
      </c>
      <c r="D11" s="53">
        <f>SUMIF('10 programa 3 lentelė'!C7:C321,'10 programa 3 lentelė'!C38,'10 programa 3 lentelė'!E7:E321)</f>
        <v>2350.9</v>
      </c>
    </row>
    <row r="12" spans="2:4" ht="12.75" customHeight="1" x14ac:dyDescent="0.25">
      <c r="B12" s="88" t="s">
        <v>197</v>
      </c>
      <c r="C12" s="51" t="s">
        <v>198</v>
      </c>
      <c r="D12" s="53">
        <f>SUMIF('10 programa 3 lentelė'!C7:C321,'10 programa 3 lentelė'!C170,'10 programa 3 lentelė'!E7:E321)</f>
        <v>1620.6</v>
      </c>
    </row>
    <row r="13" spans="2:4" ht="12.75" customHeight="1" x14ac:dyDescent="0.25">
      <c r="B13" s="88" t="s">
        <v>199</v>
      </c>
      <c r="C13" s="51" t="s">
        <v>200</v>
      </c>
      <c r="D13" s="53">
        <f>SUMIF('10 programa 3 lentelė'!C7:C321,'10 programa 3 lentelė'!C156,'10 programa 3 lentelė'!E7:E321)</f>
        <v>6558.8</v>
      </c>
    </row>
    <row r="14" spans="2:4" ht="40.5" customHeight="1" x14ac:dyDescent="0.25">
      <c r="B14" s="87" t="s">
        <v>201</v>
      </c>
      <c r="C14" s="49" t="s">
        <v>202</v>
      </c>
      <c r="D14" s="54">
        <f>SUM(D16:D21)</f>
        <v>115.6</v>
      </c>
    </row>
    <row r="15" spans="2:4" ht="16.5" customHeight="1" x14ac:dyDescent="0.25">
      <c r="B15" s="88"/>
      <c r="C15" s="49" t="s">
        <v>190</v>
      </c>
      <c r="D15" s="4"/>
    </row>
    <row r="16" spans="2:4" ht="12.75" customHeight="1" x14ac:dyDescent="0.25">
      <c r="B16" s="88" t="s">
        <v>203</v>
      </c>
      <c r="C16" s="52" t="s">
        <v>204</v>
      </c>
      <c r="D16" s="53">
        <f>SUMIF('10 programa 3 lentelė'!C7:C321,'10 programa 3 lentelė'!C31,'10 programa 3 lentelė'!E7:E321)</f>
        <v>96</v>
      </c>
    </row>
    <row r="17" spans="2:6" ht="12.75" customHeight="1" x14ac:dyDescent="0.25">
      <c r="B17" s="88" t="s">
        <v>205</v>
      </c>
      <c r="C17" s="52" t="s">
        <v>206</v>
      </c>
      <c r="D17" s="53" cm="1">
        <f t="array" ref="D17">SUMIF('10 programa 3 lentelė'!C7:C321,'10 programa 3 lentelė'!C00,'10 programa 3 lentelė'!E7:E321)</f>
        <v>0</v>
      </c>
    </row>
    <row r="18" spans="2:6" ht="24.75" customHeight="1" x14ac:dyDescent="0.25">
      <c r="B18" s="88" t="s">
        <v>207</v>
      </c>
      <c r="C18" s="52" t="s">
        <v>208</v>
      </c>
      <c r="D18" s="53" cm="1">
        <f t="array" ref="D18">SUMIF('10 programa 3 lentelė'!C7:C321,'10 programa 3 lentelė'!C00,'10 programa 3 lentelė'!E7:E321)</f>
        <v>0</v>
      </c>
    </row>
    <row r="19" spans="2:6" ht="12.75" customHeight="1" x14ac:dyDescent="0.25">
      <c r="B19" s="88" t="s">
        <v>209</v>
      </c>
      <c r="C19" s="52" t="s">
        <v>210</v>
      </c>
      <c r="D19" s="53">
        <f>SUMIF('10 programa 3 lentelė'!C7:C321,'10 programa 3 lentelė'!C97,'10 programa 3 lentelė'!E7:E321)</f>
        <v>19.600000000000001</v>
      </c>
    </row>
    <row r="20" spans="2:6" ht="12.75" customHeight="1" x14ac:dyDescent="0.25">
      <c r="B20" s="88" t="s">
        <v>211</v>
      </c>
      <c r="C20" s="52" t="s">
        <v>212</v>
      </c>
      <c r="D20" s="53">
        <f>SUMIF('10 programa 3 lentelė'!C7:C321,'10 programa 3 lentelė'!#REF!,'10 programa 3 lentelė'!E7:E321)</f>
        <v>0</v>
      </c>
    </row>
    <row r="21" spans="2:6" ht="12.75" customHeight="1" x14ac:dyDescent="0.25">
      <c r="B21" s="88" t="s">
        <v>213</v>
      </c>
      <c r="C21" s="52" t="s">
        <v>214</v>
      </c>
      <c r="D21" s="53" cm="1">
        <f t="array" ref="D21">SUMIF('10 programa 3 lentelė'!C7:C321,'10 programa 3 lentelė'!C00,'10 programa 3 lentelė'!E7:E321)</f>
        <v>0</v>
      </c>
    </row>
    <row r="22" spans="2:6" ht="26.4" x14ac:dyDescent="0.25">
      <c r="B22" s="88"/>
      <c r="C22" s="51" t="s">
        <v>215</v>
      </c>
      <c r="D22" s="5">
        <f>D6+D14</f>
        <v>194710.39999999991</v>
      </c>
      <c r="F22" s="62"/>
    </row>
    <row r="23" spans="2:6" ht="18" customHeight="1" x14ac:dyDescent="0.25">
      <c r="B23" s="88"/>
      <c r="C23" s="51" t="s">
        <v>184</v>
      </c>
      <c r="D23" s="4">
        <f>'10 programa 3 lentelė'!E321</f>
        <v>0</v>
      </c>
    </row>
    <row r="24" spans="2:6" x14ac:dyDescent="0.25">
      <c r="B24" s="46"/>
      <c r="C24" s="195"/>
      <c r="D24" s="195"/>
      <c r="E24" s="166"/>
    </row>
    <row r="25" spans="2:6" x14ac:dyDescent="0.25">
      <c r="C25" s="35"/>
      <c r="D25" s="196">
        <f>+D22-'10 programa 3 lentelė'!E320</f>
        <v>0</v>
      </c>
      <c r="E25" s="166"/>
    </row>
    <row r="26" spans="2:6" x14ac:dyDescent="0.25">
      <c r="C26" s="35"/>
      <c r="D26" s="166"/>
      <c r="E26" s="166"/>
    </row>
    <row r="27" spans="2:6" x14ac:dyDescent="0.25">
      <c r="C27" s="35"/>
      <c r="D27" s="166"/>
      <c r="E27" s="166"/>
    </row>
    <row r="28" spans="2:6" x14ac:dyDescent="0.25">
      <c r="C28" s="35"/>
      <c r="D28" s="166"/>
      <c r="E28" s="166"/>
    </row>
    <row r="29" spans="2:6" x14ac:dyDescent="0.25">
      <c r="C29" s="35"/>
      <c r="D29" s="166"/>
      <c r="E29" s="166"/>
    </row>
  </sheetData>
  <mergeCells count="2">
    <mergeCell ref="B1:D1"/>
    <mergeCell ref="B5:D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10 programa 3 lentelė</vt:lpstr>
      <vt:lpstr>Lėšų suvestinė 2 lentelė</vt:lpstr>
      <vt:lpstr>'10 programa 3 lentelė'!Print_Area</vt:lpstr>
      <vt:lpstr>'10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Asta Česnauskienė</cp:lastModifiedBy>
  <cp:revision/>
  <cp:lastPrinted>2024-11-29T11:55:19Z</cp:lastPrinted>
  <dcterms:created xsi:type="dcterms:W3CDTF">2023-07-10T07:04:14Z</dcterms:created>
  <dcterms:modified xsi:type="dcterms:W3CDTF">2024-12-03T11:36:05Z</dcterms:modified>
  <cp:category/>
  <cp:contentStatus/>
</cp:coreProperties>
</file>