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2. Keitimas (gruodis)\"/>
    </mc:Choice>
  </mc:AlternateContent>
  <xr:revisionPtr revIDLastSave="0" documentId="13_ncr:1_{CF5CDF6C-82BC-4B86-8AA3-6B574FFA1C69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10 programa 3 lentelė" sheetId="1" r:id="rId1"/>
    <sheet name="Lėšų suvestinė 2 lentelė" sheetId="3" r:id="rId2"/>
  </sheets>
  <definedNames>
    <definedName name="_xlnm.Print_Area" localSheetId="0">'10 programa 3 lentelė'!$A$1:$F$353</definedName>
    <definedName name="_xlnm.Print_Titles" localSheetId="0">'10 programa 3 lentelė'!$8:$9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23" i="1"/>
  <c r="E14" i="1"/>
  <c r="E97" i="1"/>
  <c r="E13" i="1"/>
  <c r="E106" i="1" l="1"/>
  <c r="E101" i="1"/>
  <c r="E317" i="1" l="1"/>
  <c r="E310" i="1"/>
  <c r="E295" i="1"/>
  <c r="E269" i="1"/>
  <c r="E267" i="1"/>
  <c r="E244" i="1"/>
  <c r="E236" i="1"/>
  <c r="E217" i="1"/>
  <c r="E193" i="1"/>
  <c r="E88" i="1"/>
  <c r="E80" i="1"/>
  <c r="E55" i="1"/>
  <c r="E44" i="1"/>
  <c r="E308" i="1" l="1"/>
  <c r="E271" i="1"/>
  <c r="E242" i="1"/>
  <c r="E216" i="1"/>
  <c r="E213" i="1"/>
  <c r="E207" i="1"/>
  <c r="E340" i="1" s="1"/>
  <c r="E188" i="1"/>
  <c r="E183" i="1"/>
  <c r="E104" i="1"/>
  <c r="E92" i="1"/>
  <c r="E84" i="1"/>
  <c r="E59" i="1"/>
  <c r="E48" i="1"/>
  <c r="E47" i="1"/>
  <c r="E43" i="1"/>
  <c r="E29" i="1"/>
  <c r="E304" i="1" l="1"/>
  <c r="E302" i="1"/>
  <c r="E297" i="1"/>
  <c r="E292" i="1"/>
  <c r="E191" i="1"/>
  <c r="D12" i="3"/>
  <c r="E108" i="1"/>
  <c r="E306" i="1"/>
  <c r="E258" i="1"/>
  <c r="E233" i="1"/>
  <c r="E219" i="1"/>
  <c r="E177" i="1"/>
  <c r="E99" i="1"/>
  <c r="E71" i="1"/>
  <c r="E64" i="1"/>
  <c r="E22" i="1"/>
  <c r="E197" i="1"/>
  <c r="E126" i="1"/>
  <c r="E125" i="1" a="1"/>
  <c r="E125" i="1" s="1"/>
  <c r="E122" i="1"/>
  <c r="E121" i="1"/>
  <c r="E72" i="1"/>
  <c r="E53" i="1"/>
  <c r="E27" i="1"/>
  <c r="E18" i="1"/>
  <c r="D19" i="3" l="1" a="1"/>
  <c r="D19" i="3" s="1"/>
  <c r="D16" i="3"/>
  <c r="D13" i="3"/>
  <c r="E332" i="1"/>
  <c r="E288" i="1"/>
  <c r="E227" i="1"/>
  <c r="E42" i="1" l="1"/>
  <c r="E46" i="1"/>
  <c r="E287" i="1"/>
  <c r="E277" i="1"/>
  <c r="E263" i="1"/>
  <c r="E230" i="1"/>
  <c r="E228" i="1" s="1"/>
  <c r="E226" i="1"/>
  <c r="E225" i="1"/>
  <c r="E50" i="1"/>
  <c r="E129" i="1"/>
  <c r="E139" i="1" s="1"/>
  <c r="E60" i="1"/>
  <c r="E337" i="1"/>
  <c r="E335" i="1" s="1"/>
  <c r="E251" i="1"/>
  <c r="E141" i="1"/>
  <c r="E137" i="1"/>
  <c r="E40" i="1"/>
  <c r="E203" i="1"/>
  <c r="E20" i="1"/>
  <c r="E276" i="1"/>
  <c r="E76" i="1"/>
  <c r="E253" i="1"/>
  <c r="E333" i="1"/>
  <c r="E157" i="1"/>
  <c r="D20" i="3" a="1"/>
  <c r="D20" i="3" s="1"/>
  <c r="D21" i="3" a="1"/>
  <c r="D21" i="3" s="1"/>
  <c r="D18" i="3" a="1"/>
  <c r="D18" i="3" s="1"/>
  <c r="D17" i="3" a="1"/>
  <c r="D17" i="3" s="1"/>
  <c r="D10" i="3"/>
  <c r="E252" i="1"/>
  <c r="E318" i="1"/>
  <c r="E138" i="1"/>
  <c r="E170" i="1"/>
  <c r="E175" i="1"/>
  <c r="E162" i="1"/>
  <c r="E224" i="1" l="1"/>
  <c r="E222" i="1" s="1"/>
  <c r="E119" i="1"/>
  <c r="E118" i="1"/>
  <c r="E120" i="1"/>
  <c r="D11" i="3"/>
  <c r="E274" i="1"/>
  <c r="E316" i="1"/>
  <c r="E330" i="1"/>
  <c r="E135" i="1"/>
  <c r="D8" i="3"/>
  <c r="E249" i="1"/>
  <c r="D9" i="3"/>
  <c r="D14" i="3"/>
  <c r="E116" i="1" l="1"/>
  <c r="D6" i="3"/>
  <c r="D22" i="3" s="1"/>
  <c r="D23" i="3"/>
  <c r="E324" i="1"/>
  <c r="E320" i="1"/>
  <c r="E153" i="1"/>
  <c r="E149" i="1"/>
  <c r="E145" i="1"/>
  <c r="E123" i="1"/>
  <c r="E285" i="1" l="1"/>
  <c r="E314" i="1"/>
  <c r="E261" i="1"/>
  <c r="E33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Gintarė Skirmantienė</author>
    <author>Snieguolė Kačerauskaitė</author>
  </authors>
  <commentList>
    <comment ref="C33" authorId="0" shapeId="0" xr:uid="{CF0B28BC-7200-42E8-9A74-1D989F87E86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KMS 5 536 Eur laikinai finansuota suma (t.y 20 proc. bendros projekto finanavimo sumos), kuri pasibaigus  Projektui (2025-08-31) bus grąžinta į savivaldybės biudžetą.
</t>
        </r>
      </text>
    </comment>
    <comment ref="C35" authorId="0" shapeId="0" xr:uid="{CF452620-8B42-41BD-9A7E-502900BAC346}">
      <text>
        <r>
          <rPr>
            <sz val="11"/>
            <color theme="1"/>
            <rFont val="Calibri"/>
            <family val="2"/>
            <charset val="186"/>
            <scheme val="minor"/>
          </rPr>
          <t>KMS 8 370,3 Eur laikinai finansuota suma (t.y 20 proc. bendros projekto finanavimo sumos), kuri pasibaigus  Projektui (2025-08-31) bus grąžinta į savivaldybės biudžetą.</t>
        </r>
      </text>
    </comment>
    <comment ref="C37" authorId="0" shapeId="0" xr:uid="{A46DDA52-9305-4717-AEDB-2F8EFA6E686A}">
      <text>
        <r>
          <rPr>
            <sz val="11"/>
            <color theme="1"/>
            <rFont val="Calibri"/>
            <family val="2"/>
            <charset val="186"/>
            <scheme val="minor"/>
          </rPr>
          <t>KMS 6 352 Eur laikinai finansuota suma (t.y 20 proc. bendros projekto finanavimo sumos), kuri pasibaigus  Projektui (2025-08-31) bus grąžinta į savivaldybės biudžetą.</t>
        </r>
      </text>
    </comment>
    <comment ref="C39" authorId="0" shapeId="0" xr:uid="{22BB108A-486E-4437-AAFA-32A84459F411}">
      <text>
        <r>
          <rPr>
            <sz val="11"/>
            <color theme="1"/>
            <rFont val="Calibri"/>
            <family val="2"/>
            <charset val="186"/>
            <scheme val="minor"/>
          </rPr>
          <t>KMS 2 290 Eur laikinai finansuota suma (t.y 20 proc. bendros projekto finanavimo sumos), kuri pasibaigus  Projektui (2026-06-15) bus grąžinta į savivaldybės biudžetą.</t>
        </r>
      </text>
    </comment>
    <comment ref="C41" authorId="1" shapeId="0" xr:uid="{E6CFD608-AC9C-4DBC-921A-5674AA0BD2F6}">
      <text>
        <r>
          <rPr>
            <sz val="11"/>
            <color theme="1"/>
            <rFont val="Calibri"/>
            <family val="2"/>
            <charset val="186"/>
            <scheme val="minor"/>
          </rPr>
          <t>Pažangos plane numatytoms veikloms įgyvendinti iki 2026-04-30 skiriama iki 12 563 953,81 Eur:
1. „Žaliakalnio“  gimnazija,
2. „Aitvaro“ gimnazija,
3. „Santarvės“ progimnazija,
4. „Smeltės“ progimnazija,
5. Liudviko Stulpino progimnazija,
6. „Saulėtekio“ progimnazija.</t>
        </r>
      </text>
    </comment>
    <comment ref="C240" authorId="0" shapeId="0" xr:uid="{85896D4C-2A09-47A9-9D8C-E450261EFF5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VDU erdvių įrengimui (tęstinis finansavimas)- 150 tūkst.Eur;
2.Smelės progimnazijai (naujas finansavimas) 2 vnt. konteinerio/sandėliuko įsigijimui - 31 tūkst.Eur.
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<sst xmlns="http://schemas.openxmlformats.org/spreadsheetml/2006/main" count="581" uniqueCount="312">
  <si>
    <t>Programos uždavinio, priemonės kodas ir požymis</t>
  </si>
  <si>
    <t>Uždavinio, priemonės pavadinimas, finansavimo šaltiniai</t>
  </si>
  <si>
    <t>Vykdytojas (skyrius / asmuo)</t>
  </si>
  <si>
    <t>2025 metų asignavimai ir kitos lėšos</t>
  </si>
  <si>
    <t>Savivaldybės strateginio plėtros plano priemonės kodas</t>
  </si>
  <si>
    <t>010-01 (T)</t>
  </si>
  <si>
    <t>Uždavinys: Sudaryti sąlygas ugdytis ir gerinti ugdymo proceso kokybę</t>
  </si>
  <si>
    <t>010-01-01 (TP)</t>
  </si>
  <si>
    <t>Priemonė: Veiklos organizavimo užtikrinimas švietimo įstaigose</t>
  </si>
  <si>
    <t>010-01-01-01</t>
  </si>
  <si>
    <t>Ugdymo proceso ir aplinkos užtikrinimas savivaldybės ikimokyklinio ugdymo įstaigose</t>
  </si>
  <si>
    <t>ŠSD Švietimo skyrius, Biudžetinės švietimo įstaigos</t>
  </si>
  <si>
    <t>1.3.2.5.</t>
  </si>
  <si>
    <t>Savivaldybės biudžeto lėšos (nuosavos, be ankstesnių metų likučio)</t>
  </si>
  <si>
    <t>Lietuvos Respublikos valstybės biudžeto dotacijos</t>
  </si>
  <si>
    <t>Pajamų įmokos ir kitos pajamos</t>
  </si>
  <si>
    <t>Ankstesnių metų likučiai</t>
  </si>
  <si>
    <t>010-01-01-02</t>
  </si>
  <si>
    <t>Ugdymo proceso užtikrinimas nevalstybinėse ikimokyklinio ugdymo įstaigose</t>
  </si>
  <si>
    <t>010-01-01-03</t>
  </si>
  <si>
    <t xml:space="preserve">Mokinio padėjėjų etatų skaičiaus užtikrinimas </t>
  </si>
  <si>
    <t>010-01-01-04</t>
  </si>
  <si>
    <t>Ugdymo proceso ir aplinkos užtikrinimas savivaldybės pradinėje mokykloje ir mokyklose-darželiuose</t>
  </si>
  <si>
    <t>010-01-01-05</t>
  </si>
  <si>
    <t>Ugdymo proceso užtikrinimas nevalstybinėje pradinėje mokykloje ir mokyklose-darželiuose</t>
  </si>
  <si>
    <t>010-01-01-06</t>
  </si>
  <si>
    <t xml:space="preserve">Ugdymo proceso ir aplinkos užtikrinimas savivaldybės bendrojo ugdymo mokyklose </t>
  </si>
  <si>
    <t>010-01-01-07</t>
  </si>
  <si>
    <t>010-01-01-08</t>
  </si>
  <si>
    <t>010-01-01-09</t>
  </si>
  <si>
    <t>010-01-01-10</t>
  </si>
  <si>
    <t>010-01-01-11</t>
  </si>
  <si>
    <t>„Tūkstantmečio mokyklų“ programos įgyvendinimas</t>
  </si>
  <si>
    <t>Europos Sąjungos ir kitos tarptautinės finansinės paramos lėšos</t>
  </si>
  <si>
    <t>MVPD Statinių administravimo skyrius</t>
  </si>
  <si>
    <t>Projektų finansavimo ir administravimo skyrius</t>
  </si>
  <si>
    <t>010-01-01-12</t>
  </si>
  <si>
    <t xml:space="preserve">Ugdymo proceso užtikrinimas nevalstybinėse bendrojo ugdymo mokyklose </t>
  </si>
  <si>
    <t>010-01-01-13</t>
  </si>
  <si>
    <t>Klaipėdos miesto bendrojo ugdymo mokyklų antrųjų klasių mokinių vežimo paslaugos mokyti plaukti užtikrinimas</t>
  </si>
  <si>
    <t>ŠSD Švietimo skyrius</t>
  </si>
  <si>
    <t>010-01-01-14</t>
  </si>
  <si>
    <t>Klaipėdos Simono Dacho progimnazijos pradinių klasių mokinių vežiojimo į fizinio ugdymo pamokas užtikrinimas</t>
  </si>
  <si>
    <t>010-01-01-15</t>
  </si>
  <si>
    <t>Ugdymo proceso ir aplinkos užtikrinimas savivaldybės neformaliojo vaikų švietimo įstaigose</t>
  </si>
  <si>
    <t>010-01-01-16</t>
  </si>
  <si>
    <t>BĮ Klaipėdos pedagoginės psichologinės tarnybos veiklos užtikrinimas</t>
  </si>
  <si>
    <t xml:space="preserve">2.4.3.3.  
</t>
  </si>
  <si>
    <t>010-01-01-17</t>
  </si>
  <si>
    <t>Projekto „Integruota interaktyviųjų viešųjų sodų sistema Baltijos jūros regione „Interactive gardens“ įgyvendinimas</t>
  </si>
  <si>
    <t>010-01-01-18</t>
  </si>
  <si>
    <t>BĮ Klaipėdos regos ugdymo centro veiklos užtikrinimas</t>
  </si>
  <si>
    <t>010-01-01-19</t>
  </si>
  <si>
    <t>BĮ Klaipėdos miesto pedagogų švietimo ir kultūros centro veiklos užtikrinimas</t>
  </si>
  <si>
    <t>1.1.2.1.</t>
  </si>
  <si>
    <t>010-01-01-20</t>
  </si>
  <si>
    <t>Gamtos mokslų, technologijų, inžinerijos, matematikos mokslų ir kūrybiškumo ugdymo (STEAM) įgyvendinimas</t>
  </si>
  <si>
    <t>1.3.1.2.</t>
  </si>
  <si>
    <t>010-01-01-21</t>
  </si>
  <si>
    <t>Mokinių maitinimo ir pavežėjimo užtikrinimas Klaipėdos „Aukuro“ gimnazijoje (sporto klasėse)</t>
  </si>
  <si>
    <t>010-01-01-22</t>
  </si>
  <si>
    <t>010-01-01-23</t>
  </si>
  <si>
    <t>Universitetinių klasių veiklos organizavimas (Baltijos, „Žemynos“, Vytauto Didžiojo ir „Vėtrungės“ gimnazijose)</t>
  </si>
  <si>
    <t>1.3.2.4.</t>
  </si>
  <si>
    <t>010-01-01-24</t>
  </si>
  <si>
    <t xml:space="preserve">Ugdymo prieinamumo ir ugdymo formų įvairovės užtikrinimas </t>
  </si>
  <si>
    <t>010-01-01-25</t>
  </si>
  <si>
    <t>Ugdymo prieinamumo užtikrinimas nevalstybinėse bendrojo ugdymo mokyklose besimokantiems mokiniams, atvykusiems į Lietuvos Respubliką iš Ukrainos dėl Rusijos Federacijos karinių veiksmų</t>
  </si>
  <si>
    <t>010-01-01-26</t>
  </si>
  <si>
    <t xml:space="preserve">I–II dalies valstybinių brandos egzaminų administravimas </t>
  </si>
  <si>
    <t>010-01-01-27</t>
  </si>
  <si>
    <t>Maitinimo paslaugų kompensavimas</t>
  </si>
  <si>
    <t>010-01-01-28</t>
  </si>
  <si>
    <t>Elektroninio mokinio pažymėjimo diegimas ir naudojimo užtikrinimas savivaldybės bendrojo ugdymo mokyklose</t>
  </si>
  <si>
    <t>010-01-01-29</t>
  </si>
  <si>
    <t>Pedagogų pritraukimas ir išlaikymas Klaipėdos biudžetinėse švietimo įstaigose</t>
  </si>
  <si>
    <t>010-01-01-30</t>
  </si>
  <si>
    <t>Ikimokyklinių ugdymo įstaigų ir mokyklų-darželių  informacinių technologijų aptarnavimas</t>
  </si>
  <si>
    <t>AD Kibernetinio saugumo ir IT  skyrius</t>
  </si>
  <si>
    <t>010-01-01-31</t>
  </si>
  <si>
    <t>Abiturientų, išlaikiusių valstybinius brandos egzaminus aukščiausiais įvertinimais, ir pedagogų skatinimas</t>
  </si>
  <si>
    <t>1.3.2.9.</t>
  </si>
  <si>
    <t>010-01-01-32</t>
  </si>
  <si>
    <t>Visos dienos mokyklos paslaugų prieinamumo didinimas</t>
  </si>
  <si>
    <t> </t>
  </si>
  <si>
    <t>Kiti šaltiniai (Europos Sąjungos paramos lėšos)</t>
  </si>
  <si>
    <t>010-01-01-33</t>
  </si>
  <si>
    <t>Projekto ,,Įtraukties švietime stiprinimas (PASTIPRA)“ įgyvendinimas Klaipėdos ,,Medeinės“ mokykloje</t>
  </si>
  <si>
    <t>Savivaldybės biudžetas (įskaitant skolintas lėšas)</t>
  </si>
  <si>
    <t>Iš jo:</t>
  </si>
  <si>
    <t>Savivaldybės biudžeto lėšos (nuosavos, be ankstesnių metų likučio)'</t>
  </si>
  <si>
    <t>Lietuvos Respublikos valstybės biudžeto dotacijos'</t>
  </si>
  <si>
    <t>Europos Sąjungos ir kitos tarptautinės finansinės paramos lėšos'</t>
  </si>
  <si>
    <t>Pajamų įmokos ir kitos pajamos'</t>
  </si>
  <si>
    <t>Ankstesnių metų likučiai'</t>
  </si>
  <si>
    <t>Kiti šaltiniai</t>
  </si>
  <si>
    <t>Iš jų:</t>
  </si>
  <si>
    <t>Kiti šaltiniai (valstybės biudžeto lėšos)'</t>
  </si>
  <si>
    <t>Kiti šaltiniai (Europos Sąjungos paramos lėšos)'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</si>
  <si>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</si>
  <si>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</si>
  <si>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</si>
  <si>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</si>
  <si>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</si>
  <si>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</si>
  <si>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2.4.3.2.</t>
  </si>
  <si>
    <t>010-01-02-03</t>
  </si>
  <si>
    <t>Neformaliojo vaikų švietimo programų įgyvendinimas ir neformaliojo vaikų švietimo paslaugų plėtra</t>
  </si>
  <si>
    <t>1.3.2.3.</t>
  </si>
  <si>
    <t>010-01-03 (TP)</t>
  </si>
  <si>
    <t>Priemonė: Savivaldybės administracijos vaiko gerovės komisijos veiklos užtikrinimas</t>
  </si>
  <si>
    <t>ŠSD Sveikatos ir šeimos skyrius</t>
  </si>
  <si>
    <t>010-01-04 (TP)</t>
  </si>
  <si>
    <t xml:space="preserve">Priemonė: Miesto metodinių būrelių veiklos užtikrinimas </t>
  </si>
  <si>
    <t>010-01-05 (TP)</t>
  </si>
  <si>
    <t>Priemonė: Priėmimo į savivaldybės bendrojo ir ikimokyklinio ugdymo įstaigas informacinių sistemų priežiūra</t>
  </si>
  <si>
    <t>010-01-06 (TP)</t>
  </si>
  <si>
    <t xml:space="preserve">Priemonė: Savivaldybės švietimo įstaigų civilinės atsakomybės draudimas </t>
  </si>
  <si>
    <t>010-01-07</t>
  </si>
  <si>
    <t>Priemonė: Švietimo pagalbos ir koordinuotai teikiamų paslaugų užtikrinimo projekto įgyvendinimas</t>
  </si>
  <si>
    <t>1.3.2.2</t>
  </si>
  <si>
    <t>010-01-08</t>
  </si>
  <si>
    <t>Priemonė: Kultūrinių kompetencijų ugdymo modelio moksleiviams įgyvendinimas</t>
  </si>
  <si>
    <t>010-01-09</t>
  </si>
  <si>
    <t>Priemonė: Klaipėdos miesto pradinių klasių mokytojų dalyvavimo Skaitmeninio raštingumo, informatikos ir technologinės kūrybos įgūdžių programoje „Vedliai“ užtikrinimas</t>
  </si>
  <si>
    <t>010-01-10</t>
  </si>
  <si>
    <t>Priemonė: Klaipėdos miesto mokinių politinio raštingumo tyrimas</t>
  </si>
  <si>
    <t>Jaunimo reikalų koordinatorius (patarėjas)</t>
  </si>
  <si>
    <t>010-02 (P)</t>
  </si>
  <si>
    <t>Uždavinys: Renovuoti ugdymo įstaigų pastatus ir patalpas</t>
  </si>
  <si>
    <t>010-02-01 (TP)</t>
  </si>
  <si>
    <t>Turto valdymo skyrius</t>
  </si>
  <si>
    <t>010-02-02 (PP)</t>
  </si>
  <si>
    <t>Priemonė: Savivaldybės ugdymo įstaigų pastatų ir aplinkos modernizavimas bei plėtra</t>
  </si>
  <si>
    <t>Savivaldybės bendrojo ugdymo mokyklų pastatų ir aplinkos modernizavimas bei plėtra:</t>
  </si>
  <si>
    <t>010-02-02-01</t>
  </si>
  <si>
    <t>Švietimo įstaigų sklypų parinkimas ir teritorijų planavimo dokumentų parengimas šiaurinėje ir centrinėje miesto dalyse</t>
  </si>
  <si>
    <t>UAD Žemėtvarkos skyrius, Urbanistikos  skyrius</t>
  </si>
  <si>
    <t>010-02-02-02</t>
  </si>
  <si>
    <t>Sporto aikštynų atnaujinimas:</t>
  </si>
  <si>
    <t>2.2.1.2.</t>
  </si>
  <si>
    <t>010-02-02-03</t>
  </si>
  <si>
    <t xml:space="preserve">Klaipėdos „Ąžuolyno“ gimnazijos modernizavimas </t>
  </si>
  <si>
    <t>MVPD Statybos skyrius</t>
  </si>
  <si>
    <t>1.3.1.1.</t>
  </si>
  <si>
    <t>010-02-02-04</t>
  </si>
  <si>
    <t>Klaipėdos Hermano Zudermano gimnazijos pastato kapitalinis remontas</t>
  </si>
  <si>
    <t xml:space="preserve">Skolintos lėšos
</t>
  </si>
  <si>
    <t>010-02-02-05</t>
  </si>
  <si>
    <t>Vėdinimo ir kondicionavimo sistemų įrengimas biudžetinėse švietimo įstaigose</t>
  </si>
  <si>
    <t>010-02-02-06</t>
  </si>
  <si>
    <t>Mokyklų modernizavimo techninių projektų parengimas</t>
  </si>
  <si>
    <t>Ikimokyklinio ugdymo įstaigų pastatų modernizavimas ir plėtra:</t>
  </si>
  <si>
    <t>010-02-02-07</t>
  </si>
  <si>
    <t>Ikimokyklinio ir priešmokyklinio ugdymo prieinamumo didinimas Klaipėdos mieste (lopšelio-darželio „Svirpliukas“ modernizavimas)</t>
  </si>
  <si>
    <t>Energinio efektyvumo didinimas ikimokyklinio ugdymo įstaigose:</t>
  </si>
  <si>
    <t>010-02-02-08</t>
  </si>
  <si>
    <t>010-02-02-09</t>
  </si>
  <si>
    <t>Švietimo ugdymo paslaugų plėtra Tauralaukyje  (Klaipėdos g. 31) – pastato rekonstravimas į ikimokyklinio ir priešmokyklinio ugdymo įstaigą</t>
  </si>
  <si>
    <t>010-02-02-10 (RP)</t>
  </si>
  <si>
    <t>Ugdymo paslaugų prieinamumo didinimas, modernizuojant Klaipėdos lopšelio-darželio „Traukinukas“ „Boružėlės“ skyriaus pastatą</t>
  </si>
  <si>
    <t xml:space="preserve">Projektų finansavimo ir administravimo skyrius
</t>
  </si>
  <si>
    <t>010-02-02-11</t>
  </si>
  <si>
    <t>Ikimokyklinių įstaigų plėtra:</t>
  </si>
  <si>
    <t>Naujo ikimokyklinio ugdymo įstaigos pastato statyba vietoje Tauralaukio progimnazijos Klaipėdos g. 31</t>
  </si>
  <si>
    <t>Neformaliojo vaikų švietimo įstaigų pastatų rekonstravimas:</t>
  </si>
  <si>
    <t>010-02-02-12</t>
  </si>
  <si>
    <t>Klaipėdos Jeronimo Kačinsko muzikos mokyklos (Statybininkų pr. 5) pastato energinio efektyvumo didinimas</t>
  </si>
  <si>
    <t xml:space="preserve">010-02-02-13
</t>
  </si>
  <si>
    <t>Klaipėdos karalienės Luizės jaunimo centro įgalinimas teikti šiuolaikinius jaunimo poreikius atitinkančias paslaugas</t>
  </si>
  <si>
    <t xml:space="preserve">010-02-02-14
</t>
  </si>
  <si>
    <t>VšĮ Klaipėdos valstybinei kolegijai priklausančio nekilnojamojo turto įsigijimas, pritaikant jį savivaldybės vykdomoms švietimo funkcijoms</t>
  </si>
  <si>
    <t>Skolintos lėšos'</t>
  </si>
  <si>
    <t xml:space="preserve">Kiti šaltiniai </t>
  </si>
  <si>
    <t>010-02-03 (TP)</t>
  </si>
  <si>
    <t>Priemonė: Mokymosi aplinkos pritaikymas švietimo reikmėms</t>
  </si>
  <si>
    <t>010-02-03-01</t>
  </si>
  <si>
    <t>Lauko žaidimų aikštelių ir įrenginių atnaujinimas ikimokyklinėse ugdymo įstaigose</t>
  </si>
  <si>
    <t>010-02-03-02</t>
  </si>
  <si>
    <t>Patalpų ir inventoriaus atnaujinimas užtikrinant atitiktį higienos normoms</t>
  </si>
  <si>
    <t>010-02-03-03</t>
  </si>
  <si>
    <t>Klaipėdos miesto gimnazijų gamtamokslinių laboratorijų steigimo ir modernizavimo 2022–2026 metų programos įgyvendinimas</t>
  </si>
  <si>
    <t>010-02-03-04</t>
  </si>
  <si>
    <t>Edukacinių erdvių ir pagalbinių patalpų įrengimas Klaipėdos miesto bendrojo ugdymo mokyklose (Vytauto Didžiojo gimnazijoje ir „Smeltės“ progimnazijoje)</t>
  </si>
  <si>
    <t>010-02-03-05</t>
  </si>
  <si>
    <t>Elektroninių cigarečių detektorių įrengimas bendrojo ugdymo mokyklose</t>
  </si>
  <si>
    <t>010-02-03-06</t>
  </si>
  <si>
    <t xml:space="preserve">Švietimo įtraukties ir veiksmingumo didinimas, aprūpinant mokyklas geltonaisiais autobusais </t>
  </si>
  <si>
    <t>010-02-03-07</t>
  </si>
  <si>
    <t>Vaizdo kamerų įrengimas</t>
  </si>
  <si>
    <t>010-02-04</t>
  </si>
  <si>
    <t>Priemonė: Įtraukiojo ugdymo strategijos įgyvendinimas</t>
  </si>
  <si>
    <t>010-02-04-01</t>
  </si>
  <si>
    <t>Specialiųjų ugdymosi priemonių („Kimochi“) įsijgijimas</t>
  </si>
  <si>
    <t>010-02-04-02</t>
  </si>
  <si>
    <t>010-02-04-03</t>
  </si>
  <si>
    <t>Patalpų pritaikymas vaikų su negalia ugdymui</t>
  </si>
  <si>
    <t>010-03 (T)</t>
  </si>
  <si>
    <t>Uždavinys: Aprūpinti švietimo įstaigas reikalingu inventoriumi</t>
  </si>
  <si>
    <t>010-03-01 (TP)</t>
  </si>
  <si>
    <t>Priemonė: Baldų ir įrangos atnaujinimas</t>
  </si>
  <si>
    <t>010-03-01-01</t>
  </si>
  <si>
    <t>Vaikiškų lovyčių įsigijimas savivaldybės ikimokyklinio ugdymo įstaigoms</t>
  </si>
  <si>
    <t>010-03-01-02</t>
  </si>
  <si>
    <t xml:space="preserve">Įrenginių įsigijimas švietimo įstaigų maisto blokams </t>
  </si>
  <si>
    <t>010-03-01-03</t>
  </si>
  <si>
    <t>010-03-01-04</t>
  </si>
  <si>
    <t>Kompiuterių brandos egzaminams ir nacionaliniams mokinių pasiekimų patikrinimams organizuoti įsigijimas</t>
  </si>
  <si>
    <t>010-03-02 (TP)</t>
  </si>
  <si>
    <t>Priemonė: Švietimo paslaugų modernizavimo  programos priemonių įgyvendinimas</t>
  </si>
  <si>
    <t>010-03-02-01</t>
  </si>
  <si>
    <t>Neformaliojo švietimo ir pagalbos įstaigų aprūpinimas mobilia interaktyvia įranga</t>
  </si>
  <si>
    <t>010-03-02-02</t>
  </si>
  <si>
    <t>Hibridinių klasių įrengimas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</si>
  <si>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</si>
  <si>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</si>
  <si>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</si>
  <si>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</si>
  <si>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</si>
  <si>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</si>
  <si>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010-04-01-02</t>
  </si>
  <si>
    <t>Šilumos ir karšto vandens tiekimo sistemų priežiūra</t>
  </si>
  <si>
    <t>010-04-01-03</t>
  </si>
  <si>
    <t>Šildymo sistemų, vandentiekio ir buitinių nuotekų tinklų remontas</t>
  </si>
  <si>
    <t>010-04-01-04</t>
  </si>
  <si>
    <t>Gaisrinės saugos reikalavimų vykdymas švietimo įstaigose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</si>
  <si>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</si>
  <si>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</si>
  <si>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</si>
  <si>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</si>
  <si>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</si>
  <si>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pastatų išorės remontas</t>
  </si>
  <si>
    <t>010-04-01-08</t>
  </si>
  <si>
    <t xml:space="preserve">Švietimo įstaigų lauko inžinerinių tinklų remontas </t>
  </si>
  <si>
    <t>010-04-01-09</t>
  </si>
  <si>
    <t>Švietimo įstaigų teritorijų aptvėrimas</t>
  </si>
  <si>
    <t>010-04-01-10</t>
  </si>
  <si>
    <t>Įstaigų ūkinis aptarnavimas</t>
  </si>
  <si>
    <t>010-04-02 (TP)</t>
  </si>
  <si>
    <t xml:space="preserve">Priemonė: Mokinių pavėžėjimo užtikrinimas </t>
  </si>
  <si>
    <t>010-04-03 (TP)</t>
  </si>
  <si>
    <t>Priemonė: Švietimo įstaigų persikėlimo į kitas patalpas organizavimas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</si>
  <si>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</si>
  <si>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</si>
  <si>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</si>
  <si>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</si>
  <si>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010-04-05 (TP)</t>
  </si>
  <si>
    <t>Priemonė: Komunalinių paslaugų įsigijimas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</si>
  <si>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</si>
  <si>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</si>
  <si>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</si>
  <si>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</si>
  <si>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</si>
  <si>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</si>
  <si>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</si>
  <si>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Eil. Nr.</t>
  </si>
  <si>
    <t>Programos kodas ir pavadinimas</t>
  </si>
  <si>
    <t>010 Ugdymo proceso užtikrinimo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</si>
  <si>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</si>
  <si>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</si>
  <si>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</si>
  <si>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</si>
  <si>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</si>
  <si>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</si>
  <si>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</si>
  <si>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</si>
  <si>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</si>
  <si>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</si>
  <si>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</si>
  <si>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</si>
  <si>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</si>
  <si>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</si>
  <si>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</si>
  <si>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</si>
  <si>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</si>
  <si>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</si>
  <si>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</si>
  <si>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</si>
  <si>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</si>
  <si>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</si>
  <si>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</si>
  <si>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</si>
  <si>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</si>
  <si>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</si>
  <si>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</si>
  <si>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Projekto „Erasmus+ akreditacijos KA121“ įgyvendinimas Gedminų progimnazijoje</t>
  </si>
  <si>
    <t>Projekto „Erasmus+ Informatinis mąstymas ir matematinis problemų sprendimas, analitika grindžiama mokymosi aplinka“ įgyvendinimas Gedminų progimnazijoje</t>
  </si>
  <si>
    <t>Projekto Nordplus Junior „Kurkime ateitį kartu“  įgyvendinimas Gedminų progimnazijoje</t>
  </si>
  <si>
    <t>Projekto Nordplus Junior „Mokytojai netradicinėje aplinkoje“ įgyvendinimas Gedminų progimnazijoje</t>
  </si>
  <si>
    <t>Klaipėdos lopšelio-darželio „Vėtrungėlė“, lopšelio-darželio „Vėtrungėlė“ skyriaus, lopšelio-darželio „Radastėlė“, lopšelio-darželio „Radastėlė“ skyriaus, lopšelio-darželio „Šaltinėlis“ „Kregždutės“ skyriaus, lopšelio-darželio „Eglutė“ pastatų atnaujinimas</t>
  </si>
  <si>
    <t>Multisensorinių nusiraminimo kambarių įrengimas, priemonių įsigijimas</t>
  </si>
  <si>
    <t>Baldų, įrangos, metodinių priemonių ir specifikacijų įsigijimas ikimokyklinio ir priešmokyklinio ugdymo įstaigai (Tauralaukio rekonstruojamame pastate Klaipėdos g. 31)</t>
  </si>
  <si>
    <t>UAD – Urbanistikos ir architektūros departamentas.</t>
  </si>
  <si>
    <t xml:space="preserve">AD – Administravimo departamentas. </t>
  </si>
  <si>
    <t>MVPD – Miesto vystymo ir priežiūros departamentas.</t>
  </si>
  <si>
    <t>ŠSD – Švietimo ir sveikatos departamentas.</t>
  </si>
  <si>
    <t>3 lentelė. Klaipėdos miesto savivaldybės 2025 metų 010 Ugdymo proceso užtikrinimo programos uždaviniai, priemonės, asignavimai ir kitos lėšos (tūkst. eurų)</t>
  </si>
  <si>
    <t>2 lentelė.  2025 metų asignavimų ir kitų lėšų pasiskirstymas (tūkst. Eur)</t>
  </si>
  <si>
    <t>010-01-01-34</t>
  </si>
  <si>
    <t>Profesinio orientavimo užtikrinimas bendrojo ugdymo mokyklose</t>
  </si>
  <si>
    <t>010-01-01-35</t>
  </si>
  <si>
    <t xml:space="preserve">Švietimo įstaigų pedagoginių darbuotojų, vykdančių neformalųjį vaikų švietimą, padidinto darbo užmokesčio užtikrinimas </t>
  </si>
  <si>
    <r>
      <rPr>
        <sz val="10"/>
        <rFont val="Times New Roman"/>
        <family val="1"/>
        <charset val="186"/>
      </rPr>
      <t>ŠSD Švietimo skyrius, Biudžetinės švietimo įstaigos</t>
    </r>
  </si>
  <si>
    <t>Priemonė: Švietimo įstaigų modulinių kompleksų nuoma ir išpirkimas</t>
  </si>
  <si>
    <t>MVPD Statybos skyrius, Projektavimo skyrius</t>
  </si>
  <si>
    <t>MVPD Projektavimo skyrius</t>
  </si>
  <si>
    <t xml:space="preserve">                                                          PATVIRTINTA</t>
  </si>
  <si>
    <t xml:space="preserve">                                                          Klaipėdos miesto savivaldybės administracijos direktoriaus </t>
  </si>
  <si>
    <t xml:space="preserve">                                                          2025 m. vasario 25 d. įsakymu Nr. AD1-141  </t>
  </si>
  <si>
    <t xml:space="preserve">                                                          (Klaipėdos miesto savivaldybės administracijos direktoriaus </t>
  </si>
  <si>
    <t>Mokinių maitinimo ir pavėžėjimo užtikrinimas Klaipėdos jūrų kadetų gimnazijoje</t>
  </si>
  <si>
    <t xml:space="preserve">                                                          2025 m. gruodžio 12 d. įsakymo Nr. AD1-973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</si>
</sst>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6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10"/>
      <color rgb="FF000000"/>
      <name val="Calibri"/>
      <family val="2"/>
      <charset val="186"/>
    </font>
    <font>
      <b/>
      <sz val="10"/>
      <color rgb="FF000000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2"/>
      <name val="Times New Roman"/>
      <family val="1"/>
    </font>
    <font>
      <sz val="8"/>
      <name val="Times New Roman"/>
      <family val="1"/>
      <charset val="186"/>
    </font>
    <font>
      <sz val="10"/>
      <name val="Calibri"/>
      <family val="2"/>
      <charset val="186"/>
      <scheme val="minor"/>
    </font>
    <font>
      <b/>
      <sz val="10"/>
      <name val="Times New Roman"/>
      <family val="1"/>
      <charset val="1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rgb="FF00000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387">
    <xf numFmtId="0" fontId="0" fillId="0" borderId="0" xfId="0"/>
    <xf numFmtId="0" fontId="1" fillId="0" borderId="0" xfId="0" applyFont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1" fillId="0" borderId="0" xfId="0" applyFont="1" applyAlignment="1">
      <alignment horizontal="left" vertical="top"/>
    </xf>
    <xf numFmtId="4" fontId="1" fillId="0" borderId="0" xfId="0" applyNumberFormat="1" applyFont="1"/>
    <xf numFmtId="164" fontId="5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164" fontId="1" fillId="0" borderId="0" xfId="0" applyNumberFormat="1" applyFont="1"/>
    <xf numFmtId="0" fontId="6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0" fontId="11" fillId="0" borderId="0" xfId="0" applyFont="1"/>
    <xf numFmtId="0" fontId="11" fillId="3" borderId="0" xfId="0" applyFont="1" applyFill="1"/>
    <xf numFmtId="0" fontId="13" fillId="0" borderId="0" xfId="0" applyFont="1"/>
    <xf numFmtId="0" fontId="6" fillId="0" borderId="0" xfId="0" applyFont="1" applyAlignment="1">
      <alignment horizontal="justify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164" fontId="7" fillId="0" borderId="0" xfId="0" applyNumberFormat="1" applyFont="1" applyAlignment="1">
      <alignment horizontal="center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/>
    <xf numFmtId="0" fontId="11" fillId="0" borderId="0" xfId="0" applyFont="1" applyAlignment="1">
      <alignment horizontal="center" vertical="top"/>
    </xf>
    <xf numFmtId="164" fontId="11" fillId="0" borderId="0" xfId="0" applyNumberFormat="1" applyFont="1" applyAlignment="1">
      <alignment horizontal="center" vertical="top"/>
    </xf>
    <xf numFmtId="166" fontId="7" fillId="0" borderId="0" xfId="0" applyNumberFormat="1" applyFont="1" applyAlignment="1">
      <alignment horizontal="center" vertical="top" wrapText="1"/>
    </xf>
    <xf numFmtId="166" fontId="6" fillId="0" borderId="0" xfId="0" applyNumberFormat="1" applyFont="1" applyAlignment="1">
      <alignment horizontal="left" vertical="top" wrapText="1"/>
    </xf>
    <xf numFmtId="166" fontId="11" fillId="0" borderId="0" xfId="0" applyNumberFormat="1" applyFont="1" applyAlignment="1">
      <alignment horizontal="center" vertical="top"/>
    </xf>
    <xf numFmtId="0" fontId="14" fillId="3" borderId="0" xfId="0" applyFont="1" applyFill="1"/>
    <xf numFmtId="166" fontId="14" fillId="3" borderId="0" xfId="0" applyNumberFormat="1" applyFont="1" applyFill="1"/>
    <xf numFmtId="164" fontId="17" fillId="3" borderId="1" xfId="0" applyNumberFormat="1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6" fillId="3" borderId="1" xfId="0" applyFont="1" applyFill="1" applyBorder="1" applyAlignment="1">
      <alignment vertical="top" wrapText="1"/>
    </xf>
    <xf numFmtId="164" fontId="15" fillId="0" borderId="0" xfId="0" applyNumberFormat="1" applyFont="1"/>
    <xf numFmtId="0" fontId="15" fillId="0" borderId="0" xfId="0" applyFont="1"/>
    <xf numFmtId="0" fontId="15" fillId="3" borderId="1" xfId="0" applyFont="1" applyFill="1" applyBorder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3" borderId="0" xfId="0" applyFont="1" applyFill="1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0" fontId="19" fillId="3" borderId="8" xfId="0" applyFont="1" applyFill="1" applyBorder="1" applyAlignment="1">
      <alignment vertical="top" wrapText="1"/>
    </xf>
    <xf numFmtId="0" fontId="11" fillId="0" borderId="35" xfId="0" applyFont="1" applyBorder="1" applyAlignment="1">
      <alignment horizontal="center" vertical="top"/>
    </xf>
    <xf numFmtId="0" fontId="18" fillId="0" borderId="0" xfId="0" applyFont="1" applyAlignment="1">
      <alignment horizontal="left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/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11" fillId="0" borderId="35" xfId="0" applyFont="1" applyBorder="1" applyAlignment="1">
      <alignment vertical="top"/>
    </xf>
    <xf numFmtId="0" fontId="16" fillId="3" borderId="2" xfId="0" applyFont="1" applyFill="1" applyBorder="1" applyAlignment="1">
      <alignment horizontal="center" vertical="top" wrapText="1"/>
    </xf>
    <xf numFmtId="0" fontId="16" fillId="3" borderId="3" xfId="0" applyFont="1" applyFill="1" applyBorder="1" applyAlignment="1">
      <alignment horizontal="center" vertical="top" wrapText="1"/>
    </xf>
    <xf numFmtId="0" fontId="15" fillId="3" borderId="2" xfId="0" applyFont="1" applyFill="1" applyBorder="1" applyAlignment="1">
      <alignment horizontal="center" vertical="top" wrapText="1"/>
    </xf>
    <xf numFmtId="0" fontId="16" fillId="3" borderId="17" xfId="0" applyFont="1" applyFill="1" applyBorder="1" applyAlignment="1">
      <alignment horizontal="center" vertical="top" wrapText="1"/>
    </xf>
    <xf numFmtId="0" fontId="19" fillId="2" borderId="1" xfId="0" applyFont="1" applyFill="1" applyBorder="1" applyAlignment="1">
      <alignment horizontal="center" vertical="center" wrapText="1"/>
    </xf>
    <xf numFmtId="166" fontId="19" fillId="2" borderId="1" xfId="0" applyNumberFormat="1" applyFont="1" applyFill="1" applyBorder="1" applyAlignment="1">
      <alignment horizontal="center" vertical="center" wrapText="1"/>
    </xf>
    <xf numFmtId="164" fontId="19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left" vertical="top" wrapText="1"/>
    </xf>
    <xf numFmtId="0" fontId="19" fillId="4" borderId="1" xfId="0" applyFont="1" applyFill="1" applyBorder="1" applyAlignment="1">
      <alignment vertical="top" wrapText="1"/>
    </xf>
    <xf numFmtId="166" fontId="19" fillId="4" borderId="1" xfId="0" applyNumberFormat="1" applyFont="1" applyFill="1" applyBorder="1" applyAlignment="1">
      <alignment vertical="top" wrapText="1"/>
    </xf>
    <xf numFmtId="0" fontId="19" fillId="7" borderId="1" xfId="0" applyFont="1" applyFill="1" applyBorder="1" applyAlignment="1">
      <alignment vertical="top" wrapText="1"/>
    </xf>
    <xf numFmtId="0" fontId="15" fillId="7" borderId="1" xfId="0" applyFont="1" applyFill="1" applyBorder="1" applyAlignment="1">
      <alignment horizontal="center" vertical="top" wrapText="1"/>
    </xf>
    <xf numFmtId="166" fontId="19" fillId="7" borderId="1" xfId="0" applyNumberFormat="1" applyFont="1" applyFill="1" applyBorder="1" applyAlignment="1">
      <alignment horizontal="center" vertical="top" wrapText="1"/>
    </xf>
    <xf numFmtId="164" fontId="15" fillId="7" borderId="1" xfId="0" applyNumberFormat="1" applyFont="1" applyFill="1" applyBorder="1" applyAlignment="1">
      <alignment horizontal="center" vertical="top" wrapText="1"/>
    </xf>
    <xf numFmtId="166" fontId="19" fillId="3" borderId="1" xfId="0" applyNumberFormat="1" applyFont="1" applyFill="1" applyBorder="1" applyAlignment="1">
      <alignment horizontal="center" vertical="top" wrapText="1"/>
    </xf>
    <xf numFmtId="164" fontId="15" fillId="0" borderId="1" xfId="0" applyNumberFormat="1" applyFont="1" applyBorder="1" applyAlignment="1">
      <alignment horizontal="center" vertical="top" wrapText="1"/>
    </xf>
    <xf numFmtId="164" fontId="19" fillId="3" borderId="1" xfId="0" applyNumberFormat="1" applyFont="1" applyFill="1" applyBorder="1" applyAlignment="1">
      <alignment vertical="top" wrapText="1"/>
    </xf>
    <xf numFmtId="164" fontId="19" fillId="3" borderId="1" xfId="0" applyNumberFormat="1" applyFont="1" applyFill="1" applyBorder="1" applyAlignment="1">
      <alignment horizontal="center" vertical="top" wrapText="1"/>
    </xf>
    <xf numFmtId="164" fontId="15" fillId="3" borderId="1" xfId="0" applyNumberFormat="1" applyFont="1" applyFill="1" applyBorder="1" applyAlignment="1">
      <alignment horizontal="center" vertical="top" wrapText="1"/>
    </xf>
    <xf numFmtId="0" fontId="19" fillId="0" borderId="1" xfId="0" applyFont="1" applyBorder="1" applyAlignment="1">
      <alignment vertical="top" wrapText="1"/>
    </xf>
    <xf numFmtId="0" fontId="15" fillId="3" borderId="3" xfId="0" applyFont="1" applyFill="1" applyBorder="1" applyAlignment="1">
      <alignment vertical="top" wrapText="1"/>
    </xf>
    <xf numFmtId="3" fontId="19" fillId="3" borderId="1" xfId="0" applyNumberFormat="1" applyFont="1" applyFill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164" fontId="19" fillId="0" borderId="1" xfId="0" applyNumberFormat="1" applyFont="1" applyBorder="1" applyAlignment="1">
      <alignment horizontal="center" vertical="top" wrapText="1"/>
    </xf>
    <xf numFmtId="0" fontId="16" fillId="3" borderId="6" xfId="0" applyFont="1" applyFill="1" applyBorder="1" applyAlignment="1">
      <alignment vertical="top" wrapText="1"/>
    </xf>
    <xf numFmtId="164" fontId="19" fillId="0" borderId="2" xfId="0" applyNumberFormat="1" applyFont="1" applyBorder="1" applyAlignment="1">
      <alignment horizontal="center" vertical="top" wrapText="1"/>
    </xf>
    <xf numFmtId="0" fontId="19" fillId="0" borderId="6" xfId="0" applyFont="1" applyBorder="1" applyAlignment="1">
      <alignment vertical="top" wrapText="1"/>
    </xf>
    <xf numFmtId="164" fontId="19" fillId="0" borderId="8" xfId="0" applyNumberFormat="1" applyFont="1" applyBorder="1" applyAlignment="1">
      <alignment horizontal="center" vertical="top" wrapText="1"/>
    </xf>
    <xf numFmtId="164" fontId="19" fillId="3" borderId="8" xfId="0" applyNumberFormat="1" applyFont="1" applyFill="1" applyBorder="1" applyAlignment="1">
      <alignment horizontal="center" vertical="top" wrapText="1"/>
    </xf>
    <xf numFmtId="0" fontId="15" fillId="3" borderId="6" xfId="0" applyFont="1" applyFill="1" applyBorder="1" applyAlignment="1">
      <alignment vertical="top" wrapText="1"/>
    </xf>
    <xf numFmtId="164" fontId="19" fillId="3" borderId="4" xfId="0" applyNumberFormat="1" applyFont="1" applyFill="1" applyBorder="1" applyAlignment="1">
      <alignment horizontal="center" vertical="top" wrapText="1"/>
    </xf>
    <xf numFmtId="0" fontId="15" fillId="3" borderId="1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9" fillId="9" borderId="1" xfId="0" applyFont="1" applyFill="1" applyBorder="1" applyAlignment="1">
      <alignment vertical="top" wrapText="1"/>
    </xf>
    <xf numFmtId="0" fontId="19" fillId="3" borderId="6" xfId="0" applyFont="1" applyFill="1" applyBorder="1" applyAlignment="1">
      <alignment vertical="top" wrapText="1"/>
    </xf>
    <xf numFmtId="0" fontId="15" fillId="3" borderId="4" xfId="0" applyFont="1" applyFill="1" applyBorder="1" applyAlignment="1">
      <alignment vertical="top" wrapText="1"/>
    </xf>
    <xf numFmtId="0" fontId="19" fillId="3" borderId="21" xfId="0" applyFont="1" applyFill="1" applyBorder="1" applyAlignment="1">
      <alignment vertical="top" wrapText="1"/>
    </xf>
    <xf numFmtId="0" fontId="19" fillId="3" borderId="18" xfId="0" applyFont="1" applyFill="1" applyBorder="1" applyAlignment="1">
      <alignment wrapText="1"/>
    </xf>
    <xf numFmtId="0" fontId="15" fillId="3" borderId="12" xfId="0" applyFont="1" applyFill="1" applyBorder="1" applyAlignment="1">
      <alignment vertical="top" wrapText="1"/>
    </xf>
    <xf numFmtId="0" fontId="15" fillId="3" borderId="21" xfId="0" applyFont="1" applyFill="1" applyBorder="1" applyAlignment="1">
      <alignment vertical="top" wrapText="1"/>
    </xf>
    <xf numFmtId="0" fontId="19" fillId="3" borderId="20" xfId="0" applyFont="1" applyFill="1" applyBorder="1" applyAlignment="1">
      <alignment vertical="top" wrapText="1"/>
    </xf>
    <xf numFmtId="0" fontId="15" fillId="3" borderId="32" xfId="0" applyFont="1" applyFill="1" applyBorder="1" applyAlignment="1">
      <alignment vertical="top" wrapText="1"/>
    </xf>
    <xf numFmtId="0" fontId="19" fillId="3" borderId="11" xfId="0" applyFont="1" applyFill="1" applyBorder="1" applyAlignment="1">
      <alignment wrapText="1"/>
    </xf>
    <xf numFmtId="0" fontId="19" fillId="3" borderId="1" xfId="0" applyFont="1" applyFill="1" applyBorder="1" applyAlignment="1">
      <alignment wrapText="1"/>
    </xf>
    <xf numFmtId="0" fontId="19" fillId="8" borderId="1" xfId="0" applyFont="1" applyFill="1" applyBorder="1" applyAlignment="1">
      <alignment horizontal="left" vertical="top" wrapText="1"/>
    </xf>
    <xf numFmtId="0" fontId="19" fillId="8" borderId="1" xfId="0" applyFont="1" applyFill="1" applyBorder="1" applyAlignment="1">
      <alignment vertical="top" wrapText="1"/>
    </xf>
    <xf numFmtId="0" fontId="19" fillId="8" borderId="1" xfId="0" applyFont="1" applyFill="1" applyBorder="1" applyAlignment="1">
      <alignment horizontal="center" vertical="top" wrapText="1"/>
    </xf>
    <xf numFmtId="164" fontId="19" fillId="8" borderId="1" xfId="0" applyNumberFormat="1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8" borderId="4" xfId="0" applyFont="1" applyFill="1" applyBorder="1" applyAlignment="1">
      <alignment horizontal="left" vertical="top" wrapText="1"/>
    </xf>
    <xf numFmtId="0" fontId="19" fillId="7" borderId="1" xfId="0" applyFont="1" applyFill="1" applyBorder="1" applyAlignment="1">
      <alignment horizontal="justify" vertical="top" wrapText="1"/>
    </xf>
    <xf numFmtId="0" fontId="16" fillId="3" borderId="2" xfId="0" applyFont="1" applyFill="1" applyBorder="1" applyAlignment="1">
      <alignment vertical="top" wrapText="1"/>
    </xf>
    <xf numFmtId="0" fontId="15" fillId="8" borderId="1" xfId="0" applyFont="1" applyFill="1" applyBorder="1" applyAlignment="1">
      <alignment vertical="top" wrapText="1"/>
    </xf>
    <xf numFmtId="164" fontId="19" fillId="0" borderId="1" xfId="0" applyNumberFormat="1" applyFont="1" applyBorder="1" applyAlignment="1">
      <alignment vertical="top" wrapText="1"/>
    </xf>
    <xf numFmtId="164" fontId="19" fillId="7" borderId="1" xfId="0" applyNumberFormat="1" applyFont="1" applyFill="1" applyBorder="1" applyAlignment="1">
      <alignment horizontal="center" vertical="top" wrapText="1"/>
    </xf>
    <xf numFmtId="0" fontId="15" fillId="8" borderId="1" xfId="0" applyFont="1" applyFill="1" applyBorder="1" applyAlignment="1">
      <alignment horizontal="center" vertical="top" wrapText="1"/>
    </xf>
    <xf numFmtId="0" fontId="15" fillId="8" borderId="1" xfId="0" applyFont="1" applyFill="1" applyBorder="1" applyAlignment="1">
      <alignment horizontal="justify" vertical="top" wrapText="1"/>
    </xf>
    <xf numFmtId="0" fontId="15" fillId="8" borderId="2" xfId="0" applyFont="1" applyFill="1" applyBorder="1" applyAlignment="1">
      <alignment vertical="top" wrapText="1"/>
    </xf>
    <xf numFmtId="0" fontId="19" fillId="0" borderId="17" xfId="0" applyFont="1" applyBorder="1" applyAlignment="1">
      <alignment vertical="top" wrapText="1"/>
    </xf>
    <xf numFmtId="0" fontId="19" fillId="0" borderId="2" xfId="0" applyFont="1" applyBorder="1" applyAlignment="1">
      <alignment horizontal="center" vertical="top" wrapText="1"/>
    </xf>
    <xf numFmtId="164" fontId="19" fillId="0" borderId="2" xfId="0" applyNumberFormat="1" applyFont="1" applyBorder="1" applyAlignment="1">
      <alignment vertical="top" wrapText="1"/>
    </xf>
    <xf numFmtId="0" fontId="19" fillId="0" borderId="20" xfId="0" applyFont="1" applyBorder="1" applyAlignment="1">
      <alignment vertical="top" wrapText="1"/>
    </xf>
    <xf numFmtId="0" fontId="19" fillId="0" borderId="8" xfId="0" applyFont="1" applyBorder="1" applyAlignment="1">
      <alignment horizontal="center" vertical="top" wrapText="1"/>
    </xf>
    <xf numFmtId="164" fontId="19" fillId="0" borderId="8" xfId="0" applyNumberFormat="1" applyFont="1" applyBorder="1" applyAlignment="1">
      <alignment vertical="top" wrapText="1"/>
    </xf>
    <xf numFmtId="0" fontId="17" fillId="7" borderId="19" xfId="0" applyFont="1" applyFill="1" applyBorder="1" applyAlignment="1">
      <alignment horizontal="justify" vertical="top" wrapText="1"/>
    </xf>
    <xf numFmtId="0" fontId="25" fillId="7" borderId="8" xfId="0" applyFont="1" applyFill="1" applyBorder="1" applyAlignment="1">
      <alignment vertical="top" wrapText="1"/>
    </xf>
    <xf numFmtId="164" fontId="17" fillId="7" borderId="8" xfId="0" applyNumberFormat="1" applyFont="1" applyFill="1" applyBorder="1" applyAlignment="1">
      <alignment vertical="top" wrapText="1"/>
    </xf>
    <xf numFmtId="0" fontId="16" fillId="8" borderId="8" xfId="0" applyFont="1" applyFill="1" applyBorder="1" applyAlignment="1">
      <alignment vertical="top" wrapText="1"/>
    </xf>
    <xf numFmtId="0" fontId="17" fillId="8" borderId="8" xfId="0" applyFont="1" applyFill="1" applyBorder="1" applyAlignment="1">
      <alignment vertical="top" wrapText="1"/>
    </xf>
    <xf numFmtId="0" fontId="16" fillId="8" borderId="8" xfId="0" applyFont="1" applyFill="1" applyBorder="1" applyAlignment="1">
      <alignment horizontal="center" vertical="top" wrapText="1"/>
    </xf>
    <xf numFmtId="164" fontId="17" fillId="8" borderId="8" xfId="0" applyNumberFormat="1" applyFont="1" applyFill="1" applyBorder="1" applyAlignment="1">
      <alignment horizontal="center" vertical="top" wrapText="1"/>
    </xf>
    <xf numFmtId="0" fontId="16" fillId="0" borderId="8" xfId="0" applyFont="1" applyBorder="1" applyAlignment="1">
      <alignment vertical="top" wrapText="1"/>
    </xf>
    <xf numFmtId="0" fontId="17" fillId="0" borderId="8" xfId="0" applyFont="1" applyBorder="1" applyAlignment="1">
      <alignment vertical="top" wrapText="1"/>
    </xf>
    <xf numFmtId="0" fontId="15" fillId="0" borderId="8" xfId="0" applyFont="1" applyBorder="1" applyAlignment="1">
      <alignment vertical="center" wrapText="1"/>
    </xf>
    <xf numFmtId="164" fontId="17" fillId="0" borderId="8" xfId="0" applyNumberFormat="1" applyFont="1" applyBorder="1" applyAlignment="1">
      <alignment vertical="top" wrapText="1"/>
    </xf>
    <xf numFmtId="0" fontId="17" fillId="7" borderId="4" xfId="0" applyFont="1" applyFill="1" applyBorder="1" applyAlignment="1">
      <alignment horizontal="justify" vertical="top" wrapText="1"/>
    </xf>
    <xf numFmtId="0" fontId="19" fillId="7" borderId="0" xfId="0" applyFont="1" applyFill="1" applyAlignment="1">
      <alignment vertical="top" wrapText="1"/>
    </xf>
    <xf numFmtId="164" fontId="17" fillId="7" borderId="4" xfId="0" applyNumberFormat="1" applyFont="1" applyFill="1" applyBorder="1" applyAlignment="1">
      <alignment vertical="top" wrapText="1"/>
    </xf>
    <xf numFmtId="0" fontId="16" fillId="8" borderId="1" xfId="0" applyFont="1" applyFill="1" applyBorder="1" applyAlignment="1">
      <alignment vertical="top" wrapText="1"/>
    </xf>
    <xf numFmtId="0" fontId="17" fillId="8" borderId="1" xfId="0" applyFont="1" applyFill="1" applyBorder="1" applyAlignment="1">
      <alignment vertical="top" wrapText="1"/>
    </xf>
    <xf numFmtId="0" fontId="16" fillId="8" borderId="1" xfId="0" applyFont="1" applyFill="1" applyBorder="1" applyAlignment="1">
      <alignment horizontal="center" vertical="top" wrapText="1"/>
    </xf>
    <xf numFmtId="164" fontId="17" fillId="8" borderId="1" xfId="0" applyNumberFormat="1" applyFont="1" applyFill="1" applyBorder="1" applyAlignment="1">
      <alignment horizontal="center" vertical="top" wrapText="1"/>
    </xf>
    <xf numFmtId="0" fontId="17" fillId="0" borderId="12" xfId="0" applyFont="1" applyBorder="1" applyAlignment="1">
      <alignment vertical="top" wrapText="1"/>
    </xf>
    <xf numFmtId="164" fontId="17" fillId="0" borderId="1" xfId="0" applyNumberFormat="1" applyFont="1" applyBorder="1" applyAlignment="1">
      <alignment vertical="top" wrapText="1"/>
    </xf>
    <xf numFmtId="0" fontId="15" fillId="0" borderId="16" xfId="0" applyFont="1" applyBorder="1" applyAlignment="1">
      <alignment vertical="center" wrapText="1"/>
    </xf>
    <xf numFmtId="164" fontId="17" fillId="0" borderId="2" xfId="0" applyNumberFormat="1" applyFont="1" applyBorder="1" applyAlignment="1">
      <alignment vertical="top" wrapText="1"/>
    </xf>
    <xf numFmtId="0" fontId="17" fillId="7" borderId="8" xfId="0" applyFont="1" applyFill="1" applyBorder="1" applyAlignment="1">
      <alignment horizontal="justify" vertical="top" wrapText="1"/>
    </xf>
    <xf numFmtId="0" fontId="17" fillId="7" borderId="8" xfId="0" applyFont="1" applyFill="1" applyBorder="1" applyAlignment="1">
      <alignment vertical="top" wrapText="1"/>
    </xf>
    <xf numFmtId="0" fontId="15" fillId="10" borderId="1" xfId="0" applyFont="1" applyFill="1" applyBorder="1" applyAlignment="1">
      <alignment horizontal="center" vertical="top" wrapText="1"/>
    </xf>
    <xf numFmtId="0" fontId="16" fillId="8" borderId="16" xfId="0" applyFont="1" applyFill="1" applyBorder="1" applyAlignment="1">
      <alignment horizontal="justify" vertical="top" wrapText="1"/>
    </xf>
    <xf numFmtId="0" fontId="17" fillId="8" borderId="2" xfId="0" applyFont="1" applyFill="1" applyBorder="1" applyAlignment="1">
      <alignment vertical="top" wrapText="1"/>
    </xf>
    <xf numFmtId="0" fontId="15" fillId="8" borderId="16" xfId="0" applyFont="1" applyFill="1" applyBorder="1" applyAlignment="1">
      <alignment vertical="center" wrapText="1"/>
    </xf>
    <xf numFmtId="164" fontId="17" fillId="8" borderId="22" xfId="0" applyNumberFormat="1" applyFont="1" applyFill="1" applyBorder="1" applyAlignment="1">
      <alignment vertical="top" wrapText="1"/>
    </xf>
    <xf numFmtId="0" fontId="19" fillId="4" borderId="4" xfId="0" applyFont="1" applyFill="1" applyBorder="1" applyAlignment="1">
      <alignment horizontal="left" vertical="top" wrapText="1"/>
    </xf>
    <xf numFmtId="0" fontId="19" fillId="4" borderId="4" xfId="0" applyFont="1" applyFill="1" applyBorder="1" applyAlignment="1">
      <alignment vertical="top" wrapText="1"/>
    </xf>
    <xf numFmtId="0" fontId="19" fillId="4" borderId="4" xfId="0" applyFont="1" applyFill="1" applyBorder="1" applyAlignment="1">
      <alignment vertical="top"/>
    </xf>
    <xf numFmtId="164" fontId="19" fillId="8" borderId="1" xfId="0" applyNumberFormat="1" applyFont="1" applyFill="1" applyBorder="1" applyAlignment="1">
      <alignment vertical="top" wrapText="1"/>
    </xf>
    <xf numFmtId="0" fontId="19" fillId="3" borderId="2" xfId="0" applyFont="1" applyFill="1" applyBorder="1" applyAlignment="1">
      <alignment horizontal="justify" vertical="top" wrapText="1"/>
    </xf>
    <xf numFmtId="0" fontId="15" fillId="3" borderId="2" xfId="0" applyFont="1" applyFill="1" applyBorder="1" applyAlignment="1">
      <alignment horizontal="left" vertical="top" wrapText="1"/>
    </xf>
    <xf numFmtId="0" fontId="15" fillId="3" borderId="7" xfId="0" applyFont="1" applyFill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3" borderId="4" xfId="0" applyFont="1" applyFill="1" applyBorder="1" applyAlignment="1">
      <alignment horizontal="left" vertical="top" wrapText="1"/>
    </xf>
    <xf numFmtId="0" fontId="15" fillId="0" borderId="2" xfId="0" applyFont="1" applyBorder="1" applyAlignment="1">
      <alignment vertical="top" wrapText="1"/>
    </xf>
    <xf numFmtId="0" fontId="15" fillId="3" borderId="3" xfId="0" applyFont="1" applyFill="1" applyBorder="1" applyAlignment="1">
      <alignment horizontal="left" vertical="top" wrapText="1"/>
    </xf>
    <xf numFmtId="0" fontId="16" fillId="3" borderId="20" xfId="0" applyFont="1" applyFill="1" applyBorder="1" applyAlignment="1">
      <alignment vertical="top" wrapText="1"/>
    </xf>
    <xf numFmtId="0" fontId="19" fillId="3" borderId="29" xfId="0" applyFont="1" applyFill="1" applyBorder="1" applyAlignment="1">
      <alignment vertical="top" wrapText="1"/>
    </xf>
    <xf numFmtId="0" fontId="17" fillId="3" borderId="30" xfId="0" applyFont="1" applyFill="1" applyBorder="1" applyAlignment="1">
      <alignment vertical="top" wrapText="1"/>
    </xf>
    <xf numFmtId="164" fontId="19" fillId="3" borderId="2" xfId="0" applyNumberFormat="1" applyFont="1" applyFill="1" applyBorder="1" applyAlignment="1">
      <alignment horizontal="center" vertical="top" wrapText="1"/>
    </xf>
    <xf numFmtId="164" fontId="19" fillId="3" borderId="26" xfId="0" applyNumberFormat="1" applyFont="1" applyFill="1" applyBorder="1" applyAlignment="1">
      <alignment horizontal="center" vertical="top" wrapText="1"/>
    </xf>
    <xf numFmtId="0" fontId="15" fillId="0" borderId="3" xfId="0" applyFont="1" applyBorder="1" applyAlignment="1">
      <alignment vertical="top" wrapText="1"/>
    </xf>
    <xf numFmtId="0" fontId="19" fillId="3" borderId="4" xfId="0" applyFont="1" applyFill="1" applyBorder="1" applyAlignment="1">
      <alignment vertical="top" wrapText="1"/>
    </xf>
    <xf numFmtId="0" fontId="19" fillId="9" borderId="1" xfId="0" applyFont="1" applyFill="1" applyBorder="1" applyAlignment="1">
      <alignment horizontal="left" vertical="top" wrapText="1"/>
    </xf>
    <xf numFmtId="0" fontId="15" fillId="9" borderId="3" xfId="0" applyFont="1" applyFill="1" applyBorder="1" applyAlignment="1">
      <alignment horizontal="left" vertical="top" wrapText="1"/>
    </xf>
    <xf numFmtId="164" fontId="19" fillId="3" borderId="16" xfId="0" applyNumberFormat="1" applyFont="1" applyFill="1" applyBorder="1" applyAlignment="1">
      <alignment horizontal="center" vertical="top" wrapText="1"/>
    </xf>
    <xf numFmtId="164" fontId="19" fillId="8" borderId="36" xfId="0" applyNumberFormat="1" applyFont="1" applyFill="1" applyBorder="1" applyAlignment="1">
      <alignment horizontal="center" vertical="top" wrapText="1"/>
    </xf>
    <xf numFmtId="0" fontId="19" fillId="0" borderId="4" xfId="0" applyFont="1" applyBorder="1" applyAlignment="1">
      <alignment vertical="top" wrapText="1"/>
    </xf>
    <xf numFmtId="0" fontId="19" fillId="3" borderId="4" xfId="0" applyFont="1" applyFill="1" applyBorder="1" applyAlignment="1">
      <alignment horizontal="center" vertical="top" wrapText="1"/>
    </xf>
    <xf numFmtId="0" fontId="19" fillId="3" borderId="6" xfId="0" applyFont="1" applyFill="1" applyBorder="1" applyAlignment="1">
      <alignment horizontal="left" vertical="top" wrapText="1"/>
    </xf>
    <xf numFmtId="0" fontId="17" fillId="8" borderId="0" xfId="0" applyFont="1" applyFill="1" applyAlignment="1">
      <alignment vertical="top"/>
    </xf>
    <xf numFmtId="0" fontId="19" fillId="8" borderId="4" xfId="0" applyFont="1" applyFill="1" applyBorder="1" applyAlignment="1">
      <alignment horizontal="center" vertical="top" wrapText="1"/>
    </xf>
    <xf numFmtId="0" fontId="19" fillId="3" borderId="4" xfId="0" applyFont="1" applyFill="1" applyBorder="1" applyAlignment="1">
      <alignment horizontal="left" vertical="top" wrapText="1"/>
    </xf>
    <xf numFmtId="0" fontId="17" fillId="9" borderId="12" xfId="0" applyFont="1" applyFill="1" applyBorder="1" applyAlignment="1">
      <alignment vertical="top" wrapText="1"/>
    </xf>
    <xf numFmtId="0" fontId="17" fillId="9" borderId="4" xfId="0" applyFont="1" applyFill="1" applyBorder="1" applyAlignment="1">
      <alignment vertical="top"/>
    </xf>
    <xf numFmtId="0" fontId="19" fillId="3" borderId="1" xfId="0" applyFont="1" applyFill="1" applyBorder="1" applyAlignment="1">
      <alignment horizontal="left" vertical="top" wrapText="1"/>
    </xf>
    <xf numFmtId="0" fontId="16" fillId="8" borderId="3" xfId="0" applyFont="1" applyFill="1" applyBorder="1" applyAlignment="1">
      <alignment vertical="top" wrapText="1"/>
    </xf>
    <xf numFmtId="0" fontId="17" fillId="8" borderId="3" xfId="0" applyFont="1" applyFill="1" applyBorder="1" applyAlignment="1">
      <alignment vertical="top" wrapText="1"/>
    </xf>
    <xf numFmtId="0" fontId="15" fillId="0" borderId="20" xfId="0" applyFont="1" applyBorder="1" applyAlignment="1">
      <alignment vertical="center" wrapText="1"/>
    </xf>
    <xf numFmtId="0" fontId="19" fillId="0" borderId="8" xfId="0" applyFont="1" applyBorder="1" applyAlignment="1">
      <alignment vertical="top" wrapText="1"/>
    </xf>
    <xf numFmtId="0" fontId="19" fillId="0" borderId="20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left" vertical="top" wrapText="1"/>
    </xf>
    <xf numFmtId="0" fontId="19" fillId="7" borderId="19" xfId="0" applyFont="1" applyFill="1" applyBorder="1" applyAlignment="1">
      <alignment vertical="top"/>
    </xf>
    <xf numFmtId="0" fontId="15" fillId="7" borderId="15" xfId="0" applyFont="1" applyFill="1" applyBorder="1" applyAlignment="1">
      <alignment vertical="top" wrapText="1"/>
    </xf>
    <xf numFmtId="164" fontId="19" fillId="7" borderId="20" xfId="0" applyNumberFormat="1" applyFont="1" applyFill="1" applyBorder="1" applyAlignment="1">
      <alignment horizontal="center" vertical="top" wrapText="1"/>
    </xf>
    <xf numFmtId="0" fontId="15" fillId="3" borderId="14" xfId="0" applyFont="1" applyFill="1" applyBorder="1" applyAlignment="1">
      <alignment horizontal="left" vertical="top" wrapText="1"/>
    </xf>
    <xf numFmtId="164" fontId="15" fillId="8" borderId="4" xfId="0" applyNumberFormat="1" applyFont="1" applyFill="1" applyBorder="1" applyAlignment="1">
      <alignment horizontal="left" vertical="top" wrapText="1"/>
    </xf>
    <xf numFmtId="0" fontId="19" fillId="8" borderId="4" xfId="0" applyFont="1" applyFill="1" applyBorder="1" applyAlignment="1">
      <alignment vertical="top" wrapText="1"/>
    </xf>
    <xf numFmtId="49" fontId="19" fillId="8" borderId="1" xfId="0" applyNumberFormat="1" applyFont="1" applyFill="1" applyBorder="1" applyAlignment="1">
      <alignment horizontal="center" vertical="top" wrapText="1"/>
    </xf>
    <xf numFmtId="164" fontId="19" fillId="8" borderId="1" xfId="0" applyNumberFormat="1" applyFont="1" applyFill="1" applyBorder="1" applyAlignment="1">
      <alignment horizontal="center" vertical="top"/>
    </xf>
    <xf numFmtId="49" fontId="19" fillId="0" borderId="1" xfId="0" applyNumberFormat="1" applyFont="1" applyBorder="1" applyAlignment="1">
      <alignment horizontal="center" vertical="top" wrapText="1"/>
    </xf>
    <xf numFmtId="164" fontId="17" fillId="5" borderId="1" xfId="0" applyNumberFormat="1" applyFont="1" applyFill="1" applyBorder="1" applyAlignment="1">
      <alignment horizontal="center" vertical="top"/>
    </xf>
    <xf numFmtId="3" fontId="19" fillId="7" borderId="1" xfId="0" applyNumberFormat="1" applyFont="1" applyFill="1" applyBorder="1" applyAlignment="1">
      <alignment horizontal="left" vertical="top" wrapText="1"/>
    </xf>
    <xf numFmtId="164" fontId="19" fillId="7" borderId="1" xfId="0" applyNumberFormat="1" applyFont="1" applyFill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164" fontId="15" fillId="8" borderId="1" xfId="0" applyNumberFormat="1" applyFont="1" applyFill="1" applyBorder="1" applyAlignment="1">
      <alignment horizontal="left" vertical="top" wrapText="1"/>
    </xf>
    <xf numFmtId="49" fontId="19" fillId="0" borderId="12" xfId="0" applyNumberFormat="1" applyFont="1" applyBorder="1" applyAlignment="1">
      <alignment horizontal="center" vertical="top" wrapText="1"/>
    </xf>
    <xf numFmtId="0" fontId="19" fillId="4" borderId="12" xfId="0" applyFont="1" applyFill="1" applyBorder="1" applyAlignment="1">
      <alignment vertical="top" wrapText="1"/>
    </xf>
    <xf numFmtId="164" fontId="19" fillId="7" borderId="4" xfId="0" applyNumberFormat="1" applyFont="1" applyFill="1" applyBorder="1" applyAlignment="1">
      <alignment horizontal="left" vertical="top" wrapText="1"/>
    </xf>
    <xf numFmtId="49" fontId="19" fillId="7" borderId="1" xfId="0" applyNumberFormat="1" applyFont="1" applyFill="1" applyBorder="1" applyAlignment="1">
      <alignment horizontal="center" vertical="top" wrapText="1"/>
    </xf>
    <xf numFmtId="164" fontId="19" fillId="0" borderId="4" xfId="0" applyNumberFormat="1" applyFont="1" applyBorder="1" applyAlignment="1">
      <alignment vertical="top" wrapText="1"/>
    </xf>
    <xf numFmtId="0" fontId="15" fillId="3" borderId="5" xfId="0" applyFont="1" applyFill="1" applyBorder="1" applyAlignment="1">
      <alignment vertical="top" wrapText="1"/>
    </xf>
    <xf numFmtId="164" fontId="17" fillId="0" borderId="4" xfId="0" applyNumberFormat="1" applyFont="1" applyBorder="1" applyAlignment="1">
      <alignment vertical="top" wrapText="1"/>
    </xf>
    <xf numFmtId="164" fontId="19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164" fontId="19" fillId="8" borderId="4" xfId="0" applyNumberFormat="1" applyFont="1" applyFill="1" applyBorder="1" applyAlignment="1">
      <alignment vertical="top" wrapText="1"/>
    </xf>
    <xf numFmtId="49" fontId="19" fillId="0" borderId="4" xfId="0" applyNumberFormat="1" applyFont="1" applyBorder="1" applyAlignment="1">
      <alignment horizontal="center" vertical="top" wrapText="1"/>
    </xf>
    <xf numFmtId="49" fontId="19" fillId="0" borderId="3" xfId="0" applyNumberFormat="1" applyFont="1" applyBorder="1" applyAlignment="1">
      <alignment horizontal="center" vertical="top" wrapText="1"/>
    </xf>
    <xf numFmtId="0" fontId="19" fillId="7" borderId="12" xfId="0" applyFont="1" applyFill="1" applyBorder="1" applyAlignment="1">
      <alignment vertical="top" wrapText="1"/>
    </xf>
    <xf numFmtId="49" fontId="15" fillId="7" borderId="8" xfId="0" applyNumberFormat="1" applyFont="1" applyFill="1" applyBorder="1" applyAlignment="1">
      <alignment horizontal="center" vertical="top" wrapText="1"/>
    </xf>
    <xf numFmtId="164" fontId="19" fillId="7" borderId="4" xfId="0" applyNumberFormat="1" applyFont="1" applyFill="1" applyBorder="1" applyAlignment="1">
      <alignment vertical="top" wrapText="1"/>
    </xf>
    <xf numFmtId="49" fontId="19" fillId="8" borderId="4" xfId="0" applyNumberFormat="1" applyFont="1" applyFill="1" applyBorder="1" applyAlignment="1">
      <alignment horizontal="center" vertical="top" wrapText="1"/>
    </xf>
    <xf numFmtId="164" fontId="19" fillId="3" borderId="3" xfId="0" applyNumberFormat="1" applyFont="1" applyFill="1" applyBorder="1" applyAlignment="1">
      <alignment vertical="top" wrapText="1"/>
    </xf>
    <xf numFmtId="49" fontId="19" fillId="3" borderId="4" xfId="0" applyNumberFormat="1" applyFont="1" applyFill="1" applyBorder="1" applyAlignment="1">
      <alignment horizontal="center" vertical="top" wrapText="1"/>
    </xf>
    <xf numFmtId="164" fontId="19" fillId="3" borderId="4" xfId="0" applyNumberFormat="1" applyFont="1" applyFill="1" applyBorder="1" applyAlignment="1">
      <alignment vertical="top" wrapText="1"/>
    </xf>
    <xf numFmtId="49" fontId="15" fillId="7" borderId="4" xfId="0" applyNumberFormat="1" applyFont="1" applyFill="1" applyBorder="1" applyAlignment="1">
      <alignment horizontal="center" vertical="top" wrapText="1"/>
    </xf>
    <xf numFmtId="49" fontId="19" fillId="7" borderId="4" xfId="0" applyNumberFormat="1" applyFont="1" applyFill="1" applyBorder="1" applyAlignment="1">
      <alignment horizontal="center" vertical="top" wrapText="1"/>
    </xf>
    <xf numFmtId="164" fontId="19" fillId="8" borderId="1" xfId="0" applyNumberFormat="1" applyFont="1" applyFill="1" applyBorder="1" applyAlignment="1">
      <alignment horizontal="left" vertical="top" wrapText="1"/>
    </xf>
    <xf numFmtId="0" fontId="19" fillId="8" borderId="14" xfId="0" applyFont="1" applyFill="1" applyBorder="1" applyAlignment="1">
      <alignment vertical="top" wrapText="1"/>
    </xf>
    <xf numFmtId="49" fontId="19" fillId="8" borderId="8" xfId="0" applyNumberFormat="1" applyFont="1" applyFill="1" applyBorder="1" applyAlignment="1">
      <alignment horizontal="center" vertical="top" wrapText="1"/>
    </xf>
    <xf numFmtId="0" fontId="19" fillId="0" borderId="2" xfId="0" applyFont="1" applyBorder="1" applyAlignment="1">
      <alignment vertical="top" wrapText="1"/>
    </xf>
    <xf numFmtId="164" fontId="19" fillId="0" borderId="3" xfId="0" applyNumberFormat="1" applyFont="1" applyBorder="1" applyAlignment="1">
      <alignment vertical="top" wrapText="1"/>
    </xf>
    <xf numFmtId="0" fontId="15" fillId="8" borderId="27" xfId="0" applyFont="1" applyFill="1" applyBorder="1" applyAlignment="1">
      <alignment horizontal="justify" vertical="top" wrapText="1"/>
    </xf>
    <xf numFmtId="0" fontId="19" fillId="8" borderId="10" xfId="0" applyFont="1" applyFill="1" applyBorder="1" applyAlignment="1">
      <alignment vertical="top" wrapText="1"/>
    </xf>
    <xf numFmtId="0" fontId="15" fillId="8" borderId="10" xfId="0" applyFont="1" applyFill="1" applyBorder="1" applyAlignment="1">
      <alignment horizontal="center" vertical="top" wrapText="1"/>
    </xf>
    <xf numFmtId="164" fontId="19" fillId="8" borderId="28" xfId="0" applyNumberFormat="1" applyFont="1" applyFill="1" applyBorder="1" applyAlignment="1">
      <alignment horizontal="center" vertical="top" wrapText="1"/>
    </xf>
    <xf numFmtId="0" fontId="15" fillId="0" borderId="37" xfId="0" applyFont="1" applyBorder="1" applyAlignment="1">
      <alignment horizontal="center" vertical="top" wrapText="1"/>
    </xf>
    <xf numFmtId="0" fontId="19" fillId="0" borderId="38" xfId="0" applyFont="1" applyBorder="1" applyAlignment="1">
      <alignment vertical="top" wrapText="1"/>
    </xf>
    <xf numFmtId="0" fontId="19" fillId="0" borderId="38" xfId="0" applyFont="1" applyBorder="1" applyAlignment="1">
      <alignment horizontal="center" vertical="top" wrapText="1"/>
    </xf>
    <xf numFmtId="164" fontId="19" fillId="0" borderId="29" xfId="0" applyNumberFormat="1" applyFont="1" applyBorder="1" applyAlignment="1">
      <alignment horizontal="center" vertical="top" wrapText="1"/>
    </xf>
    <xf numFmtId="164" fontId="15" fillId="3" borderId="4" xfId="0" applyNumberFormat="1" applyFont="1" applyFill="1" applyBorder="1" applyAlignment="1">
      <alignment horizontal="center" vertical="top" wrapText="1"/>
    </xf>
    <xf numFmtId="164" fontId="16" fillId="3" borderId="2" xfId="0" applyNumberFormat="1" applyFont="1" applyFill="1" applyBorder="1" applyAlignment="1">
      <alignment horizontal="center" vertical="top" wrapText="1"/>
    </xf>
    <xf numFmtId="164" fontId="17" fillId="3" borderId="8" xfId="0" applyNumberFormat="1" applyFont="1" applyFill="1" applyBorder="1" applyAlignment="1">
      <alignment horizontal="center" vertical="top" wrapText="1"/>
    </xf>
    <xf numFmtId="164" fontId="16" fillId="3" borderId="8" xfId="0" applyNumberFormat="1" applyFont="1" applyFill="1" applyBorder="1" applyAlignment="1">
      <alignment horizontal="center" vertical="top"/>
    </xf>
    <xf numFmtId="164" fontId="16" fillId="3" borderId="8" xfId="0" applyNumberFormat="1" applyFont="1" applyFill="1" applyBorder="1" applyAlignment="1">
      <alignment horizontal="center" vertical="top" wrapText="1"/>
    </xf>
    <xf numFmtId="164" fontId="16" fillId="3" borderId="4" xfId="0" applyNumberFormat="1" applyFont="1" applyFill="1" applyBorder="1" applyAlignment="1">
      <alignment horizontal="center" vertical="top" wrapText="1"/>
    </xf>
    <xf numFmtId="164" fontId="16" fillId="5" borderId="1" xfId="0" applyNumberFormat="1" applyFont="1" applyFill="1" applyBorder="1" applyAlignment="1">
      <alignment horizontal="center" vertical="top" wrapText="1"/>
    </xf>
    <xf numFmtId="164" fontId="16" fillId="0" borderId="1" xfId="0" applyNumberFormat="1" applyFont="1" applyBorder="1" applyAlignment="1">
      <alignment horizontal="center" vertical="top" wrapText="1"/>
    </xf>
    <xf numFmtId="164" fontId="17" fillId="0" borderId="1" xfId="0" applyNumberFormat="1" applyFont="1" applyBorder="1" applyAlignment="1">
      <alignment horizontal="center" vertical="top" wrapText="1"/>
    </xf>
    <xf numFmtId="164" fontId="15" fillId="9" borderId="1" xfId="0" applyNumberFormat="1" applyFont="1" applyFill="1" applyBorder="1" applyAlignment="1">
      <alignment horizontal="center" vertical="top" wrapText="1"/>
    </xf>
    <xf numFmtId="164" fontId="15" fillId="9" borderId="6" xfId="0" applyNumberFormat="1" applyFont="1" applyFill="1" applyBorder="1" applyAlignment="1">
      <alignment horizontal="center" vertical="top" wrapText="1"/>
    </xf>
    <xf numFmtId="164" fontId="15" fillId="3" borderId="18" xfId="0" applyNumberFormat="1" applyFont="1" applyFill="1" applyBorder="1" applyAlignment="1">
      <alignment wrapText="1"/>
    </xf>
    <xf numFmtId="164" fontId="15" fillId="3" borderId="18" xfId="0" applyNumberFormat="1" applyFont="1" applyFill="1" applyBorder="1" applyAlignment="1">
      <alignment horizontal="center" vertical="top" wrapText="1"/>
    </xf>
    <xf numFmtId="164" fontId="15" fillId="3" borderId="11" xfId="0" applyNumberFormat="1" applyFont="1" applyFill="1" applyBorder="1" applyAlignment="1">
      <alignment horizontal="center" vertical="top" wrapText="1"/>
    </xf>
    <xf numFmtId="164" fontId="15" fillId="3" borderId="8" xfId="0" applyNumberFormat="1" applyFont="1" applyFill="1" applyBorder="1" applyAlignment="1">
      <alignment horizontal="center" vertical="top" wrapText="1"/>
    </xf>
    <xf numFmtId="164" fontId="15" fillId="3" borderId="16" xfId="0" applyNumberFormat="1" applyFont="1" applyFill="1" applyBorder="1" applyAlignment="1">
      <alignment horizontal="center" vertical="top" wrapText="1"/>
    </xf>
    <xf numFmtId="164" fontId="24" fillId="0" borderId="1" xfId="0" applyNumberFormat="1" applyFont="1" applyBorder="1"/>
    <xf numFmtId="164" fontId="15" fillId="7" borderId="1" xfId="0" applyNumberFormat="1" applyFont="1" applyFill="1" applyBorder="1" applyAlignment="1">
      <alignment horizontal="center" vertical="top"/>
    </xf>
    <xf numFmtId="164" fontId="15" fillId="3" borderId="1" xfId="0" applyNumberFormat="1" applyFont="1" applyFill="1" applyBorder="1" applyAlignment="1">
      <alignment horizontal="center" vertical="top"/>
    </xf>
    <xf numFmtId="164" fontId="19" fillId="3" borderId="1" xfId="0" applyNumberFormat="1" applyFont="1" applyFill="1" applyBorder="1" applyAlignment="1">
      <alignment horizontal="center" vertical="top"/>
    </xf>
    <xf numFmtId="164" fontId="17" fillId="7" borderId="8" xfId="0" applyNumberFormat="1" applyFont="1" applyFill="1" applyBorder="1" applyAlignment="1">
      <alignment horizontal="center" vertical="top" wrapText="1"/>
    </xf>
    <xf numFmtId="164" fontId="17" fillId="7" borderId="4" xfId="0" applyNumberFormat="1" applyFont="1" applyFill="1" applyBorder="1" applyAlignment="1">
      <alignment horizontal="center" vertical="top" wrapText="1"/>
    </xf>
    <xf numFmtId="164" fontId="17" fillId="3" borderId="2" xfId="0" applyNumberFormat="1" applyFont="1" applyFill="1" applyBorder="1" applyAlignment="1">
      <alignment horizontal="center" vertical="top" wrapText="1"/>
    </xf>
    <xf numFmtId="164" fontId="17" fillId="8" borderId="16" xfId="0" applyNumberFormat="1" applyFont="1" applyFill="1" applyBorder="1" applyAlignment="1">
      <alignment horizontal="center" vertical="top" wrapText="1"/>
    </xf>
    <xf numFmtId="164" fontId="19" fillId="4" borderId="4" xfId="0" applyNumberFormat="1" applyFont="1" applyFill="1" applyBorder="1" applyAlignment="1">
      <alignment vertical="top"/>
    </xf>
    <xf numFmtId="164" fontId="15" fillId="3" borderId="2" xfId="0" applyNumberFormat="1" applyFont="1" applyFill="1" applyBorder="1" applyAlignment="1">
      <alignment horizontal="center" vertical="top" wrapText="1"/>
    </xf>
    <xf numFmtId="164" fontId="15" fillId="3" borderId="25" xfId="0" applyNumberFormat="1" applyFont="1" applyFill="1" applyBorder="1" applyAlignment="1">
      <alignment horizontal="center" vertical="top" wrapText="1"/>
    </xf>
    <xf numFmtId="164" fontId="17" fillId="0" borderId="6" xfId="0" applyNumberFormat="1" applyFont="1" applyBorder="1" applyAlignment="1">
      <alignment horizontal="center" vertical="top" wrapText="1"/>
    </xf>
    <xf numFmtId="164" fontId="17" fillId="9" borderId="2" xfId="0" applyNumberFormat="1" applyFont="1" applyFill="1" applyBorder="1" applyAlignment="1">
      <alignment horizontal="center" vertical="top" wrapText="1"/>
    </xf>
    <xf numFmtId="164" fontId="15" fillId="7" borderId="8" xfId="0" applyNumberFormat="1" applyFont="1" applyFill="1" applyBorder="1" applyAlignment="1">
      <alignment horizontal="center" vertical="top" wrapText="1"/>
    </xf>
    <xf numFmtId="164" fontId="19" fillId="4" borderId="1" xfId="0" applyNumberFormat="1" applyFont="1" applyFill="1" applyBorder="1" applyAlignment="1">
      <alignment vertical="top" wrapText="1"/>
    </xf>
    <xf numFmtId="164" fontId="15" fillId="3" borderId="1" xfId="1" applyNumberFormat="1" applyFont="1" applyFill="1" applyBorder="1" applyAlignment="1">
      <alignment horizontal="center" vertical="top"/>
    </xf>
    <xf numFmtId="164" fontId="19" fillId="6" borderId="1" xfId="1" applyNumberFormat="1" applyFont="1" applyFill="1" applyBorder="1" applyAlignment="1">
      <alignment horizontal="center" vertical="top"/>
    </xf>
    <xf numFmtId="164" fontId="16" fillId="7" borderId="1" xfId="0" applyNumberFormat="1" applyFont="1" applyFill="1" applyBorder="1" applyAlignment="1">
      <alignment horizontal="center" vertical="top"/>
    </xf>
    <xf numFmtId="164" fontId="15" fillId="6" borderId="1" xfId="1" applyNumberFormat="1" applyFont="1" applyFill="1" applyBorder="1" applyAlignment="1">
      <alignment horizontal="center" vertical="top"/>
    </xf>
    <xf numFmtId="164" fontId="19" fillId="6" borderId="2" xfId="1" applyNumberFormat="1" applyFont="1" applyFill="1" applyBorder="1" applyAlignment="1">
      <alignment horizontal="center" vertical="top"/>
    </xf>
    <xf numFmtId="164" fontId="19" fillId="5" borderId="8" xfId="0" applyNumberFormat="1" applyFont="1" applyFill="1" applyBorder="1" applyAlignment="1">
      <alignment horizontal="center" vertical="top"/>
    </xf>
    <xf numFmtId="164" fontId="17" fillId="5" borderId="16" xfId="0" applyNumberFormat="1" applyFont="1" applyFill="1" applyBorder="1" applyAlignment="1">
      <alignment horizontal="center" vertical="top"/>
    </xf>
    <xf numFmtId="164" fontId="19" fillId="7" borderId="4" xfId="0" applyNumberFormat="1" applyFont="1" applyFill="1" applyBorder="1" applyAlignment="1">
      <alignment horizontal="center" vertical="top"/>
    </xf>
    <xf numFmtId="164" fontId="19" fillId="5" borderId="1" xfId="0" applyNumberFormat="1" applyFont="1" applyFill="1" applyBorder="1" applyAlignment="1">
      <alignment horizontal="center" vertical="top"/>
    </xf>
    <xf numFmtId="164" fontId="15" fillId="3" borderId="4" xfId="0" applyNumberFormat="1" applyFont="1" applyFill="1" applyBorder="1" applyAlignment="1">
      <alignment horizontal="center" vertical="top"/>
    </xf>
    <xf numFmtId="164" fontId="19" fillId="3" borderId="4" xfId="0" applyNumberFormat="1" applyFont="1" applyFill="1" applyBorder="1" applyAlignment="1">
      <alignment horizontal="center" vertical="top"/>
    </xf>
    <xf numFmtId="164" fontId="17" fillId="3" borderId="4" xfId="0" applyNumberFormat="1" applyFont="1" applyFill="1" applyBorder="1" applyAlignment="1">
      <alignment horizontal="center" vertical="top"/>
    </xf>
    <xf numFmtId="164" fontId="16" fillId="3" borderId="4" xfId="0" applyNumberFormat="1" applyFont="1" applyFill="1" applyBorder="1" applyAlignment="1">
      <alignment horizontal="center" vertical="top"/>
    </xf>
    <xf numFmtId="164" fontId="19" fillId="8" borderId="4" xfId="0" applyNumberFormat="1" applyFont="1" applyFill="1" applyBorder="1" applyAlignment="1">
      <alignment horizontal="center" vertical="top"/>
    </xf>
    <xf numFmtId="164" fontId="19" fillId="5" borderId="4" xfId="0" applyNumberFormat="1" applyFont="1" applyFill="1" applyBorder="1" applyAlignment="1">
      <alignment horizontal="center" vertical="top"/>
    </xf>
    <xf numFmtId="164" fontId="19" fillId="8" borderId="18" xfId="0" applyNumberFormat="1" applyFont="1" applyFill="1" applyBorder="1" applyAlignment="1">
      <alignment horizontal="center" vertical="top"/>
    </xf>
    <xf numFmtId="164" fontId="19" fillId="3" borderId="3" xfId="0" applyNumberFormat="1" applyFont="1" applyFill="1" applyBorder="1" applyAlignment="1">
      <alignment horizontal="center" vertical="top"/>
    </xf>
    <xf numFmtId="164" fontId="19" fillId="8" borderId="10" xfId="0" applyNumberFormat="1" applyFont="1" applyFill="1" applyBorder="1" applyAlignment="1">
      <alignment horizontal="center" vertical="top" wrapText="1"/>
    </xf>
    <xf numFmtId="164" fontId="19" fillId="3" borderId="38" xfId="0" applyNumberFormat="1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left" vertical="top" wrapText="1"/>
    </xf>
    <xf numFmtId="0" fontId="16" fillId="3" borderId="4" xfId="0" applyFont="1" applyFill="1" applyBorder="1" applyAlignment="1">
      <alignment horizontal="center" vertical="top" wrapText="1"/>
    </xf>
    <xf numFmtId="0" fontId="16" fillId="3" borderId="1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top"/>
    </xf>
    <xf numFmtId="0" fontId="20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5" fillId="0" borderId="16" xfId="0" applyFont="1" applyBorder="1" applyAlignment="1">
      <alignment horizontal="left" vertical="top" wrapText="1"/>
    </xf>
    <xf numFmtId="0" fontId="15" fillId="0" borderId="22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15" fillId="0" borderId="19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center" vertical="top" wrapText="1"/>
    </xf>
    <xf numFmtId="0" fontId="16" fillId="0" borderId="31" xfId="0" applyFont="1" applyBorder="1" applyAlignment="1">
      <alignment horizontal="center" vertical="top" wrapText="1"/>
    </xf>
    <xf numFmtId="0" fontId="16" fillId="0" borderId="33" xfId="0" applyFont="1" applyBorder="1" applyAlignment="1">
      <alignment horizontal="center" vertical="top" wrapText="1"/>
    </xf>
    <xf numFmtId="0" fontId="16" fillId="3" borderId="2" xfId="0" applyFont="1" applyFill="1" applyBorder="1" applyAlignment="1">
      <alignment horizontal="center" vertical="top" wrapText="1"/>
    </xf>
    <xf numFmtId="0" fontId="16" fillId="3" borderId="3" xfId="0" applyFont="1" applyFill="1" applyBorder="1" applyAlignment="1">
      <alignment horizontal="center" vertical="top" wrapText="1"/>
    </xf>
    <xf numFmtId="0" fontId="16" fillId="3" borderId="17" xfId="0" applyFont="1" applyFill="1" applyBorder="1" applyAlignment="1">
      <alignment horizontal="center" vertical="top" wrapText="1"/>
    </xf>
    <xf numFmtId="0" fontId="16" fillId="3" borderId="11" xfId="0" applyFont="1" applyFill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5" fillId="0" borderId="27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5" fillId="0" borderId="24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justify" vertical="top" wrapText="1"/>
    </xf>
    <xf numFmtId="0" fontId="15" fillId="0" borderId="1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15" fillId="3" borderId="2" xfId="0" applyFont="1" applyFill="1" applyBorder="1" applyAlignment="1">
      <alignment horizontal="center" vertical="top" wrapText="1"/>
    </xf>
    <xf numFmtId="0" fontId="15" fillId="3" borderId="3" xfId="0" applyFont="1" applyFill="1" applyBorder="1" applyAlignment="1">
      <alignment horizontal="center" vertical="top" wrapText="1"/>
    </xf>
    <xf numFmtId="0" fontId="15" fillId="3" borderId="4" xfId="0" applyFont="1" applyFill="1" applyBorder="1" applyAlignment="1">
      <alignment horizontal="center" vertical="top" wrapText="1"/>
    </xf>
    <xf numFmtId="0" fontId="16" fillId="3" borderId="4" xfId="0" applyFont="1" applyFill="1" applyBorder="1" applyAlignment="1">
      <alignment horizontal="center" vertical="top" wrapText="1"/>
    </xf>
    <xf numFmtId="0" fontId="15" fillId="0" borderId="10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 vertical="top" wrapText="1"/>
    </xf>
    <xf numFmtId="0" fontId="0" fillId="0" borderId="18" xfId="0" applyBorder="1" applyAlignment="1">
      <alignment vertical="top" wrapText="1"/>
    </xf>
    <xf numFmtId="0" fontId="15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left" vertical="top" wrapText="1"/>
    </xf>
    <xf numFmtId="0" fontId="15" fillId="3" borderId="4" xfId="0" applyFont="1" applyFill="1" applyBorder="1" applyAlignment="1">
      <alignment horizontal="left" vertical="top" wrapText="1"/>
    </xf>
    <xf numFmtId="0" fontId="16" fillId="0" borderId="3" xfId="0" applyFont="1" applyBorder="1" applyAlignment="1">
      <alignment horizontal="left" vertical="top" wrapText="1"/>
    </xf>
    <xf numFmtId="164" fontId="15" fillId="0" borderId="2" xfId="0" applyNumberFormat="1" applyFont="1" applyBorder="1" applyAlignment="1">
      <alignment horizontal="left" vertical="top" wrapText="1"/>
    </xf>
    <xf numFmtId="164" fontId="15" fillId="0" borderId="3" xfId="0" applyNumberFormat="1" applyFont="1" applyBorder="1" applyAlignment="1">
      <alignment horizontal="left" vertical="top" wrapText="1"/>
    </xf>
    <xf numFmtId="164" fontId="15" fillId="0" borderId="4" xfId="0" applyNumberFormat="1" applyFont="1" applyBorder="1" applyAlignment="1">
      <alignment horizontal="left" vertical="top" wrapText="1"/>
    </xf>
    <xf numFmtId="49" fontId="15" fillId="3" borderId="2" xfId="0" applyNumberFormat="1" applyFont="1" applyFill="1" applyBorder="1" applyAlignment="1">
      <alignment horizontal="center" vertical="top" wrapText="1"/>
    </xf>
    <xf numFmtId="49" fontId="15" fillId="3" borderId="4" xfId="0" applyNumberFormat="1" applyFont="1" applyFill="1" applyBorder="1" applyAlignment="1">
      <alignment horizontal="center" vertical="top" wrapText="1"/>
    </xf>
    <xf numFmtId="0" fontId="16" fillId="3" borderId="34" xfId="0" applyFont="1" applyFill="1" applyBorder="1" applyAlignment="1">
      <alignment horizontal="center" vertical="top" wrapText="1"/>
    </xf>
    <xf numFmtId="0" fontId="16" fillId="3" borderId="0" xfId="0" applyFont="1" applyFill="1" applyAlignment="1">
      <alignment horizontal="center" vertical="top" wrapText="1"/>
    </xf>
    <xf numFmtId="0" fontId="15" fillId="3" borderId="7" xfId="0" applyFont="1" applyFill="1" applyBorder="1" applyAlignment="1">
      <alignment horizontal="left" vertical="top" wrapText="1"/>
    </xf>
    <xf numFmtId="49" fontId="15" fillId="0" borderId="2" xfId="0" applyNumberFormat="1" applyFont="1" applyBorder="1" applyAlignment="1">
      <alignment horizontal="center" vertical="top" wrapText="1"/>
    </xf>
    <xf numFmtId="49" fontId="15" fillId="0" borderId="3" xfId="0" applyNumberFormat="1" applyFont="1" applyBorder="1" applyAlignment="1">
      <alignment horizontal="center" vertical="top" wrapText="1"/>
    </xf>
    <xf numFmtId="49" fontId="16" fillId="0" borderId="3" xfId="0" applyNumberFormat="1" applyFont="1" applyBorder="1" applyAlignment="1">
      <alignment horizontal="center" vertical="top" wrapText="1"/>
    </xf>
    <xf numFmtId="164" fontId="19" fillId="0" borderId="2" xfId="0" applyNumberFormat="1" applyFont="1" applyBorder="1" applyAlignment="1">
      <alignment horizontal="left" vertical="top" wrapText="1"/>
    </xf>
    <xf numFmtId="164" fontId="19" fillId="0" borderId="3" xfId="0" applyNumberFormat="1" applyFont="1" applyBorder="1" applyAlignment="1">
      <alignment horizontal="left" vertical="top" wrapText="1"/>
    </xf>
    <xf numFmtId="164" fontId="19" fillId="0" borderId="4" xfId="0" applyNumberFormat="1" applyFont="1" applyBorder="1" applyAlignment="1">
      <alignment horizontal="left" vertical="top" wrapText="1"/>
    </xf>
    <xf numFmtId="49" fontId="16" fillId="0" borderId="2" xfId="0" applyNumberFormat="1" applyFont="1" applyBorder="1" applyAlignment="1">
      <alignment horizontal="center" vertical="top" wrapText="1"/>
    </xf>
    <xf numFmtId="49" fontId="16" fillId="0" borderId="4" xfId="0" applyNumberFormat="1" applyFont="1" applyBorder="1" applyAlignment="1">
      <alignment horizontal="center" vertical="top" wrapText="1"/>
    </xf>
    <xf numFmtId="164" fontId="16" fillId="0" borderId="2" xfId="0" applyNumberFormat="1" applyFont="1" applyBorder="1" applyAlignment="1">
      <alignment horizontal="left" vertical="top" wrapText="1"/>
    </xf>
    <xf numFmtId="164" fontId="16" fillId="0" borderId="3" xfId="0" applyNumberFormat="1" applyFont="1" applyBorder="1" applyAlignment="1">
      <alignment horizontal="left" vertical="top" wrapText="1"/>
    </xf>
    <xf numFmtId="164" fontId="16" fillId="0" borderId="4" xfId="0" applyNumberFormat="1" applyFont="1" applyBorder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164" fontId="15" fillId="3" borderId="2" xfId="0" applyNumberFormat="1" applyFont="1" applyFill="1" applyBorder="1" applyAlignment="1">
      <alignment horizontal="left" vertical="top" wrapText="1"/>
    </xf>
    <xf numFmtId="164" fontId="15" fillId="3" borderId="3" xfId="0" applyNumberFormat="1" applyFont="1" applyFill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15" fillId="3" borderId="16" xfId="0" applyFont="1" applyFill="1" applyBorder="1" applyAlignment="1">
      <alignment horizontal="left" vertical="top" wrapText="1"/>
    </xf>
    <xf numFmtId="0" fontId="15" fillId="3" borderId="19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164" fontId="19" fillId="3" borderId="2" xfId="0" applyNumberFormat="1" applyFont="1" applyFill="1" applyBorder="1" applyAlignment="1">
      <alignment horizontal="left" vertical="top" wrapText="1"/>
    </xf>
    <xf numFmtId="164" fontId="19" fillId="3" borderId="3" xfId="0" applyNumberFormat="1" applyFont="1" applyFill="1" applyBorder="1" applyAlignment="1">
      <alignment horizontal="left" vertical="top" wrapText="1"/>
    </xf>
    <xf numFmtId="0" fontId="15" fillId="3" borderId="8" xfId="0" applyFont="1" applyFill="1" applyBorder="1" applyAlignment="1">
      <alignment horizontal="left" vertical="top" wrapText="1"/>
    </xf>
    <xf numFmtId="0" fontId="19" fillId="3" borderId="3" xfId="0" applyFont="1" applyFill="1" applyBorder="1" applyAlignment="1">
      <alignment horizontal="left" vertical="top" wrapText="1"/>
    </xf>
    <xf numFmtId="0" fontId="19" fillId="3" borderId="4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top" wrapText="1"/>
    </xf>
    <xf numFmtId="0" fontId="15" fillId="0" borderId="9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left" vertical="top" wrapText="1"/>
    </xf>
    <xf numFmtId="0" fontId="19" fillId="0" borderId="3" xfId="0" applyFont="1" applyBorder="1" applyAlignment="1">
      <alignment horizontal="left" vertical="top" wrapText="1"/>
    </xf>
    <xf numFmtId="0" fontId="19" fillId="0" borderId="4" xfId="0" applyFont="1" applyBorder="1" applyAlignment="1">
      <alignment horizontal="left" vertical="top" wrapText="1"/>
    </xf>
    <xf numFmtId="0" fontId="15" fillId="3" borderId="22" xfId="0" applyFont="1" applyFill="1" applyBorder="1" applyAlignment="1">
      <alignment horizontal="center" vertical="top" wrapText="1"/>
    </xf>
    <xf numFmtId="0" fontId="15" fillId="3" borderId="13" xfId="0" applyFont="1" applyFill="1" applyBorder="1" applyAlignment="1">
      <alignment horizontal="center" vertical="top" wrapText="1"/>
    </xf>
    <xf numFmtId="0" fontId="15" fillId="3" borderId="14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164" fontId="19" fillId="3" borderId="2" xfId="0" applyNumberFormat="1" applyFont="1" applyFill="1" applyBorder="1" applyAlignment="1">
      <alignment horizontal="center" vertical="top" wrapText="1"/>
    </xf>
    <xf numFmtId="164" fontId="19" fillId="3" borderId="3" xfId="0" applyNumberFormat="1" applyFont="1" applyFill="1" applyBorder="1" applyAlignment="1">
      <alignment horizontal="center" vertical="top" wrapText="1"/>
    </xf>
    <xf numFmtId="164" fontId="19" fillId="3" borderId="4" xfId="0" applyNumberFormat="1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justify" vertical="top" wrapText="1"/>
    </xf>
    <xf numFmtId="0" fontId="16" fillId="0" borderId="2" xfId="0" applyFont="1" applyBorder="1" applyAlignment="1">
      <alignment horizontal="justify" vertical="top" wrapText="1"/>
    </xf>
    <xf numFmtId="0" fontId="16" fillId="3" borderId="2" xfId="0" applyFont="1" applyFill="1" applyBorder="1" applyAlignment="1">
      <alignment horizontal="left" vertical="top" wrapText="1"/>
    </xf>
    <xf numFmtId="0" fontId="16" fillId="3" borderId="3" xfId="0" applyFont="1" applyFill="1" applyBorder="1" applyAlignment="1">
      <alignment horizontal="left" vertical="top" wrapText="1"/>
    </xf>
    <xf numFmtId="0" fontId="16" fillId="3" borderId="4" xfId="0" applyFont="1" applyFill="1" applyBorder="1" applyAlignment="1">
      <alignment horizontal="left" vertical="top" wrapText="1"/>
    </xf>
    <xf numFmtId="0" fontId="9" fillId="7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99FF99"/>
      <color rgb="FF99FFCC"/>
      <color rgb="FFFFFF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sheetPr>
    <pageSetUpPr fitToPage="1"/>
  </sheetPr>
  <dimension ref="A1:H352"/>
  <sheetViews>
    <sheetView tabSelected="1" zoomScaleNormal="100" zoomScaleSheetLayoutView="100" workbookViewId="0">
      <selection activeCell="F11" sqref="F11"/>
    </sheetView>
  </sheetViews>
  <sheetFormatPr defaultColWidth="9.140625" defaultRowHeight="12.75" x14ac:dyDescent="0.2"/>
  <cols>
    <col min="1" max="1" width="2.5703125" style="23" customWidth="1"/>
    <col min="2" max="2" width="15" style="21" customWidth="1"/>
    <col min="3" max="3" width="44.7109375" style="21" customWidth="1"/>
    <col min="4" max="4" width="14.5703125" style="32" customWidth="1"/>
    <col min="5" max="5" width="12.140625" style="36" customWidth="1"/>
    <col min="6" max="6" width="19.28515625" style="33" customWidth="1"/>
    <col min="7" max="16384" width="9.140625" style="23"/>
  </cols>
  <sheetData>
    <row r="1" spans="2:7" ht="15.75" customHeight="1" x14ac:dyDescent="0.2">
      <c r="B1" s="20"/>
      <c r="C1" s="375" t="s">
        <v>306</v>
      </c>
      <c r="D1" s="375"/>
      <c r="E1" s="375"/>
      <c r="F1" s="375"/>
      <c r="G1" s="52"/>
    </row>
    <row r="2" spans="2:7" ht="16.149999999999999" customHeight="1" x14ac:dyDescent="0.2">
      <c r="B2" s="20"/>
      <c r="C2" s="291" t="s">
        <v>307</v>
      </c>
      <c r="D2" s="291"/>
      <c r="E2" s="291"/>
      <c r="F2" s="291"/>
      <c r="G2" s="53"/>
    </row>
    <row r="3" spans="2:7" ht="15.75" customHeight="1" x14ac:dyDescent="0.25">
      <c r="B3" s="20"/>
      <c r="C3" s="376" t="s">
        <v>308</v>
      </c>
      <c r="D3" s="376"/>
      <c r="E3" s="376"/>
      <c r="F3" s="376"/>
      <c r="G3" s="54"/>
    </row>
    <row r="4" spans="2:7" ht="16.149999999999999" customHeight="1" x14ac:dyDescent="0.25">
      <c r="B4" s="20"/>
      <c r="C4" s="291" t="s">
        <v>309</v>
      </c>
      <c r="D4" s="291"/>
      <c r="E4" s="291"/>
      <c r="F4" s="291"/>
      <c r="G4" s="54"/>
    </row>
    <row r="5" spans="2:7" ht="15.75" customHeight="1" x14ac:dyDescent="0.25">
      <c r="B5" s="20"/>
      <c r="C5" s="292" t="s">
        <v>311</v>
      </c>
      <c r="D5" s="292"/>
      <c r="E5" s="292"/>
      <c r="F5" s="292"/>
      <c r="G5" s="54"/>
    </row>
    <row r="6" spans="2:7" ht="15.75" customHeight="1" x14ac:dyDescent="0.25">
      <c r="B6" s="20"/>
      <c r="D6" s="22"/>
      <c r="E6" s="22"/>
      <c r="F6" s="51"/>
    </row>
    <row r="7" spans="2:7" ht="34.15" customHeight="1" x14ac:dyDescent="0.2">
      <c r="B7" s="364" t="s">
        <v>296</v>
      </c>
      <c r="C7" s="364"/>
      <c r="D7" s="364"/>
      <c r="E7" s="364"/>
      <c r="F7" s="364"/>
    </row>
    <row r="8" spans="2:7" ht="60" customHeight="1" x14ac:dyDescent="0.2">
      <c r="B8" s="63" t="s">
        <v>0</v>
      </c>
      <c r="C8" s="63" t="s">
        <v>1</v>
      </c>
      <c r="D8" s="63" t="s">
        <v>2</v>
      </c>
      <c r="E8" s="64" t="s">
        <v>3</v>
      </c>
      <c r="F8" s="65" t="s">
        <v>4</v>
      </c>
    </row>
    <row r="9" spans="2:7" ht="15" customHeight="1" x14ac:dyDescent="0.2">
      <c r="B9" s="66">
        <v>1</v>
      </c>
      <c r="C9" s="66">
        <v>2</v>
      </c>
      <c r="D9" s="66">
        <v>3</v>
      </c>
      <c r="E9" s="66">
        <v>4</v>
      </c>
      <c r="F9" s="66">
        <v>5</v>
      </c>
    </row>
    <row r="10" spans="2:7" ht="28.5" customHeight="1" x14ac:dyDescent="0.2">
      <c r="B10" s="67" t="s">
        <v>5</v>
      </c>
      <c r="C10" s="68" t="s">
        <v>6</v>
      </c>
      <c r="D10" s="68"/>
      <c r="E10" s="69"/>
      <c r="F10" s="68"/>
    </row>
    <row r="11" spans="2:7" ht="30" customHeight="1" x14ac:dyDescent="0.2">
      <c r="B11" s="70" t="s">
        <v>7</v>
      </c>
      <c r="C11" s="70" t="s">
        <v>8</v>
      </c>
      <c r="D11" s="71"/>
      <c r="E11" s="72"/>
      <c r="F11" s="73"/>
    </row>
    <row r="12" spans="2:7" ht="29.25" customHeight="1" x14ac:dyDescent="0.2">
      <c r="B12" s="299" t="s">
        <v>9</v>
      </c>
      <c r="C12" s="48" t="s">
        <v>10</v>
      </c>
      <c r="D12" s="318" t="s">
        <v>11</v>
      </c>
      <c r="E12" s="74"/>
      <c r="F12" s="75" t="s">
        <v>12</v>
      </c>
    </row>
    <row r="13" spans="2:7" ht="28.15" customHeight="1" x14ac:dyDescent="0.2">
      <c r="B13" s="300"/>
      <c r="C13" s="45" t="s">
        <v>13</v>
      </c>
      <c r="D13" s="319"/>
      <c r="E13" s="78">
        <f>36056.5-1070.3-935.1+35.7+64.2</f>
        <v>34150.999999999993</v>
      </c>
      <c r="F13" s="76"/>
    </row>
    <row r="14" spans="2:7" ht="18" customHeight="1" x14ac:dyDescent="0.2">
      <c r="B14" s="300"/>
      <c r="C14" s="45" t="s">
        <v>14</v>
      </c>
      <c r="D14" s="319"/>
      <c r="E14" s="78">
        <f>21318.7+73+669.2+33.4+130.1</f>
        <v>22224.400000000001</v>
      </c>
      <c r="F14" s="77"/>
    </row>
    <row r="15" spans="2:7" ht="17.25" customHeight="1" x14ac:dyDescent="0.2">
      <c r="B15" s="300"/>
      <c r="C15" s="45" t="s">
        <v>15</v>
      </c>
      <c r="D15" s="319"/>
      <c r="E15" s="78">
        <v>5312.1</v>
      </c>
      <c r="F15" s="77"/>
    </row>
    <row r="16" spans="2:7" ht="17.25" customHeight="1" x14ac:dyDescent="0.2">
      <c r="B16" s="302"/>
      <c r="C16" s="45" t="s">
        <v>16</v>
      </c>
      <c r="D16" s="319"/>
      <c r="E16" s="78">
        <v>405.8</v>
      </c>
      <c r="F16" s="77"/>
    </row>
    <row r="17" spans="2:6" ht="28.5" customHeight="1" x14ac:dyDescent="0.2">
      <c r="B17" s="299" t="s">
        <v>17</v>
      </c>
      <c r="C17" s="48" t="s">
        <v>18</v>
      </c>
      <c r="D17" s="319"/>
      <c r="E17" s="77"/>
      <c r="F17" s="78" t="s">
        <v>12</v>
      </c>
    </row>
    <row r="18" spans="2:6" ht="17.45" customHeight="1" x14ac:dyDescent="0.2">
      <c r="B18" s="302"/>
      <c r="C18" s="45" t="s">
        <v>14</v>
      </c>
      <c r="D18" s="319"/>
      <c r="E18" s="78">
        <f>1223.2+19.4</f>
        <v>1242.6000000000001</v>
      </c>
      <c r="F18" s="77"/>
    </row>
    <row r="19" spans="2:6" ht="18" customHeight="1" x14ac:dyDescent="0.2">
      <c r="B19" s="299" t="s">
        <v>19</v>
      </c>
      <c r="C19" s="48" t="s">
        <v>20</v>
      </c>
      <c r="D19" s="319"/>
      <c r="E19" s="77"/>
      <c r="F19" s="77"/>
    </row>
    <row r="20" spans="2:6" ht="28.15" customHeight="1" x14ac:dyDescent="0.2">
      <c r="B20" s="302"/>
      <c r="C20" s="45" t="s">
        <v>13</v>
      </c>
      <c r="D20" s="319"/>
      <c r="E20" s="78">
        <f>401+62.2</f>
        <v>463.2</v>
      </c>
      <c r="F20" s="77"/>
    </row>
    <row r="21" spans="2:6" ht="42.6" customHeight="1" x14ac:dyDescent="0.2">
      <c r="B21" s="299" t="s">
        <v>21</v>
      </c>
      <c r="C21" s="79" t="s">
        <v>22</v>
      </c>
      <c r="D21" s="319"/>
      <c r="E21" s="77"/>
      <c r="F21" s="77"/>
    </row>
    <row r="22" spans="2:6" ht="32.25" customHeight="1" x14ac:dyDescent="0.2">
      <c r="B22" s="300"/>
      <c r="C22" s="45" t="s">
        <v>13</v>
      </c>
      <c r="D22" s="80"/>
      <c r="E22" s="78">
        <f>2481.8-4.5+24.6</f>
        <v>2501.9</v>
      </c>
      <c r="F22" s="77"/>
    </row>
    <row r="23" spans="2:6" ht="18" customHeight="1" x14ac:dyDescent="0.2">
      <c r="B23" s="300"/>
      <c r="C23" s="45" t="s">
        <v>14</v>
      </c>
      <c r="D23" s="80"/>
      <c r="E23" s="238">
        <f>3574.2+44.1+2.1</f>
        <v>3620.3999999999996</v>
      </c>
      <c r="F23" s="77"/>
    </row>
    <row r="24" spans="2:6" ht="16.899999999999999" customHeight="1" x14ac:dyDescent="0.2">
      <c r="B24" s="300"/>
      <c r="C24" s="45" t="s">
        <v>15</v>
      </c>
      <c r="D24" s="80"/>
      <c r="E24" s="238">
        <v>563.29999999999995</v>
      </c>
      <c r="F24" s="77"/>
    </row>
    <row r="25" spans="2:6" ht="18" customHeight="1" x14ac:dyDescent="0.2">
      <c r="B25" s="302"/>
      <c r="C25" s="45" t="s">
        <v>16</v>
      </c>
      <c r="D25" s="80"/>
      <c r="E25" s="78">
        <v>39.1</v>
      </c>
      <c r="F25" s="77"/>
    </row>
    <row r="26" spans="2:6" ht="30.75" customHeight="1" x14ac:dyDescent="0.2">
      <c r="B26" s="299" t="s">
        <v>23</v>
      </c>
      <c r="C26" s="81" t="s">
        <v>24</v>
      </c>
      <c r="D26" s="80"/>
      <c r="E26" s="77"/>
      <c r="F26" s="77"/>
    </row>
    <row r="27" spans="2:6" ht="18" customHeight="1" x14ac:dyDescent="0.2">
      <c r="B27" s="302"/>
      <c r="C27" s="45" t="s">
        <v>14</v>
      </c>
      <c r="D27" s="80"/>
      <c r="E27" s="78">
        <f>654.7+4.6</f>
        <v>659.30000000000007</v>
      </c>
      <c r="F27" s="77"/>
    </row>
    <row r="28" spans="2:6" ht="31.5" customHeight="1" x14ac:dyDescent="0.2">
      <c r="B28" s="299" t="s">
        <v>25</v>
      </c>
      <c r="C28" s="48" t="s">
        <v>26</v>
      </c>
      <c r="D28" s="80"/>
      <c r="E28" s="78"/>
      <c r="F28" s="77"/>
    </row>
    <row r="29" spans="2:6" ht="31.5" customHeight="1" x14ac:dyDescent="0.2">
      <c r="B29" s="300"/>
      <c r="C29" s="45" t="s">
        <v>13</v>
      </c>
      <c r="D29" s="80"/>
      <c r="E29" s="78">
        <f>16609-3.2+157.3+18</f>
        <v>16781.099999999999</v>
      </c>
      <c r="F29" s="77"/>
    </row>
    <row r="30" spans="2:6" ht="19.149999999999999" customHeight="1" x14ac:dyDescent="0.2">
      <c r="B30" s="300"/>
      <c r="C30" s="82" t="s">
        <v>14</v>
      </c>
      <c r="D30" s="80"/>
      <c r="E30" s="78">
        <f>66794.6+2278.9+2553.5-132.2</f>
        <v>71494.8</v>
      </c>
      <c r="F30" s="77"/>
    </row>
    <row r="31" spans="2:6" ht="20.45" customHeight="1" x14ac:dyDescent="0.2">
      <c r="B31" s="300"/>
      <c r="C31" s="82" t="s">
        <v>15</v>
      </c>
      <c r="D31" s="80"/>
      <c r="E31" s="78">
        <v>1556.7</v>
      </c>
      <c r="F31" s="83"/>
    </row>
    <row r="32" spans="2:6" ht="18" customHeight="1" x14ac:dyDescent="0.2">
      <c r="B32" s="302"/>
      <c r="C32" s="82" t="s">
        <v>16</v>
      </c>
      <c r="D32" s="80"/>
      <c r="E32" s="78">
        <v>212.2</v>
      </c>
      <c r="F32" s="83"/>
    </row>
    <row r="33" spans="2:8" ht="30.75" customHeight="1" x14ac:dyDescent="0.2">
      <c r="B33" s="310" t="s">
        <v>27</v>
      </c>
      <c r="C33" s="46" t="s">
        <v>285</v>
      </c>
      <c r="D33" s="80"/>
      <c r="E33" s="78"/>
      <c r="F33" s="83"/>
    </row>
    <row r="34" spans="2:8" ht="25.5" x14ac:dyDescent="0.2">
      <c r="B34" s="331"/>
      <c r="C34" s="45" t="s">
        <v>13</v>
      </c>
      <c r="D34" s="80"/>
      <c r="E34" s="78">
        <v>5.6</v>
      </c>
      <c r="F34" s="83"/>
    </row>
    <row r="35" spans="2:8" ht="55.5" customHeight="1" x14ac:dyDescent="0.2">
      <c r="B35" s="310" t="s">
        <v>28</v>
      </c>
      <c r="C35" s="47" t="s">
        <v>286</v>
      </c>
      <c r="D35" s="80"/>
      <c r="E35" s="78"/>
      <c r="F35" s="83"/>
    </row>
    <row r="36" spans="2:8" ht="28.5" customHeight="1" x14ac:dyDescent="0.2">
      <c r="B36" s="331"/>
      <c r="C36" s="45" t="s">
        <v>13</v>
      </c>
      <c r="D36" s="80"/>
      <c r="E36" s="78">
        <v>8.4</v>
      </c>
      <c r="F36" s="83"/>
    </row>
    <row r="37" spans="2:8" ht="33" customHeight="1" x14ac:dyDescent="0.2">
      <c r="B37" s="310" t="s">
        <v>29</v>
      </c>
      <c r="C37" s="47" t="s">
        <v>287</v>
      </c>
      <c r="D37" s="80"/>
      <c r="E37" s="78"/>
      <c r="F37" s="83"/>
    </row>
    <row r="38" spans="2:8" ht="28.5" customHeight="1" x14ac:dyDescent="0.2">
      <c r="B38" s="331"/>
      <c r="C38" s="45" t="s">
        <v>13</v>
      </c>
      <c r="D38" s="80"/>
      <c r="E38" s="78">
        <v>6.4</v>
      </c>
      <c r="F38" s="83"/>
    </row>
    <row r="39" spans="2:8" ht="32.450000000000003" customHeight="1" x14ac:dyDescent="0.2">
      <c r="B39" s="310" t="s">
        <v>30</v>
      </c>
      <c r="C39" s="47" t="s">
        <v>288</v>
      </c>
      <c r="D39" s="80"/>
      <c r="E39" s="78"/>
      <c r="F39" s="83"/>
    </row>
    <row r="40" spans="2:8" ht="25.5" x14ac:dyDescent="0.2">
      <c r="B40" s="331"/>
      <c r="C40" s="45" t="s">
        <v>13</v>
      </c>
      <c r="D40" s="80"/>
      <c r="E40" s="78">
        <f>3-0.7</f>
        <v>2.2999999999999998</v>
      </c>
      <c r="F40" s="83"/>
      <c r="G40" s="24"/>
      <c r="H40" s="24"/>
    </row>
    <row r="41" spans="2:8" ht="33" customHeight="1" x14ac:dyDescent="0.2">
      <c r="B41" s="310" t="s">
        <v>31</v>
      </c>
      <c r="C41" s="81" t="s">
        <v>32</v>
      </c>
      <c r="D41" s="365" t="s">
        <v>11</v>
      </c>
      <c r="E41" s="39"/>
      <c r="F41" s="39"/>
      <c r="G41" s="24"/>
      <c r="H41" s="24"/>
    </row>
    <row r="42" spans="2:8" ht="18" customHeight="1" x14ac:dyDescent="0.2">
      <c r="B42" s="331"/>
      <c r="C42" s="45" t="s">
        <v>14</v>
      </c>
      <c r="D42" s="307"/>
      <c r="E42" s="40">
        <f>1038.4-1038.4</f>
        <v>0</v>
      </c>
      <c r="F42" s="39"/>
      <c r="G42" s="37"/>
      <c r="H42" s="37"/>
    </row>
    <row r="43" spans="2:8" ht="29.25" customHeight="1" x14ac:dyDescent="0.2">
      <c r="B43" s="331"/>
      <c r="C43" s="45" t="s">
        <v>33</v>
      </c>
      <c r="D43" s="307"/>
      <c r="E43" s="40">
        <f>5437.8-0.1-1207.5+1038.4+233.8</f>
        <v>5502.4000000000005</v>
      </c>
      <c r="F43" s="39"/>
      <c r="G43" s="38"/>
      <c r="H43" s="38"/>
    </row>
    <row r="44" spans="2:8" ht="29.25" customHeight="1" x14ac:dyDescent="0.2">
      <c r="B44" s="331"/>
      <c r="C44" s="45" t="s">
        <v>13</v>
      </c>
      <c r="D44" s="307"/>
      <c r="E44" s="40">
        <f>39.8+13.3+2.3</f>
        <v>55.399999999999991</v>
      </c>
      <c r="F44" s="39"/>
      <c r="G44" s="38"/>
      <c r="H44" s="38"/>
    </row>
    <row r="45" spans="2:8" ht="20.25" customHeight="1" x14ac:dyDescent="0.2">
      <c r="B45" s="331"/>
      <c r="C45" s="84" t="s">
        <v>16</v>
      </c>
      <c r="D45" s="321"/>
      <c r="E45" s="40">
        <v>1207.5</v>
      </c>
      <c r="F45" s="39"/>
      <c r="G45" s="24"/>
      <c r="H45" s="24"/>
    </row>
    <row r="46" spans="2:8" ht="18.600000000000001" customHeight="1" x14ac:dyDescent="0.2">
      <c r="B46" s="331"/>
      <c r="C46" s="45" t="s">
        <v>14</v>
      </c>
      <c r="D46" s="306" t="s">
        <v>34</v>
      </c>
      <c r="E46" s="40">
        <f>436.6-436.6</f>
        <v>0</v>
      </c>
      <c r="F46" s="39"/>
    </row>
    <row r="47" spans="2:8" ht="26.45" customHeight="1" x14ac:dyDescent="0.2">
      <c r="B47" s="331"/>
      <c r="C47" s="45" t="s">
        <v>33</v>
      </c>
      <c r="D47" s="307"/>
      <c r="E47" s="40">
        <f>2078.6-195+436.6-233.8</f>
        <v>2086.3999999999996</v>
      </c>
      <c r="F47" s="39"/>
    </row>
    <row r="48" spans="2:8" ht="26.45" customHeight="1" x14ac:dyDescent="0.2">
      <c r="B48" s="331"/>
      <c r="C48" s="45" t="s">
        <v>13</v>
      </c>
      <c r="D48" s="307"/>
      <c r="E48" s="40">
        <f>300-39.8-47-13.3-2.3</f>
        <v>197.59999999999997</v>
      </c>
      <c r="F48" s="39"/>
    </row>
    <row r="49" spans="2:6" ht="22.5" customHeight="1" x14ac:dyDescent="0.2">
      <c r="B49" s="331"/>
      <c r="C49" s="84" t="s">
        <v>16</v>
      </c>
      <c r="D49" s="60"/>
      <c r="E49" s="40">
        <v>195</v>
      </c>
      <c r="F49" s="39"/>
    </row>
    <row r="50" spans="2:6" ht="31.5" customHeight="1" x14ac:dyDescent="0.2">
      <c r="B50" s="331"/>
      <c r="C50" s="45" t="s">
        <v>33</v>
      </c>
      <c r="D50" s="365" t="s">
        <v>35</v>
      </c>
      <c r="E50" s="40">
        <f>156.2-5</f>
        <v>151.19999999999999</v>
      </c>
      <c r="F50" s="39"/>
    </row>
    <row r="51" spans="2:6" ht="28.15" customHeight="1" x14ac:dyDescent="0.2">
      <c r="B51" s="311"/>
      <c r="C51" s="45" t="s">
        <v>16</v>
      </c>
      <c r="D51" s="321"/>
      <c r="E51" s="40">
        <v>5</v>
      </c>
      <c r="F51" s="39"/>
    </row>
    <row r="52" spans="2:6" ht="30" customHeight="1" x14ac:dyDescent="0.2">
      <c r="B52" s="299" t="s">
        <v>36</v>
      </c>
      <c r="C52" s="48" t="s">
        <v>37</v>
      </c>
      <c r="D52" s="306" t="s">
        <v>11</v>
      </c>
      <c r="E52" s="39"/>
      <c r="F52" s="40"/>
    </row>
    <row r="53" spans="2:6" ht="27" customHeight="1" x14ac:dyDescent="0.2">
      <c r="B53" s="302"/>
      <c r="C53" s="45" t="s">
        <v>14</v>
      </c>
      <c r="D53" s="321"/>
      <c r="E53" s="40">
        <f>5747+450.6</f>
        <v>6197.6</v>
      </c>
      <c r="F53" s="39"/>
    </row>
    <row r="54" spans="2:6" ht="42" customHeight="1" x14ac:dyDescent="0.2">
      <c r="B54" s="299" t="s">
        <v>38</v>
      </c>
      <c r="C54" s="48" t="s">
        <v>39</v>
      </c>
      <c r="D54" s="306" t="s">
        <v>40</v>
      </c>
      <c r="E54" s="40"/>
      <c r="F54" s="39"/>
    </row>
    <row r="55" spans="2:6" ht="29.45" customHeight="1" x14ac:dyDescent="0.2">
      <c r="B55" s="302"/>
      <c r="C55" s="45" t="s">
        <v>13</v>
      </c>
      <c r="D55" s="321"/>
      <c r="E55" s="40">
        <f>130.2-0.5-35</f>
        <v>94.699999999999989</v>
      </c>
      <c r="F55" s="39"/>
    </row>
    <row r="56" spans="2:6" ht="44.45" customHeight="1" x14ac:dyDescent="0.2">
      <c r="B56" s="299" t="s">
        <v>41</v>
      </c>
      <c r="C56" s="48" t="s">
        <v>42</v>
      </c>
      <c r="D56" s="366" t="s">
        <v>40</v>
      </c>
      <c r="E56" s="40"/>
      <c r="F56" s="83"/>
    </row>
    <row r="57" spans="2:6" ht="32.25" customHeight="1" x14ac:dyDescent="0.2">
      <c r="B57" s="300"/>
      <c r="C57" s="45" t="s">
        <v>13</v>
      </c>
      <c r="D57" s="367"/>
      <c r="E57" s="239">
        <v>13.3</v>
      </c>
      <c r="F57" s="85"/>
    </row>
    <row r="58" spans="2:6" ht="32.25" customHeight="1" x14ac:dyDescent="0.2">
      <c r="B58" s="294" t="s">
        <v>43</v>
      </c>
      <c r="C58" s="86" t="s">
        <v>44</v>
      </c>
      <c r="D58" s="367"/>
      <c r="E58" s="240"/>
      <c r="F58" s="87"/>
    </row>
    <row r="59" spans="2:6" ht="27.75" customHeight="1" x14ac:dyDescent="0.2">
      <c r="B59" s="295"/>
      <c r="C59" s="45" t="s">
        <v>13</v>
      </c>
      <c r="D59" s="367"/>
      <c r="E59" s="241">
        <f>11709.9+308.7-82.9-553.9+84.6</f>
        <v>11466.400000000001</v>
      </c>
      <c r="F59" s="88"/>
    </row>
    <row r="60" spans="2:6" ht="18.600000000000001" customHeight="1" x14ac:dyDescent="0.2">
      <c r="B60" s="295"/>
      <c r="C60" s="89" t="s">
        <v>14</v>
      </c>
      <c r="D60" s="367"/>
      <c r="E60" s="242">
        <f>160.2+15.5</f>
        <v>175.7</v>
      </c>
      <c r="F60" s="88"/>
    </row>
    <row r="61" spans="2:6" ht="19.149999999999999" customHeight="1" x14ac:dyDescent="0.2">
      <c r="B61" s="295"/>
      <c r="C61" s="89" t="s">
        <v>15</v>
      </c>
      <c r="D61" s="367"/>
      <c r="E61" s="243">
        <v>522.29999999999995</v>
      </c>
      <c r="F61" s="90"/>
    </row>
    <row r="62" spans="2:6" ht="18" customHeight="1" x14ac:dyDescent="0.2">
      <c r="B62" s="301"/>
      <c r="C62" s="89" t="s">
        <v>16</v>
      </c>
      <c r="D62" s="367"/>
      <c r="E62" s="40">
        <v>27.2</v>
      </c>
      <c r="F62" s="77"/>
    </row>
    <row r="63" spans="2:6" ht="30.75" customHeight="1" x14ac:dyDescent="0.2">
      <c r="B63" s="299" t="s">
        <v>45</v>
      </c>
      <c r="C63" s="48" t="s">
        <v>46</v>
      </c>
      <c r="D63" s="367"/>
      <c r="E63" s="39"/>
      <c r="F63" s="91" t="s">
        <v>47</v>
      </c>
    </row>
    <row r="64" spans="2:6" ht="30.75" customHeight="1" x14ac:dyDescent="0.2">
      <c r="B64" s="300"/>
      <c r="C64" s="45" t="s">
        <v>13</v>
      </c>
      <c r="D64" s="367"/>
      <c r="E64" s="40">
        <f>662+9.4-35.6-0.3</f>
        <v>635.5</v>
      </c>
      <c r="F64" s="77"/>
    </row>
    <row r="65" spans="2:6" ht="18" customHeight="1" x14ac:dyDescent="0.2">
      <c r="B65" s="300"/>
      <c r="C65" s="82" t="s">
        <v>14</v>
      </c>
      <c r="D65" s="367"/>
      <c r="E65" s="243">
        <v>1221.8</v>
      </c>
      <c r="F65" s="77"/>
    </row>
    <row r="66" spans="2:6" ht="18" customHeight="1" x14ac:dyDescent="0.2">
      <c r="B66" s="300"/>
      <c r="C66" s="82" t="s">
        <v>15</v>
      </c>
      <c r="D66" s="367"/>
      <c r="E66" s="243">
        <v>22</v>
      </c>
      <c r="F66" s="77"/>
    </row>
    <row r="67" spans="2:6" ht="18" customHeight="1" x14ac:dyDescent="0.2">
      <c r="B67" s="302"/>
      <c r="C67" s="82" t="s">
        <v>16</v>
      </c>
      <c r="D67" s="367"/>
      <c r="E67" s="40">
        <v>4.7</v>
      </c>
      <c r="F67" s="77"/>
    </row>
    <row r="68" spans="2:6" ht="42.6" customHeight="1" x14ac:dyDescent="0.2">
      <c r="B68" s="299" t="s">
        <v>48</v>
      </c>
      <c r="C68" s="79" t="s">
        <v>49</v>
      </c>
      <c r="D68" s="367"/>
      <c r="E68" s="39"/>
      <c r="F68" s="77"/>
    </row>
    <row r="69" spans="2:6" s="21" customFormat="1" ht="29.25" customHeight="1" x14ac:dyDescent="0.25">
      <c r="B69" s="300"/>
      <c r="C69" s="45" t="s">
        <v>13</v>
      </c>
      <c r="D69" s="367"/>
      <c r="E69" s="40">
        <v>97</v>
      </c>
      <c r="F69" s="77"/>
    </row>
    <row r="70" spans="2:6" ht="32.450000000000003" customHeight="1" x14ac:dyDescent="0.2">
      <c r="B70" s="299" t="s">
        <v>50</v>
      </c>
      <c r="C70" s="48" t="s">
        <v>51</v>
      </c>
      <c r="D70" s="367"/>
      <c r="E70" s="39"/>
      <c r="F70" s="78"/>
    </row>
    <row r="71" spans="2:6" ht="29.25" customHeight="1" x14ac:dyDescent="0.2">
      <c r="B71" s="300"/>
      <c r="C71" s="45" t="s">
        <v>13</v>
      </c>
      <c r="D71" s="367"/>
      <c r="E71" s="40">
        <f>949.9+0.5-27.7</f>
        <v>922.69999999999993</v>
      </c>
      <c r="F71" s="77"/>
    </row>
    <row r="72" spans="2:6" ht="19.5" customHeight="1" x14ac:dyDescent="0.2">
      <c r="B72" s="300"/>
      <c r="C72" s="45" t="s">
        <v>14</v>
      </c>
      <c r="D72" s="367"/>
      <c r="E72" s="243">
        <f>431+3.2+2.2</f>
        <v>436.4</v>
      </c>
      <c r="F72" s="77"/>
    </row>
    <row r="73" spans="2:6" ht="16.899999999999999" customHeight="1" x14ac:dyDescent="0.2">
      <c r="B73" s="300"/>
      <c r="C73" s="45" t="s">
        <v>15</v>
      </c>
      <c r="D73" s="367"/>
      <c r="E73" s="243">
        <v>57.9</v>
      </c>
      <c r="F73" s="77"/>
    </row>
    <row r="74" spans="2:6" ht="18" customHeight="1" x14ac:dyDescent="0.2">
      <c r="B74" s="302"/>
      <c r="C74" s="45" t="s">
        <v>16</v>
      </c>
      <c r="D74" s="367"/>
      <c r="E74" s="40">
        <v>0.3</v>
      </c>
      <c r="F74" s="77"/>
    </row>
    <row r="75" spans="2:6" ht="28.5" customHeight="1" x14ac:dyDescent="0.2">
      <c r="B75" s="299" t="s">
        <v>52</v>
      </c>
      <c r="C75" s="48" t="s">
        <v>53</v>
      </c>
      <c r="D75" s="367"/>
      <c r="E75" s="39"/>
      <c r="F75" s="78" t="s">
        <v>54</v>
      </c>
    </row>
    <row r="76" spans="2:6" ht="28.5" customHeight="1" x14ac:dyDescent="0.2">
      <c r="B76" s="300"/>
      <c r="C76" s="45" t="s">
        <v>13</v>
      </c>
      <c r="D76" s="367"/>
      <c r="E76" s="40">
        <f>546.8+2.5</f>
        <v>549.29999999999995</v>
      </c>
      <c r="F76" s="77"/>
    </row>
    <row r="77" spans="2:6" ht="18" customHeight="1" x14ac:dyDescent="0.2">
      <c r="B77" s="300"/>
      <c r="C77" s="45" t="s">
        <v>15</v>
      </c>
      <c r="D77" s="367"/>
      <c r="E77" s="243">
        <v>35</v>
      </c>
      <c r="F77" s="77"/>
    </row>
    <row r="78" spans="2:6" ht="17.45" customHeight="1" x14ac:dyDescent="0.2">
      <c r="B78" s="302"/>
      <c r="C78" s="45" t="s">
        <v>16</v>
      </c>
      <c r="D78" s="368"/>
      <c r="E78" s="40">
        <v>1.2</v>
      </c>
      <c r="F78" s="77"/>
    </row>
    <row r="79" spans="2:6" ht="40.5" customHeight="1" x14ac:dyDescent="0.2">
      <c r="B79" s="299" t="s">
        <v>55</v>
      </c>
      <c r="C79" s="48" t="s">
        <v>56</v>
      </c>
      <c r="D79" s="297" t="s">
        <v>40</v>
      </c>
      <c r="E79" s="40"/>
      <c r="F79" s="92" t="s">
        <v>57</v>
      </c>
    </row>
    <row r="80" spans="2:6" ht="28.5" customHeight="1" x14ac:dyDescent="0.2">
      <c r="B80" s="302"/>
      <c r="C80" s="45" t="s">
        <v>13</v>
      </c>
      <c r="D80" s="298"/>
      <c r="E80" s="40">
        <f>3-3</f>
        <v>0</v>
      </c>
      <c r="F80" s="83"/>
    </row>
    <row r="81" spans="2:6" ht="30.75" customHeight="1" x14ac:dyDescent="0.2">
      <c r="B81" s="299" t="s">
        <v>58</v>
      </c>
      <c r="C81" s="93" t="s">
        <v>59</v>
      </c>
      <c r="D81" s="297" t="s">
        <v>11</v>
      </c>
      <c r="E81" s="40"/>
      <c r="F81" s="75"/>
    </row>
    <row r="82" spans="2:6" ht="28.5" customHeight="1" x14ac:dyDescent="0.2">
      <c r="B82" s="302"/>
      <c r="C82" s="45" t="s">
        <v>13</v>
      </c>
      <c r="D82" s="303"/>
      <c r="E82" s="40">
        <v>116.2</v>
      </c>
      <c r="F82" s="83"/>
    </row>
    <row r="83" spans="2:6" ht="31.15" customHeight="1" x14ac:dyDescent="0.2">
      <c r="B83" s="299" t="s">
        <v>60</v>
      </c>
      <c r="C83" s="79" t="s">
        <v>310</v>
      </c>
      <c r="D83" s="303"/>
      <c r="E83" s="40"/>
      <c r="F83" s="83"/>
    </row>
    <row r="84" spans="2:6" ht="28.5" customHeight="1" x14ac:dyDescent="0.2">
      <c r="B84" s="302"/>
      <c r="C84" s="45" t="s">
        <v>13</v>
      </c>
      <c r="D84" s="303"/>
      <c r="E84" s="40">
        <f>166+15.4</f>
        <v>181.4</v>
      </c>
      <c r="F84" s="83"/>
    </row>
    <row r="85" spans="2:6" ht="41.25" customHeight="1" x14ac:dyDescent="0.2">
      <c r="B85" s="299" t="s">
        <v>61</v>
      </c>
      <c r="C85" s="48" t="s">
        <v>62</v>
      </c>
      <c r="D85" s="303"/>
      <c r="E85" s="40"/>
      <c r="F85" s="92" t="s">
        <v>63</v>
      </c>
    </row>
    <row r="86" spans="2:6" ht="31.5" customHeight="1" x14ac:dyDescent="0.2">
      <c r="B86" s="302"/>
      <c r="C86" s="45" t="s">
        <v>13</v>
      </c>
      <c r="D86" s="298"/>
      <c r="E86" s="40">
        <v>337</v>
      </c>
      <c r="F86" s="83"/>
    </row>
    <row r="87" spans="2:6" ht="31.5" customHeight="1" x14ac:dyDescent="0.2">
      <c r="B87" s="299" t="s">
        <v>64</v>
      </c>
      <c r="C87" s="48" t="s">
        <v>65</v>
      </c>
      <c r="D87" s="61" t="s">
        <v>40</v>
      </c>
      <c r="E87" s="40"/>
      <c r="F87" s="83"/>
    </row>
    <row r="88" spans="2:6" ht="31.5" customHeight="1" x14ac:dyDescent="0.2">
      <c r="B88" s="300"/>
      <c r="C88" s="45" t="s">
        <v>13</v>
      </c>
      <c r="D88" s="80"/>
      <c r="E88" s="40">
        <f>471.3-59.3+57.6</f>
        <v>469.6</v>
      </c>
      <c r="F88" s="77"/>
    </row>
    <row r="89" spans="2:6" ht="18" customHeight="1" x14ac:dyDescent="0.2">
      <c r="B89" s="300"/>
      <c r="C89" s="45" t="s">
        <v>16</v>
      </c>
      <c r="D89" s="80"/>
      <c r="E89" s="244"/>
      <c r="F89" s="83"/>
    </row>
    <row r="90" spans="2:6" ht="18" customHeight="1" x14ac:dyDescent="0.2">
      <c r="B90" s="300"/>
      <c r="C90" s="45" t="s">
        <v>14</v>
      </c>
      <c r="D90" s="80"/>
      <c r="E90" s="40">
        <v>295.39999999999998</v>
      </c>
      <c r="F90" s="83"/>
    </row>
    <row r="91" spans="2:6" ht="54" customHeight="1" x14ac:dyDescent="0.2">
      <c r="B91" s="296" t="s">
        <v>66</v>
      </c>
      <c r="C91" s="94" t="s">
        <v>67</v>
      </c>
      <c r="D91" s="80"/>
      <c r="E91" s="40"/>
      <c r="F91" s="83"/>
    </row>
    <row r="92" spans="2:6" ht="29.25" customHeight="1" x14ac:dyDescent="0.2">
      <c r="B92" s="296"/>
      <c r="C92" s="89" t="s">
        <v>13</v>
      </c>
      <c r="D92" s="80"/>
      <c r="E92" s="40">
        <f>107.5+21.3-65.4-30</f>
        <v>33.400000000000006</v>
      </c>
      <c r="F92" s="83"/>
    </row>
    <row r="93" spans="2:6" ht="19.149999999999999" customHeight="1" x14ac:dyDescent="0.2">
      <c r="B93" s="296"/>
      <c r="C93" s="89" t="s">
        <v>14</v>
      </c>
      <c r="D93" s="80"/>
      <c r="E93" s="40"/>
      <c r="F93" s="83"/>
    </row>
    <row r="94" spans="2:6" ht="29.25" customHeight="1" x14ac:dyDescent="0.2">
      <c r="B94" s="301" t="s">
        <v>68</v>
      </c>
      <c r="C94" s="94" t="s">
        <v>69</v>
      </c>
      <c r="D94" s="80"/>
      <c r="E94" s="39"/>
      <c r="F94" s="75"/>
    </row>
    <row r="95" spans="2:6" ht="20.25" customHeight="1" x14ac:dyDescent="0.2">
      <c r="B95" s="296"/>
      <c r="C95" s="89" t="s">
        <v>14</v>
      </c>
      <c r="D95" s="95"/>
      <c r="E95" s="40">
        <v>137.1</v>
      </c>
      <c r="F95" s="83"/>
    </row>
    <row r="96" spans="2:6" ht="20.25" customHeight="1" x14ac:dyDescent="0.2">
      <c r="B96" s="300" t="s">
        <v>70</v>
      </c>
      <c r="C96" s="79" t="s">
        <v>71</v>
      </c>
      <c r="D96" s="297" t="s">
        <v>11</v>
      </c>
      <c r="E96" s="40"/>
      <c r="F96" s="83"/>
    </row>
    <row r="97" spans="1:6" ht="33" customHeight="1" x14ac:dyDescent="0.2">
      <c r="B97" s="302"/>
      <c r="C97" s="45" t="s">
        <v>13</v>
      </c>
      <c r="D97" s="303"/>
      <c r="E97" s="40">
        <f>588.9-64.2</f>
        <v>524.69999999999993</v>
      </c>
      <c r="F97" s="83"/>
    </row>
    <row r="98" spans="1:6" ht="45.75" customHeight="1" x14ac:dyDescent="0.2">
      <c r="B98" s="322" t="s">
        <v>72</v>
      </c>
      <c r="C98" s="48" t="s">
        <v>73</v>
      </c>
      <c r="D98" s="297" t="s">
        <v>40</v>
      </c>
      <c r="E98" s="245"/>
      <c r="F98" s="83"/>
    </row>
    <row r="99" spans="1:6" ht="27.75" customHeight="1" x14ac:dyDescent="0.2">
      <c r="B99" s="300"/>
      <c r="C99" s="45" t="s">
        <v>13</v>
      </c>
      <c r="D99" s="298"/>
      <c r="E99" s="40">
        <f>78+151.8</f>
        <v>229.8</v>
      </c>
      <c r="F99" s="83"/>
    </row>
    <row r="100" spans="1:6" ht="28.5" customHeight="1" x14ac:dyDescent="0.2">
      <c r="B100" s="294" t="s">
        <v>74</v>
      </c>
      <c r="C100" s="94" t="s">
        <v>75</v>
      </c>
      <c r="D100" s="318" t="s">
        <v>11</v>
      </c>
      <c r="E100" s="40"/>
      <c r="F100" s="78" t="s">
        <v>54</v>
      </c>
    </row>
    <row r="101" spans="1:6" ht="30.75" customHeight="1" x14ac:dyDescent="0.2">
      <c r="B101" s="295"/>
      <c r="C101" s="45" t="s">
        <v>13</v>
      </c>
      <c r="D101" s="319"/>
      <c r="E101" s="40">
        <f>282.2+62.6+22.2-32.8-1.2</f>
        <v>333</v>
      </c>
      <c r="F101" s="77"/>
    </row>
    <row r="102" spans="1:6" ht="19.149999999999999" customHeight="1" x14ac:dyDescent="0.2">
      <c r="B102" s="295"/>
      <c r="C102" s="89" t="s">
        <v>14</v>
      </c>
      <c r="D102" s="320"/>
      <c r="E102" s="40">
        <v>66.599999999999994</v>
      </c>
      <c r="F102" s="77"/>
    </row>
    <row r="103" spans="1:6" ht="30" customHeight="1" x14ac:dyDescent="0.2">
      <c r="B103" s="294" t="s">
        <v>76</v>
      </c>
      <c r="C103" s="94" t="s">
        <v>77</v>
      </c>
      <c r="D103" s="297" t="s">
        <v>78</v>
      </c>
      <c r="E103" s="246"/>
      <c r="F103" s="83"/>
    </row>
    <row r="104" spans="1:6" ht="30" customHeight="1" x14ac:dyDescent="0.2">
      <c r="B104" s="295"/>
      <c r="C104" s="45" t="s">
        <v>13</v>
      </c>
      <c r="D104" s="298"/>
      <c r="E104" s="40">
        <f>66-12</f>
        <v>54</v>
      </c>
      <c r="F104" s="83"/>
    </row>
    <row r="105" spans="1:6" ht="40.15" customHeight="1" x14ac:dyDescent="0.2">
      <c r="B105" s="296" t="s">
        <v>79</v>
      </c>
      <c r="C105" s="94" t="s">
        <v>80</v>
      </c>
      <c r="D105" s="297" t="s">
        <v>40</v>
      </c>
      <c r="E105" s="247"/>
      <c r="F105" s="75" t="s">
        <v>81</v>
      </c>
    </row>
    <row r="106" spans="1:6" ht="27.75" customHeight="1" x14ac:dyDescent="0.2">
      <c r="B106" s="296"/>
      <c r="C106" s="89" t="s">
        <v>13</v>
      </c>
      <c r="D106" s="303"/>
      <c r="E106" s="248">
        <f>70.6+193.4+0.5+1.5+1.2</f>
        <v>267.2</v>
      </c>
      <c r="F106" s="83"/>
    </row>
    <row r="107" spans="1:6" ht="27" customHeight="1" x14ac:dyDescent="0.2">
      <c r="A107" s="25"/>
      <c r="B107" s="296" t="s">
        <v>82</v>
      </c>
      <c r="C107" s="96" t="s">
        <v>83</v>
      </c>
      <c r="D107" s="306" t="s">
        <v>35</v>
      </c>
      <c r="E107" s="249"/>
      <c r="F107" s="97" t="s">
        <v>84</v>
      </c>
    </row>
    <row r="108" spans="1:6" ht="30" customHeight="1" x14ac:dyDescent="0.2">
      <c r="A108" s="25"/>
      <c r="B108" s="296"/>
      <c r="C108" s="98" t="s">
        <v>13</v>
      </c>
      <c r="D108" s="307"/>
      <c r="E108" s="250">
        <f>81-81</f>
        <v>0</v>
      </c>
      <c r="F108" s="97" t="s">
        <v>84</v>
      </c>
    </row>
    <row r="109" spans="1:6" ht="23.25" customHeight="1" x14ac:dyDescent="0.2">
      <c r="A109" s="25"/>
      <c r="B109" s="296"/>
      <c r="C109" s="99" t="s">
        <v>85</v>
      </c>
      <c r="D109" s="321"/>
      <c r="E109" s="251">
        <v>791.7</v>
      </c>
      <c r="F109" s="97" t="s">
        <v>84</v>
      </c>
    </row>
    <row r="110" spans="1:6" ht="42" customHeight="1" x14ac:dyDescent="0.2">
      <c r="A110" s="25"/>
      <c r="B110" s="294" t="s">
        <v>86</v>
      </c>
      <c r="C110" s="100" t="s">
        <v>87</v>
      </c>
      <c r="D110" s="372" t="s">
        <v>11</v>
      </c>
      <c r="E110" s="252"/>
      <c r="F110" s="97"/>
    </row>
    <row r="111" spans="1:6" ht="27.75" customHeight="1" x14ac:dyDescent="0.2">
      <c r="A111" s="25"/>
      <c r="B111" s="295"/>
      <c r="C111" s="101" t="s">
        <v>33</v>
      </c>
      <c r="D111" s="372"/>
      <c r="E111" s="253">
        <v>345.2</v>
      </c>
      <c r="F111" s="102"/>
    </row>
    <row r="112" spans="1:6" ht="27.75" customHeight="1" x14ac:dyDescent="0.2">
      <c r="A112" s="25"/>
      <c r="B112" s="310" t="s">
        <v>298</v>
      </c>
      <c r="C112" s="48" t="s">
        <v>299</v>
      </c>
      <c r="D112" s="373" t="s">
        <v>11</v>
      </c>
      <c r="E112" s="254"/>
      <c r="F112" s="103"/>
    </row>
    <row r="113" spans="1:6" ht="27.75" customHeight="1" x14ac:dyDescent="0.2">
      <c r="A113" s="25"/>
      <c r="B113" s="311"/>
      <c r="C113" s="82" t="s">
        <v>14</v>
      </c>
      <c r="D113" s="374"/>
      <c r="E113" s="78">
        <v>642.5</v>
      </c>
      <c r="F113" s="103"/>
    </row>
    <row r="114" spans="1:6" ht="46.5" customHeight="1" x14ac:dyDescent="0.2">
      <c r="A114" s="25"/>
      <c r="B114" s="310" t="s">
        <v>300</v>
      </c>
      <c r="C114" s="79" t="s">
        <v>301</v>
      </c>
      <c r="D114" s="373" t="s">
        <v>11</v>
      </c>
      <c r="E114" s="254"/>
      <c r="F114" s="103"/>
    </row>
    <row r="115" spans="1:6" ht="18.75" customHeight="1" x14ac:dyDescent="0.2">
      <c r="A115" s="25"/>
      <c r="B115" s="311"/>
      <c r="C115" s="82" t="s">
        <v>14</v>
      </c>
      <c r="D115" s="374"/>
      <c r="E115" s="78">
        <v>2406</v>
      </c>
      <c r="F115" s="103"/>
    </row>
    <row r="116" spans="1:6" ht="21.6" customHeight="1" x14ac:dyDescent="0.2">
      <c r="B116" s="104"/>
      <c r="C116" s="105" t="s">
        <v>88</v>
      </c>
      <c r="D116" s="106"/>
      <c r="E116" s="107">
        <f>SUM(E117:E122)</f>
        <v>199571.19999999998</v>
      </c>
      <c r="F116" s="107"/>
    </row>
    <row r="117" spans="1:6" ht="20.25" customHeight="1" x14ac:dyDescent="0.2">
      <c r="B117" s="369"/>
      <c r="C117" s="79" t="s">
        <v>89</v>
      </c>
      <c r="D117" s="108"/>
      <c r="E117" s="83"/>
      <c r="F117" s="83"/>
    </row>
    <row r="118" spans="1:6" ht="30" customHeight="1" x14ac:dyDescent="0.2">
      <c r="B118" s="370"/>
      <c r="C118" s="79" t="s">
        <v>90</v>
      </c>
      <c r="D118" s="108"/>
      <c r="E118" s="83">
        <f>SUMIF(C12:C115,$C13,E12:E115)</f>
        <v>70498.099999999977</v>
      </c>
      <c r="F118" s="83"/>
    </row>
    <row r="119" spans="1:6" ht="19.899999999999999" customHeight="1" x14ac:dyDescent="0.2">
      <c r="B119" s="370"/>
      <c r="C119" s="79" t="s">
        <v>91</v>
      </c>
      <c r="D119" s="108"/>
      <c r="E119" s="83">
        <f>SUMIF(C13:C115,C95,E13:E115)</f>
        <v>110820.6</v>
      </c>
      <c r="F119" s="83"/>
    </row>
    <row r="120" spans="1:6" ht="26.45" customHeight="1" x14ac:dyDescent="0.2">
      <c r="B120" s="370"/>
      <c r="C120" s="79" t="s">
        <v>92</v>
      </c>
      <c r="D120" s="108"/>
      <c r="E120" s="83">
        <f>SUMIF(C12:C115,C47,E12:E115)</f>
        <v>8085.2</v>
      </c>
      <c r="F120" s="83"/>
    </row>
    <row r="121" spans="1:6" ht="20.25" customHeight="1" x14ac:dyDescent="0.2">
      <c r="B121" s="370"/>
      <c r="C121" s="79" t="s">
        <v>93</v>
      </c>
      <c r="D121" s="108"/>
      <c r="E121" s="83">
        <f>SUMIF(C12:C115,C15,E12:E115)</f>
        <v>8069.3</v>
      </c>
      <c r="F121" s="83"/>
    </row>
    <row r="122" spans="1:6" ht="20.25" customHeight="1" x14ac:dyDescent="0.2">
      <c r="B122" s="371"/>
      <c r="C122" s="79" t="s">
        <v>94</v>
      </c>
      <c r="D122" s="108"/>
      <c r="E122" s="83">
        <f>SUMIF(C12:C115,C16,E12:E115)</f>
        <v>2097.9999999999995</v>
      </c>
      <c r="F122" s="83"/>
    </row>
    <row r="123" spans="1:6" ht="18.75" customHeight="1" x14ac:dyDescent="0.2">
      <c r="B123" s="109"/>
      <c r="C123" s="105" t="s">
        <v>95</v>
      </c>
      <c r="D123" s="106"/>
      <c r="E123" s="107">
        <f t="shared" ref="E123" si="0">E126</f>
        <v>791.7</v>
      </c>
      <c r="F123" s="107"/>
    </row>
    <row r="124" spans="1:6" ht="18.75" customHeight="1" x14ac:dyDescent="0.2">
      <c r="B124" s="369"/>
      <c r="C124" s="79" t="s">
        <v>96</v>
      </c>
      <c r="D124" s="108"/>
      <c r="E124" s="83"/>
      <c r="F124" s="83"/>
    </row>
    <row r="125" spans="1:6" ht="20.25" customHeight="1" x14ac:dyDescent="0.2">
      <c r="B125" s="370"/>
      <c r="C125" s="79" t="s">
        <v>97</v>
      </c>
      <c r="D125" s="108"/>
      <c r="E125" s="83" cm="1">
        <f t="array" ref="E125">SUMIF(C12:C115,C00,E12:E115)</f>
        <v>0</v>
      </c>
      <c r="F125" s="83"/>
    </row>
    <row r="126" spans="1:6" ht="20.25" customHeight="1" x14ac:dyDescent="0.2">
      <c r="B126" s="371"/>
      <c r="C126" s="79" t="s">
        <v>98</v>
      </c>
      <c r="D126" s="108"/>
      <c r="E126" s="83">
        <f>SUMIF(C12:C115,C109,E12:E115)</f>
        <v>791.7</v>
      </c>
      <c r="F126" s="83"/>
    </row>
    <row r="127" spans="1:6" ht="33.6" customHeight="1" x14ac:dyDescent="0.2">
      <c r="B127" s="110" t="s">
        <v>99</v>
      </c>
      <c r="C127" s="70" t="s">
        <v>100</v>
      </c>
      <c r="D127" s="71"/>
      <c r="E127" s="255"/>
      <c r="F127" s="73"/>
    </row>
    <row r="128" spans="1:6" ht="22.15" customHeight="1" x14ac:dyDescent="0.2">
      <c r="B128" s="111" t="s">
        <v>101</v>
      </c>
      <c r="C128" s="48" t="s">
        <v>102</v>
      </c>
      <c r="D128" s="306" t="s">
        <v>302</v>
      </c>
      <c r="E128" s="256"/>
      <c r="F128" s="78"/>
    </row>
    <row r="129" spans="2:6" ht="31.5" customHeight="1" x14ac:dyDescent="0.2">
      <c r="B129" s="95"/>
      <c r="C129" s="82" t="s">
        <v>14</v>
      </c>
      <c r="D129" s="307"/>
      <c r="E129" s="256">
        <f>348.5+76.8</f>
        <v>425.3</v>
      </c>
      <c r="F129" s="78"/>
    </row>
    <row r="130" spans="2:6" ht="16.899999999999999" customHeight="1" x14ac:dyDescent="0.2">
      <c r="B130" s="328" t="s">
        <v>103</v>
      </c>
      <c r="C130" s="48" t="s">
        <v>104</v>
      </c>
      <c r="D130" s="306" t="s">
        <v>40</v>
      </c>
      <c r="E130" s="256"/>
      <c r="F130" s="78" t="s">
        <v>105</v>
      </c>
    </row>
    <row r="131" spans="2:6" ht="16.5" customHeight="1" x14ac:dyDescent="0.2">
      <c r="B131" s="329"/>
      <c r="C131" s="45" t="s">
        <v>16</v>
      </c>
      <c r="D131" s="307"/>
      <c r="E131" s="256"/>
      <c r="F131" s="78"/>
    </row>
    <row r="132" spans="2:6" ht="28.5" customHeight="1" x14ac:dyDescent="0.2">
      <c r="B132" s="330"/>
      <c r="C132" s="45" t="s">
        <v>13</v>
      </c>
      <c r="D132" s="307"/>
      <c r="E132" s="256">
        <v>400</v>
      </c>
      <c r="F132" s="78"/>
    </row>
    <row r="133" spans="2:6" ht="44.45" customHeight="1" x14ac:dyDescent="0.2">
      <c r="B133" s="328" t="s">
        <v>106</v>
      </c>
      <c r="C133" s="48" t="s">
        <v>107</v>
      </c>
      <c r="D133" s="307"/>
      <c r="E133" s="256"/>
      <c r="F133" s="78" t="s">
        <v>108</v>
      </c>
    </row>
    <row r="134" spans="2:6" ht="19.149999999999999" customHeight="1" x14ac:dyDescent="0.2">
      <c r="B134" s="330"/>
      <c r="C134" s="45" t="s">
        <v>14</v>
      </c>
      <c r="D134" s="321"/>
      <c r="E134" s="256">
        <v>1757.9</v>
      </c>
      <c r="F134" s="78"/>
    </row>
    <row r="135" spans="2:6" ht="19.5" customHeight="1" x14ac:dyDescent="0.2">
      <c r="B135" s="112"/>
      <c r="C135" s="105" t="s">
        <v>88</v>
      </c>
      <c r="D135" s="106"/>
      <c r="E135" s="107">
        <f ca="1">SUM(E137:E139)</f>
        <v>2583.2000000000003</v>
      </c>
      <c r="F135" s="107"/>
    </row>
    <row r="136" spans="2:6" ht="15.6" customHeight="1" x14ac:dyDescent="0.2">
      <c r="B136" s="299"/>
      <c r="C136" s="79" t="s">
        <v>89</v>
      </c>
      <c r="D136" s="108"/>
      <c r="E136" s="113"/>
      <c r="F136" s="113"/>
    </row>
    <row r="137" spans="2:6" ht="30" customHeight="1" x14ac:dyDescent="0.2">
      <c r="B137" s="300"/>
      <c r="C137" s="79" t="s">
        <v>90</v>
      </c>
      <c r="D137" s="108"/>
      <c r="E137" s="257">
        <f ca="1">SUMIF($C128:D134,$C132,E128:E134)</f>
        <v>400</v>
      </c>
      <c r="F137" s="113"/>
    </row>
    <row r="138" spans="2:6" ht="18" customHeight="1" x14ac:dyDescent="0.2">
      <c r="B138" s="300"/>
      <c r="C138" s="79" t="s">
        <v>94</v>
      </c>
      <c r="D138" s="108"/>
      <c r="E138" s="257">
        <f>SUMIF(C128:C134,C131,E128:E134)</f>
        <v>0</v>
      </c>
      <c r="F138" s="113"/>
    </row>
    <row r="139" spans="2:6" ht="16.149999999999999" customHeight="1" x14ac:dyDescent="0.2">
      <c r="B139" s="302"/>
      <c r="C139" s="79" t="s">
        <v>91</v>
      </c>
      <c r="D139" s="108"/>
      <c r="E139" s="257">
        <f>SUMIF(C128:C134,C129,E128:E134)</f>
        <v>2183.2000000000003</v>
      </c>
      <c r="F139" s="83"/>
    </row>
    <row r="140" spans="2:6" s="24" customFormat="1" ht="32.450000000000003" customHeight="1" x14ac:dyDescent="0.2">
      <c r="B140" s="110" t="s">
        <v>109</v>
      </c>
      <c r="C140" s="70" t="s">
        <v>110</v>
      </c>
      <c r="D140" s="71" t="s">
        <v>111</v>
      </c>
      <c r="E140" s="114"/>
      <c r="F140" s="114"/>
    </row>
    <row r="141" spans="2:6" ht="16.899999999999999" customHeight="1" x14ac:dyDescent="0.2">
      <c r="B141" s="112"/>
      <c r="C141" s="105" t="s">
        <v>88</v>
      </c>
      <c r="D141" s="115"/>
      <c r="E141" s="107">
        <f>SUM(E143:E143)</f>
        <v>3.9</v>
      </c>
      <c r="F141" s="107"/>
    </row>
    <row r="142" spans="2:6" ht="14.45" customHeight="1" x14ac:dyDescent="0.2">
      <c r="B142" s="316"/>
      <c r="C142" s="79" t="s">
        <v>89</v>
      </c>
      <c r="D142" s="108"/>
      <c r="E142" s="113"/>
      <c r="F142" s="113"/>
    </row>
    <row r="143" spans="2:6" ht="28.15" customHeight="1" x14ac:dyDescent="0.2">
      <c r="B143" s="316"/>
      <c r="C143" s="48" t="s">
        <v>13</v>
      </c>
      <c r="D143" s="108"/>
      <c r="E143" s="77">
        <v>3.9</v>
      </c>
      <c r="F143" s="113"/>
    </row>
    <row r="144" spans="2:6" ht="54.75" customHeight="1" x14ac:dyDescent="0.2">
      <c r="B144" s="110" t="s">
        <v>112</v>
      </c>
      <c r="C144" s="70" t="s">
        <v>113</v>
      </c>
      <c r="D144" s="71" t="s">
        <v>11</v>
      </c>
      <c r="E144" s="114"/>
      <c r="F144" s="114"/>
    </row>
    <row r="145" spans="2:6" ht="14.45" customHeight="1" x14ac:dyDescent="0.2">
      <c r="B145" s="116"/>
      <c r="C145" s="105" t="s">
        <v>88</v>
      </c>
      <c r="D145" s="115"/>
      <c r="E145" s="107">
        <f t="shared" ref="E145" si="1">+E147</f>
        <v>66</v>
      </c>
      <c r="F145" s="107"/>
    </row>
    <row r="146" spans="2:6" ht="14.45" customHeight="1" x14ac:dyDescent="0.2">
      <c r="B146" s="315"/>
      <c r="C146" s="79" t="s">
        <v>89</v>
      </c>
      <c r="D146" s="108"/>
      <c r="E146" s="113"/>
      <c r="F146" s="113"/>
    </row>
    <row r="147" spans="2:6" ht="29.45" customHeight="1" x14ac:dyDescent="0.2">
      <c r="B147" s="315"/>
      <c r="C147" s="48" t="s">
        <v>13</v>
      </c>
      <c r="D147" s="108"/>
      <c r="E147" s="77">
        <v>66</v>
      </c>
      <c r="F147" s="113"/>
    </row>
    <row r="148" spans="2:6" s="24" customFormat="1" ht="44.45" customHeight="1" x14ac:dyDescent="0.2">
      <c r="B148" s="110" t="s">
        <v>114</v>
      </c>
      <c r="C148" s="70" t="s">
        <v>115</v>
      </c>
      <c r="D148" s="71" t="s">
        <v>78</v>
      </c>
      <c r="E148" s="114"/>
      <c r="F148" s="73"/>
    </row>
    <row r="149" spans="2:6" ht="18" customHeight="1" x14ac:dyDescent="0.2">
      <c r="B149" s="116"/>
      <c r="C149" s="105" t="s">
        <v>88</v>
      </c>
      <c r="D149" s="115"/>
      <c r="E149" s="107">
        <f t="shared" ref="E149" si="2">+E151</f>
        <v>4.4000000000000004</v>
      </c>
      <c r="F149" s="107"/>
    </row>
    <row r="150" spans="2:6" ht="14.45" customHeight="1" x14ac:dyDescent="0.2">
      <c r="B150" s="315"/>
      <c r="C150" s="79" t="s">
        <v>89</v>
      </c>
      <c r="D150" s="108"/>
      <c r="E150" s="113"/>
      <c r="F150" s="113"/>
    </row>
    <row r="151" spans="2:6" ht="29.45" customHeight="1" x14ac:dyDescent="0.2">
      <c r="B151" s="315"/>
      <c r="C151" s="48" t="s">
        <v>13</v>
      </c>
      <c r="D151" s="108"/>
      <c r="E151" s="77">
        <v>4.4000000000000004</v>
      </c>
      <c r="F151" s="113"/>
    </row>
    <row r="152" spans="2:6" ht="33.75" customHeight="1" x14ac:dyDescent="0.2">
      <c r="B152" s="110" t="s">
        <v>116</v>
      </c>
      <c r="C152" s="70" t="s">
        <v>117</v>
      </c>
      <c r="D152" s="71" t="s">
        <v>40</v>
      </c>
      <c r="E152" s="114"/>
      <c r="F152" s="114"/>
    </row>
    <row r="153" spans="2:6" ht="16.899999999999999" customHeight="1" x14ac:dyDescent="0.2">
      <c r="B153" s="112"/>
      <c r="C153" s="105" t="s">
        <v>88</v>
      </c>
      <c r="D153" s="115"/>
      <c r="E153" s="107">
        <f t="shared" ref="E153" si="3">SUM(E155:E155)</f>
        <v>19.399999999999999</v>
      </c>
      <c r="F153" s="107"/>
    </row>
    <row r="154" spans="2:6" ht="14.45" customHeight="1" x14ac:dyDescent="0.2">
      <c r="B154" s="316"/>
      <c r="C154" s="79" t="s">
        <v>89</v>
      </c>
      <c r="D154" s="108"/>
      <c r="E154" s="113"/>
      <c r="F154" s="113"/>
    </row>
    <row r="155" spans="2:6" ht="30.6" customHeight="1" x14ac:dyDescent="0.2">
      <c r="B155" s="316"/>
      <c r="C155" s="48" t="s">
        <v>13</v>
      </c>
      <c r="D155" s="108"/>
      <c r="E155" s="77">
        <v>19.399999999999999</v>
      </c>
      <c r="F155" s="113"/>
    </row>
    <row r="156" spans="2:6" ht="44.45" customHeight="1" x14ac:dyDescent="0.2">
      <c r="B156" s="110" t="s">
        <v>118</v>
      </c>
      <c r="C156" s="70" t="s">
        <v>119</v>
      </c>
      <c r="D156" s="71" t="s">
        <v>111</v>
      </c>
      <c r="E156" s="114"/>
      <c r="F156" s="73" t="s">
        <v>120</v>
      </c>
    </row>
    <row r="157" spans="2:6" ht="16.899999999999999" customHeight="1" x14ac:dyDescent="0.2">
      <c r="B157" s="117"/>
      <c r="C157" s="105" t="s">
        <v>88</v>
      </c>
      <c r="D157" s="115"/>
      <c r="E157" s="107">
        <f>+E159+E160</f>
        <v>335.3</v>
      </c>
      <c r="F157" s="107"/>
    </row>
    <row r="158" spans="2:6" ht="16.899999999999999" customHeight="1" x14ac:dyDescent="0.2">
      <c r="B158" s="317"/>
      <c r="C158" s="118" t="s">
        <v>89</v>
      </c>
      <c r="D158" s="119"/>
      <c r="E158" s="120"/>
      <c r="F158" s="120"/>
    </row>
    <row r="159" spans="2:6" ht="30.6" customHeight="1" x14ac:dyDescent="0.2">
      <c r="B159" s="317"/>
      <c r="C159" s="121" t="s">
        <v>13</v>
      </c>
      <c r="D159" s="122"/>
      <c r="E159" s="88">
        <v>35.299999999999997</v>
      </c>
      <c r="F159" s="123"/>
    </row>
    <row r="160" spans="2:6" ht="30.6" customHeight="1" x14ac:dyDescent="0.2">
      <c r="B160" s="317"/>
      <c r="C160" s="288" t="s">
        <v>33</v>
      </c>
      <c r="D160" s="122"/>
      <c r="E160" s="88">
        <v>300</v>
      </c>
      <c r="F160" s="123"/>
    </row>
    <row r="161" spans="2:6" ht="55.5" customHeight="1" x14ac:dyDescent="0.2">
      <c r="B161" s="124" t="s">
        <v>121</v>
      </c>
      <c r="C161" s="125" t="s">
        <v>122</v>
      </c>
      <c r="D161" s="71" t="s">
        <v>11</v>
      </c>
      <c r="E161" s="258"/>
      <c r="F161" s="126"/>
    </row>
    <row r="162" spans="2:6" ht="22.5" customHeight="1" x14ac:dyDescent="0.2">
      <c r="B162" s="127"/>
      <c r="C162" s="128" t="s">
        <v>88</v>
      </c>
      <c r="D162" s="129"/>
      <c r="E162" s="130">
        <f>SUM(E164:E164)</f>
        <v>15</v>
      </c>
      <c r="F162" s="130"/>
    </row>
    <row r="163" spans="2:6" ht="20.25" customHeight="1" x14ac:dyDescent="0.2">
      <c r="B163" s="131"/>
      <c r="C163" s="132" t="s">
        <v>89</v>
      </c>
      <c r="D163" s="133"/>
      <c r="E163" s="134"/>
      <c r="F163" s="134"/>
    </row>
    <row r="164" spans="2:6" ht="33" customHeight="1" x14ac:dyDescent="0.2">
      <c r="B164" s="131"/>
      <c r="C164" s="48" t="s">
        <v>13</v>
      </c>
      <c r="D164" s="133"/>
      <c r="E164" s="240">
        <v>15</v>
      </c>
      <c r="F164" s="134"/>
    </row>
    <row r="165" spans="2:6" ht="56.45" customHeight="1" x14ac:dyDescent="0.2">
      <c r="B165" s="135" t="s">
        <v>123</v>
      </c>
      <c r="C165" s="136" t="s">
        <v>124</v>
      </c>
      <c r="D165" s="71" t="s">
        <v>40</v>
      </c>
      <c r="E165" s="259"/>
      <c r="F165" s="137"/>
    </row>
    <row r="166" spans="2:6" ht="21" customHeight="1" x14ac:dyDescent="0.2">
      <c r="B166" s="138"/>
      <c r="C166" s="139" t="s">
        <v>88</v>
      </c>
      <c r="D166" s="140"/>
      <c r="E166" s="141">
        <v>21</v>
      </c>
      <c r="F166" s="141"/>
    </row>
    <row r="167" spans="2:6" ht="18.75" customHeight="1" x14ac:dyDescent="0.2">
      <c r="B167" s="380"/>
      <c r="C167" s="142" t="s">
        <v>89</v>
      </c>
      <c r="D167" s="133"/>
      <c r="E167" s="143"/>
      <c r="F167" s="143"/>
    </row>
    <row r="168" spans="2:6" ht="27.75" customHeight="1" x14ac:dyDescent="0.2">
      <c r="B168" s="381"/>
      <c r="C168" s="48" t="s">
        <v>13</v>
      </c>
      <c r="D168" s="144"/>
      <c r="E168" s="260">
        <v>21</v>
      </c>
      <c r="F168" s="145"/>
    </row>
    <row r="169" spans="2:6" ht="42" customHeight="1" x14ac:dyDescent="0.2">
      <c r="B169" s="146" t="s">
        <v>125</v>
      </c>
      <c r="C169" s="147" t="s">
        <v>126</v>
      </c>
      <c r="D169" s="148" t="s">
        <v>127</v>
      </c>
      <c r="E169" s="258"/>
      <c r="F169" s="126"/>
    </row>
    <row r="170" spans="2:6" ht="20.25" customHeight="1" x14ac:dyDescent="0.2">
      <c r="B170" s="149"/>
      <c r="C170" s="150" t="s">
        <v>88</v>
      </c>
      <c r="D170" s="151"/>
      <c r="E170" s="261">
        <f t="shared" ref="E170" si="4">+E172</f>
        <v>1.8</v>
      </c>
      <c r="F170" s="152"/>
    </row>
    <row r="171" spans="2:6" ht="14.25" customHeight="1" x14ac:dyDescent="0.2">
      <c r="B171" s="304"/>
      <c r="C171" s="132" t="s">
        <v>89</v>
      </c>
      <c r="D171" s="133"/>
      <c r="E171" s="240"/>
      <c r="F171" s="134"/>
    </row>
    <row r="172" spans="2:6" ht="27.75" customHeight="1" x14ac:dyDescent="0.2">
      <c r="B172" s="305"/>
      <c r="C172" s="48" t="s">
        <v>13</v>
      </c>
      <c r="D172" s="133"/>
      <c r="E172" s="240">
        <v>1.8</v>
      </c>
      <c r="F172" s="134"/>
    </row>
    <row r="173" spans="2:6" ht="27" customHeight="1" x14ac:dyDescent="0.2">
      <c r="B173" s="153" t="s">
        <v>128</v>
      </c>
      <c r="C173" s="154" t="s">
        <v>129</v>
      </c>
      <c r="D173" s="155"/>
      <c r="E173" s="262"/>
      <c r="F173" s="155"/>
    </row>
    <row r="174" spans="2:6" ht="30" customHeight="1" x14ac:dyDescent="0.2">
      <c r="B174" s="110" t="s">
        <v>130</v>
      </c>
      <c r="C174" s="70" t="s">
        <v>303</v>
      </c>
      <c r="D174" s="71" t="s">
        <v>131</v>
      </c>
      <c r="E174" s="114"/>
      <c r="F174" s="73"/>
    </row>
    <row r="175" spans="2:6" ht="15" customHeight="1" x14ac:dyDescent="0.2">
      <c r="B175" s="112"/>
      <c r="C175" s="105" t="s">
        <v>88</v>
      </c>
      <c r="D175" s="115"/>
      <c r="E175" s="107">
        <f>SUM(E177:E177)</f>
        <v>304.8</v>
      </c>
      <c r="F175" s="156"/>
    </row>
    <row r="176" spans="2:6" ht="15.6" customHeight="1" x14ac:dyDescent="0.2">
      <c r="B176" s="299"/>
      <c r="C176" s="79" t="s">
        <v>89</v>
      </c>
      <c r="D176" s="108"/>
      <c r="E176" s="83"/>
      <c r="F176" s="83"/>
    </row>
    <row r="177" spans="2:6" ht="29.45" customHeight="1" x14ac:dyDescent="0.2">
      <c r="B177" s="302"/>
      <c r="C177" s="48" t="s">
        <v>13</v>
      </c>
      <c r="D177" s="108"/>
      <c r="E177" s="77">
        <f>71.8+233</f>
        <v>304.8</v>
      </c>
      <c r="F177" s="113"/>
    </row>
    <row r="178" spans="2:6" ht="30.75" customHeight="1" x14ac:dyDescent="0.2">
      <c r="B178" s="110" t="s">
        <v>132</v>
      </c>
      <c r="C178" s="70" t="s">
        <v>133</v>
      </c>
      <c r="D178" s="71"/>
      <c r="E178" s="114"/>
      <c r="F178" s="73"/>
    </row>
    <row r="179" spans="2:6" ht="28.5" customHeight="1" x14ac:dyDescent="0.2">
      <c r="B179" s="157"/>
      <c r="C179" s="48" t="s">
        <v>134</v>
      </c>
      <c r="D179" s="91"/>
      <c r="E179" s="77"/>
      <c r="F179" s="78"/>
    </row>
    <row r="180" spans="2:6" ht="41.25" customHeight="1" x14ac:dyDescent="0.2">
      <c r="B180" s="158" t="s">
        <v>135</v>
      </c>
      <c r="C180" s="48" t="s">
        <v>136</v>
      </c>
      <c r="D180" s="318" t="s">
        <v>137</v>
      </c>
      <c r="E180" s="78"/>
      <c r="F180" s="83"/>
    </row>
    <row r="181" spans="2:6" ht="30.75" customHeight="1" x14ac:dyDescent="0.2">
      <c r="B181" s="159"/>
      <c r="C181" s="45" t="s">
        <v>13</v>
      </c>
      <c r="D181" s="320"/>
      <c r="E181" s="78"/>
      <c r="F181" s="83"/>
    </row>
    <row r="182" spans="2:6" ht="19.5" customHeight="1" x14ac:dyDescent="0.2">
      <c r="B182" s="300" t="s">
        <v>138</v>
      </c>
      <c r="C182" s="79" t="s">
        <v>139</v>
      </c>
      <c r="D182" s="323" t="s">
        <v>34</v>
      </c>
      <c r="E182" s="78"/>
      <c r="F182" s="75" t="s">
        <v>140</v>
      </c>
    </row>
    <row r="183" spans="2:6" ht="30" customHeight="1" x14ac:dyDescent="0.2">
      <c r="B183" s="300"/>
      <c r="C183" s="45" t="s">
        <v>13</v>
      </c>
      <c r="D183" s="324"/>
      <c r="E183" s="78">
        <f>1668.5-1468.5-131.9</f>
        <v>68.099999999999994</v>
      </c>
      <c r="F183" s="83"/>
    </row>
    <row r="184" spans="2:6" ht="18.600000000000001" customHeight="1" x14ac:dyDescent="0.2">
      <c r="B184" s="310" t="s">
        <v>141</v>
      </c>
      <c r="C184" s="48" t="s">
        <v>142</v>
      </c>
      <c r="D184" s="297" t="s">
        <v>143</v>
      </c>
      <c r="E184" s="78"/>
      <c r="F184" s="75" t="s">
        <v>144</v>
      </c>
    </row>
    <row r="185" spans="2:6" ht="30.6" customHeight="1" x14ac:dyDescent="0.2">
      <c r="B185" s="331"/>
      <c r="C185" s="45" t="s">
        <v>13</v>
      </c>
      <c r="D185" s="303"/>
      <c r="E185" s="78">
        <v>693.6</v>
      </c>
      <c r="F185" s="83"/>
    </row>
    <row r="186" spans="2:6" ht="17.25" customHeight="1" x14ac:dyDescent="0.2">
      <c r="B186" s="311"/>
      <c r="C186" s="45" t="s">
        <v>16</v>
      </c>
      <c r="D186" s="298"/>
      <c r="E186" s="78">
        <v>4.5999999999999996</v>
      </c>
      <c r="F186" s="83"/>
    </row>
    <row r="187" spans="2:6" ht="30.6" customHeight="1" x14ac:dyDescent="0.2">
      <c r="B187" s="310" t="s">
        <v>145</v>
      </c>
      <c r="C187" s="41" t="s">
        <v>146</v>
      </c>
      <c r="E187" s="40"/>
      <c r="F187" s="75" t="s">
        <v>144</v>
      </c>
    </row>
    <row r="188" spans="2:6" ht="31.9" customHeight="1" x14ac:dyDescent="0.2">
      <c r="B188" s="331"/>
      <c r="C188" s="42" t="s">
        <v>16</v>
      </c>
      <c r="D188" s="290" t="s">
        <v>143</v>
      </c>
      <c r="E188" s="40">
        <f>1780.3-150-28-42.6</f>
        <v>1559.7</v>
      </c>
      <c r="F188" s="83"/>
    </row>
    <row r="189" spans="2:6" ht="59.45" customHeight="1" x14ac:dyDescent="0.2">
      <c r="B189" s="311"/>
      <c r="C189" s="42" t="s">
        <v>16</v>
      </c>
      <c r="D189" s="289" t="s">
        <v>11</v>
      </c>
      <c r="E189" s="40">
        <v>28</v>
      </c>
      <c r="F189" s="77"/>
    </row>
    <row r="190" spans="2:6" ht="32.450000000000003" customHeight="1" x14ac:dyDescent="0.2">
      <c r="B190" s="299" t="s">
        <v>148</v>
      </c>
      <c r="C190" s="41" t="s">
        <v>149</v>
      </c>
      <c r="D190" s="306" t="s">
        <v>11</v>
      </c>
      <c r="E190" s="40"/>
      <c r="F190" s="83"/>
    </row>
    <row r="191" spans="2:6" ht="29.45" customHeight="1" x14ac:dyDescent="0.2">
      <c r="B191" s="302"/>
      <c r="C191" s="42" t="s">
        <v>13</v>
      </c>
      <c r="D191" s="307"/>
      <c r="E191" s="40">
        <f>528.9+3.1-18</f>
        <v>514</v>
      </c>
      <c r="F191" s="83"/>
    </row>
    <row r="192" spans="2:6" ht="30" customHeight="1" x14ac:dyDescent="0.2">
      <c r="B192" s="310" t="s">
        <v>150</v>
      </c>
      <c r="C192" s="41" t="s">
        <v>151</v>
      </c>
      <c r="D192" s="306" t="s">
        <v>304</v>
      </c>
      <c r="E192" s="40"/>
      <c r="F192" s="83"/>
    </row>
    <row r="193" spans="2:6" ht="30" customHeight="1" x14ac:dyDescent="0.2">
      <c r="B193" s="311"/>
      <c r="C193" s="42" t="s">
        <v>13</v>
      </c>
      <c r="D193" s="307"/>
      <c r="E193" s="40">
        <f>320-257</f>
        <v>63</v>
      </c>
      <c r="F193" s="83"/>
    </row>
    <row r="194" spans="2:6" ht="30.6" customHeight="1" x14ac:dyDescent="0.2">
      <c r="B194" s="160"/>
      <c r="C194" s="48" t="s">
        <v>152</v>
      </c>
      <c r="D194" s="92"/>
      <c r="E194" s="75"/>
      <c r="F194" s="83"/>
    </row>
    <row r="195" spans="2:6" ht="42.75" customHeight="1" x14ac:dyDescent="0.2">
      <c r="B195" s="328" t="s">
        <v>153</v>
      </c>
      <c r="C195" s="48" t="s">
        <v>154</v>
      </c>
      <c r="D195" s="318" t="s">
        <v>35</v>
      </c>
      <c r="E195" s="78"/>
      <c r="F195" s="75" t="s">
        <v>144</v>
      </c>
    </row>
    <row r="196" spans="2:6" ht="31.15" customHeight="1" x14ac:dyDescent="0.2">
      <c r="B196" s="329"/>
      <c r="C196" s="45" t="s">
        <v>33</v>
      </c>
      <c r="D196" s="319"/>
      <c r="E196" s="78"/>
      <c r="F196" s="75"/>
    </row>
    <row r="197" spans="2:6" ht="18" customHeight="1" x14ac:dyDescent="0.2">
      <c r="B197" s="330"/>
      <c r="C197" s="45" t="s">
        <v>16</v>
      </c>
      <c r="D197" s="319"/>
      <c r="E197" s="78">
        <f>85-66.6</f>
        <v>18.400000000000006</v>
      </c>
      <c r="F197" s="77"/>
    </row>
    <row r="198" spans="2:6" ht="30.6" customHeight="1" x14ac:dyDescent="0.2">
      <c r="B198" s="161"/>
      <c r="C198" s="48" t="s">
        <v>155</v>
      </c>
      <c r="D198" s="320"/>
      <c r="E198" s="78"/>
      <c r="F198" s="77"/>
    </row>
    <row r="199" spans="2:6" ht="81" customHeight="1" x14ac:dyDescent="0.2">
      <c r="B199" s="328" t="s">
        <v>156</v>
      </c>
      <c r="C199" s="48" t="s">
        <v>289</v>
      </c>
      <c r="D199" s="297" t="s">
        <v>143</v>
      </c>
      <c r="E199" s="78"/>
      <c r="F199" s="75" t="s">
        <v>144</v>
      </c>
    </row>
    <row r="200" spans="2:6" ht="28.5" customHeight="1" x14ac:dyDescent="0.2">
      <c r="B200" s="329"/>
      <c r="C200" s="45" t="s">
        <v>13</v>
      </c>
      <c r="D200" s="303"/>
      <c r="E200" s="78">
        <v>1163.8</v>
      </c>
      <c r="F200" s="75"/>
    </row>
    <row r="201" spans="2:6" ht="18" customHeight="1" x14ac:dyDescent="0.2">
      <c r="B201" s="329"/>
      <c r="C201" s="162" t="s">
        <v>16</v>
      </c>
      <c r="D201" s="298"/>
      <c r="E201" s="78"/>
      <c r="F201" s="77"/>
    </row>
    <row r="202" spans="2:6" ht="44.45" customHeight="1" x14ac:dyDescent="0.2">
      <c r="B202" s="299" t="s">
        <v>157</v>
      </c>
      <c r="C202" s="48" t="s">
        <v>158</v>
      </c>
      <c r="D202" s="318" t="s">
        <v>143</v>
      </c>
      <c r="E202" s="78"/>
      <c r="F202" s="75" t="s">
        <v>144</v>
      </c>
    </row>
    <row r="203" spans="2:6" ht="28.9" customHeight="1" x14ac:dyDescent="0.2">
      <c r="B203" s="300"/>
      <c r="C203" s="45" t="s">
        <v>13</v>
      </c>
      <c r="D203" s="319"/>
      <c r="E203" s="78">
        <f>1106.1-192.4</f>
        <v>913.69999999999993</v>
      </c>
      <c r="F203" s="75"/>
    </row>
    <row r="204" spans="2:6" ht="18" customHeight="1" x14ac:dyDescent="0.2">
      <c r="B204" s="300"/>
      <c r="C204" s="45" t="s">
        <v>147</v>
      </c>
      <c r="D204" s="319"/>
      <c r="E204" s="78">
        <v>4217.3999999999996</v>
      </c>
      <c r="F204" s="75"/>
    </row>
    <row r="205" spans="2:6" ht="19.149999999999999" customHeight="1" x14ac:dyDescent="0.2">
      <c r="B205" s="302"/>
      <c r="C205" s="45" t="s">
        <v>16</v>
      </c>
      <c r="D205" s="320"/>
      <c r="E205" s="78"/>
      <c r="F205" s="77"/>
    </row>
    <row r="206" spans="2:6" ht="45.6" customHeight="1" x14ac:dyDescent="0.2">
      <c r="B206" s="328" t="s">
        <v>159</v>
      </c>
      <c r="C206" s="48" t="s">
        <v>160</v>
      </c>
      <c r="D206" s="308" t="s">
        <v>161</v>
      </c>
      <c r="E206" s="78"/>
      <c r="F206" s="78" t="s">
        <v>144</v>
      </c>
    </row>
    <row r="207" spans="2:6" ht="27" customHeight="1" x14ac:dyDescent="0.2">
      <c r="B207" s="329"/>
      <c r="C207" s="45" t="s">
        <v>13</v>
      </c>
      <c r="D207" s="309"/>
      <c r="E207" s="78">
        <f>263-138.3</f>
        <v>124.69999999999999</v>
      </c>
      <c r="F207" s="77"/>
    </row>
    <row r="208" spans="2:6" ht="19.149999999999999" customHeight="1" x14ac:dyDescent="0.2">
      <c r="B208" s="163"/>
      <c r="C208" s="45" t="s">
        <v>16</v>
      </c>
      <c r="D208" s="309"/>
      <c r="E208" s="78">
        <v>5.7</v>
      </c>
      <c r="F208" s="77"/>
    </row>
    <row r="209" spans="2:6" ht="18.75" customHeight="1" x14ac:dyDescent="0.2">
      <c r="B209" s="163"/>
      <c r="C209" s="45" t="s">
        <v>147</v>
      </c>
      <c r="D209" s="309"/>
      <c r="E209" s="78"/>
      <c r="F209" s="77"/>
    </row>
    <row r="210" spans="2:6" ht="20.25" customHeight="1" x14ac:dyDescent="0.2">
      <c r="B210" s="163"/>
      <c r="C210" s="164" t="s">
        <v>85</v>
      </c>
      <c r="D210" s="309"/>
      <c r="E210" s="78"/>
      <c r="F210" s="77"/>
    </row>
    <row r="211" spans="2:6" ht="19.899999999999999" customHeight="1" x14ac:dyDescent="0.2">
      <c r="B211" s="312" t="s">
        <v>162</v>
      </c>
      <c r="C211" s="165" t="s">
        <v>163</v>
      </c>
      <c r="D211" s="62"/>
      <c r="E211" s="78"/>
      <c r="F211" s="77"/>
    </row>
    <row r="212" spans="2:6" ht="31.5" customHeight="1" x14ac:dyDescent="0.2">
      <c r="B212" s="313"/>
      <c r="C212" s="166" t="s">
        <v>164</v>
      </c>
      <c r="D212" s="308" t="s">
        <v>305</v>
      </c>
      <c r="E212" s="263"/>
      <c r="F212" s="167"/>
    </row>
    <row r="213" spans="2:6" ht="30.6" customHeight="1" x14ac:dyDescent="0.2">
      <c r="B213" s="314"/>
      <c r="C213" s="45" t="s">
        <v>13</v>
      </c>
      <c r="D213" s="325"/>
      <c r="E213" s="264">
        <f>60-38.6</f>
        <v>21.4</v>
      </c>
      <c r="F213" s="168"/>
    </row>
    <row r="214" spans="2:6" ht="27.6" customHeight="1" x14ac:dyDescent="0.2">
      <c r="B214" s="169"/>
      <c r="C214" s="170" t="s">
        <v>165</v>
      </c>
      <c r="D214" s="59"/>
      <c r="E214" s="78"/>
      <c r="F214" s="77"/>
    </row>
    <row r="215" spans="2:6" ht="43.9" customHeight="1" x14ac:dyDescent="0.2">
      <c r="B215" s="299" t="s">
        <v>166</v>
      </c>
      <c r="C215" s="48" t="s">
        <v>167</v>
      </c>
      <c r="D215" s="306" t="s">
        <v>143</v>
      </c>
      <c r="E215" s="78"/>
      <c r="F215" s="75" t="s">
        <v>144</v>
      </c>
    </row>
    <row r="216" spans="2:6" ht="28.5" customHeight="1" x14ac:dyDescent="0.2">
      <c r="B216" s="300"/>
      <c r="C216" s="45" t="s">
        <v>13</v>
      </c>
      <c r="D216" s="307"/>
      <c r="E216" s="78">
        <f>311.6+18-329.6</f>
        <v>0</v>
      </c>
      <c r="F216" s="75"/>
    </row>
    <row r="217" spans="2:6" ht="17.45" customHeight="1" x14ac:dyDescent="0.2">
      <c r="B217" s="354"/>
      <c r="C217" s="45" t="s">
        <v>16</v>
      </c>
      <c r="D217" s="321"/>
      <c r="E217" s="78">
        <f>2992.5+210.9-300.4</f>
        <v>2903</v>
      </c>
      <c r="F217" s="77"/>
    </row>
    <row r="218" spans="2:6" ht="43.5" customHeight="1" x14ac:dyDescent="0.2">
      <c r="B218" s="322" t="s">
        <v>168</v>
      </c>
      <c r="C218" s="48" t="s">
        <v>169</v>
      </c>
      <c r="D218" s="306" t="s">
        <v>305</v>
      </c>
      <c r="E218" s="78"/>
      <c r="F218" s="77"/>
    </row>
    <row r="219" spans="2:6" ht="29.25" customHeight="1" x14ac:dyDescent="0.2">
      <c r="B219" s="354"/>
      <c r="C219" s="45" t="s">
        <v>13</v>
      </c>
      <c r="D219" s="321"/>
      <c r="E219" s="78">
        <f>50-35+15</f>
        <v>30</v>
      </c>
      <c r="F219" s="167"/>
    </row>
    <row r="220" spans="2:6" ht="43.5" customHeight="1" x14ac:dyDescent="0.2">
      <c r="B220" s="322" t="s">
        <v>170</v>
      </c>
      <c r="C220" s="171" t="s">
        <v>171</v>
      </c>
      <c r="D220" s="318" t="s">
        <v>131</v>
      </c>
      <c r="E220" s="78"/>
      <c r="F220" s="88"/>
    </row>
    <row r="221" spans="2:6" ht="29.25" customHeight="1" x14ac:dyDescent="0.2">
      <c r="B221" s="300"/>
      <c r="C221" s="172" t="s">
        <v>13</v>
      </c>
      <c r="D221" s="319"/>
      <c r="E221" s="263"/>
      <c r="F221" s="173"/>
    </row>
    <row r="222" spans="2:6" ht="19.899999999999999" customHeight="1" x14ac:dyDescent="0.2">
      <c r="B222" s="104"/>
      <c r="C222" s="105" t="s">
        <v>88</v>
      </c>
      <c r="D222" s="106"/>
      <c r="E222" s="107">
        <f>SUM(E223:E227)</f>
        <v>12329.099999999999</v>
      </c>
      <c r="F222" s="174"/>
    </row>
    <row r="223" spans="2:6" ht="18" customHeight="1" x14ac:dyDescent="0.2">
      <c r="B223" s="362"/>
      <c r="C223" s="175" t="s">
        <v>89</v>
      </c>
      <c r="D223" s="176"/>
      <c r="E223" s="90"/>
      <c r="F223" s="90"/>
    </row>
    <row r="224" spans="2:6" ht="30" customHeight="1" x14ac:dyDescent="0.2">
      <c r="B224" s="362"/>
      <c r="C224" s="79" t="s">
        <v>90</v>
      </c>
      <c r="D224" s="176"/>
      <c r="E224" s="77">
        <f>SUMIF(C180:C221,C221,E180:E221)</f>
        <v>3592.2999999999997</v>
      </c>
      <c r="F224" s="77"/>
    </row>
    <row r="225" spans="2:6" ht="30" customHeight="1" x14ac:dyDescent="0.2">
      <c r="B225" s="362"/>
      <c r="C225" s="177" t="s">
        <v>92</v>
      </c>
      <c r="D225" s="176"/>
      <c r="E225" s="77">
        <f>SUMIF(C180:C221,C196,E180:E221)</f>
        <v>0</v>
      </c>
      <c r="F225" s="77"/>
    </row>
    <row r="226" spans="2:6" ht="19.149999999999999" customHeight="1" x14ac:dyDescent="0.2">
      <c r="B226" s="362"/>
      <c r="C226" s="79" t="s">
        <v>172</v>
      </c>
      <c r="D226" s="176"/>
      <c r="E226" s="77">
        <f>SUMIF(C180:C221,C209,E180:E221)</f>
        <v>4217.3999999999996</v>
      </c>
      <c r="F226" s="77"/>
    </row>
    <row r="227" spans="2:6" ht="19.149999999999999" customHeight="1" x14ac:dyDescent="0.2">
      <c r="B227" s="363"/>
      <c r="C227" s="79" t="s">
        <v>94</v>
      </c>
      <c r="D227" s="176"/>
      <c r="E227" s="77">
        <f>SUMIF(C180:C221,C186,E180:E221)</f>
        <v>4519.3999999999996</v>
      </c>
      <c r="F227" s="77"/>
    </row>
    <row r="228" spans="2:6" ht="19.149999999999999" customHeight="1" x14ac:dyDescent="0.2">
      <c r="B228" s="109"/>
      <c r="C228" s="178" t="s">
        <v>173</v>
      </c>
      <c r="D228" s="179"/>
      <c r="E228" s="107">
        <f t="shared" ref="E228" si="5">SUM(E230)</f>
        <v>0</v>
      </c>
      <c r="F228" s="107"/>
    </row>
    <row r="229" spans="2:6" ht="19.149999999999999" customHeight="1" x14ac:dyDescent="0.2">
      <c r="B229" s="180"/>
      <c r="C229" s="181" t="s">
        <v>96</v>
      </c>
      <c r="D229" s="176"/>
      <c r="E229" s="77"/>
      <c r="F229" s="77"/>
    </row>
    <row r="230" spans="2:6" ht="19.149999999999999" customHeight="1" x14ac:dyDescent="0.2">
      <c r="B230" s="180"/>
      <c r="C230" s="182" t="s">
        <v>98</v>
      </c>
      <c r="D230" s="176"/>
      <c r="E230" s="77">
        <f>SUMIF($C180:$C221,$C210,E180:E221)</f>
        <v>0</v>
      </c>
      <c r="F230" s="77"/>
    </row>
    <row r="231" spans="2:6" ht="31.15" customHeight="1" x14ac:dyDescent="0.2">
      <c r="B231" s="110" t="s">
        <v>174</v>
      </c>
      <c r="C231" s="70" t="s">
        <v>175</v>
      </c>
      <c r="D231" s="71"/>
      <c r="E231" s="114"/>
      <c r="F231" s="114"/>
    </row>
    <row r="232" spans="2:6" ht="31.15" customHeight="1" x14ac:dyDescent="0.2">
      <c r="B232" s="328" t="s">
        <v>176</v>
      </c>
      <c r="C232" s="48" t="s">
        <v>177</v>
      </c>
      <c r="D232" s="318" t="s">
        <v>11</v>
      </c>
      <c r="E232" s="77"/>
      <c r="F232" s="77"/>
    </row>
    <row r="233" spans="2:6" ht="30.6" customHeight="1" x14ac:dyDescent="0.2">
      <c r="B233" s="329"/>
      <c r="C233" s="45" t="s">
        <v>13</v>
      </c>
      <c r="D233" s="319"/>
      <c r="E233" s="78">
        <f>270+298.7</f>
        <v>568.70000000000005</v>
      </c>
      <c r="F233" s="77"/>
    </row>
    <row r="234" spans="2:6" ht="18.75" customHeight="1" x14ac:dyDescent="0.2">
      <c r="B234" s="330"/>
      <c r="C234" s="45" t="s">
        <v>16</v>
      </c>
      <c r="D234" s="319"/>
      <c r="E234" s="247">
        <v>111.7</v>
      </c>
      <c r="F234" s="77"/>
    </row>
    <row r="235" spans="2:6" ht="30.6" customHeight="1" x14ac:dyDescent="0.2">
      <c r="B235" s="328" t="s">
        <v>178</v>
      </c>
      <c r="C235" s="48" t="s">
        <v>179</v>
      </c>
      <c r="D235" s="319"/>
      <c r="E235" s="78"/>
      <c r="F235" s="78"/>
    </row>
    <row r="236" spans="2:6" ht="30.6" customHeight="1" x14ac:dyDescent="0.2">
      <c r="B236" s="329"/>
      <c r="C236" s="45" t="s">
        <v>13</v>
      </c>
      <c r="D236" s="319"/>
      <c r="E236" s="78">
        <f>497.6+94.1+32.8</f>
        <v>624.5</v>
      </c>
      <c r="F236" s="77"/>
    </row>
    <row r="237" spans="2:6" ht="43.15" customHeight="1" x14ac:dyDescent="0.2">
      <c r="B237" s="328" t="s">
        <v>180</v>
      </c>
      <c r="C237" s="48" t="s">
        <v>181</v>
      </c>
      <c r="D237" s="319"/>
      <c r="E237" s="77"/>
      <c r="F237" s="90"/>
    </row>
    <row r="238" spans="2:6" ht="30.6" customHeight="1" x14ac:dyDescent="0.2">
      <c r="B238" s="329"/>
      <c r="C238" s="45" t="s">
        <v>13</v>
      </c>
      <c r="D238" s="319"/>
      <c r="E238" s="78">
        <v>150</v>
      </c>
      <c r="F238" s="77"/>
    </row>
    <row r="239" spans="2:6" ht="55.15" customHeight="1" x14ac:dyDescent="0.2">
      <c r="B239" s="328" t="s">
        <v>182</v>
      </c>
      <c r="C239" s="48" t="s">
        <v>183</v>
      </c>
      <c r="D239" s="319"/>
      <c r="E239" s="77"/>
      <c r="F239" s="77"/>
    </row>
    <row r="240" spans="2:6" ht="30.6" customHeight="1" x14ac:dyDescent="0.2">
      <c r="B240" s="329"/>
      <c r="C240" s="45" t="s">
        <v>13</v>
      </c>
      <c r="D240" s="80"/>
      <c r="E240" s="78">
        <v>181</v>
      </c>
      <c r="F240" s="77"/>
    </row>
    <row r="241" spans="2:6" ht="30.6" customHeight="1" x14ac:dyDescent="0.2">
      <c r="B241" s="355" t="s">
        <v>184</v>
      </c>
      <c r="C241" s="94" t="s">
        <v>185</v>
      </c>
      <c r="D241" s="80"/>
      <c r="E241" s="78"/>
      <c r="F241" s="77"/>
    </row>
    <row r="242" spans="2:6" ht="30.6" customHeight="1" x14ac:dyDescent="0.2">
      <c r="B242" s="356"/>
      <c r="C242" s="89" t="s">
        <v>13</v>
      </c>
      <c r="D242" s="80"/>
      <c r="E242" s="78">
        <f>87.4+87.4</f>
        <v>174.8</v>
      </c>
      <c r="F242" s="77"/>
    </row>
    <row r="243" spans="2:6" ht="30.6" customHeight="1" x14ac:dyDescent="0.2">
      <c r="B243" s="329" t="s">
        <v>186</v>
      </c>
      <c r="C243" s="183" t="s">
        <v>187</v>
      </c>
      <c r="D243" s="80"/>
      <c r="E243" s="78"/>
      <c r="F243" s="77"/>
    </row>
    <row r="244" spans="2:6" ht="30.6" customHeight="1" x14ac:dyDescent="0.2">
      <c r="B244" s="329"/>
      <c r="C244" s="45" t="s">
        <v>13</v>
      </c>
      <c r="D244" s="80"/>
      <c r="E244" s="78">
        <f>100-8</f>
        <v>92</v>
      </c>
      <c r="F244" s="77"/>
    </row>
    <row r="245" spans="2:6" ht="16.5" customHeight="1" x14ac:dyDescent="0.2">
      <c r="B245" s="329"/>
      <c r="C245" s="45" t="s">
        <v>16</v>
      </c>
      <c r="D245" s="80"/>
      <c r="E245" s="78"/>
      <c r="F245" s="77"/>
    </row>
    <row r="246" spans="2:6" ht="18" customHeight="1" x14ac:dyDescent="0.2">
      <c r="B246" s="329"/>
      <c r="C246" s="163" t="s">
        <v>14</v>
      </c>
      <c r="D246" s="80"/>
      <c r="E246" s="78">
        <v>68</v>
      </c>
      <c r="F246" s="77"/>
    </row>
    <row r="247" spans="2:6" ht="18.75" customHeight="1" x14ac:dyDescent="0.2">
      <c r="B247" s="361" t="s">
        <v>188</v>
      </c>
      <c r="C247" s="100" t="s">
        <v>189</v>
      </c>
      <c r="D247" s="326"/>
      <c r="E247" s="78"/>
      <c r="F247" s="77"/>
    </row>
    <row r="248" spans="2:6" ht="30.6" customHeight="1" x14ac:dyDescent="0.2">
      <c r="B248" s="361"/>
      <c r="C248" s="45" t="s">
        <v>13</v>
      </c>
      <c r="D248" s="327"/>
      <c r="E248" s="263">
        <v>294.5</v>
      </c>
      <c r="F248" s="167"/>
    </row>
    <row r="249" spans="2:6" ht="21" customHeight="1" x14ac:dyDescent="0.2">
      <c r="B249" s="184"/>
      <c r="C249" s="185" t="s">
        <v>88</v>
      </c>
      <c r="D249" s="140"/>
      <c r="E249" s="141">
        <f>SUM(E251:E253)</f>
        <v>2265.1999999999998</v>
      </c>
      <c r="F249" s="141"/>
    </row>
    <row r="250" spans="2:6" ht="16.5" customHeight="1" x14ac:dyDescent="0.2">
      <c r="B250" s="317"/>
      <c r="C250" s="132" t="s">
        <v>89</v>
      </c>
      <c r="D250" s="186"/>
      <c r="E250" s="143"/>
      <c r="F250" s="143"/>
    </row>
    <row r="251" spans="2:6" ht="27.75" customHeight="1" x14ac:dyDescent="0.2">
      <c r="B251" s="317"/>
      <c r="C251" s="132" t="s">
        <v>90</v>
      </c>
      <c r="D251" s="186"/>
      <c r="E251" s="265">
        <f>SUMIF($C$232:$C$248,$C$248,E232:E248)</f>
        <v>2085.5</v>
      </c>
      <c r="F251" s="143"/>
    </row>
    <row r="252" spans="2:6" ht="18" customHeight="1" x14ac:dyDescent="0.2">
      <c r="B252" s="317"/>
      <c r="C252" s="187" t="s">
        <v>91</v>
      </c>
      <c r="D252" s="186"/>
      <c r="E252" s="265">
        <f>SUMIF($C$233:$C$248,$C$246,E233:E248)</f>
        <v>68</v>
      </c>
      <c r="F252" s="143"/>
    </row>
    <row r="253" spans="2:6" ht="21" customHeight="1" x14ac:dyDescent="0.2">
      <c r="B253" s="317"/>
      <c r="C253" s="187" t="s">
        <v>94</v>
      </c>
      <c r="D253" s="188"/>
      <c r="E253" s="266">
        <f>SUMIF($C$232:$C$248,$C$234,E232:E248)</f>
        <v>111.7</v>
      </c>
      <c r="F253" s="77"/>
    </row>
    <row r="254" spans="2:6" ht="21" customHeight="1" x14ac:dyDescent="0.2">
      <c r="B254" s="189" t="s">
        <v>190</v>
      </c>
      <c r="C254" s="190" t="s">
        <v>191</v>
      </c>
      <c r="D254" s="191"/>
      <c r="E254" s="267"/>
      <c r="F254" s="192"/>
    </row>
    <row r="255" spans="2:6" ht="31.9" customHeight="1" x14ac:dyDescent="0.2">
      <c r="B255" s="193" t="s">
        <v>192</v>
      </c>
      <c r="C255" s="49" t="s">
        <v>193</v>
      </c>
      <c r="D255" s="318" t="s">
        <v>11</v>
      </c>
      <c r="E255" s="238"/>
      <c r="F255" s="90"/>
    </row>
    <row r="256" spans="2:6" ht="30.6" customHeight="1" x14ac:dyDescent="0.2">
      <c r="B256" s="161"/>
      <c r="C256" s="45" t="s">
        <v>13</v>
      </c>
      <c r="D256" s="319"/>
      <c r="E256" s="78">
        <v>80.8</v>
      </c>
      <c r="F256" s="77"/>
    </row>
    <row r="257" spans="2:6" ht="27.75" customHeight="1" x14ac:dyDescent="0.2">
      <c r="B257" s="193" t="s">
        <v>194</v>
      </c>
      <c r="C257" s="49" t="s">
        <v>290</v>
      </c>
      <c r="D257" s="319"/>
      <c r="E257" s="78"/>
      <c r="F257" s="77"/>
    </row>
    <row r="258" spans="2:6" ht="30.6" customHeight="1" x14ac:dyDescent="0.2">
      <c r="B258" s="161"/>
      <c r="C258" s="45" t="s">
        <v>13</v>
      </c>
      <c r="D258" s="319"/>
      <c r="E258" s="78">
        <f>426.3+43.1</f>
        <v>469.40000000000003</v>
      </c>
      <c r="F258" s="77"/>
    </row>
    <row r="259" spans="2:6" ht="23.25" customHeight="1" x14ac:dyDescent="0.2">
      <c r="B259" s="328" t="s">
        <v>195</v>
      </c>
      <c r="C259" s="48" t="s">
        <v>196</v>
      </c>
      <c r="D259" s="319"/>
      <c r="E259" s="77"/>
      <c r="F259" s="78" t="s">
        <v>144</v>
      </c>
    </row>
    <row r="260" spans="2:6" ht="30.6" customHeight="1" x14ac:dyDescent="0.2">
      <c r="B260" s="330"/>
      <c r="C260" s="45" t="s">
        <v>13</v>
      </c>
      <c r="D260" s="319"/>
      <c r="E260" s="78">
        <v>18</v>
      </c>
      <c r="F260" s="77"/>
    </row>
    <row r="261" spans="2:6" ht="15.6" customHeight="1" x14ac:dyDescent="0.2">
      <c r="B261" s="112"/>
      <c r="C261" s="105" t="s">
        <v>88</v>
      </c>
      <c r="D261" s="115"/>
      <c r="E261" s="107">
        <f>SUM(E263:E263)</f>
        <v>568.20000000000005</v>
      </c>
      <c r="F261" s="156"/>
    </row>
    <row r="262" spans="2:6" ht="15.6" customHeight="1" x14ac:dyDescent="0.2">
      <c r="B262" s="299"/>
      <c r="C262" s="79" t="s">
        <v>89</v>
      </c>
      <c r="D262" s="108"/>
      <c r="E262" s="83"/>
      <c r="F262" s="83"/>
    </row>
    <row r="263" spans="2:6" ht="29.45" customHeight="1" x14ac:dyDescent="0.2">
      <c r="B263" s="300"/>
      <c r="C263" s="79" t="s">
        <v>90</v>
      </c>
      <c r="D263" s="108"/>
      <c r="E263" s="83">
        <f>SUMIF($C$255:$C$260,$C$256,E255:E260)</f>
        <v>568.20000000000005</v>
      </c>
      <c r="F263" s="113"/>
    </row>
    <row r="264" spans="2:6" ht="32.25" customHeight="1" x14ac:dyDescent="0.2">
      <c r="B264" s="67" t="s">
        <v>197</v>
      </c>
      <c r="C264" s="68" t="s">
        <v>198</v>
      </c>
      <c r="D264" s="68"/>
      <c r="E264" s="268"/>
      <c r="F264" s="68"/>
    </row>
    <row r="265" spans="2:6" ht="20.45" customHeight="1" x14ac:dyDescent="0.2">
      <c r="B265" s="110" t="s">
        <v>199</v>
      </c>
      <c r="C265" s="70" t="s">
        <v>200</v>
      </c>
      <c r="D265" s="71"/>
      <c r="E265" s="114"/>
      <c r="F265" s="114"/>
    </row>
    <row r="266" spans="2:6" ht="33" customHeight="1" x14ac:dyDescent="0.2">
      <c r="B266" s="299" t="s">
        <v>201</v>
      </c>
      <c r="C266" s="79" t="s">
        <v>202</v>
      </c>
      <c r="D266" s="337" t="s">
        <v>302</v>
      </c>
      <c r="E266" s="83"/>
      <c r="F266" s="75"/>
    </row>
    <row r="267" spans="2:6" ht="30.6" customHeight="1" x14ac:dyDescent="0.2">
      <c r="B267" s="300"/>
      <c r="C267" s="45" t="s">
        <v>13</v>
      </c>
      <c r="D267" s="338"/>
      <c r="E267" s="256">
        <f>36.5+21.8</f>
        <v>58.3</v>
      </c>
      <c r="F267" s="83"/>
    </row>
    <row r="268" spans="2:6" ht="26.25" customHeight="1" x14ac:dyDescent="0.2">
      <c r="B268" s="299" t="s">
        <v>203</v>
      </c>
      <c r="C268" s="48" t="s">
        <v>204</v>
      </c>
      <c r="D268" s="338"/>
      <c r="E268" s="78"/>
      <c r="F268" s="75"/>
    </row>
    <row r="269" spans="2:6" ht="31.15" customHeight="1" x14ac:dyDescent="0.2">
      <c r="B269" s="300"/>
      <c r="C269" s="45" t="s">
        <v>13</v>
      </c>
      <c r="D269" s="338"/>
      <c r="E269" s="78">
        <f>157.9+85.2</f>
        <v>243.10000000000002</v>
      </c>
      <c r="F269" s="75"/>
    </row>
    <row r="270" spans="2:6" ht="55.15" customHeight="1" x14ac:dyDescent="0.2">
      <c r="B270" s="299" t="s">
        <v>205</v>
      </c>
      <c r="C270" s="48" t="s">
        <v>291</v>
      </c>
      <c r="D270" s="338"/>
      <c r="E270" s="77"/>
      <c r="F270" s="75"/>
    </row>
    <row r="271" spans="2:6" ht="30" customHeight="1" x14ac:dyDescent="0.2">
      <c r="B271" s="300"/>
      <c r="C271" s="45" t="s">
        <v>13</v>
      </c>
      <c r="D271" s="338"/>
      <c r="E271" s="269">
        <f>628-328-275</f>
        <v>25</v>
      </c>
      <c r="F271" s="113"/>
    </row>
    <row r="272" spans="2:6" ht="42.75" customHeight="1" x14ac:dyDescent="0.2">
      <c r="B272" s="328" t="s">
        <v>206</v>
      </c>
      <c r="C272" s="48" t="s">
        <v>207</v>
      </c>
      <c r="D272" s="338"/>
      <c r="E272" s="77"/>
      <c r="F272" s="77"/>
    </row>
    <row r="273" spans="2:6" ht="32.25" customHeight="1" x14ac:dyDescent="0.2">
      <c r="B273" s="339"/>
      <c r="C273" s="45" t="s">
        <v>13</v>
      </c>
      <c r="D273" s="338"/>
      <c r="E273" s="263">
        <v>160</v>
      </c>
      <c r="F273" s="167"/>
    </row>
    <row r="274" spans="2:6" ht="19.149999999999999" customHeight="1" x14ac:dyDescent="0.2">
      <c r="B274" s="194"/>
      <c r="C274" s="195" t="s">
        <v>88</v>
      </c>
      <c r="D274" s="196"/>
      <c r="E274" s="197">
        <f t="shared" ref="E274" si="6">SUM(E276:E277)</f>
        <v>486.40000000000003</v>
      </c>
      <c r="F274" s="156"/>
    </row>
    <row r="275" spans="2:6" ht="18" customHeight="1" x14ac:dyDescent="0.2">
      <c r="B275" s="332"/>
      <c r="C275" s="79" t="s">
        <v>89</v>
      </c>
      <c r="D275" s="198"/>
      <c r="E275" s="270"/>
      <c r="F275" s="113"/>
    </row>
    <row r="276" spans="2:6" ht="28.9" customHeight="1" x14ac:dyDescent="0.2">
      <c r="B276" s="333"/>
      <c r="C276" s="79" t="s">
        <v>90</v>
      </c>
      <c r="D276" s="198"/>
      <c r="E276" s="199">
        <f>SUMIF($C$266:$C$273,$C$267,E266:E273)</f>
        <v>486.40000000000003</v>
      </c>
      <c r="F276" s="113"/>
    </row>
    <row r="277" spans="2:6" ht="19.149999999999999" customHeight="1" x14ac:dyDescent="0.2">
      <c r="B277" s="334"/>
      <c r="C277" s="79" t="s">
        <v>94</v>
      </c>
      <c r="D277" s="198"/>
      <c r="E277" s="199">
        <f>SUMIF($C$266:$C$273,#REF!,E266:E273)</f>
        <v>0</v>
      </c>
      <c r="F277" s="113"/>
    </row>
    <row r="278" spans="2:6" ht="31.9" customHeight="1" x14ac:dyDescent="0.2">
      <c r="B278" s="110" t="s">
        <v>208</v>
      </c>
      <c r="C278" s="200" t="s">
        <v>209</v>
      </c>
      <c r="D278" s="71"/>
      <c r="E278" s="271"/>
      <c r="F278" s="201"/>
    </row>
    <row r="279" spans="2:6" ht="29.45" customHeight="1" x14ac:dyDescent="0.2">
      <c r="B279" s="299" t="s">
        <v>210</v>
      </c>
      <c r="C279" s="79" t="s">
        <v>211</v>
      </c>
      <c r="D279" s="297" t="s">
        <v>78</v>
      </c>
      <c r="E279" s="272"/>
      <c r="F279" s="113"/>
    </row>
    <row r="280" spans="2:6" ht="27.6" customHeight="1" x14ac:dyDescent="0.2">
      <c r="B280" s="300"/>
      <c r="C280" s="82" t="s">
        <v>13</v>
      </c>
      <c r="D280" s="303"/>
      <c r="E280" s="272"/>
      <c r="F280" s="113"/>
    </row>
    <row r="281" spans="2:6" ht="18" customHeight="1" x14ac:dyDescent="0.2">
      <c r="B281" s="302"/>
      <c r="C281" s="82" t="s">
        <v>16</v>
      </c>
      <c r="D281" s="303"/>
      <c r="E281" s="269">
        <v>141</v>
      </c>
      <c r="F281" s="113"/>
    </row>
    <row r="282" spans="2:6" ht="20.45" customHeight="1" x14ac:dyDescent="0.2">
      <c r="B282" s="382" t="s">
        <v>212</v>
      </c>
      <c r="C282" s="48" t="s">
        <v>213</v>
      </c>
      <c r="D282" s="303"/>
      <c r="E282" s="269"/>
      <c r="F282" s="113"/>
    </row>
    <row r="283" spans="2:6" ht="27.75" customHeight="1" x14ac:dyDescent="0.2">
      <c r="B283" s="383"/>
      <c r="C283" s="45" t="s">
        <v>13</v>
      </c>
      <c r="D283" s="303"/>
      <c r="E283" s="269">
        <v>60</v>
      </c>
      <c r="F283" s="113"/>
    </row>
    <row r="284" spans="2:6" ht="18.75" customHeight="1" x14ac:dyDescent="0.2">
      <c r="B284" s="384"/>
      <c r="C284" s="202" t="s">
        <v>16</v>
      </c>
      <c r="D284" s="298"/>
      <c r="E284" s="269">
        <v>51.8</v>
      </c>
      <c r="F284" s="113"/>
    </row>
    <row r="285" spans="2:6" ht="18.75" customHeight="1" x14ac:dyDescent="0.2">
      <c r="B285" s="203"/>
      <c r="C285" s="105" t="s">
        <v>88</v>
      </c>
      <c r="D285" s="196"/>
      <c r="E285" s="197">
        <f t="shared" ref="E285" si="7">SUM(E287:E288)</f>
        <v>252.8</v>
      </c>
      <c r="F285" s="156"/>
    </row>
    <row r="286" spans="2:6" ht="15" customHeight="1" x14ac:dyDescent="0.2">
      <c r="B286" s="332"/>
      <c r="C286" s="79" t="s">
        <v>89</v>
      </c>
      <c r="D286" s="198"/>
      <c r="E286" s="273"/>
      <c r="F286" s="113"/>
    </row>
    <row r="287" spans="2:6" ht="29.45" customHeight="1" x14ac:dyDescent="0.2">
      <c r="B287" s="333"/>
      <c r="C287" s="79" t="s">
        <v>90</v>
      </c>
      <c r="D287" s="204"/>
      <c r="E287" s="274">
        <f>SUMIF(C279:C284,C283,E279:E284)</f>
        <v>60</v>
      </c>
      <c r="F287" s="113"/>
    </row>
    <row r="288" spans="2:6" ht="16.899999999999999" customHeight="1" x14ac:dyDescent="0.2">
      <c r="B288" s="334"/>
      <c r="C288" s="79" t="s">
        <v>94</v>
      </c>
      <c r="D288" s="204"/>
      <c r="E288" s="275">
        <f>SUMIF(C279:C284,C284,E279:E284)</f>
        <v>192.8</v>
      </c>
      <c r="F288" s="113"/>
    </row>
    <row r="289" spans="2:6" ht="28.9" customHeight="1" x14ac:dyDescent="0.2">
      <c r="B289" s="67" t="s">
        <v>214</v>
      </c>
      <c r="C289" s="68" t="s">
        <v>215</v>
      </c>
      <c r="D289" s="205"/>
      <c r="E289" s="268"/>
      <c r="F289" s="68"/>
    </row>
    <row r="290" spans="2:6" ht="30" customHeight="1" x14ac:dyDescent="0.2">
      <c r="B290" s="206" t="s">
        <v>216</v>
      </c>
      <c r="C290" s="70" t="s">
        <v>217</v>
      </c>
      <c r="D290" s="207"/>
      <c r="E290" s="276"/>
      <c r="F290" s="201"/>
    </row>
    <row r="291" spans="2:6" ht="16.899999999999999" customHeight="1" x14ac:dyDescent="0.2">
      <c r="B291" s="332" t="s">
        <v>218</v>
      </c>
      <c r="C291" s="79" t="s">
        <v>219</v>
      </c>
      <c r="D291" s="198"/>
      <c r="E291" s="277"/>
      <c r="F291" s="113"/>
    </row>
    <row r="292" spans="2:6" ht="27.6" customHeight="1" x14ac:dyDescent="0.2">
      <c r="B292" s="333"/>
      <c r="C292" s="45" t="s">
        <v>13</v>
      </c>
      <c r="D292" s="335" t="s">
        <v>34</v>
      </c>
      <c r="E292" s="256">
        <f>635-180+19.6</f>
        <v>474.6</v>
      </c>
      <c r="F292" s="113"/>
    </row>
    <row r="293" spans="2:6" ht="22.15" customHeight="1" x14ac:dyDescent="0.2">
      <c r="B293" s="333"/>
      <c r="C293" s="45" t="s">
        <v>16</v>
      </c>
      <c r="D293" s="336"/>
      <c r="E293" s="278" t="s">
        <v>84</v>
      </c>
      <c r="F293" s="208"/>
    </row>
    <row r="294" spans="2:6" ht="29.25" customHeight="1" x14ac:dyDescent="0.2">
      <c r="B294" s="332" t="s">
        <v>220</v>
      </c>
      <c r="C294" s="175" t="s">
        <v>221</v>
      </c>
      <c r="D294" s="342" t="s">
        <v>34</v>
      </c>
      <c r="E294" s="279" t="s">
        <v>84</v>
      </c>
      <c r="F294" s="208"/>
    </row>
    <row r="295" spans="2:6" ht="29.45" customHeight="1" x14ac:dyDescent="0.2">
      <c r="B295" s="333"/>
      <c r="C295" s="45" t="s">
        <v>13</v>
      </c>
      <c r="D295" s="342"/>
      <c r="E295" s="278">
        <f>93.7-44</f>
        <v>49.7</v>
      </c>
      <c r="F295" s="208"/>
    </row>
    <row r="296" spans="2:6" ht="30" customHeight="1" x14ac:dyDescent="0.2">
      <c r="B296" s="332" t="s">
        <v>222</v>
      </c>
      <c r="C296" s="48" t="s">
        <v>223</v>
      </c>
      <c r="D296" s="342"/>
      <c r="E296" s="279" t="s">
        <v>84</v>
      </c>
      <c r="F296" s="208"/>
    </row>
    <row r="297" spans="2:6" ht="31.9" customHeight="1" x14ac:dyDescent="0.2">
      <c r="B297" s="334"/>
      <c r="C297" s="45" t="s">
        <v>13</v>
      </c>
      <c r="D297" s="342"/>
      <c r="E297" s="278">
        <f>190+62+50</f>
        <v>302</v>
      </c>
      <c r="F297" s="208"/>
    </row>
    <row r="298" spans="2:6" ht="28.15" customHeight="1" x14ac:dyDescent="0.2">
      <c r="B298" s="332" t="s">
        <v>224</v>
      </c>
      <c r="C298" s="48" t="s">
        <v>225</v>
      </c>
      <c r="D298" s="342"/>
      <c r="E298" s="279" t="s">
        <v>84</v>
      </c>
      <c r="F298" s="208"/>
    </row>
    <row r="299" spans="2:6" ht="31.9" customHeight="1" x14ac:dyDescent="0.2">
      <c r="B299" s="333"/>
      <c r="C299" s="45" t="s">
        <v>13</v>
      </c>
      <c r="D299" s="342"/>
      <c r="E299" s="278">
        <v>59</v>
      </c>
      <c r="F299" s="208"/>
    </row>
    <row r="300" spans="2:6" ht="20.25" customHeight="1" x14ac:dyDescent="0.2">
      <c r="B300" s="334"/>
      <c r="C300" s="209" t="s">
        <v>16</v>
      </c>
      <c r="D300" s="342"/>
      <c r="E300" s="278">
        <v>69.400000000000006</v>
      </c>
      <c r="F300" s="208"/>
    </row>
    <row r="301" spans="2:6" ht="19.149999999999999" customHeight="1" x14ac:dyDescent="0.2">
      <c r="B301" s="332" t="s">
        <v>226</v>
      </c>
      <c r="C301" s="48" t="s">
        <v>227</v>
      </c>
      <c r="D301" s="342"/>
      <c r="E301" s="279" t="s">
        <v>84</v>
      </c>
      <c r="F301" s="208"/>
    </row>
    <row r="302" spans="2:6" ht="30" customHeight="1" x14ac:dyDescent="0.2">
      <c r="B302" s="334"/>
      <c r="C302" s="45" t="s">
        <v>13</v>
      </c>
      <c r="D302" s="342"/>
      <c r="E302" s="278">
        <f>250-63.4</f>
        <v>186.6</v>
      </c>
      <c r="F302" s="208"/>
    </row>
    <row r="303" spans="2:6" ht="18.600000000000001" customHeight="1" x14ac:dyDescent="0.2">
      <c r="B303" s="332" t="s">
        <v>228</v>
      </c>
      <c r="C303" s="48" t="s">
        <v>229</v>
      </c>
      <c r="D303" s="342"/>
      <c r="E303" s="279" t="s">
        <v>84</v>
      </c>
      <c r="F303" s="208"/>
    </row>
    <row r="304" spans="2:6" ht="30" customHeight="1" x14ac:dyDescent="0.2">
      <c r="B304" s="334"/>
      <c r="C304" s="45" t="s">
        <v>13</v>
      </c>
      <c r="D304" s="342"/>
      <c r="E304" s="278">
        <f>300-36.2</f>
        <v>263.8</v>
      </c>
      <c r="F304" s="208"/>
    </row>
    <row r="305" spans="2:6" ht="18.600000000000001" customHeight="1" x14ac:dyDescent="0.2">
      <c r="B305" s="332" t="s">
        <v>230</v>
      </c>
      <c r="C305" s="79" t="s">
        <v>231</v>
      </c>
      <c r="D305" s="342"/>
      <c r="E305" s="279" t="s">
        <v>84</v>
      </c>
      <c r="F305" s="208"/>
    </row>
    <row r="306" spans="2:6" ht="30" customHeight="1" x14ac:dyDescent="0.2">
      <c r="B306" s="333"/>
      <c r="C306" s="45" t="s">
        <v>13</v>
      </c>
      <c r="D306" s="342"/>
      <c r="E306" s="278">
        <f>783-80</f>
        <v>703</v>
      </c>
      <c r="F306" s="208"/>
    </row>
    <row r="307" spans="2:6" ht="22.15" customHeight="1" x14ac:dyDescent="0.2">
      <c r="B307" s="332" t="s">
        <v>232</v>
      </c>
      <c r="C307" s="48" t="s">
        <v>233</v>
      </c>
      <c r="D307" s="342"/>
      <c r="E307" s="279" t="s">
        <v>84</v>
      </c>
      <c r="F307" s="208"/>
    </row>
    <row r="308" spans="2:6" ht="29.45" customHeight="1" x14ac:dyDescent="0.2">
      <c r="B308" s="333"/>
      <c r="C308" s="45" t="s">
        <v>13</v>
      </c>
      <c r="D308" s="342"/>
      <c r="E308" s="278">
        <f>826.3-330-30-26</f>
        <v>440.29999999999995</v>
      </c>
      <c r="F308" s="208"/>
    </row>
    <row r="309" spans="2:6" ht="19.899999999999999" customHeight="1" x14ac:dyDescent="0.2">
      <c r="B309" s="332" t="s">
        <v>234</v>
      </c>
      <c r="C309" s="48" t="s">
        <v>235</v>
      </c>
      <c r="D309" s="342"/>
      <c r="E309" s="279" t="s">
        <v>84</v>
      </c>
      <c r="F309" s="208"/>
    </row>
    <row r="310" spans="2:6" ht="33" customHeight="1" x14ac:dyDescent="0.2">
      <c r="B310" s="333"/>
      <c r="C310" s="45" t="s">
        <v>13</v>
      </c>
      <c r="D310" s="342"/>
      <c r="E310" s="278">
        <f>150+48.5+60</f>
        <v>258.5</v>
      </c>
      <c r="F310" s="208"/>
    </row>
    <row r="311" spans="2:6" ht="18" customHeight="1" x14ac:dyDescent="0.2">
      <c r="B311" s="348" t="s">
        <v>236</v>
      </c>
      <c r="C311" s="41" t="s">
        <v>237</v>
      </c>
      <c r="D311" s="346" t="s">
        <v>34</v>
      </c>
      <c r="E311" s="280" t="s">
        <v>84</v>
      </c>
      <c r="F311" s="210"/>
    </row>
    <row r="312" spans="2:6" ht="33" customHeight="1" x14ac:dyDescent="0.2">
      <c r="B312" s="349"/>
      <c r="C312" s="45" t="s">
        <v>13</v>
      </c>
      <c r="D312" s="342"/>
      <c r="E312" s="281">
        <v>346.7</v>
      </c>
      <c r="F312" s="210"/>
    </row>
    <row r="313" spans="2:6" ht="18" customHeight="1" x14ac:dyDescent="0.2">
      <c r="B313" s="350"/>
      <c r="C313" s="202" t="s">
        <v>14</v>
      </c>
      <c r="D313" s="347"/>
      <c r="E313" s="281">
        <v>2.9</v>
      </c>
      <c r="F313" s="210"/>
    </row>
    <row r="314" spans="2:6" ht="18.600000000000001" customHeight="1" x14ac:dyDescent="0.2">
      <c r="B314" s="211"/>
      <c r="C314" s="105" t="s">
        <v>88</v>
      </c>
      <c r="D314" s="212"/>
      <c r="E314" s="282">
        <f t="shared" ref="E314" si="8">SUM(E315:E318)</f>
        <v>3156.5</v>
      </c>
      <c r="F314" s="213"/>
    </row>
    <row r="315" spans="2:6" ht="16.149999999999999" customHeight="1" x14ac:dyDescent="0.2">
      <c r="B315" s="343"/>
      <c r="C315" s="79" t="s">
        <v>89</v>
      </c>
      <c r="D315" s="214"/>
      <c r="E315" s="283"/>
      <c r="F315" s="208"/>
    </row>
    <row r="316" spans="2:6" ht="31.9" customHeight="1" x14ac:dyDescent="0.2">
      <c r="B316" s="344"/>
      <c r="C316" s="79" t="s">
        <v>90</v>
      </c>
      <c r="D316" s="214"/>
      <c r="E316" s="283">
        <f>SUMIF(C292:C313,C292,E292:E313)</f>
        <v>3084.2</v>
      </c>
      <c r="F316" s="208"/>
    </row>
    <row r="317" spans="2:6" ht="18" customHeight="1" x14ac:dyDescent="0.2">
      <c r="B317" s="344"/>
      <c r="C317" s="79" t="s">
        <v>91</v>
      </c>
      <c r="D317" s="214"/>
      <c r="E317" s="283">
        <f>SUMIF(C291:C313,C313,E291:E313)</f>
        <v>2.9</v>
      </c>
      <c r="F317" s="208"/>
    </row>
    <row r="318" spans="2:6" ht="18" customHeight="1" x14ac:dyDescent="0.2">
      <c r="B318" s="345"/>
      <c r="C318" s="79" t="s">
        <v>94</v>
      </c>
      <c r="D318" s="215"/>
      <c r="E318" s="283">
        <f>SUMIF(C291:C313,C293,E291:E313)</f>
        <v>69.400000000000006</v>
      </c>
      <c r="F318" s="208"/>
    </row>
    <row r="319" spans="2:6" ht="63.6" customHeight="1" x14ac:dyDescent="0.2">
      <c r="B319" s="206" t="s">
        <v>238</v>
      </c>
      <c r="C319" s="216" t="s">
        <v>239</v>
      </c>
      <c r="D319" s="217" t="s">
        <v>11</v>
      </c>
      <c r="E319" s="276"/>
      <c r="F319" s="218"/>
    </row>
    <row r="320" spans="2:6" ht="21" customHeight="1" x14ac:dyDescent="0.2">
      <c r="B320" s="156"/>
      <c r="C320" s="105" t="s">
        <v>88</v>
      </c>
      <c r="D320" s="219"/>
      <c r="E320" s="282">
        <f t="shared" ref="E320" si="9">E322</f>
        <v>29.4</v>
      </c>
      <c r="F320" s="213"/>
    </row>
    <row r="321" spans="2:6" ht="18.600000000000001" customHeight="1" x14ac:dyDescent="0.2">
      <c r="B321" s="220"/>
      <c r="C321" s="79" t="s">
        <v>89</v>
      </c>
      <c r="D321" s="221"/>
      <c r="E321" s="279"/>
      <c r="F321" s="222"/>
    </row>
    <row r="322" spans="2:6" ht="31.15" customHeight="1" x14ac:dyDescent="0.2">
      <c r="B322" s="222"/>
      <c r="C322" s="48" t="s">
        <v>13</v>
      </c>
      <c r="D322" s="214"/>
      <c r="E322" s="283">
        <v>29.4</v>
      </c>
      <c r="F322" s="208"/>
    </row>
    <row r="323" spans="2:6" ht="31.9" customHeight="1" x14ac:dyDescent="0.2">
      <c r="B323" s="218" t="s">
        <v>240</v>
      </c>
      <c r="C323" s="70" t="s">
        <v>241</v>
      </c>
      <c r="D323" s="223" t="s">
        <v>40</v>
      </c>
      <c r="E323" s="276"/>
      <c r="F323" s="218"/>
    </row>
    <row r="324" spans="2:6" ht="20.45" customHeight="1" x14ac:dyDescent="0.2">
      <c r="B324" s="156"/>
      <c r="C324" s="105" t="s">
        <v>88</v>
      </c>
      <c r="D324" s="219"/>
      <c r="E324" s="282">
        <f t="shared" ref="E324" si="10">E326</f>
        <v>80</v>
      </c>
      <c r="F324" s="213"/>
    </row>
    <row r="325" spans="2:6" ht="19.149999999999999" customHeight="1" x14ac:dyDescent="0.2">
      <c r="B325" s="220"/>
      <c r="C325" s="79" t="s">
        <v>89</v>
      </c>
      <c r="D325" s="214"/>
      <c r="E325" s="283"/>
      <c r="F325" s="208"/>
    </row>
    <row r="326" spans="2:6" ht="31.15" customHeight="1" x14ac:dyDescent="0.2">
      <c r="B326" s="222"/>
      <c r="C326" s="48" t="s">
        <v>13</v>
      </c>
      <c r="D326" s="214"/>
      <c r="E326" s="279">
        <v>80</v>
      </c>
      <c r="F326" s="208"/>
    </row>
    <row r="327" spans="2:6" ht="30.6" customHeight="1" x14ac:dyDescent="0.2">
      <c r="B327" s="218" t="s">
        <v>242</v>
      </c>
      <c r="C327" s="70" t="s">
        <v>243</v>
      </c>
      <c r="D327" s="224"/>
      <c r="E327" s="276"/>
      <c r="F327" s="218"/>
    </row>
    <row r="328" spans="2:6" ht="31.15" customHeight="1" x14ac:dyDescent="0.2">
      <c r="B328" s="352" t="s">
        <v>244</v>
      </c>
      <c r="C328" s="79" t="s">
        <v>245</v>
      </c>
      <c r="D328" s="340" t="s">
        <v>34</v>
      </c>
      <c r="E328" s="283"/>
      <c r="F328" s="208"/>
    </row>
    <row r="329" spans="2:6" ht="31.15" customHeight="1" x14ac:dyDescent="0.2">
      <c r="B329" s="353"/>
      <c r="C329" s="45" t="s">
        <v>13</v>
      </c>
      <c r="D329" s="341"/>
      <c r="E329" s="278">
        <v>16</v>
      </c>
      <c r="F329" s="208"/>
    </row>
    <row r="330" spans="2:6" ht="21" customHeight="1" x14ac:dyDescent="0.2">
      <c r="B330" s="225"/>
      <c r="C330" s="226" t="s">
        <v>88</v>
      </c>
      <c r="D330" s="227"/>
      <c r="E330" s="284">
        <f>SUM(E332:E333)</f>
        <v>16</v>
      </c>
      <c r="F330" s="213"/>
    </row>
    <row r="331" spans="2:6" ht="20.45" customHeight="1" x14ac:dyDescent="0.2">
      <c r="B331" s="377"/>
      <c r="C331" s="79" t="s">
        <v>89</v>
      </c>
      <c r="D331" s="214"/>
      <c r="E331" s="283"/>
      <c r="F331" s="208"/>
    </row>
    <row r="332" spans="2:6" ht="31.15" customHeight="1" x14ac:dyDescent="0.2">
      <c r="B332" s="378"/>
      <c r="C332" s="79" t="s">
        <v>90</v>
      </c>
      <c r="D332" s="214"/>
      <c r="E332" s="283">
        <f>SUMIF(C328:C329,C329,E328:E329)</f>
        <v>16</v>
      </c>
      <c r="F332" s="208"/>
    </row>
    <row r="333" spans="2:6" ht="18" customHeight="1" x14ac:dyDescent="0.2">
      <c r="B333" s="379"/>
      <c r="C333" s="79" t="s">
        <v>91</v>
      </c>
      <c r="D333" s="214"/>
      <c r="E333" s="283">
        <f>SUMIF(C329:C329,#REF!,E329:E329)</f>
        <v>0</v>
      </c>
      <c r="F333" s="208"/>
    </row>
    <row r="334" spans="2:6" ht="44.45" customHeight="1" x14ac:dyDescent="0.2">
      <c r="B334" s="218" t="s">
        <v>246</v>
      </c>
      <c r="C334" s="70" t="s">
        <v>247</v>
      </c>
      <c r="D334" s="223" t="s">
        <v>34</v>
      </c>
      <c r="E334" s="276"/>
      <c r="F334" s="218"/>
    </row>
    <row r="335" spans="2:6" ht="17.45" customHeight="1" x14ac:dyDescent="0.2">
      <c r="B335" s="211"/>
      <c r="C335" s="105" t="s">
        <v>88</v>
      </c>
      <c r="D335" s="219"/>
      <c r="E335" s="282">
        <f>SUM(E336:E338)</f>
        <v>4078</v>
      </c>
      <c r="F335" s="213"/>
    </row>
    <row r="336" spans="2:6" ht="17.45" customHeight="1" x14ac:dyDescent="0.2">
      <c r="B336" s="359"/>
      <c r="C336" s="79" t="s">
        <v>89</v>
      </c>
      <c r="D336" s="214"/>
      <c r="E336" s="283"/>
      <c r="F336" s="208"/>
    </row>
    <row r="337" spans="2:6" ht="28.15" customHeight="1" x14ac:dyDescent="0.2">
      <c r="B337" s="360"/>
      <c r="C337" s="48" t="s">
        <v>13</v>
      </c>
      <c r="D337" s="214"/>
      <c r="E337" s="279">
        <f>5063-1000</f>
        <v>4063</v>
      </c>
      <c r="F337" s="208"/>
    </row>
    <row r="338" spans="2:6" ht="17.45" customHeight="1" x14ac:dyDescent="0.2">
      <c r="B338" s="360"/>
      <c r="C338" s="228" t="s">
        <v>14</v>
      </c>
      <c r="D338" s="215"/>
      <c r="E338" s="285">
        <v>15</v>
      </c>
      <c r="F338" s="229"/>
    </row>
    <row r="339" spans="2:6" ht="27.75" customHeight="1" x14ac:dyDescent="0.2">
      <c r="B339" s="230"/>
      <c r="C339" s="231" t="s">
        <v>248</v>
      </c>
      <c r="D339" s="232"/>
      <c r="E339" s="286">
        <f ca="1">E116+E123+E135+E141+E145+E149+E153+E175+E222+E261+E274+E285+E314+E320+E324+E330+E335+E157+E249+E166+E162+E170+E228</f>
        <v>226979.29999999996</v>
      </c>
      <c r="F339" s="233"/>
    </row>
    <row r="340" spans="2:6" ht="17.45" customHeight="1" x14ac:dyDescent="0.2">
      <c r="B340" s="234"/>
      <c r="C340" s="235" t="s">
        <v>249</v>
      </c>
      <c r="D340" s="236"/>
      <c r="E340" s="287">
        <f>E207</f>
        <v>124.69999999999999</v>
      </c>
      <c r="F340" s="237"/>
    </row>
    <row r="341" spans="2:6" ht="15" customHeight="1" x14ac:dyDescent="0.2">
      <c r="B341" s="26"/>
      <c r="C341" s="27"/>
      <c r="D341" s="28"/>
      <c r="E341" s="34"/>
      <c r="F341" s="29"/>
    </row>
    <row r="342" spans="2:6" s="31" customFormat="1" ht="15" customHeight="1" x14ac:dyDescent="0.2">
      <c r="B342" s="357" t="s">
        <v>250</v>
      </c>
      <c r="C342" s="357"/>
      <c r="D342" s="357"/>
      <c r="E342" s="357"/>
      <c r="F342" s="357"/>
    </row>
    <row r="343" spans="2:6" s="31" customFormat="1" ht="15" customHeight="1" x14ac:dyDescent="0.2">
      <c r="B343" s="358" t="s">
        <v>251</v>
      </c>
      <c r="C343" s="358"/>
      <c r="D343" s="358"/>
      <c r="E343" s="358"/>
      <c r="F343" s="358"/>
    </row>
    <row r="344" spans="2:6" s="31" customFormat="1" ht="15" customHeight="1" x14ac:dyDescent="0.2">
      <c r="B344" s="357" t="s">
        <v>252</v>
      </c>
      <c r="C344" s="357"/>
      <c r="D344" s="357"/>
      <c r="E344" s="357"/>
      <c r="F344" s="357"/>
    </row>
    <row r="345" spans="2:6" s="31" customFormat="1" ht="15" customHeight="1" x14ac:dyDescent="0.2">
      <c r="B345" s="357" t="s">
        <v>253</v>
      </c>
      <c r="C345" s="357"/>
      <c r="D345" s="357"/>
      <c r="E345" s="357"/>
      <c r="F345" s="357"/>
    </row>
    <row r="346" spans="2:6" s="31" customFormat="1" ht="15" customHeight="1" x14ac:dyDescent="0.2">
      <c r="B346" s="351" t="s">
        <v>254</v>
      </c>
      <c r="C346" s="351"/>
      <c r="D346" s="30"/>
      <c r="E346" s="35"/>
      <c r="F346" s="30"/>
    </row>
    <row r="348" spans="2:6" x14ac:dyDescent="0.2">
      <c r="B348" s="4" t="s">
        <v>294</v>
      </c>
    </row>
    <row r="349" spans="2:6" x14ac:dyDescent="0.2">
      <c r="B349" s="4" t="s">
        <v>295</v>
      </c>
    </row>
    <row r="350" spans="2:6" x14ac:dyDescent="0.2">
      <c r="B350" s="293" t="s">
        <v>293</v>
      </c>
      <c r="C350" s="293"/>
      <c r="D350" s="293"/>
      <c r="E350" s="293"/>
      <c r="F350" s="293"/>
    </row>
    <row r="351" spans="2:6" ht="21.6" customHeight="1" x14ac:dyDescent="0.2">
      <c r="B351" s="293" t="s">
        <v>292</v>
      </c>
      <c r="C351" s="293"/>
      <c r="D351" s="293"/>
      <c r="E351" s="293"/>
      <c r="F351" s="293"/>
    </row>
    <row r="352" spans="2:6" x14ac:dyDescent="0.2">
      <c r="C352" s="58"/>
      <c r="D352" s="50"/>
    </row>
  </sheetData>
  <mergeCells count="149">
    <mergeCell ref="C2:F2"/>
    <mergeCell ref="C1:F1"/>
    <mergeCell ref="C3:F3"/>
    <mergeCell ref="B331:B333"/>
    <mergeCell ref="D12:D21"/>
    <mergeCell ref="B19:B20"/>
    <mergeCell ref="D54:D55"/>
    <mergeCell ref="D79:D80"/>
    <mergeCell ref="D180:D181"/>
    <mergeCell ref="B52:B53"/>
    <mergeCell ref="B54:B55"/>
    <mergeCell ref="B87:B90"/>
    <mergeCell ref="B167:B168"/>
    <mergeCell ref="B79:B80"/>
    <mergeCell ref="B26:B27"/>
    <mergeCell ref="B136:B139"/>
    <mergeCell ref="B142:B143"/>
    <mergeCell ref="B146:B147"/>
    <mergeCell ref="B130:B132"/>
    <mergeCell ref="B117:B122"/>
    <mergeCell ref="B21:B25"/>
    <mergeCell ref="B282:B284"/>
    <mergeCell ref="B259:B260"/>
    <mergeCell ref="D130:D134"/>
    <mergeCell ref="B96:B97"/>
    <mergeCell ref="B133:B134"/>
    <mergeCell ref="D98:D99"/>
    <mergeCell ref="D100:D102"/>
    <mergeCell ref="B105:B106"/>
    <mergeCell ref="D105:D106"/>
    <mergeCell ref="B124:B126"/>
    <mergeCell ref="D110:D111"/>
    <mergeCell ref="B98:B99"/>
    <mergeCell ref="D107:D109"/>
    <mergeCell ref="D114:D115"/>
    <mergeCell ref="D112:D113"/>
    <mergeCell ref="B114:B115"/>
    <mergeCell ref="B112:B113"/>
    <mergeCell ref="B7:F7"/>
    <mergeCell ref="B94:B95"/>
    <mergeCell ref="B33:B34"/>
    <mergeCell ref="B35:B36"/>
    <mergeCell ref="B37:B38"/>
    <mergeCell ref="B39:B40"/>
    <mergeCell ref="B12:B16"/>
    <mergeCell ref="B17:B18"/>
    <mergeCell ref="B28:B32"/>
    <mergeCell ref="D46:D48"/>
    <mergeCell ref="D52:D53"/>
    <mergeCell ref="B85:B86"/>
    <mergeCell ref="B83:B84"/>
    <mergeCell ref="D41:D45"/>
    <mergeCell ref="D56:D78"/>
    <mergeCell ref="D50:D51"/>
    <mergeCell ref="B41:B51"/>
    <mergeCell ref="B56:B57"/>
    <mergeCell ref="B91:B93"/>
    <mergeCell ref="B346:C346"/>
    <mergeCell ref="B328:B329"/>
    <mergeCell ref="B215:B217"/>
    <mergeCell ref="B266:B267"/>
    <mergeCell ref="B268:B269"/>
    <mergeCell ref="B218:B219"/>
    <mergeCell ref="B279:B281"/>
    <mergeCell ref="B239:B240"/>
    <mergeCell ref="B262:B263"/>
    <mergeCell ref="B301:B302"/>
    <mergeCell ref="B307:B308"/>
    <mergeCell ref="B303:B304"/>
    <mergeCell ref="B241:B242"/>
    <mergeCell ref="B296:B297"/>
    <mergeCell ref="B342:F342"/>
    <mergeCell ref="B343:F343"/>
    <mergeCell ref="B345:F345"/>
    <mergeCell ref="B344:F344"/>
    <mergeCell ref="B250:B253"/>
    <mergeCell ref="B237:B238"/>
    <mergeCell ref="B336:B338"/>
    <mergeCell ref="B291:B293"/>
    <mergeCell ref="B247:B248"/>
    <mergeCell ref="B223:B227"/>
    <mergeCell ref="B275:B277"/>
    <mergeCell ref="B286:B288"/>
    <mergeCell ref="D292:D293"/>
    <mergeCell ref="B270:B271"/>
    <mergeCell ref="D266:D273"/>
    <mergeCell ref="B272:B273"/>
    <mergeCell ref="D255:D260"/>
    <mergeCell ref="B243:B246"/>
    <mergeCell ref="D328:D329"/>
    <mergeCell ref="B298:B300"/>
    <mergeCell ref="B309:B310"/>
    <mergeCell ref="D279:D284"/>
    <mergeCell ref="D294:D310"/>
    <mergeCell ref="B305:B306"/>
    <mergeCell ref="B294:B295"/>
    <mergeCell ref="B315:B318"/>
    <mergeCell ref="D311:D313"/>
    <mergeCell ref="B311:B313"/>
    <mergeCell ref="D232:D239"/>
    <mergeCell ref="D247:D248"/>
    <mergeCell ref="B235:B236"/>
    <mergeCell ref="B232:B234"/>
    <mergeCell ref="D184:D186"/>
    <mergeCell ref="B187:B189"/>
    <mergeCell ref="B190:B191"/>
    <mergeCell ref="D190:D191"/>
    <mergeCell ref="B184:B186"/>
    <mergeCell ref="B206:B207"/>
    <mergeCell ref="D199:D201"/>
    <mergeCell ref="D202:D205"/>
    <mergeCell ref="B195:B197"/>
    <mergeCell ref="B199:B201"/>
    <mergeCell ref="B176:B177"/>
    <mergeCell ref="B150:B151"/>
    <mergeCell ref="B154:B155"/>
    <mergeCell ref="B158:B160"/>
    <mergeCell ref="D195:D198"/>
    <mergeCell ref="D218:D219"/>
    <mergeCell ref="D215:D217"/>
    <mergeCell ref="B220:B221"/>
    <mergeCell ref="D220:D221"/>
    <mergeCell ref="D182:D183"/>
    <mergeCell ref="B182:B183"/>
    <mergeCell ref="D212:D213"/>
    <mergeCell ref="C4:F4"/>
    <mergeCell ref="C5:F5"/>
    <mergeCell ref="B351:F351"/>
    <mergeCell ref="B350:F350"/>
    <mergeCell ref="B103:B104"/>
    <mergeCell ref="B107:B109"/>
    <mergeCell ref="B110:B111"/>
    <mergeCell ref="D103:D104"/>
    <mergeCell ref="B68:B69"/>
    <mergeCell ref="B58:B62"/>
    <mergeCell ref="B63:B67"/>
    <mergeCell ref="B100:B102"/>
    <mergeCell ref="D96:D97"/>
    <mergeCell ref="B81:B82"/>
    <mergeCell ref="B70:B74"/>
    <mergeCell ref="D81:D86"/>
    <mergeCell ref="B75:B78"/>
    <mergeCell ref="B171:B172"/>
    <mergeCell ref="D128:D129"/>
    <mergeCell ref="B202:B205"/>
    <mergeCell ref="D206:D210"/>
    <mergeCell ref="D192:D193"/>
    <mergeCell ref="B192:B193"/>
    <mergeCell ref="B211:B213"/>
  </mergeCells>
  <phoneticPr fontId="10" type="noConversion"/>
  <printOptions horizontalCentered="1"/>
  <pageMargins left="0.39370078740157483" right="0.39370078740157483" top="0.59055118110236227" bottom="0.59055118110236227" header="0" footer="0"/>
  <pageSetup paperSize="9" scale="88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B7DE-1137-4D5E-9D15-BD7BEEB77719}">
  <sheetPr>
    <pageSetUpPr fitToPage="1"/>
  </sheetPr>
  <dimension ref="B1:L31"/>
  <sheetViews>
    <sheetView zoomScaleNormal="100" workbookViewId="0">
      <selection activeCell="B1" sqref="B1:D1"/>
    </sheetView>
  </sheetViews>
  <sheetFormatPr defaultColWidth="9.140625" defaultRowHeight="12.75" x14ac:dyDescent="0.2"/>
  <cols>
    <col min="1" max="1" width="5.28515625" style="4" customWidth="1"/>
    <col min="2" max="2" width="4.7109375" style="4" customWidth="1"/>
    <col min="3" max="3" width="51.5703125" style="1" customWidth="1"/>
    <col min="4" max="4" width="17.85546875" style="4" customWidth="1"/>
    <col min="5" max="5" width="9.140625" style="4"/>
    <col min="6" max="6" width="9.5703125" style="4" bestFit="1" customWidth="1"/>
    <col min="7" max="16384" width="9.140625" style="4"/>
  </cols>
  <sheetData>
    <row r="1" spans="2:12" ht="30.6" customHeight="1" x14ac:dyDescent="0.2">
      <c r="B1" s="386" t="s">
        <v>297</v>
      </c>
      <c r="C1" s="386"/>
      <c r="D1" s="386"/>
    </row>
    <row r="2" spans="2:12" x14ac:dyDescent="0.2">
      <c r="C2" s="4"/>
    </row>
    <row r="3" spans="2:12" ht="51.75" customHeight="1" x14ac:dyDescent="0.2">
      <c r="B3" s="10" t="s">
        <v>255</v>
      </c>
      <c r="C3" s="11" t="s">
        <v>256</v>
      </c>
      <c r="D3" s="7" t="s">
        <v>3</v>
      </c>
    </row>
    <row r="4" spans="2:12" ht="12.75" customHeight="1" x14ac:dyDescent="0.2">
      <c r="B4" s="55">
        <v>1</v>
      </c>
      <c r="C4" s="56">
        <v>2</v>
      </c>
      <c r="D4" s="57">
        <v>3</v>
      </c>
    </row>
    <row r="5" spans="2:12" ht="15.75" customHeight="1" x14ac:dyDescent="0.2">
      <c r="B5" s="385" t="s">
        <v>257</v>
      </c>
      <c r="C5" s="385"/>
      <c r="D5" s="385"/>
    </row>
    <row r="6" spans="2:12" ht="12.75" customHeight="1" x14ac:dyDescent="0.2">
      <c r="B6" s="12" t="s">
        <v>258</v>
      </c>
      <c r="C6" s="13" t="s">
        <v>88</v>
      </c>
      <c r="D6" s="3">
        <f>SUM(D8:D13)</f>
        <v>226187.59999999995</v>
      </c>
    </row>
    <row r="7" spans="2:12" ht="12.75" customHeight="1" x14ac:dyDescent="0.2">
      <c r="B7" s="14"/>
      <c r="C7" s="16" t="s">
        <v>259</v>
      </c>
      <c r="D7" s="2"/>
    </row>
    <row r="8" spans="2:12" ht="22.15" customHeight="1" x14ac:dyDescent="0.2">
      <c r="B8" s="14" t="s">
        <v>260</v>
      </c>
      <c r="C8" s="17" t="s">
        <v>261</v>
      </c>
      <c r="D8" s="8">
        <f>SUMIF('10 programa 3 lentelė'!C10:C340,'10 programa 3 lentelė'!C13,'10 programa 3 lentelė'!E10:E340)</f>
        <v>85434.699999999983</v>
      </c>
    </row>
    <row r="9" spans="2:12" ht="12.75" customHeight="1" x14ac:dyDescent="0.2">
      <c r="B9" s="14" t="s">
        <v>262</v>
      </c>
      <c r="C9" s="15" t="s">
        <v>14</v>
      </c>
      <c r="D9" s="8">
        <f>SUMIF('10 programa 3 lentelė'!C10:C340,'10 programa 3 lentelė'!C14,'10 programa 3 lentelė'!E10:E340)</f>
        <v>113089.7</v>
      </c>
    </row>
    <row r="10" spans="2:12" ht="12.75" customHeight="1" x14ac:dyDescent="0.2">
      <c r="B10" s="14" t="s">
        <v>263</v>
      </c>
      <c r="C10" s="15" t="s">
        <v>264</v>
      </c>
      <c r="D10" s="8">
        <f>SUMIF('10 programa 3 lentelė'!C10:C340,'10 programa 3 lentelė'!C15,'10 programa 3 lentelė'!E10:E340)</f>
        <v>8069.3</v>
      </c>
    </row>
    <row r="11" spans="2:12" ht="24.75" customHeight="1" x14ac:dyDescent="0.2">
      <c r="B11" s="14" t="s">
        <v>265</v>
      </c>
      <c r="C11" s="15" t="s">
        <v>33</v>
      </c>
      <c r="D11" s="8">
        <f>SUMIF('10 programa 3 lentelė'!C11:C340,'10 programa 3 lentelė'!C47,'10 programa 3 lentelė'!E11:E340)</f>
        <v>8385.2000000000007</v>
      </c>
      <c r="I11" s="19"/>
      <c r="J11" s="19"/>
      <c r="K11" s="19"/>
      <c r="L11" s="19"/>
    </row>
    <row r="12" spans="2:12" ht="12.75" customHeight="1" x14ac:dyDescent="0.2">
      <c r="B12" s="14" t="s">
        <v>266</v>
      </c>
      <c r="C12" s="15" t="s">
        <v>267</v>
      </c>
      <c r="D12" s="8">
        <f>SUMIF('10 programa 3 lentelė'!C12:C342,'10 programa 3 lentelė'!C204,'10 programa 3 lentelė'!E12:E342)</f>
        <v>4217.3999999999996</v>
      </c>
    </row>
    <row r="13" spans="2:12" ht="12.75" customHeight="1" x14ac:dyDescent="0.2">
      <c r="B13" s="14" t="s">
        <v>268</v>
      </c>
      <c r="C13" s="15" t="s">
        <v>269</v>
      </c>
      <c r="D13" s="8">
        <f>SUMIF('10 programa 3 lentelė'!C13:C343,'10 programa 3 lentelė'!C245,'10 programa 3 lentelė'!E13:E343)</f>
        <v>6991.2999999999993</v>
      </c>
    </row>
    <row r="14" spans="2:12" ht="40.5" customHeight="1" x14ac:dyDescent="0.2">
      <c r="B14" s="12" t="s">
        <v>270</v>
      </c>
      <c r="C14" s="16" t="s">
        <v>271</v>
      </c>
      <c r="D14" s="9">
        <f t="shared" ref="D14" si="0">SUM(D16:D21)</f>
        <v>791.7</v>
      </c>
    </row>
    <row r="15" spans="2:12" ht="16.5" customHeight="1" x14ac:dyDescent="0.2">
      <c r="B15" s="14"/>
      <c r="C15" s="16" t="s">
        <v>259</v>
      </c>
      <c r="D15" s="2"/>
    </row>
    <row r="16" spans="2:12" ht="12.75" customHeight="1" x14ac:dyDescent="0.2">
      <c r="B16" s="14" t="s">
        <v>272</v>
      </c>
      <c r="C16" s="18" t="s">
        <v>273</v>
      </c>
      <c r="D16" s="8">
        <f>SUMIF('10 programa 3 lentelė'!C10:C340,'10 programa 3 lentelė'!C109,'10 programa 3 lentelė'!E10:E340)</f>
        <v>791.7</v>
      </c>
    </row>
    <row r="17" spans="2:6" ht="12.75" customHeight="1" x14ac:dyDescent="0.2">
      <c r="B17" s="14" t="s">
        <v>274</v>
      </c>
      <c r="C17" s="18" t="s">
        <v>275</v>
      </c>
      <c r="D17" s="8" cm="1">
        <f t="array" ref="D17">SUMIF('10 programa 3 lentelė'!C10:C340,'10 programa 3 lentelė'!C00,'10 programa 3 lentelė'!E10:E340)</f>
        <v>0</v>
      </c>
    </row>
    <row r="18" spans="2:6" ht="24.75" customHeight="1" x14ac:dyDescent="0.2">
      <c r="B18" s="14" t="s">
        <v>276</v>
      </c>
      <c r="C18" s="18" t="s">
        <v>277</v>
      </c>
      <c r="D18" s="8" cm="1">
        <f t="array" ref="D18">SUMIF('10 programa 3 lentelė'!C10:C340,'10 programa 3 lentelė'!C00,'10 programa 3 lentelė'!E10:E340)</f>
        <v>0</v>
      </c>
    </row>
    <row r="19" spans="2:6" ht="12.75" customHeight="1" x14ac:dyDescent="0.2">
      <c r="B19" s="14" t="s">
        <v>278</v>
      </c>
      <c r="C19" s="18" t="s">
        <v>279</v>
      </c>
      <c r="D19" s="8" cm="1">
        <f t="array" ref="D19">SUMIF('10 programa 3 lentelė'!C10:C340,'10 programa 3 lentelė'!C00,'10 programa 3 lentelė'!E10:E340)</f>
        <v>0</v>
      </c>
    </row>
    <row r="20" spans="2:6" ht="12.75" customHeight="1" x14ac:dyDescent="0.2">
      <c r="B20" s="14" t="s">
        <v>280</v>
      </c>
      <c r="C20" s="18" t="s">
        <v>281</v>
      </c>
      <c r="D20" s="8" cm="1">
        <f t="array" ref="D20">SUMIF('10 programa 3 lentelė'!C10:C340,'10 programa 3 lentelė'!C00,'10 programa 3 lentelė'!C10:C340)</f>
        <v>0</v>
      </c>
    </row>
    <row r="21" spans="2:6" ht="12.75" customHeight="1" x14ac:dyDescent="0.2">
      <c r="B21" s="14" t="s">
        <v>282</v>
      </c>
      <c r="C21" s="18" t="s">
        <v>283</v>
      </c>
      <c r="D21" s="8" cm="1">
        <f t="array" ref="D21">SUMIF('10 programa 3 lentelė'!C10:C340,'10 programa 3 lentelė'!C00,'10 programa 3 lentelė'!E10:E340)</f>
        <v>0</v>
      </c>
    </row>
    <row r="22" spans="2:6" ht="25.5" x14ac:dyDescent="0.2">
      <c r="B22" s="14"/>
      <c r="C22" s="15" t="s">
        <v>284</v>
      </c>
      <c r="D22" s="3">
        <f>D6+D14</f>
        <v>226979.29999999996</v>
      </c>
      <c r="F22" s="6"/>
    </row>
    <row r="23" spans="2:6" ht="18" customHeight="1" x14ac:dyDescent="0.2">
      <c r="B23" s="14"/>
      <c r="C23" s="15" t="s">
        <v>249</v>
      </c>
      <c r="D23" s="2">
        <f>'10 programa 3 lentelė'!E340</f>
        <v>124.69999999999999</v>
      </c>
    </row>
    <row r="24" spans="2:6" x14ac:dyDescent="0.2">
      <c r="B24" s="5"/>
      <c r="C24" s="5"/>
      <c r="D24" s="5"/>
    </row>
    <row r="25" spans="2:6" x14ac:dyDescent="0.2">
      <c r="D25" s="43"/>
      <c r="E25" s="44"/>
    </row>
    <row r="26" spans="2:6" x14ac:dyDescent="0.2">
      <c r="D26" s="44"/>
      <c r="E26" s="44"/>
    </row>
    <row r="27" spans="2:6" x14ac:dyDescent="0.2">
      <c r="D27" s="44"/>
      <c r="E27" s="44"/>
    </row>
    <row r="28" spans="2:6" x14ac:dyDescent="0.2">
      <c r="D28" s="43"/>
      <c r="E28" s="44"/>
    </row>
    <row r="29" spans="2:6" x14ac:dyDescent="0.2">
      <c r="D29" s="44"/>
      <c r="E29" s="44"/>
    </row>
    <row r="30" spans="2:6" x14ac:dyDescent="0.2">
      <c r="D30" s="44"/>
      <c r="E30" s="44"/>
    </row>
    <row r="31" spans="2:6" x14ac:dyDescent="0.2">
      <c r="D31" s="44"/>
      <c r="E31" s="44"/>
    </row>
  </sheetData>
  <mergeCells count="2">
    <mergeCell ref="B5:D5"/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10 programa 3 lentelė</vt:lpstr>
      <vt:lpstr>Lėšų suvestinė 2 lentelė</vt:lpstr>
      <vt:lpstr>'10 programa 3 lentelė'!Print_Area</vt:lpstr>
      <vt:lpstr>'10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2025-12-11T07:11:29Z</cp:lastPrinted>
  <dcterms:created xsi:type="dcterms:W3CDTF">2023-07-10T07:04:14Z</dcterms:created>
  <dcterms:modified xsi:type="dcterms:W3CDTF">2025-12-12T12:14:03Z</dcterms:modified>
  <cp:category/>
  <cp:contentStatus/>
</cp:coreProperties>
</file>