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SVP PLANAI\2026-2028 SVP\Komitetams 2025-12-18\"/>
    </mc:Choice>
  </mc:AlternateContent>
  <xr:revisionPtr revIDLastSave="0" documentId="13_ncr:1_{412A95DD-6AC9-4086-8110-E43B1EDDA6A1}" xr6:coauthVersionLast="47" xr6:coauthVersionMax="47" xr10:uidLastSave="{00000000-0000-0000-0000-000000000000}"/>
  <bookViews>
    <workbookView xWindow="-110" yWindow="-110" windowWidth="38620" windowHeight="21100" xr2:uid="{FEA9E383-1DE5-4AFE-98A8-7A94D3659092}"/>
  </bookViews>
  <sheets>
    <sheet name="006 programa 3 lentelė" sheetId="1" r:id="rId1"/>
    <sheet name="Lėšų suvestinė 2 lentelė" sheetId="3" r:id="rId2"/>
  </sheets>
  <definedNames>
    <definedName name="_xlnm.Print_Area" localSheetId="0">'006 programa 3 lentelė'!$A$1:$N$260</definedName>
    <definedName name="_xlnm.Print_Titles" localSheetId="0">'006 programa 3 lentelė'!$5:$7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4" i="1" l="1"/>
  <c r="G196" i="1"/>
  <c r="G47" i="1"/>
  <c r="G169" i="1"/>
  <c r="H169" i="1"/>
  <c r="H175" i="1"/>
  <c r="G175" i="1"/>
  <c r="H233" i="1"/>
  <c r="G235" i="1"/>
  <c r="H217" i="1"/>
  <c r="G217" i="1"/>
  <c r="H138" i="1"/>
  <c r="F15" i="1"/>
  <c r="H42" i="1"/>
  <c r="F175" i="1"/>
  <c r="F35" i="1"/>
  <c r="L200" i="1"/>
  <c r="J198" i="1"/>
  <c r="K197" i="1"/>
  <c r="M142" i="1"/>
  <c r="K49" i="1"/>
  <c r="J23" i="1"/>
  <c r="J14" i="1"/>
  <c r="J12" i="1"/>
  <c r="F233" i="1" l="1"/>
  <c r="G106" i="1"/>
  <c r="F42" i="1"/>
  <c r="F189" i="1"/>
  <c r="G158" i="1"/>
  <c r="H158" i="1"/>
  <c r="E158" i="1"/>
  <c r="F157" i="1"/>
  <c r="G157" i="1"/>
  <c r="H157" i="1"/>
  <c r="E157" i="1"/>
  <c r="F156" i="1"/>
  <c r="G156" i="1"/>
  <c r="H156" i="1"/>
  <c r="F155" i="1"/>
  <c r="E155" i="1"/>
  <c r="F152" i="1" a="1"/>
  <c r="F152" i="1" s="1"/>
  <c r="G152" i="1" a="1"/>
  <c r="G152" i="1" s="1"/>
  <c r="H152" i="1" a="1"/>
  <c r="H152" i="1" s="1"/>
  <c r="E152" i="1" a="1"/>
  <c r="E152" i="1" s="1"/>
  <c r="F151" i="1"/>
  <c r="G151" i="1"/>
  <c r="H151" i="1"/>
  <c r="F150" i="1"/>
  <c r="G150" i="1"/>
  <c r="H150" i="1"/>
  <c r="F149" i="1"/>
  <c r="F117" i="1"/>
  <c r="H66" i="1"/>
  <c r="G21" i="3" s="1"/>
  <c r="E177" i="1"/>
  <c r="E175" i="1"/>
  <c r="E116" i="1"/>
  <c r="E101" i="1"/>
  <c r="E40" i="1"/>
  <c r="E15" i="1"/>
  <c r="F236" i="1"/>
  <c r="E11" i="3" s="1"/>
  <c r="G186" i="1"/>
  <c r="G27" i="1"/>
  <c r="G155" i="1" s="1"/>
  <c r="G221" i="1"/>
  <c r="F195" i="1"/>
  <c r="H143" i="1"/>
  <c r="H149" i="1" s="1"/>
  <c r="F122" i="1"/>
  <c r="F222" i="1"/>
  <c r="G222" i="1"/>
  <c r="H222" i="1"/>
  <c r="E222" i="1"/>
  <c r="F225" i="1"/>
  <c r="F223" i="1" s="1"/>
  <c r="G225" i="1"/>
  <c r="G223" i="1" s="1"/>
  <c r="H225" i="1"/>
  <c r="H223" i="1" s="1"/>
  <c r="E225" i="1"/>
  <c r="E223" i="1" s="1"/>
  <c r="F121" i="1"/>
  <c r="H248" i="1"/>
  <c r="F11" i="3"/>
  <c r="G11" i="3"/>
  <c r="D11" i="3"/>
  <c r="E21" i="3"/>
  <c r="E20" i="3"/>
  <c r="F20" i="3"/>
  <c r="G20" i="3"/>
  <c r="F19" i="3"/>
  <c r="G19" i="3"/>
  <c r="D19" i="3"/>
  <c r="G242" i="1"/>
  <c r="H242" i="1"/>
  <c r="E242" i="1"/>
  <c r="G241" i="1"/>
  <c r="H241" i="1"/>
  <c r="E241" i="1"/>
  <c r="H240" i="1"/>
  <c r="E233" i="1"/>
  <c r="E248" i="1" s="1"/>
  <c r="E211" i="1"/>
  <c r="E209" i="1"/>
  <c r="E207" i="1"/>
  <c r="E204" i="1"/>
  <c r="E195" i="1"/>
  <c r="E184" i="1"/>
  <c r="E189" i="1" s="1"/>
  <c r="E132" i="1"/>
  <c r="E94" i="1"/>
  <c r="E78" i="1"/>
  <c r="E64" i="1"/>
  <c r="E63" i="1"/>
  <c r="E61" i="1"/>
  <c r="E48" i="1"/>
  <c r="E150" i="1" s="1"/>
  <c r="E47" i="1"/>
  <c r="E42" i="1"/>
  <c r="E38" i="1"/>
  <c r="E31" i="1"/>
  <c r="E24" i="1"/>
  <c r="D17" i="3" a="1"/>
  <c r="D17" i="3" s="1"/>
  <c r="F221" i="1"/>
  <c r="G248" i="1"/>
  <c r="F235" i="1"/>
  <c r="F241" i="1" s="1"/>
  <c r="H207" i="1"/>
  <c r="H221" i="1" s="1"/>
  <c r="E214" i="1"/>
  <c r="E246" i="1"/>
  <c r="E244" i="1" s="1"/>
  <c r="E243" i="1"/>
  <c r="E97" i="1"/>
  <c r="E95" i="1"/>
  <c r="E85" i="1"/>
  <c r="E74" i="1"/>
  <c r="E36" i="1"/>
  <c r="E17" i="1"/>
  <c r="G243" i="1"/>
  <c r="H243" i="1"/>
  <c r="F243" i="1"/>
  <c r="F12" i="3"/>
  <c r="G12" i="3"/>
  <c r="D18" i="3"/>
  <c r="F242" i="1" l="1"/>
  <c r="E19" i="3"/>
  <c r="E190" i="1"/>
  <c r="E187" i="1" s="1"/>
  <c r="F21" i="3"/>
  <c r="F248" i="1"/>
  <c r="E12" i="3"/>
  <c r="H238" i="1"/>
  <c r="G149" i="1"/>
  <c r="G147" i="1" s="1"/>
  <c r="E149" i="1"/>
  <c r="E151" i="1"/>
  <c r="F158" i="1"/>
  <c r="F153" i="1" s="1"/>
  <c r="H155" i="1"/>
  <c r="H153" i="1" s="1"/>
  <c r="H219" i="1"/>
  <c r="E156" i="1"/>
  <c r="E153" i="1" s="1"/>
  <c r="H147" i="1"/>
  <c r="E221" i="1"/>
  <c r="E219" i="1" s="1"/>
  <c r="F240" i="1"/>
  <c r="F238" i="1" s="1"/>
  <c r="G240" i="1"/>
  <c r="G238" i="1" s="1"/>
  <c r="E240" i="1"/>
  <c r="E238" i="1" s="1"/>
  <c r="G153" i="1"/>
  <c r="F147" i="1"/>
  <c r="D12" i="3"/>
  <c r="E18" i="3"/>
  <c r="F18" i="3"/>
  <c r="G18" i="3"/>
  <c r="F190" i="1"/>
  <c r="G190" i="1"/>
  <c r="H190" i="1"/>
  <c r="F17" i="3" a="1"/>
  <c r="F17" i="3" s="1"/>
  <c r="G17" i="3" a="1"/>
  <c r="G17" i="3" s="1"/>
  <c r="F16" i="3"/>
  <c r="G16" i="3"/>
  <c r="E17" i="3" a="1"/>
  <c r="E17" i="3" s="1"/>
  <c r="F13" i="3"/>
  <c r="G13" i="3"/>
  <c r="F10" i="3" a="1"/>
  <c r="F10" i="3" s="1"/>
  <c r="G10" i="3" a="1"/>
  <c r="G10" i="3" s="1"/>
  <c r="F9" i="3"/>
  <c r="G9" i="3"/>
  <c r="E16" i="3"/>
  <c r="E13" i="3"/>
  <c r="E10" i="3" a="1"/>
  <c r="E10" i="3" s="1"/>
  <c r="E9" i="3"/>
  <c r="D16" i="3"/>
  <c r="D10" i="3" a="1"/>
  <c r="D10" i="3" s="1"/>
  <c r="D9" i="3"/>
  <c r="G23" i="3"/>
  <c r="H246" i="1"/>
  <c r="H244" i="1" s="1"/>
  <c r="E147" i="1" l="1"/>
  <c r="E247" i="1" s="1"/>
  <c r="D20" i="3"/>
  <c r="D21" i="3"/>
  <c r="G8" i="3"/>
  <c r="H189" i="1"/>
  <c r="H187" i="1" s="1"/>
  <c r="H247" i="1" s="1"/>
  <c r="F219" i="1" l="1"/>
  <c r="G219" i="1"/>
  <c r="E23" i="3"/>
  <c r="F23" i="3"/>
  <c r="D23" i="3"/>
  <c r="F246" i="1" l="1"/>
  <c r="F244" i="1" s="1"/>
  <c r="G246" i="1"/>
  <c r="G244" i="1" s="1"/>
  <c r="G189" i="1" l="1"/>
  <c r="G187" i="1" s="1"/>
  <c r="G247" i="1" s="1"/>
  <c r="D14" i="3"/>
  <c r="D8" i="3"/>
  <c r="E8" i="3"/>
  <c r="F8" i="3"/>
  <c r="D13" i="3"/>
  <c r="F187" i="1"/>
  <c r="F247" i="1" s="1"/>
  <c r="D6" i="3" l="1"/>
  <c r="D22" i="3" s="1"/>
  <c r="H249" i="1" l="1"/>
  <c r="G24" i="3" s="1"/>
  <c r="G6" i="3"/>
  <c r="G14" i="3"/>
  <c r="E14" i="3"/>
  <c r="E6" i="3"/>
  <c r="F249" i="1" l="1"/>
  <c r="E24" i="3" s="1"/>
  <c r="G249" i="1"/>
  <c r="F24" i="3" s="1"/>
  <c r="E22" i="3"/>
  <c r="G22" i="3"/>
  <c r="F14" i="3" l="1"/>
  <c r="F6" i="3"/>
  <c r="F2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Inga Mikalauskienė</author>
    <author>Vaiva Lukošienė</author>
    <author>Rima Ališauskė</author>
    <author>Saulina Paulauskienė</author>
    <author>Saulina Paulauskiene</author>
  </authors>
  <commentList>
    <comment ref="J9" authorId="0" shapeId="0" xr:uid="{9511FF22-A7C4-460D-9AF6-A5E99808D4DF}">
      <text>
        <r>
          <rPr>
            <sz val="11"/>
            <color theme="1"/>
            <rFont val="Calibri"/>
            <family val="2"/>
            <charset val="186"/>
            <scheme val="minor"/>
          </rPr>
          <t xml:space="preserve">VDA 2024 m. duomenys:
keliai su patobulinta danga 358 km ir visi keliai 399 km
</t>
        </r>
      </text>
    </comment>
    <comment ref="J10" authorId="0" shapeId="0" xr:uid="{4CD00AFC-8129-483C-8534-55F80A3962A0}">
      <text>
        <r>
          <rPr>
            <sz val="11"/>
            <color theme="1"/>
            <rFont val="Calibri"/>
            <family val="2"/>
            <charset val="186"/>
            <scheme val="minor"/>
          </rPr>
          <t xml:space="preserve">VDA 2024 m. duomenys
</t>
        </r>
      </text>
    </comment>
    <comment ref="J12" authorId="0" shapeId="0" xr:uid="{EF217B71-DE1C-4734-8B3F-5F15BF660D45}">
      <text>
        <r>
          <rPr>
            <sz val="11"/>
            <color theme="1"/>
            <rFont val="Calibri"/>
            <family val="2"/>
            <charset val="186"/>
            <scheme val="minor"/>
          </rPr>
          <t xml:space="preserve">P. Komunos g. kapitalinis remontas (20 vnt. automobilių stovėjimo vietų)
Debreceno g. 48 privažiuojamasis kelias ir teritorija (daugiabučio kiemo aikštelė) (136 automobilių stovėjimo vietų) </t>
        </r>
      </text>
    </comment>
    <comment ref="K12" authorId="1" shapeId="0" xr:uid="{4C549130-3422-4AFC-8541-8C0FA604EE00}">
      <text>
        <r>
          <rPr>
            <sz val="11"/>
            <color theme="1"/>
            <rFont val="Calibri"/>
            <family val="2"/>
            <charset val="186"/>
            <scheme val="minor"/>
          </rPr>
          <t>1. Įvažiuojamas kelias ties Vingio g. nuo Vaigaudų ir Bandužių g. ir ties Vingio g. 37 – 433 vietos
2. Įvažiuojamas kelias į Smiltelės g. 14, I. Simonaitytės 24, 26 – 37 vietos
3. Smiltynės automobilių stovėjimo aikštelės atnaujinimas (prie Senosios perkėlos) - 60 vietų
4. Automobilių stovėjimo aikštelė Bangų g. 3: atnaujinta - 60 vietų, įrengta naujų - 20 vietų.</t>
        </r>
      </text>
    </comment>
    <comment ref="L12" authorId="1" shapeId="0" xr:uid="{D64638C4-39FE-4D79-9CB9-F0BDE9546BFB}">
      <text>
        <r>
          <rPr>
            <sz val="11"/>
            <color theme="1"/>
            <rFont val="Calibri"/>
            <family val="2"/>
            <charset val="186"/>
            <scheme val="minor"/>
          </rPr>
          <t>Įvažiuojama aikštelė prie Simonaitytės kalno – 90 vietų</t>
        </r>
      </text>
    </comment>
    <comment ref="I14" authorId="0" shapeId="0" xr:uid="{476DACB5-5A89-4CB5-9C5C-FB612A93D84D}">
      <text>
        <r>
          <rPr>
            <sz val="11"/>
            <color theme="1"/>
            <rFont val="Calibri"/>
            <family val="2"/>
            <charset val="186"/>
            <scheme val="minor"/>
          </rPr>
          <t>Pėsčiųjų takų ir panduso įrengimas ties Šilutės pl. 35A ir sujungimas nuo geležinkelio viaduko su Pramonės g.</t>
        </r>
      </text>
    </comment>
    <comment ref="F15" authorId="2" shapeId="0" xr:uid="{3EC2997B-6FD4-44C6-BDE4-55AA63922BFE}">
      <text>
        <r>
          <rPr>
            <sz val="11"/>
            <color theme="1"/>
            <rFont val="Calibri"/>
            <family val="2"/>
            <charset val="186"/>
            <scheme val="minor"/>
          </rPr>
          <t>Pandusą planuojama užbaigti  2026 m.</t>
        </r>
      </text>
    </comment>
    <comment ref="H21" authorId="2" shapeId="0" xr:uid="{42C4B9ED-9E16-47C3-B7B6-29FA127AC097}">
      <text>
        <r>
          <rPr>
            <sz val="11"/>
            <color theme="1"/>
            <rFont val="Calibri"/>
            <family val="2"/>
            <charset val="186"/>
            <scheme val="minor"/>
          </rPr>
          <t>Rezervas</t>
        </r>
      </text>
    </comment>
    <comment ref="I23" authorId="2" shapeId="0" xr:uid="{539C0F88-D2EC-449B-B243-B086C4DD06EF}">
      <text>
        <r>
          <rPr>
            <sz val="11"/>
            <color theme="1"/>
            <rFont val="Calibri"/>
            <family val="2"/>
            <charset val="186"/>
            <scheme val="minor"/>
          </rPr>
          <t xml:space="preserve">Rima Ališauskė:
Artojo g. </t>
        </r>
      </text>
    </comment>
    <comment ref="I28" authorId="0" shapeId="0" xr:uid="{87991B4E-CF21-4DE3-B319-A88827384415}">
      <text>
        <r>
          <rPr>
            <sz val="11"/>
            <color theme="1"/>
            <rFont val="Calibri"/>
            <family val="2"/>
            <charset val="186"/>
            <scheme val="minor"/>
          </rPr>
          <t xml:space="preserve">Baltijos 8-oji g., Baltijos 9-oji g., Baltijos 10-oji g., Baltijos 11-oji g.
</t>
        </r>
      </text>
    </comment>
    <comment ref="I29" authorId="0" shapeId="0" xr:uid="{446FBFD8-1A76-48B9-8CEF-3C3782E34AC4}">
      <text>
        <r>
          <rPr>
            <sz val="11"/>
            <color theme="1"/>
            <rFont val="Calibri"/>
            <family val="2"/>
            <charset val="186"/>
            <scheme val="minor"/>
          </rPr>
          <t xml:space="preserve">Raganių 3-oji g. ir Raganių 4-oji g.
</t>
        </r>
      </text>
    </comment>
    <comment ref="I30" authorId="2" shapeId="0" xr:uid="{ACD0F10C-CECB-4EA8-9E3C-77B62E5597E2}">
      <text>
        <r>
          <rPr>
            <sz val="11"/>
            <color theme="1"/>
            <rFont val="Calibri"/>
            <family val="2"/>
            <charset val="186"/>
            <scheme val="minor"/>
          </rPr>
          <t>Baltijos 12-oji, Baltijos 14-oji, Inkaro 2-oji, Inkaro 3-oji</t>
        </r>
      </text>
    </comment>
    <comment ref="I31" authorId="2" shapeId="0" xr:uid="{7E4C169A-C3BF-4AFA-81DD-F739367F9584}">
      <text>
        <r>
          <rPr>
            <sz val="11"/>
            <color theme="1"/>
            <rFont val="Calibri"/>
            <family val="2"/>
            <charset val="186"/>
            <scheme val="minor"/>
          </rPr>
          <t xml:space="preserve">Tauro 18-oji g. 
Tauro 2-oji g. </t>
        </r>
      </text>
    </comment>
    <comment ref="I32" authorId="2" shapeId="0" xr:uid="{33FAF068-1756-4A51-96AA-E961A628D062}">
      <text>
        <r>
          <rPr>
            <sz val="11"/>
            <color theme="1"/>
            <rFont val="Calibri"/>
            <family val="2"/>
            <charset val="186"/>
            <scheme val="minor"/>
          </rPr>
          <t xml:space="preserve">Tauro 18-oji g. 
Tauro 2-oji g. </t>
        </r>
      </text>
    </comment>
    <comment ref="I33" authorId="0" shapeId="0" xr:uid="{D2C3FBDC-CB3B-42C2-9763-87395ED1EC02}">
      <text>
        <r>
          <rPr>
            <sz val="11"/>
            <color theme="1"/>
            <rFont val="Calibri"/>
            <family val="2"/>
            <charset val="186"/>
            <scheme val="minor"/>
          </rPr>
          <t>Raganių 1-oji g., Raganių 2-oji g.</t>
        </r>
      </text>
    </comment>
    <comment ref="I36" authorId="2" shapeId="0" xr:uid="{F6E01D2D-708B-4D4E-BC30-156B4FCDBB7A}">
      <text>
        <r>
          <rPr>
            <sz val="11"/>
            <color theme="1"/>
            <rFont val="Calibri"/>
            <family val="2"/>
            <charset val="186"/>
            <scheme val="minor"/>
          </rPr>
          <t xml:space="preserve">Neatitiko reikalavimų ir nepasirašyta sutartis su bendruomene dėl prisidėjimo </t>
        </r>
      </text>
    </comment>
    <comment ref="F50" authorId="3" shapeId="0" xr:uid="{13F5A649-70F2-4DCA-99D8-8DDAA4E8DC4B}">
      <text>
        <r>
          <rPr>
            <sz val="11"/>
            <color theme="1"/>
            <rFont val="Calibri"/>
            <family val="2"/>
            <charset val="186"/>
            <scheme val="minor"/>
          </rPr>
          <t>AB „Klaipėdos Smeltė“ skirtos lėšos Naikupės g. šaligatvių remontui</t>
        </r>
      </text>
    </comment>
    <comment ref="J50" authorId="3" shapeId="0" xr:uid="{2FFE265D-767A-4526-9312-4944DF9E5237}">
      <text>
        <r>
          <rPr>
            <sz val="11"/>
            <color theme="1"/>
            <rFont val="Calibri"/>
            <family val="2"/>
            <charset val="186"/>
            <scheme val="minor"/>
          </rPr>
          <t xml:space="preserve">Lopšelis-darželis „Žiogelis“;  
 Lopšelis-darželis „Vėtrungėlė“;   
Hermano Zudermano gimnazija. </t>
        </r>
      </text>
    </comment>
    <comment ref="K50" authorId="1" shapeId="0" xr:uid="{934E64B1-E35C-404D-8B21-C936A70C5A63}">
      <text>
        <r>
          <rPr>
            <sz val="11"/>
            <color theme="1"/>
            <rFont val="Calibri"/>
            <family val="2"/>
            <charset val="186"/>
            <scheme val="minor"/>
          </rPr>
          <t xml:space="preserve">1. Klaipėdos lopšelis-darželis „Žuvėdra“;
2. Klaipėdos Saulėtekio progimnazija 
</t>
        </r>
      </text>
    </comment>
    <comment ref="C54" authorId="0" shapeId="0" xr:uid="{AF1BAEA1-8D43-42D8-992A-2296EFB4674E}">
      <text>
        <r>
          <rPr>
            <sz val="11"/>
            <color theme="1"/>
            <rFont val="Calibri"/>
            <family val="2"/>
            <charset val="186"/>
            <scheme val="minor"/>
          </rPr>
          <t xml:space="preserve">Papriemonės įgyvendinimas perkeltas į 007 programos papriemonę 007-01-01-20 „Statinių, keliančių pavojų gyvybei ir sveikatai, griovimas“ </t>
        </r>
      </text>
    </comment>
    <comment ref="C56" authorId="0" shapeId="0" xr:uid="{EA2A40D9-F41F-40E7-842F-56CB0366C6B2}">
      <text>
        <r>
          <rPr>
            <sz val="11"/>
            <color theme="1"/>
            <rFont val="Calibri"/>
            <family val="2"/>
            <charset val="186"/>
            <scheme val="minor"/>
          </rPr>
          <t xml:space="preserve">Prijungtas Biržos tilto remontas
</t>
        </r>
      </text>
    </comment>
    <comment ref="C60" authorId="0" shapeId="0" xr:uid="{552FCBAC-AA43-4958-AD81-EDF0D1688B47}">
      <text>
        <r>
          <rPr>
            <sz val="11"/>
            <color theme="1"/>
            <rFont val="Calibri"/>
            <family val="2"/>
            <charset val="186"/>
            <scheme val="minor"/>
          </rPr>
          <t xml:space="preserve">Biržos tilto remontas perkeltas į papriemonę „Tiltų ir kelio statinių priežiūra, remontas“ 
</t>
        </r>
      </text>
    </comment>
    <comment ref="L71" authorId="0" shapeId="0" xr:uid="{C6F3790F-C551-4605-96DA-765CDFACC55C}">
      <text>
        <r>
          <rPr>
            <sz val="11"/>
            <color theme="1"/>
            <rFont val="Calibri"/>
            <family val="2"/>
            <charset val="186"/>
            <scheme val="minor"/>
          </rPr>
          <t xml:space="preserve">Projektavimo skyrius:
1. Įvažiuojamasis kelias į Liepojos g. 150;
2. Įvažiuojamasis kelias į Šilutės pl. 109A;
3. Apvažiuojamasis kelias apie Kretingos g. 179A;
4. Įvažiuojamasis kelias į mažojo kaimelio g. 62A sklypą;
5. Gulbių gatvė;
6. Škunų gatvė;
7. Irklų gatvė;
8. Įvažiuojamasis kelias į Veterinarijos g. 20, 38. </t>
        </r>
      </text>
    </comment>
    <comment ref="J73" authorId="3" shapeId="0" xr:uid="{BBB4EDD5-8F90-4170-8344-1BB80FDC34F4}">
      <text>
        <r>
          <rPr>
            <sz val="11"/>
            <color theme="1"/>
            <rFont val="Calibri"/>
            <family val="2"/>
            <charset val="186"/>
            <scheme val="minor"/>
          </rPr>
          <t xml:space="preserve">1. Įvažiuojamojo kelio ties Jūrininkų pr. nuo Vingio g. iki Bandužių g. 
2. Įvažiuojamos aikštelės prie Mogiliovo g. ir Lūžų g. sankryžos 
3. Įvažiuojamojo kelio į Smiltelės g. 14, I. Simonaitytės 24, 26  
</t>
        </r>
      </text>
    </comment>
    <comment ref="K73" authorId="1" shapeId="0" xr:uid="{3211E9F7-CBD2-4240-9101-D61C326FEC5C}">
      <text>
        <r>
          <rPr>
            <sz val="11"/>
            <color theme="1"/>
            <rFont val="Calibri"/>
            <family val="2"/>
            <charset val="186"/>
            <scheme val="minor"/>
          </rPr>
          <t>1. Įvažiuojamojo kelio į Smiltelės g. 14, I. Simonaitytės 24, 26
(Įvažiuojama aikštelė prie Simonaitytės kalno - PROJEKTUOJA PROJEKTAVIMO SKYRIUS)</t>
        </r>
      </text>
    </comment>
    <comment ref="L73" authorId="1" shapeId="0" xr:uid="{7FC0EBFC-2E0C-4C6A-96BB-61D4C255D51F}">
      <text>
        <r>
          <rPr>
            <sz val="11"/>
            <color theme="1"/>
            <rFont val="Calibri"/>
            <family val="2"/>
            <charset val="186"/>
            <scheme val="minor"/>
          </rPr>
          <t>Įvažiuojamos aikštelės prie I. Simonaitytės kalno projektavimas</t>
        </r>
      </text>
    </comment>
    <comment ref="K74" authorId="1" shapeId="0" xr:uid="{F3C98113-03CA-466D-8700-65F0DE15F73F}">
      <text>
        <r>
          <rPr>
            <sz val="11"/>
            <color theme="1"/>
            <rFont val="Calibri"/>
            <family val="2"/>
            <charset val="186"/>
            <scheme val="minor"/>
          </rPr>
          <t>1. Įvažiuojamas kelias ties Vingio g. nuo Vaigaudų ir Bandužių g. ir ties Vingio g. 37</t>
        </r>
      </text>
    </comment>
    <comment ref="L74" authorId="1" shapeId="0" xr:uid="{3BD60DE7-8753-4778-B949-8D2F3833D63A}">
      <text>
        <r>
          <rPr>
            <sz val="11"/>
            <color theme="1"/>
            <rFont val="Calibri"/>
            <family val="2"/>
            <charset val="186"/>
            <scheme val="minor"/>
          </rPr>
          <t xml:space="preserve">1. Įvažiuojama aikštelė prie Simonaitytės kalno
</t>
        </r>
      </text>
    </comment>
    <comment ref="I77" authorId="0" shapeId="0" xr:uid="{62100BE6-7B9C-46D7-B7E0-6CDE77B58B77}">
      <text>
        <r>
          <rPr>
            <sz val="11"/>
            <color theme="1"/>
            <rFont val="Calibri"/>
            <family val="2"/>
            <charset val="186"/>
            <scheme val="minor"/>
          </rPr>
          <t>Lietaus nuotekų tinklų</t>
        </r>
      </text>
    </comment>
    <comment ref="I89" authorId="0" shapeId="0" xr:uid="{A33F907B-3DB6-437E-83CE-901E3E2D0F55}">
      <text>
        <r>
          <rPr>
            <sz val="11"/>
            <color theme="1"/>
            <rFont val="Calibri"/>
            <family val="2"/>
            <charset val="186"/>
            <scheme val="minor"/>
          </rPr>
          <t xml:space="preserve">Rangos darbai bus planuojami, parengus techninį projektą
</t>
        </r>
      </text>
    </comment>
    <comment ref="C105" authorId="0" shapeId="0" xr:uid="{92AA1C3F-68A6-416A-940E-FB4C8E9AE22F}">
      <text>
        <r>
          <rPr>
            <sz val="11"/>
            <color theme="1"/>
            <rFont val="Calibri"/>
            <family val="2"/>
            <charset val="186"/>
            <scheme val="minor"/>
          </rPr>
          <t>Pagal 2024-09-20 Partnerystės sutartį Klaipėdos rajono savivaldybė rengia techninį projektą ir inicijuos rangos darbų pirkimą. Rangos darbai planuojami tik 2026 m. Šia sutartimi Klaipėdos miesto savivaldybės administracija įsipareigos kompensuoti patiriamas išlaidas techniniam projektui parengti ir statybos darbų atlikimui.</t>
        </r>
      </text>
    </comment>
    <comment ref="C127" authorId="2" shapeId="0" xr:uid="{D65F815C-B3DD-4519-AD53-03ECF29AA8E8}">
      <text>
        <r>
          <rPr>
            <sz val="11"/>
            <color theme="1"/>
            <rFont val="Calibri"/>
            <family val="2"/>
            <charset val="186"/>
            <scheme val="minor"/>
          </rPr>
          <t xml:space="preserve">2025 m. Statybos skyrius parengė priešprojektinius pasiūlymus, kuriais remiantis sankryžos sprendiniai patenka į 4 sklypus, kuriems reikalingi tų žemės sklypų savininkų pritarimai. 2 pritarimai yra gauti, 2 – dar trūksta. Trūksta sutikimų iš KVJUD ir privataus asmens. Negavus šių pritarimų, negalima rengti projektinių pasiūlymų ir techninio darbo projekto. </t>
        </r>
      </text>
    </comment>
    <comment ref="K127" authorId="0" shapeId="0" xr:uid="{FC559D34-DBA6-4844-A191-6F035D3F9044}">
      <text>
        <r>
          <rPr>
            <sz val="11"/>
            <color theme="1"/>
            <rFont val="Calibri"/>
            <family val="2"/>
            <charset val="186"/>
            <scheme val="minor"/>
          </rPr>
          <t xml:space="preserve">2025 m. Statybos skyrius parengė priešprojektinius pasiūlymus, kuriais remiantis sankryžos sprendiniai patenka į 4 sklypus, kuriems reikalingi tų žemės sklypų savininkų pritarimai. 2 pritarimai yra gauti, 2 – dar trūksta. Trūksta sutikimų iš KVJUD ir privataus asmens. Negavus šių pritarimų, negalima rengti projektinių pasiūlymų ir techninio darbo projekto. </t>
        </r>
      </text>
    </comment>
    <comment ref="C129" authorId="0" shapeId="0" xr:uid="{26F2D9D6-B32D-4BE8-A58D-181A3616AE43}">
      <text>
        <r>
          <rPr>
            <sz val="11"/>
            <color theme="1"/>
            <rFont val="Calibri"/>
            <family val="2"/>
            <charset val="186"/>
            <scheme val="minor"/>
          </rPr>
          <t xml:space="preserve">Yra pasirašyta infrastruktūros sutartis pagal kurią vystytojas įsipareigojo suprojektuoti ir pastatyti šią sankryžą. Tačiau yra raštas, kad vystytojas nori nutraukti infrastruktūros sutartį. </t>
        </r>
      </text>
    </comment>
    <comment ref="K129" authorId="0" shapeId="0" xr:uid="{66EA68ED-07B4-4E97-9FC4-CABED9DDAADE}">
      <text>
        <r>
          <rPr>
            <sz val="11"/>
            <color theme="1"/>
            <rFont val="Calibri"/>
            <family val="2"/>
            <charset val="186"/>
            <scheme val="minor"/>
          </rPr>
          <t xml:space="preserve">Yra pasirašyta infrastruktūros sutartis pagal kurią vystytojas įsipareigojo suprojektuoti ir pastatyti šią sankryžą. Tačiau yra gautas raštas, kad vystytojas nori nutraukti infrastruktūros sutartį. </t>
        </r>
      </text>
    </comment>
    <comment ref="L136" authorId="0" shapeId="0" xr:uid="{301D95FE-FC79-46ED-AE9F-32E9790818E5}">
      <text>
        <r>
          <rPr>
            <sz val="11"/>
            <color theme="1"/>
            <rFont val="Calibri"/>
            <family val="2"/>
            <charset val="186"/>
            <scheme val="minor"/>
          </rPr>
          <t>1. Mėsininkų g. nuo Žvejų g. iki Didžiosios Vandens g.;
2. Vežėjų g. nuo Žvejų g. iki Turgaus g.;
3. Kurpių g. nuo Tiltų g. iki Turgaus g.;
4. Kalvių g.;
5. Mažosios Vandens g. nuo Tiltų g. iki Turgaus g.;
6. Kepėjų g. nuo Tiltų g. iki Kurpių g.;
7. Jono g. nuo Tiltų g. iki Kurpių g.;
8. Tomo g. nuo Tiltų g. iki Pylimo g.
9. Pylimo g.</t>
        </r>
      </text>
    </comment>
    <comment ref="I160" authorId="0" shapeId="0" xr:uid="{384B3085-88D1-4E88-BA65-351DD787104E}">
      <text>
        <r>
          <rPr>
            <sz val="11"/>
            <color theme="1"/>
            <rFont val="Calibri"/>
            <family val="2"/>
            <charset val="186"/>
            <scheme val="minor"/>
          </rPr>
          <t xml:space="preserve">UAB „Klaipėdos paslaugos“
</t>
        </r>
      </text>
    </comment>
    <comment ref="I161" authorId="0" shapeId="0" xr:uid="{CF73A0C4-CE49-42DF-A8A5-ECE8F458D5A2}">
      <text>
        <r>
          <rPr>
            <sz val="11"/>
            <color theme="1"/>
            <rFont val="Calibri"/>
            <family val="2"/>
            <charset val="186"/>
            <scheme val="minor"/>
          </rPr>
          <t xml:space="preserve">UAB „Klaipėdos paslaugos“
</t>
        </r>
      </text>
    </comment>
    <comment ref="K167" authorId="0" shapeId="0" xr:uid="{B7F0331A-183E-4237-AC3E-E6AC406823DF}">
      <text>
        <r>
          <rPr>
            <sz val="11"/>
            <color theme="1"/>
            <rFont val="Calibri"/>
            <family val="2"/>
            <charset val="186"/>
            <scheme val="minor"/>
          </rPr>
          <t>keleiviai persiorientuoja iš vienkartinių į trumpalaikius (1 dienos bilietus)</t>
        </r>
      </text>
    </comment>
    <comment ref="I168" authorId="3" shapeId="0" xr:uid="{8A79EB32-2671-4CAC-A0F3-64E55FFB26F8}">
      <text>
        <r>
          <rPr>
            <sz val="11"/>
            <color theme="1"/>
            <rFont val="Calibri"/>
            <family val="2"/>
            <charset val="186"/>
            <scheme val="minor"/>
          </rPr>
          <t>Klaipėdiečio kortelė - metiniai</t>
        </r>
      </text>
    </comment>
    <comment ref="F169" authorId="0" shapeId="0" xr:uid="{F6921D75-28C3-4DDE-94E0-0F6C678055BF}">
      <text>
        <r>
          <rPr>
            <sz val="11"/>
            <color theme="1"/>
            <rFont val="Calibri"/>
            <family val="2"/>
            <charset val="186"/>
            <scheme val="minor"/>
          </rPr>
          <t xml:space="preserve">Kompensuojamų lėšų poreikio augimą lemia:
1) 2022-01-01 įsigaliojusio 365 dienų galiojimo senjorų, vyresnių nei 70 metų, bilieto populiarumas (2026 m. toliau didės gyventojų dalis 70+ metų kategorijose), 
2) papildomas lengvatos įvedimas senjorams nuo 65 metų amžiaus; 
3) lengvatų įstatymo pasikeitimas nuo 2025-04-01 (mokiniai/studentams lengvata vienkartiniams bilietams pasikeitė nuo 50 iki 80 proc.). </t>
        </r>
      </text>
    </comment>
    <comment ref="K169" authorId="0" shapeId="0" xr:uid="{E67457ED-03D8-4D5E-B8B3-6BB0EA206B23}">
      <text>
        <r>
          <rPr>
            <sz val="11"/>
            <color theme="1"/>
            <rFont val="Calibri"/>
            <family val="2"/>
            <charset val="186"/>
            <scheme val="minor"/>
          </rPr>
          <t xml:space="preserve">keleiviai persiorientuoja iš vienkartinių į trumpalaikius (1 dienos bilietus)
</t>
        </r>
      </text>
    </comment>
    <comment ref="K170" authorId="0" shapeId="0" xr:uid="{487CBA88-946D-4238-B685-4317175FED80}">
      <text>
        <r>
          <rPr>
            <sz val="11"/>
            <color theme="1"/>
            <rFont val="Calibri"/>
            <family val="2"/>
            <charset val="186"/>
            <scheme val="minor"/>
          </rPr>
          <t>keleiviai persiorientuoja iš vienkartinių į trumpalaikius (1 dienos bilietus)</t>
        </r>
      </text>
    </comment>
    <comment ref="I171" authorId="4" shapeId="0" xr:uid="{2C064BAD-8F97-49AF-B203-784C9CDFA391}">
      <text>
        <r>
          <rPr>
            <sz val="11"/>
            <color theme="1"/>
            <rFont val="Calibri"/>
            <family val="2"/>
            <charset val="186"/>
            <scheme val="minor"/>
          </rPr>
          <t xml:space="preserve">Lengvatiniai 10 eurų bilietai: 
• pradinukų 9 mėnesių 
• senjorų nuo 70 metų metiniai (nuo 2026 metų - senjorų nuo 65 metų metiniai) su Klaipėdiečio kortelė
</t>
        </r>
      </text>
    </comment>
    <comment ref="I172" authorId="4" shapeId="0" xr:uid="{7593F946-A46F-458B-9D9F-FE8134122AB9}">
      <text>
        <r>
          <rPr>
            <sz val="9"/>
            <color indexed="81"/>
            <rFont val="Tahoma"/>
            <family val="2"/>
            <charset val="186"/>
          </rPr>
          <t>Iš kaimų ir kitų miestų važinėjantiems moksleiviams kompensuojama per sutartis su mokyklomis</t>
        </r>
      </text>
    </comment>
    <comment ref="F175" authorId="0" shapeId="0" xr:uid="{542790C3-06D3-432F-A07C-173AF161ED1D}">
      <text>
        <r>
          <rPr>
            <sz val="11"/>
            <color theme="1"/>
            <rFont val="Calibri"/>
            <family val="2"/>
            <charset val="186"/>
            <scheme val="minor"/>
          </rPr>
          <t>Suma didėja dėl naujai sudarytų sutarčių su vežėjais. Reikalavimas vežti ekologiškais autobusais įkainius ženkliai padidino. Taip pat didėja vežėjų  PVM nuo 9 iki 12 proc.</t>
        </r>
      </text>
    </comment>
    <comment ref="J176" authorId="3" shapeId="0" xr:uid="{2F3F6C02-C02F-48D5-8E8C-C2383108E62D}">
      <text>
        <r>
          <rPr>
            <sz val="11"/>
            <color theme="1"/>
            <rFont val="Calibri"/>
            <family val="2"/>
            <charset val="186"/>
            <scheme val="minor"/>
          </rPr>
          <t xml:space="preserve">26 elektra varomi autobusai (13 trumpų ir 13 ilgų)
</t>
        </r>
      </text>
    </comment>
    <comment ref="E177" authorId="0" shapeId="0" xr:uid="{CC9B7284-D1AD-4466-9324-3494C0D4C9B8}">
      <text>
        <r>
          <rPr>
            <sz val="11"/>
            <color theme="1"/>
            <rFont val="Calibri"/>
            <family val="2"/>
            <charset val="186"/>
            <scheme val="minor"/>
          </rPr>
          <t>2025-08-31 d. baigia galioti miesto maršrutų aptarnavimo sutartys, todėl lėšų poreikis dėl naudojamų transporto priemonių pakeitimo ekologiškomis viešojo transporto priemonėmis teikiamas už laikotarpį 2025 m. 01-08 mėn.</t>
        </r>
      </text>
    </comment>
    <comment ref="J180" authorId="3" shapeId="0" xr:uid="{D1C9A6F9-7459-4554-B139-513A2AD0BC8B}">
      <text>
        <r>
          <rPr>
            <sz val="11"/>
            <color theme="1"/>
            <rFont val="Calibri"/>
            <family val="2"/>
            <charset val="186"/>
            <scheme val="minor"/>
          </rPr>
          <t>1.Sodų bendrija „Vaiteliai“–„Rasa“.  
2. Klaipėdos autobusų stotis–Palangos oro uostas. 
3.- 5. Trys skirtingi maršrutai (22, 22A ir 22B)  į LEZ teritoriją.
6. Danės upės vandens kelias.</t>
        </r>
      </text>
    </comment>
    <comment ref="K180" authorId="3" shapeId="0" xr:uid="{E609C5EB-7B94-493A-80F2-093FDC76FBB5}">
      <text>
        <r>
          <rPr>
            <sz val="11"/>
            <color theme="1"/>
            <rFont val="Calibri"/>
            <family val="2"/>
            <charset val="186"/>
            <scheme val="minor"/>
          </rPr>
          <t>1.Sodų bendrija „Vaiteliai“–„Rasa“.  
2. Klaipėdos autobusų stotis–Palangos oro uostas. 
3.- 5. Trys skirtingi maršrutai (22, 22A ir 22B)  į LEZ teritoriją.
6. Danės upės vandens kelias.</t>
        </r>
      </text>
    </comment>
    <comment ref="L180" authorId="3" shapeId="0" xr:uid="{AA79E508-C969-4D05-8CCD-623B6EEA0B73}">
      <text>
        <r>
          <rPr>
            <sz val="11"/>
            <color theme="1"/>
            <rFont val="Calibri"/>
            <family val="2"/>
            <charset val="186"/>
            <scheme val="minor"/>
          </rPr>
          <t>1.Sodų bendrija „Vaiteliai“–„Rasa“.  
2. Klaipėdos autobusų stotis–Palangos oro uostas. 
3.- 5. Trys skirtingi maršrutai (22, 22A ir 22B)  į LEZ teritoriją.
6. Danės upės vandens kelias.</t>
        </r>
      </text>
    </comment>
    <comment ref="M180" authorId="3" shapeId="0" xr:uid="{9D604A44-B197-48E9-8420-58BB96FD9287}">
      <text>
        <r>
          <rPr>
            <sz val="11"/>
            <color theme="1"/>
            <rFont val="Calibri"/>
            <family val="2"/>
            <charset val="186"/>
            <scheme val="minor"/>
          </rPr>
          <t>1.Sodų bendrija „Vaiteliai“–„Rasa“.  
2. Klaipėdos autobusų stotis–Palangos oro uostas. 
3.- 5. Trys skirtingi maršrutai (22, 22A ir 22B)  į LEZ teritoriją.
6. Danės upės vandens kelias.</t>
        </r>
      </text>
    </comment>
    <comment ref="K183" authorId="1" shapeId="0" xr:uid="{4FB0C8AC-4E28-4E36-9AAD-7A766BC8041C}">
      <text>
        <r>
          <rPr>
            <sz val="11"/>
            <color theme="1"/>
            <rFont val="Calibri"/>
            <family val="2"/>
            <charset val="186"/>
            <scheme val="minor"/>
          </rPr>
          <t>Vėtrungės st. (Taikos pr. 28)</t>
        </r>
      </text>
    </comment>
    <comment ref="I185" authorId="2" shapeId="0" xr:uid="{87F68FAA-0FC4-4987-94D3-49B587FA2BE4}">
      <text>
        <r>
          <rPr>
            <sz val="11"/>
            <color theme="1"/>
            <rFont val="Calibri"/>
            <family val="2"/>
            <charset val="186"/>
            <scheme val="minor"/>
          </rPr>
          <t>2 vnt.: įrengimas Šiaurės prospekte šalia Pievų g. sankryžos Klaipėdoje (prie Valstybės įmonės „Regitra</t>
        </r>
      </text>
    </comment>
    <comment ref="F195" authorId="0" shapeId="0" xr:uid="{5DE5AF31-3C39-409D-8D1B-1CA65E5D8951}">
      <text>
        <r>
          <rPr>
            <sz val="11"/>
            <color theme="1"/>
            <rFont val="Calibri"/>
            <family val="2"/>
            <charset val="186"/>
            <scheme val="minor"/>
          </rPr>
          <t>Lėšos didėja dėl:
1. 240,0 tūkst. Eur – Šilutės pl. šviesoforų rekonstrukcijos/dalinio remonto;
2. 325,5 tūkst. Eur – Eismo valdymo centro eksploatacija;
3. 14,2 tūkst. Eur – KIŽ priežiūra;
4. 97,3 tūkst. Eur – brangstanti šviesoforų eksploatacija, naujos kelio ženklų ir kelio ženklinimo sutartys.</t>
        </r>
      </text>
    </comment>
    <comment ref="K197" authorId="3" shapeId="0" xr:uid="{F897538D-0E28-4315-B6E1-BE298C750098}">
      <text>
        <r>
          <rPr>
            <sz val="11"/>
            <color theme="1"/>
            <rFont val="Calibri"/>
            <family val="2"/>
            <charset val="186"/>
            <scheme val="minor"/>
          </rPr>
          <t>15 dviračių įrenginių prižiūri KKT (11 dviračių laikymo vietos (įrengtų adresu Malūnininkų g. 1, Taikos pr. bei Rumpiškės g. 1, Rumpiškės II kvartalai, Ligoninės st.), 
2 dviračių skaičiuokliai (įrengtų prie PC „Akropolis“, Taikos pr. ir prie „Atgimimo“ autobusų stotelės), 
2  pėsčiųjų/dviratininkų skaičiavimo kameros (Turgaus st. ir Atgimimo st.).  
4 KIŽ prižiūri KLAP (1 vnt. Pilies g. ir Daržų g. sankirtoje, 1 vnt. N. Uosto ir N. Sodo sankryžoje, 2 vnt. ant Lideikio g. viaduko).</t>
        </r>
      </text>
    </comment>
    <comment ref="J202" authorId="0" shapeId="0" xr:uid="{447AAF56-57A0-49ED-B3DB-F3F10EEE4D28}">
      <text>
        <r>
          <rPr>
            <sz val="11"/>
            <color theme="1"/>
            <rFont val="Calibri"/>
            <family val="2"/>
            <charset val="186"/>
            <scheme val="minor"/>
          </rPr>
          <t xml:space="preserve">Rengiamas techninis darbo projektas dėl šviesoforais reguliuojamos sankryžos Kretingos gatvėje.
</t>
        </r>
      </text>
    </comment>
    <comment ref="C203" authorId="0" shapeId="0" xr:uid="{53D62994-63CD-4DFA-AD53-1717F4684BDE}">
      <text>
        <r>
          <rPr>
            <sz val="11"/>
            <color theme="1"/>
            <rFont val="Calibri"/>
            <family val="2"/>
            <charset val="186"/>
            <scheme val="minor"/>
          </rPr>
          <t xml:space="preserve">Papriemonė perkelta į 007 programos papriemonę 007-01-02-03 „Viešųjų erdvių, daugiabučių namų kiemų ir gatvių apšvietimo įrengimas“
</t>
        </r>
      </text>
    </comment>
    <comment ref="J203" authorId="3" shapeId="0" xr:uid="{C454A4F9-4D5E-4D8B-BFE8-AEF14717F73B}">
      <text>
        <r>
          <rPr>
            <sz val="11"/>
            <color theme="1"/>
            <rFont val="Calibri"/>
            <family val="2"/>
            <charset val="186"/>
            <scheme val="minor"/>
          </rPr>
          <t>1. Šiaurės pr.
2. Lelijų ir Kuosų g. sankryžoje
3. Lelijų ir Birutės g. sankryžoje
4. Lelijų ir  Alyvų g. sankryžoje
5. Šalia Vingio 19
6. Šalia Vingio 37</t>
        </r>
      </text>
    </comment>
    <comment ref="J213" authorId="3" shapeId="0" xr:uid="{982F29AA-C737-4530-826E-F4D7C4E02E19}">
      <text>
        <r>
          <rPr>
            <sz val="11"/>
            <color theme="1"/>
            <rFont val="Calibri"/>
            <family val="2"/>
            <charset val="186"/>
            <scheme val="minor"/>
          </rPr>
          <t xml:space="preserve">Melnragėje Vėtros g.
</t>
        </r>
      </text>
    </comment>
    <comment ref="L215" authorId="0" shapeId="0" xr:uid="{B8A90C51-EF28-4F50-A1F1-6811EEA2D7FA}">
      <text>
        <r>
          <rPr>
            <sz val="11"/>
            <color theme="1"/>
            <rFont val="Calibri"/>
            <family val="2"/>
            <charset val="186"/>
            <scheme val="minor"/>
          </rPr>
          <t>1) Klemiškės g. ir Joniškės g. žiedinės sankryžos; 
2) Šiaurės prospekto–Pievų g. žiedinės sankryžos; 
3) Klaipėdos g.–Liepojos g. ir Klaipėdos g.–Kretingos g. žiedinių sankryžų;
4) Kaštonų g.–Kretingos g. žiedinės sankryžos ir trumpo sustojimo vietų;  
5) Joniškės g.–Bangų g.–Mokyklos g. žiedinės sankryžos.</t>
        </r>
      </text>
    </comment>
    <comment ref="E216" authorId="0" shapeId="0" xr:uid="{BBC00562-1209-47BC-8748-DBF60696DF01}">
      <text>
        <r>
          <rPr>
            <sz val="11"/>
            <color theme="1"/>
            <rFont val="Calibri"/>
            <family val="2"/>
            <charset val="186"/>
            <scheme val="minor"/>
          </rPr>
          <t>Panaudos 18 228,0 Eur</t>
        </r>
      </text>
    </comment>
    <comment ref="J227" authorId="0" shapeId="0" xr:uid="{12D67A36-A8F9-446A-930F-F682B002C7D5}">
      <text>
        <r>
          <rPr>
            <sz val="11"/>
            <color theme="1"/>
            <rFont val="Calibri"/>
            <family val="2"/>
            <charset val="186"/>
            <scheme val="minor"/>
          </rPr>
          <t xml:space="preserve">Bus atsiskaitoma už laikotarpį nuo 2024 m. gruodžio 1 d. iki 2025 m. gruodžio 31 d. (iš viso 13 mėnesių)
</t>
        </r>
      </text>
    </comment>
    <comment ref="C230" authorId="0" shapeId="0" xr:uid="{0E7EBFBB-05F9-4F93-9A34-3318BD54BAF6}">
      <text>
        <r>
          <rPr>
            <sz val="11"/>
            <color theme="1"/>
            <rFont val="Calibri"/>
            <family val="2"/>
            <charset val="186"/>
            <scheme val="minor"/>
          </rPr>
          <t>Kompleksiškas Taikos pr. – Tiltų g.– H. Manto g.–Liepojos g. ruožo sutvarkymas, įskaitant šviesoforų valdymą, dviračių ir pėsčiųjų takus, šaligatvių dangas, nuovažas, apšvietimą.</t>
        </r>
      </text>
    </comment>
    <comment ref="I232" authorId="0" shapeId="0" xr:uid="{9327FD43-058D-420B-B9F9-1CEA72F415AE}">
      <text>
        <r>
          <rPr>
            <sz val="11"/>
            <color theme="1"/>
            <rFont val="Calibri"/>
            <family val="2"/>
            <charset val="186"/>
            <scheme val="minor"/>
          </rPr>
          <t>11,563 (2029 m.)</t>
        </r>
      </text>
    </comment>
    <comment ref="I233" authorId="0" shapeId="0" xr:uid="{22BD25AE-629A-4DDE-ADE7-04FCADD4AF9A}">
      <text>
        <r>
          <rPr>
            <sz val="11"/>
            <color theme="1"/>
            <rFont val="Calibri"/>
            <family val="2"/>
            <charset val="186"/>
            <scheme val="minor"/>
          </rPr>
          <t>10 000 (2029 m.)</t>
        </r>
      </text>
    </comment>
    <comment ref="I234" authorId="0" shapeId="0" xr:uid="{3BDB2BC4-6E59-4D80-9887-A552CDB3821D}">
      <text>
        <r>
          <rPr>
            <sz val="11"/>
            <color theme="1"/>
            <rFont val="Calibri"/>
            <family val="2"/>
            <charset val="186"/>
            <scheme val="minor"/>
          </rPr>
          <t xml:space="preserve">Rodiklio reikšmė (1 vnt.) bus pasiekta 2029 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<sst xmlns="http://schemas.openxmlformats.org/spreadsheetml/2006/main" count="542" uniqueCount="314">
  <si>
    <t xml:space="preserve">Aiškinamojo rašto </t>
  </si>
  <si>
    <t>1 priedas</t>
  </si>
  <si>
    <t>3 lentelė. Klaipėdos miesto savivaldybės 2025–2028 metų 006 Susisiekimo sistemos priežiūros ir plėtros programos uždaviniai, priemonės, asignavimai ir kitos lėšos (tūkst. eurų) bei  priemonių stebėsenos rodikliai</t>
  </si>
  <si>
    <t>Programos uždavinio, priemonės kodas ir požymis</t>
  </si>
  <si>
    <t>Uždavinio, priemonės pavadinimas, finansavimo šaltiniai</t>
  </si>
  <si>
    <t xml:space="preserve">Vykdytojas </t>
  </si>
  <si>
    <t>2025 metų asignavimai ir kitos lėšos</t>
  </si>
  <si>
    <t>2026 metų asignavimai ir kitos lėšos</t>
  </si>
  <si>
    <t>2027 metų asignavimai ir kitos lėšos</t>
  </si>
  <si>
    <t>2028 metų asignavimai ir kitos lėšos</t>
  </si>
  <si>
    <t>Stebėsenos rodiklio pavadinimas (matavimo vnt.)</t>
  </si>
  <si>
    <t>Siektinos stebėsenos rodiklių reikšmės</t>
  </si>
  <si>
    <t>Savivaldybės strateginio plėtros plano rodiklis</t>
  </si>
  <si>
    <t>2025 m.</t>
  </si>
  <si>
    <t>2026 m.</t>
  </si>
  <si>
    <t>2027 m.</t>
  </si>
  <si>
    <t>2028 m.</t>
  </si>
  <si>
    <t>006-01 (T)</t>
  </si>
  <si>
    <t>Uždavinys: Rekonstruoti, tiesti ir prižiūrėti gatves</t>
  </si>
  <si>
    <t xml:space="preserve">Automobilių kelių su danga ilgis, palyginti su bendru kelių ilgiu, proc. </t>
  </si>
  <si>
    <t>Gatvių tankis, km/kv. km</t>
  </si>
  <si>
    <t>Zonų be CO₂ emisijos, vnt.</t>
  </si>
  <si>
    <t>Įrengta automobilių stovėjimo vietų, vnt.</t>
  </si>
  <si>
    <t>006-01-01 (TP)</t>
  </si>
  <si>
    <t>Priemonė: Gatvių tiesimas ir rekonstravimas</t>
  </si>
  <si>
    <t>006-01-01-01</t>
  </si>
  <si>
    <t xml:space="preserve">MVPD
Statybos skyrius
</t>
  </si>
  <si>
    <t>Atlikta rangos darbų. Užbaigtumas, proc.</t>
  </si>
  <si>
    <t>P-3.1.3.1-1</t>
  </si>
  <si>
    <t xml:space="preserve">Savivaldybės biudžeto lėšos (nuosavos, be ankstesnių metų likučio) </t>
  </si>
  <si>
    <t>Lietuvos Respublikos valstybės biudžeto dotacijos</t>
  </si>
  <si>
    <t>Ankstesnių metų likučiai</t>
  </si>
  <si>
    <t>Kiti šaltiniai (valstybės biudžeto lėšos)</t>
  </si>
  <si>
    <t>Kiti šaltiniai (KPP)</t>
  </si>
  <si>
    <t>006-01-01-02</t>
  </si>
  <si>
    <t>Jungiamojo kelio ties Vilniaus pl. Klaipėdoje, įvažiavimui į Klaipėdos laisvosios ekonominės zonos teritoriją, statyba</t>
  </si>
  <si>
    <t>006-01-01-03</t>
  </si>
  <si>
    <t>Danės g. rekonstravimas nuo Laivų skg. iki Artojų g.</t>
  </si>
  <si>
    <t>Atlikta rangos darbų (Artojų g. ). Užbaigtumas, proc.</t>
  </si>
  <si>
    <t>P-3.1.3.5-1</t>
  </si>
  <si>
    <t>006-01-01-04</t>
  </si>
  <si>
    <t>Atlikta rangos darbų (III etapas). Užbaigtumas, proc.</t>
  </si>
  <si>
    <t>P-3.1.3.4-3</t>
  </si>
  <si>
    <t>Atlikta rangos darbų (VI etapas). Užbaigtumas, proc.</t>
  </si>
  <si>
    <t> </t>
  </si>
  <si>
    <t>Atlikta rangos darbų (V etapas). Užbaigtumas, proc.</t>
  </si>
  <si>
    <t xml:space="preserve">Parengtas techninis projektas (VII etapas),  vnt. </t>
  </si>
  <si>
    <t>Atlikta rangos darbų (VII etapas.). Užbaigtumas, proc.</t>
  </si>
  <si>
    <t>Atlikta rangos darbų (IV etapas). Užbaigtumas, proc.</t>
  </si>
  <si>
    <t>006-01-01-05</t>
  </si>
  <si>
    <t>Klaipėdos miesto gatvių rekonstravimas bendromis savivaldybės ir privačių asmenų lėšomis</t>
  </si>
  <si>
    <t>Atlikta rangos darbų. Užbaigtumas, proc. (Kurėnų g.)</t>
  </si>
  <si>
    <t>P-3.1.3.4-3
P-3.2.2.2-1</t>
  </si>
  <si>
    <t>Atlikta rangos darbų. Užbaigtumas, proc. (Karlskronos g. IV etapas – skersgatvis)</t>
  </si>
  <si>
    <t>Atlikta rangos darbų. Užbaigtumas, proc. (Ievos  g.)</t>
  </si>
  <si>
    <t>Atlikta rangos darbų. Užbaigtumas, proc. (Tauro 17-oji  g.)</t>
  </si>
  <si>
    <t>Kiti šaltiniai (kiti finansavimo šaltiniai)</t>
  </si>
  <si>
    <t>006-01-01-06</t>
  </si>
  <si>
    <t>Medžiagų tyrimas ir kontroliniai bandymai, topografinių nuotraukų, išpildomųjų geodezinių nuotraukų įsigijimas, statinių projektų ekspertizių, inžinerinės bei želdinių tvarkymo paslaugos</t>
  </si>
  <si>
    <t>Suteikta gatvių dangų, konstruktyvo ir betoninių gaminių kontrolinių bandymų paslaugų. Užbaigtumas, proc.</t>
  </si>
  <si>
    <t>006-01-01-07</t>
  </si>
  <si>
    <t>Ištisinio asfaltbetonio dangos remontas</t>
  </si>
  <si>
    <t>MVPD
Miesto tvarkymo skyrius</t>
  </si>
  <si>
    <r>
      <rPr>
        <sz val="10"/>
        <color rgb="FF000000"/>
        <rFont val="Times New Roman"/>
        <family val="1"/>
        <charset val="186"/>
      </rPr>
      <t>Paklota ištisinio asfaltbetonio dangos,  tūkst. m</t>
    </r>
    <r>
      <rPr>
        <vertAlign val="superscript"/>
        <sz val="10"/>
        <color rgb="FF000000"/>
        <rFont val="Times New Roman"/>
        <family val="1"/>
        <charset val="186"/>
      </rPr>
      <t>2</t>
    </r>
  </si>
  <si>
    <t>006-01-01-08</t>
  </si>
  <si>
    <t xml:space="preserve">Kietųjų dangų (šaligatvių, gatvių, takų) remontas </t>
  </si>
  <si>
    <r>
      <t>Suremontuota gatvių akmens grindinio dangos, tūkst. m</t>
    </r>
    <r>
      <rPr>
        <vertAlign val="superscript"/>
        <sz val="10"/>
        <rFont val="Times New Roman"/>
        <family val="1"/>
      </rPr>
      <t>2</t>
    </r>
  </si>
  <si>
    <r>
      <t>Suremontuota asfaltbetonio dangos duobių, tūkst. m</t>
    </r>
    <r>
      <rPr>
        <vertAlign val="superscript"/>
        <sz val="10"/>
        <rFont val="Times New Roman"/>
        <family val="1"/>
      </rPr>
      <t>2</t>
    </r>
  </si>
  <si>
    <t xml:space="preserve">Prižiūrima žvyruotos dangos, km </t>
  </si>
  <si>
    <r>
      <rPr>
        <sz val="10"/>
        <color rgb="FF000000"/>
        <rFont val="Times New Roman"/>
        <family val="1"/>
        <charset val="186"/>
      </rPr>
      <t>Suremontuota šaligatvių, tūkst. m</t>
    </r>
    <r>
      <rPr>
        <vertAlign val="superscript"/>
        <sz val="10"/>
        <color rgb="FF000000"/>
        <rFont val="Times New Roman"/>
        <family val="1"/>
        <charset val="186"/>
      </rPr>
      <t>2</t>
    </r>
  </si>
  <si>
    <t>Kiti finansavimo šaltiniai</t>
  </si>
  <si>
    <t>Įstaigų, kurių kiemuose atlikta dangų remonto darbų, skaičius</t>
  </si>
  <si>
    <t>Sportininkų gatvės šaligatvių kapitalinis remontas</t>
  </si>
  <si>
    <t>Požeminės perėjos uždarymas Vingio g.</t>
  </si>
  <si>
    <t>006-01-01-09</t>
  </si>
  <si>
    <t>Prižiūrėta tiltų ir viadukų, vnt.</t>
  </si>
  <si>
    <t>Atlikta Biržos tilto remonto rangos darbų. Užbaigtumas, proc.</t>
  </si>
  <si>
    <t>Biržos tilto kapitalinis remontas</t>
  </si>
  <si>
    <t>006-01-01-10</t>
  </si>
  <si>
    <t xml:space="preserve">Klaipėdos miesto žvyruotų gatvių kapitalinis remontas </t>
  </si>
  <si>
    <t>MVPD 
Statybos skyrius</t>
  </si>
  <si>
    <t>Atlikta rangos darbų. Užbaigtumas, proc. (pravažiuojamieji keliai: nuo Tilžės g. iki Raganių 4-osios g.; nuo Raganių 4-osios g. iki Raganių 1-osios g.)</t>
  </si>
  <si>
    <t>Atlikta rangos darbų. Užbaigtumas, proc. (Lendrūnų g., Blušių g.)</t>
  </si>
  <si>
    <t>Atlikta rangos darbų. Užbaigtumas, proc. (Bičiulių g.)</t>
  </si>
  <si>
    <t>Atlikta rangos darbų. Užbaigtumas, proc. (Renetų g., pravažiuojamieji keliai: iki Renetų g., iki geležinkelio,  tarp Renetų g.)</t>
  </si>
  <si>
    <t>Atlikta rangos darbų. Užbaigtumas, proc. (pravažiuojamasis kelias tarp Debesų g. ir Tauro 18-osios g.)</t>
  </si>
  <si>
    <t xml:space="preserve">MVPD
Projektavimo skyrius
</t>
  </si>
  <si>
    <t>Atlikta rangos darbų. Užbaigtumas, proc. (privažiuojamasis kelias prie Veterinarijos g. 47A)</t>
  </si>
  <si>
    <t>Atlikta rangos darbų. Užbaigtumas, proc. (įvažiuojamasis kelias į Verpėjų g. 39B)</t>
  </si>
  <si>
    <t>Atlikta rangos darbų. Užbaigtumas, proc. (Akmenų g. – ruožas nuo Akmenų g. 10 iki Tauralaukio g.)</t>
  </si>
  <si>
    <t>Atlikta rangos darbų. Užbaigtumas, proc. (Karlskronos g. – ruožas nuo Smiltelės g. iki Irklų g.)</t>
  </si>
  <si>
    <t>Parengta techninių projektų, vnt.</t>
  </si>
  <si>
    <t xml:space="preserve">Atlikta rangos darbų. Užbaigtumas, proc. </t>
  </si>
  <si>
    <t>006-01-01-11</t>
  </si>
  <si>
    <t>Įrengta ar atnaujinta įvažiuojamųjų kelių, vnt.</t>
  </si>
  <si>
    <t>P-3.2.2.2-2</t>
  </si>
  <si>
    <t>Skolintos lėšos</t>
  </si>
  <si>
    <t>Dubliuojančios gatvės nuo Šiltnamių g. iki Klaipėdos g. su pėsčiųjų ir dviračių taku ir įvažomis į Liepojos g. įrengimas</t>
  </si>
  <si>
    <t>006-01-01-12</t>
  </si>
  <si>
    <t>Aukštosios g. rekonstrukcija</t>
  </si>
  <si>
    <t>Paryžiaus Komunos g. kapitalinis remontas (nuo Šilutės pl. iki Taikos pr.)</t>
  </si>
  <si>
    <t>006-01-01-13</t>
  </si>
  <si>
    <t>Smiltynės g. ir kranto tvirtinimo kapitalinis remontas nuo Jūrų muziejaus iki Senosios Smiltynės perkėlos</t>
  </si>
  <si>
    <t>Parengtas techninis projektas, vnt.</t>
  </si>
  <si>
    <t>P-1.2.1.1-5</t>
  </si>
  <si>
    <t>Kiti šaltiniai (KVJUD)</t>
  </si>
  <si>
    <t>Privažiuojamojo kelio prie pastato Debreceno g. 48 įrengimas ir pastato aplinkos sutvarkymas</t>
  </si>
  <si>
    <t>P-3.1.3.6-2</t>
  </si>
  <si>
    <t>006-01-01-14</t>
  </si>
  <si>
    <t>Joniškės g. saugumo pagerinimo priemonių, autobusų sustojimo įvažos, pėsčiųjų ir dviračio tako jungties su Žemaičių g. įrengimas</t>
  </si>
  <si>
    <t>006-01-01-15</t>
  </si>
  <si>
    <t>006-01-01-16</t>
  </si>
  <si>
    <t xml:space="preserve">Kelio ruožo (jungties) nuo Tauralaukio iki miesto ribos ties Aukštkiemių kaimu (su dviračių taku) įrengimas </t>
  </si>
  <si>
    <t>Šaligatvių įrengimas Tauralaukio mikrorajone</t>
  </si>
  <si>
    <r>
      <t>Įrengta šaligatvių, tūkst. m</t>
    </r>
    <r>
      <rPr>
        <vertAlign val="superscript"/>
        <sz val="10"/>
        <rFont val="Times New Roman"/>
        <family val="1"/>
      </rPr>
      <t>2</t>
    </r>
  </si>
  <si>
    <t>006-01-01-17</t>
  </si>
  <si>
    <t>Bastionų g. nuo Danės g. iki Bangų g. (įskaitant tiltą per Danės upę) statyba bei pėsčiųjų ir dviračių tako krantinėje rekonstravimas</t>
  </si>
  <si>
    <t xml:space="preserve">MVPD
Projektavimo skyrius
</t>
  </si>
  <si>
    <t>Parengtas techninis projektas (vystytojo lėšomis), vnt.</t>
  </si>
  <si>
    <t>Rekonstruotas pėsčiųjų ir dviračių takas krantinėje, proc.</t>
  </si>
  <si>
    <t>Įrengta gatvė (įskaitant tiltą), proc.</t>
  </si>
  <si>
    <t>006-01-01-18</t>
  </si>
  <si>
    <t>Privažiuojamojo kelio įrengimas prie „Vyturio“ progimnazijos</t>
  </si>
  <si>
    <t>006-01-01-19</t>
  </si>
  <si>
    <t>Kelio Nr. KL1277 į Kairių poligoną ruožo remonto darbai</t>
  </si>
  <si>
    <t xml:space="preserve">MVPD
Statybos skyrius
</t>
  </si>
  <si>
    <t>006-01-01-20</t>
  </si>
  <si>
    <t>Privažiuojamojo kelio (gatvės) ruožo Nr. KL1278 nuo Kairių gatvės Klaipėdos mieste iki Kairių poligono kapitalinio remonto darbai</t>
  </si>
  <si>
    <t xml:space="preserve">MVPD
Projektavimo skyrius        </t>
  </si>
  <si>
    <t>006-01-01-21</t>
  </si>
  <si>
    <t>Parengtas techninis darbo projektas, vnt.</t>
  </si>
  <si>
    <t>006-01-01-22</t>
  </si>
  <si>
    <t>Naujojo Sodo g. ir Naujosios Uosto g. sankryžos rekonstravimas</t>
  </si>
  <si>
    <t>006-01-01-23</t>
  </si>
  <si>
    <t xml:space="preserve">Liepų g. ir Dovo Zauniaus g. sankryžos įrengimas </t>
  </si>
  <si>
    <t>006-01-01-24</t>
  </si>
  <si>
    <t xml:space="preserve">MVPD
Projektavimo skyrius     </t>
  </si>
  <si>
    <t>006-01-01-25</t>
  </si>
  <si>
    <t>J. Janonio g., Švyturio g. ir Naujosios Uosto g. sankryžos rekonstravimas</t>
  </si>
  <si>
    <t>MVPD
Statybos skyrius</t>
  </si>
  <si>
    <t>006-01-01-26</t>
  </si>
  <si>
    <t>Senamiesčio gatvių remontas</t>
  </si>
  <si>
    <t xml:space="preserve">MVPD
Projektavimo skyrius </t>
  </si>
  <si>
    <t>006-01-01-27</t>
  </si>
  <si>
    <t>Susisiekimo komunikacijų: gatvės, autobusų sustojimo aikštelės, pėsčiųjų ir dviračių tako Giruliuose Stoties g., Turistų g., Šlaito g. rekonstravimas, kapitalinis remontas</t>
  </si>
  <si>
    <t>006-01-01-28</t>
  </si>
  <si>
    <t>Jaunystės g. ir privažiuojamojo kelio (įskaitant sankryžą) bei Rūko g. kapitalinis remontas</t>
  </si>
  <si>
    <t>006-01-01-29</t>
  </si>
  <si>
    <t>Martyno Jankaus g. statyba</t>
  </si>
  <si>
    <t>Savivaldybės biudžetas (įskaitant skolintas lėšas)</t>
  </si>
  <si>
    <t>Iš jo:</t>
  </si>
  <si>
    <t xml:space="preserve">Savivaldybės biudžeto lėšos (nuosavos, be ankstesnių metų likučio)' </t>
  </si>
  <si>
    <t>Lietuvos Respublikos valstybės biudžeto dotacijos'</t>
  </si>
  <si>
    <t>Ankstesnių metų likučiai'</t>
  </si>
  <si>
    <t>Skolintos lėšos'</t>
  </si>
  <si>
    <t xml:space="preserve">Kiti šaltiniai </t>
  </si>
  <si>
    <t>Iš jų:</t>
  </si>
  <si>
    <t>Kiti šaltiniai (KPP)'</t>
  </si>
  <si>
    <t>Kiti šaltiniai (kiti finansavimo šaltiniai)'</t>
  </si>
  <si>
    <t>Kiti šaltiniai (KVJUD)'</t>
  </si>
  <si>
    <t>Kiti šaltiniai (valstybės biudžeto lėšos)'</t>
  </si>
  <si>
    <t>006-02 (T)</t>
  </si>
  <si>
    <t>Uždavinys: Užtikrinti patogios viešojo transporto sistemos funkcionavimą</t>
  </si>
  <si>
    <t>Netaršių autobusų, aptarnaujančių miestą, dalis, proc.</t>
  </si>
  <si>
    <t>Autobusų, pritaikytų žmonėms su negalia, aptarnaujančių miestą, dalis, proc.</t>
  </si>
  <si>
    <t>Autobusų, kurių amžius neviršija 15 metų, dalis miesto viešajame transporte, proc.</t>
  </si>
  <si>
    <t>Gatvių, kuriomis važinėja viešasis transportas, ilgis, km</t>
  </si>
  <si>
    <t>Keleivių, pervežtų vietinio (miesto ar priemiestinio) reguliaraus susisiekimo maršrutais, skaičius, tenkantis vienam savivaldybės gyventojui per metus, koef.</t>
  </si>
  <si>
    <t>R-3.1.2-1</t>
  </si>
  <si>
    <t>Ekologišku kuru varomų viešojo transporto priemonių ridos dalis nuo visų viešojo transporto priemonių ridos, proc.</t>
  </si>
  <si>
    <t>R-3.1.2-2</t>
  </si>
  <si>
    <t>006-02-01 (TP)</t>
  </si>
  <si>
    <t>Priemonė: Viešojo transporto paslaugų organizavimas</t>
  </si>
  <si>
    <t>006-02-01-01</t>
  </si>
  <si>
    <t>Transporto kompensacijų mokėjimas</t>
  </si>
  <si>
    <t>AD
Transporto skyrius</t>
  </si>
  <si>
    <t>Parduota vienkartinių lengvatinių bilietų, mln. vnt.</t>
  </si>
  <si>
    <t>Parduota terminuotų lengvatinių bilietų su 20 proc. nuolaida, tūkst. vnt.</t>
  </si>
  <si>
    <t>Parduota terminuotų lengvatinių bilietų su 50 proc. nuolaida, tūkst. vnt.</t>
  </si>
  <si>
    <t>Parduota terminuotų lengvatinių bilietų su 80 proc. nuolaida, tūkst. vnt.</t>
  </si>
  <si>
    <t>Parduota terminuotų lengvatinių bilietų su 96 proc. nuolaida, tūkst. vnt.</t>
  </si>
  <si>
    <t>Kompensuota bilietų moksleiviams ir profesinių mokyklų moksleiviams, tūkst. vnt.</t>
  </si>
  <si>
    <t>006-02-01-02</t>
  </si>
  <si>
    <t>Nuostolių, patirtų vykdant keleivinio kelių transporto viešųjų paslaugų vežant keleivius vietinio (miesto) reguliaraus susisiekimo autobusų maršrutais, kompensavimas</t>
  </si>
  <si>
    <t>Kompensuota nuostolingų maršrutų, vnt.</t>
  </si>
  <si>
    <t>Nuostolių, patirtų dėl naudojamų transporto priemonių pakeitimo ekologiškomis viešojo transporto priemonėmis, kompensavimas</t>
  </si>
  <si>
    <t>Ekologiškų viešojo transporto priemonių (elektrinių autobusų), kuriomis važiuojant patiriama nuostolių, vnt.</t>
  </si>
  <si>
    <t>006-02-01-03</t>
  </si>
  <si>
    <t>Viešojo transporto priežiūros ir paslaugų kokybės kontroliavimas</t>
  </si>
  <si>
    <t>Vykdyta viešojo transporto priemonių patikrinimų, tūkst. val.</t>
  </si>
  <si>
    <t>006-02-01-04</t>
  </si>
  <si>
    <t>Nuostolingų maršrutų subsidijavimas priemiesčio ir miesto maršrutus aptarnaujantiems vežėjams</t>
  </si>
  <si>
    <t>Subsidijuojamų maršrutų skaičius, vnt.</t>
  </si>
  <si>
    <t>006-02-01-05</t>
  </si>
  <si>
    <t>Klaipėdos miesto viešojo transporto švieslenčių ir informacinių švieslenčių įrengimas ir atnaujinimas</t>
  </si>
  <si>
    <t>Įrengta elektros įvadų švieslentėms įrengti, vnt.</t>
  </si>
  <si>
    <t>006-02-01-06</t>
  </si>
  <si>
    <t>Keleivinio transporto stotelių su įvažomis Klaipėdos miesto gatvėse projektavimas ir įrengimas</t>
  </si>
  <si>
    <t>Atlikta rangos darbų.  Užbaigtumas, proc. II etapas</t>
  </si>
  <si>
    <t>P-3.1.2.2-1</t>
  </si>
  <si>
    <t>006-03 (T)</t>
  </si>
  <si>
    <t xml:space="preserve">Uždavinys: Diegti eismo srautų reguliavimo ir saugumo priemones </t>
  </si>
  <si>
    <t>Visavertiškai funkcionuojantis miesto stebėsenos bei eismo valdymo centras, vnt.</t>
  </si>
  <si>
    <t>006-03-01 (TP)</t>
  </si>
  <si>
    <t>Priemonė: Eismo srautų reguliavimo ir saugumo priemonių įgyvendinimas</t>
  </si>
  <si>
    <t>006-03-01-01</t>
  </si>
  <si>
    <t>Eismo reguliavimo infrastruktūros eksploatacija ir įrengimas</t>
  </si>
  <si>
    <t xml:space="preserve">Eksploatuojama eismo reguliavimo priemonių, tūkst. vnt. </t>
  </si>
  <si>
    <t>Eksploatuojama šviesoforų, vnt.</t>
  </si>
  <si>
    <r>
      <t>Suženklinta gatvių, tūkst. m</t>
    </r>
    <r>
      <rPr>
        <vertAlign val="superscript"/>
        <sz val="10"/>
        <color rgb="FF000000"/>
        <rFont val="Times New Roman"/>
        <family val="1"/>
        <charset val="186"/>
      </rPr>
      <t>2</t>
    </r>
  </si>
  <si>
    <t>Prižiūrima dviračių įrenginių (dviračių saugyklų ir skaičiuoklių) ir kintamos informacijos kelio ženklų, vnt.</t>
  </si>
  <si>
    <t>Įrengta trumpalaikių stovėjimo vietų (kelio ženklų įrengimas) prie mokyklų ir vaikų darželių, vnt.</t>
  </si>
  <si>
    <t xml:space="preserve">P-3.1.3.6-1
</t>
  </si>
  <si>
    <t>Sankryžų, kuriose atnaujintos šviesoforų sistemos, skaičius, vnt.</t>
  </si>
  <si>
    <t>Įrengti kintamos informacijos ženklai Mokyklos g., proc.</t>
  </si>
  <si>
    <t>Sankryžų, kuriose veikia viešojo transporto prioriteto licencijos, skaičius, vnt.</t>
  </si>
  <si>
    <t xml:space="preserve">Įrengta naujų šviesoforinių sankryžų, vnt.
</t>
  </si>
  <si>
    <t xml:space="preserve">Klaipėdos miesto gatvių pėsčiųjų perėjų kryptinis apšvietimas </t>
  </si>
  <si>
    <t>Apšviesta pėsčiųjų perėjų, vnt.</t>
  </si>
  <si>
    <t>6</t>
  </si>
  <si>
    <t>P-3.1.3.7-1</t>
  </si>
  <si>
    <t>006-03-01-02</t>
  </si>
  <si>
    <t>Mokamo automobilių stovėjimo sistemos mieste kūrimas ir išlaikymas</t>
  </si>
  <si>
    <t>AD
Transporto skyrius, VšĮ „Klaipėdos keleivinis transportas“</t>
  </si>
  <si>
    <t>Eksploatuojama bilietų automatų, vnt.</t>
  </si>
  <si>
    <t>P-3.1.1.5-1</t>
  </si>
  <si>
    <t>AD 
Licencijų ir leidimų skyrius, VšĮ „Klaipėdos keleivinis transportas“</t>
  </si>
  <si>
    <t>006-03-01-03</t>
  </si>
  <si>
    <t>Automatinės eismo priežiūros prietaisų eksploatacija ir įrengimas</t>
  </si>
  <si>
    <t>AD
Administracinės veiklos, kontrolės ir prevencijos skyrius</t>
  </si>
  <si>
    <t>Eksploatuojama greičio matuoklių, vnt.</t>
  </si>
  <si>
    <t>P-2.4.3.5-2</t>
  </si>
  <si>
    <t>006-03-01-04</t>
  </si>
  <si>
    <t>Eismo tyrimai (auditai, juodosios dėmės, srautai ir pan.)</t>
  </si>
  <si>
    <t>Atlikta saugaus eismo auditų, vnt.</t>
  </si>
  <si>
    <t>Parengtas juodųjų dėmių žemėlapis, vnt.</t>
  </si>
  <si>
    <t>Įrengta mažos taršos zonų Klaipėdos mieste, vnt.</t>
  </si>
  <si>
    <t>Informacinės automobilių statymo sistemos įdiegimas</t>
  </si>
  <si>
    <t>AD
Transporto skyrius,
VšĮ „Klaipėdos keleivinis transportas“</t>
  </si>
  <si>
    <t>Įrengta informacinių automobilių statymo sistemų mieste, vnt.</t>
  </si>
  <si>
    <t>006-03-01-05</t>
  </si>
  <si>
    <t>Eismo infrastruktūros gerinimas</t>
  </si>
  <si>
    <t xml:space="preserve">MVPD
Projektavimo skyrius  </t>
  </si>
  <si>
    <t>Parengta projektų, vnt.</t>
  </si>
  <si>
    <t xml:space="preserve">Atlikta rangos darbų.  Užbaigtumas, proc. </t>
  </si>
  <si>
    <t>MVPD
Statybos kyrius</t>
  </si>
  <si>
    <t>006-03-02 (PP)</t>
  </si>
  <si>
    <t>Priemonė: Darnaus judumo projektų įgyvendinimas</t>
  </si>
  <si>
    <t xml:space="preserve">Transporto (eismo) valdymo sistemos diegimas: valdymo sistemos su viešojo transporto prioritetu programinės įrangos diegimas ir priežiūros paslaugos </t>
  </si>
  <si>
    <t>Vykdomas garantinis aptarnavimas, mėn.</t>
  </si>
  <si>
    <t>AD 
Licencijų ir leidimų skyrius</t>
  </si>
  <si>
    <t>006-03-02-01 (RP)</t>
  </si>
  <si>
    <t xml:space="preserve">Darnaus judumo priemonių įgyvendinimas Taikos pr.                                </t>
  </si>
  <si>
    <t xml:space="preserve">AD
Transporto skyrius
</t>
  </si>
  <si>
    <t>P-3.1.3.3-1</t>
  </si>
  <si>
    <t>Dviračiams skirta infrastruktūra, kuriai suteikta parama, km</t>
  </si>
  <si>
    <t xml:space="preserve">Projektų finansavimo ir administravimo skyrius,
MVPD 
Statybos skyrius
</t>
  </si>
  <si>
    <t xml:space="preserve">Dviračiams skirtos infrastruktūros naudotojų skaičius per metus, naudotojai per metus </t>
  </si>
  <si>
    <t>Įgyvendintos darnaus judumo priemonės, skaičius</t>
  </si>
  <si>
    <t>Europos Sąjungos ir kitos tarptautinės finansinės paramos lėšos</t>
  </si>
  <si>
    <t>Kiti šaltiniai (Europos Sąjungos paramos lėšos)</t>
  </si>
  <si>
    <t>Europos Sąjungos ir kitos tarptautinės finansinės paramos lėšos'</t>
  </si>
  <si>
    <t>Kiti šaltiniai (Europos Sąjungos paramos lėšos)'</t>
  </si>
  <si>
    <t xml:space="preserve">IŠ VISO programai finansuoti pagal finansavimo šaltinius </t>
  </si>
  <si>
    <t>Iš jų: regioninių pažangos priemonių lėšos</t>
  </si>
  <si>
    <t>Asignavimų ir kitų lėšų pokytis, palyginti su ankstesnių metų patvirtintų asignavimų ir kitų lėšų planu</t>
  </si>
  <si>
    <t xml:space="preserve">T – tęstinės veiklos uždavinys. </t>
  </si>
  <si>
    <t>P – pažangos uždavinys.</t>
  </si>
  <si>
    <t>TP – tęstinės veiklos priemonė.</t>
  </si>
  <si>
    <t>PP – pažangos priemonė.</t>
  </si>
  <si>
    <t>RP – regioninė pažangos priemonė.</t>
  </si>
  <si>
    <t>MVPD – Miesto vystymo ir priežiūros departamentas.</t>
  </si>
  <si>
    <t xml:space="preserve">AD – Administravimo departamentas. </t>
  </si>
  <si>
    <t>2 lentelė.  2025–2028 metų asignavimų ir kitų lėšų pasiskirstymas (tūkst. Eur)</t>
  </si>
  <si>
    <t>Eil. Nr.</t>
  </si>
  <si>
    <t>Programos kodas ir pavadinimas</t>
  </si>
  <si>
    <t>2025 m. asignavimai ir kitos lėšos</t>
  </si>
  <si>
    <t>2026 m. asignavimai ir kitos lėšos</t>
  </si>
  <si>
    <t>2027 m. asignavimai ir kitos lėšos</t>
  </si>
  <si>
    <t>2028 m. asignavimai ir kitos lėšos</t>
  </si>
  <si>
    <t>006 Susisiekimo sistemos priežiūros ir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</si>
  <si>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</si>
  <si>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</si>
  <si>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</si>
  <si>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t>savivaldybės biudžeto lėšos (nuosavos, be ankstesnių metų likučio)</t>
  </si>
  <si>
    <t>1.2.</t>
  </si>
  <si>
    <t>1.3.</t>
  </si>
  <si>
    <t>pajamų įmokos ir kitos pajamos</t>
  </si>
  <si>
    <t>1.4.</t>
  </si>
  <si>
    <t>1.5.</t>
  </si>
  <si>
    <t>skolintos lėšos</t>
  </si>
  <si>
    <t>1.6.</t>
  </si>
  <si>
    <t>ankstesnių metų likučiai</t>
  </si>
  <si>
    <t>2.</t>
  </si>
  <si>
    <t>Kiti šaltiniai (Europos Sąjungos finansinė parama projektams įgyvendinti ir kitos teisėtai gautos lėšos, nurodant atskirus šaltinius)</t>
  </si>
  <si>
    <t>2.1.</t>
  </si>
  <si>
    <t>Europos Sąjungos paramos lėšos</t>
  </si>
  <si>
    <t>2.2.</t>
  </si>
  <si>
    <t>Privalomojo sveikatos draudimo fondo lėšos</t>
  </si>
  <si>
    <t>2.3.</t>
  </si>
  <si>
    <t>Klaipėdos valstybinio jūrų uosto direkcijos lėšos (KVJUD)</t>
  </si>
  <si>
    <t>2.4.</t>
  </si>
  <si>
    <t>Valstybės biudžeto lėšos (LRVB)</t>
  </si>
  <si>
    <t>2.5.</t>
  </si>
  <si>
    <t>2.6.</t>
  </si>
  <si>
    <t>Kelių priežiūros ir plėtros programos lėšos (KPP)</t>
  </si>
  <si>
    <r>
      <rPr>
        <b/>
        <sz val="10"/>
        <color rgb="FF000000"/>
        <rFont val="Times New Roman"/>
        <family val="1"/>
        <charset val="186"/>
      </rPr>
      <t>IŠ VISO</t>
    </r>
    <r>
      <rPr>
        <sz val="10"/>
        <color rgb="FF000000"/>
        <rFont val="Times New Roman"/>
        <family val="1"/>
        <charset val="186"/>
      </rPr>
      <t xml:space="preserve"> programai finansuoti pagal finansavimo šaltinius </t>
    </r>
    <r>
      <rPr>
        <i/>
        <sz val="10"/>
        <color rgb="FF000000"/>
        <rFont val="Times New Roman"/>
        <family val="1"/>
        <charset val="186"/>
      </rPr>
      <t>(1 ir 2 punktai)</t>
    </r>
  </si>
  <si>
    <t xml:space="preserve">Baltijos pr. ir Šilutės pl. žiedinės sankryžos rekonstravimas, pėsčiųjų ir dviračių takų bei panduso įrengimas  </t>
  </si>
  <si>
    <t>Kelių remontas sodų teritorijose</t>
  </si>
  <si>
    <t>Tiltų ir kelio statinių priežiūra, remontas</t>
  </si>
  <si>
    <t xml:space="preserve">Šilutės pl. ruožo (nuo Rimkų geležinkelio iki Smiltelės g.) Klaipėdoje rekonstravimas </t>
  </si>
  <si>
    <t>Senosios Smiltelės gatvės rekonstrukcijos ir paviršinių nuotekų tinklų naujos statybos bei automobilių stovėjimo aikštelės naujos dangos įrengimas</t>
  </si>
  <si>
    <t>Vilkijos gatvės ir inžinerinių magistralinių tinklų techninio darbo projekto parengimas ir įrengimas</t>
  </si>
  <si>
    <t>Įvažiuojamųjų kelių, automobilių stovėjimo aikštelių atnaujinimas ir įrengimas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</si>
</sst>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6"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sz val="12"/>
      <name val="Times New Roman"/>
      <family val="1"/>
      <charset val="186"/>
    </font>
    <font>
      <b/>
      <sz val="12"/>
      <name val="Times New Roman"/>
      <family val="1"/>
      <charset val="186"/>
    </font>
    <font>
      <sz val="10"/>
      <color rgb="FF000000"/>
      <name val="Times New Roman"/>
      <family val="1"/>
      <charset val="186"/>
    </font>
    <font>
      <sz val="10"/>
      <color theme="1"/>
      <name val="Times New Roman"/>
      <family val="1"/>
    </font>
    <font>
      <sz val="10"/>
      <name val="Times New Roman"/>
      <family val="1"/>
    </font>
    <font>
      <b/>
      <sz val="12"/>
      <color rgb="FF000000"/>
      <name val="Times New Roman"/>
      <family val="1"/>
      <charset val="186"/>
    </font>
    <font>
      <b/>
      <sz val="10"/>
      <color theme="1"/>
      <name val="Times New Roman"/>
      <family val="1"/>
    </font>
    <font>
      <b/>
      <sz val="12"/>
      <color theme="1"/>
      <name val="Times New Roman"/>
      <family val="1"/>
    </font>
    <font>
      <sz val="10"/>
      <color rgb="FF000000"/>
      <name val="Times New Roman"/>
      <family val="1"/>
    </font>
    <font>
      <b/>
      <sz val="10"/>
      <name val="Times New Roman"/>
      <family val="1"/>
    </font>
    <font>
      <sz val="8"/>
      <name val="Times New Roman"/>
      <family val="1"/>
    </font>
    <font>
      <b/>
      <sz val="10"/>
      <color rgb="FF000000"/>
      <name val="Times New Roman"/>
      <family val="1"/>
    </font>
    <font>
      <sz val="10"/>
      <color rgb="FF0070C0"/>
      <name val="Times New Roman"/>
      <family val="1"/>
      <charset val="186"/>
    </font>
    <font>
      <sz val="8"/>
      <color theme="1"/>
      <name val="Times New Roman"/>
      <family val="1"/>
      <charset val="186"/>
    </font>
    <font>
      <i/>
      <sz val="10"/>
      <color rgb="FF000000"/>
      <name val="Times New Roman"/>
      <family val="1"/>
      <charset val="186"/>
    </font>
    <font>
      <sz val="10"/>
      <color rgb="FFFF0000"/>
      <name val="Times New Roman"/>
      <family val="1"/>
    </font>
    <font>
      <u/>
      <sz val="10"/>
      <name val="Times New Roman"/>
      <family val="1"/>
    </font>
    <font>
      <b/>
      <sz val="10"/>
      <color rgb="FF000000"/>
      <name val="Times New Roman"/>
    </font>
    <font>
      <strike/>
      <sz val="10"/>
      <color rgb="FFFF0000"/>
      <name val="Times New Roman"/>
      <family val="1"/>
      <charset val="186"/>
    </font>
    <font>
      <sz val="10"/>
      <color rgb="FF000000"/>
      <name val="Times New Roman"/>
    </font>
    <font>
      <sz val="10"/>
      <color rgb="FF000000"/>
      <name val="Times New Roman"/>
      <charset val="1"/>
    </font>
    <font>
      <sz val="11"/>
      <name val="Times New Roman"/>
      <family val="1"/>
      <charset val="186"/>
    </font>
    <font>
      <b/>
      <sz val="10"/>
      <color rgb="FFFF0000"/>
      <name val="Times New Roman"/>
      <family val="1"/>
      <charset val="186"/>
    </font>
    <font>
      <vertAlign val="superscript"/>
      <sz val="10"/>
      <color rgb="FF000000"/>
      <name val="Times New Roman"/>
      <family val="1"/>
      <charset val="186"/>
    </font>
    <font>
      <vertAlign val="superscript"/>
      <sz val="10"/>
      <name val="Times New Roman"/>
      <family val="1"/>
    </font>
    <font>
      <strike/>
      <sz val="10"/>
      <color rgb="FF000000"/>
      <name val="Times New Roman"/>
      <family val="1"/>
      <charset val="186"/>
    </font>
    <font>
      <sz val="10"/>
      <color rgb="FF00B050"/>
      <name val="Times New Roman"/>
      <family val="1"/>
      <charset val="186"/>
    </font>
    <font>
      <sz val="9"/>
      <color indexed="81"/>
      <name val="Tahoma"/>
      <family val="2"/>
      <charset val="186"/>
    </font>
  </fonts>
  <fills count="10">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CCFF"/>
        <bgColor indexed="64"/>
      </patternFill>
    </fill>
    <fill>
      <patternFill patternType="solid">
        <fgColor rgb="FFFFCCFF"/>
        <bgColor rgb="FF000000"/>
      </patternFill>
    </fill>
  </fills>
  <borders count="1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thin">
        <color indexed="64"/>
      </left>
      <right style="thin">
        <color rgb="FF000000"/>
      </right>
      <top style="thin">
        <color indexed="64"/>
      </top>
      <bottom style="thin">
        <color rgb="FF000000"/>
      </bottom>
      <diagonal/>
    </border>
    <border>
      <left/>
      <right style="thin">
        <color rgb="FF000000"/>
      </right>
      <top/>
      <bottom/>
      <diagonal/>
    </border>
    <border>
      <left style="thin">
        <color indexed="64"/>
      </left>
      <right/>
      <top/>
      <bottom/>
      <diagonal/>
    </border>
    <border>
      <left style="thin">
        <color indexed="64"/>
      </left>
      <right/>
      <top style="thin">
        <color indexed="64"/>
      </top>
      <bottom style="thin">
        <color rgb="FF000000"/>
      </bottom>
      <diagonal/>
    </border>
    <border>
      <left/>
      <right style="thin">
        <color indexed="64"/>
      </right>
      <top/>
      <bottom style="thin">
        <color rgb="FF000000"/>
      </bottom>
      <diagonal/>
    </border>
    <border>
      <left/>
      <right style="thin">
        <color indexed="64"/>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indexed="64"/>
      </top>
      <bottom/>
      <diagonal/>
    </border>
    <border>
      <left style="thin">
        <color indexed="64"/>
      </left>
      <right style="thin">
        <color rgb="FF000000"/>
      </right>
      <top/>
      <bottom/>
      <diagonal/>
    </border>
    <border>
      <left style="thin">
        <color rgb="FF000000"/>
      </left>
      <right style="thin">
        <color rgb="FF000000"/>
      </right>
      <top/>
      <bottom/>
      <diagonal/>
    </border>
    <border>
      <left style="thin">
        <color indexed="64"/>
      </left>
      <right/>
      <top/>
      <bottom style="thin">
        <color rgb="FF000000"/>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rgb="FF000000"/>
      </left>
      <right/>
      <top style="thin">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rgb="FF000000"/>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rgb="FF000000"/>
      </right>
      <top style="thin">
        <color rgb="FF000000"/>
      </top>
      <bottom style="thin">
        <color rgb="FF000000"/>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right style="thin">
        <color rgb="FF000000"/>
      </right>
      <top style="medium">
        <color indexed="64"/>
      </top>
      <bottom/>
      <diagonal/>
    </border>
    <border>
      <left style="medium">
        <color indexed="64"/>
      </left>
      <right style="thin">
        <color rgb="FF000000"/>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style="thin">
        <color rgb="FF000000"/>
      </right>
      <top style="thin">
        <color indexed="64"/>
      </top>
      <bottom style="medium">
        <color indexed="64"/>
      </bottom>
      <diagonal/>
    </border>
    <border>
      <left style="thin">
        <color indexed="64"/>
      </left>
      <right style="thin">
        <color rgb="FF000000"/>
      </right>
      <top/>
      <bottom style="medium">
        <color indexed="64"/>
      </bottom>
      <diagonal/>
    </border>
    <border>
      <left/>
      <right style="thin">
        <color rgb="FF000000"/>
      </right>
      <top style="medium">
        <color indexed="64"/>
      </top>
      <bottom style="thin">
        <color indexed="64"/>
      </bottom>
      <diagonal/>
    </border>
    <border>
      <left/>
      <right style="thin">
        <color rgb="FF000000"/>
      </right>
      <top/>
      <bottom style="thin">
        <color indexed="64"/>
      </bottom>
      <diagonal/>
    </border>
    <border>
      <left style="thin">
        <color indexed="64"/>
      </left>
      <right style="thin">
        <color rgb="FF000000"/>
      </right>
      <top/>
      <bottom style="thin">
        <color indexed="64"/>
      </bottom>
      <diagonal/>
    </border>
    <border>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style="thin">
        <color rgb="FF000000"/>
      </right>
      <top/>
      <bottom style="thin">
        <color rgb="FF000000"/>
      </bottom>
      <diagonal/>
    </border>
    <border>
      <left/>
      <right/>
      <top style="medium">
        <color indexed="64"/>
      </top>
      <bottom style="thin">
        <color rgb="FF000000"/>
      </bottom>
      <diagonal/>
    </border>
    <border>
      <left style="thin">
        <color indexed="64"/>
      </left>
      <right/>
      <top style="thin">
        <color indexed="64"/>
      </top>
      <bottom style="medium">
        <color indexed="64"/>
      </bottom>
      <diagonal/>
    </border>
    <border>
      <left style="thin">
        <color indexed="64"/>
      </left>
      <right style="thin">
        <color rgb="FF000000"/>
      </right>
      <top style="medium">
        <color indexed="64"/>
      </top>
      <bottom style="thin">
        <color rgb="FF000000"/>
      </bottom>
      <diagonal/>
    </border>
    <border>
      <left style="thin">
        <color indexed="64"/>
      </left>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right style="thin">
        <color rgb="FF000000"/>
      </right>
      <top/>
      <bottom style="medium">
        <color indexed="64"/>
      </bottom>
      <diagonal/>
    </border>
    <border>
      <left style="thin">
        <color indexed="64"/>
      </left>
      <right/>
      <top style="medium">
        <color indexed="64"/>
      </top>
      <bottom style="thin">
        <color rgb="FF000000"/>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bottom/>
      <diagonal/>
    </border>
    <border>
      <left/>
      <right style="medium">
        <color indexed="64"/>
      </right>
      <top/>
      <bottom style="thin">
        <color rgb="FF000000"/>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medium">
        <color indexed="64"/>
      </right>
      <top style="thin">
        <color rgb="FF000000"/>
      </top>
      <bottom style="thin">
        <color rgb="FF000000"/>
      </bottom>
      <diagonal/>
    </border>
    <border>
      <left/>
      <right style="thin">
        <color indexed="64"/>
      </right>
      <top style="medium">
        <color indexed="64"/>
      </top>
      <bottom style="thin">
        <color indexed="64"/>
      </bottom>
      <diagonal/>
    </border>
    <border>
      <left style="thin">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rgb="FF000000"/>
      </left>
      <right/>
      <top/>
      <bottom/>
      <diagonal/>
    </border>
    <border>
      <left style="thin">
        <color rgb="FF000000"/>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bottom style="medium">
        <color indexed="64"/>
      </bottom>
      <diagonal/>
    </border>
    <border>
      <left style="thin">
        <color rgb="FF000000"/>
      </left>
      <right style="thin">
        <color indexed="64"/>
      </right>
      <top style="thin">
        <color indexed="64"/>
      </top>
      <bottom style="medium">
        <color indexed="64"/>
      </bottom>
      <diagonal/>
    </border>
    <border>
      <left style="thin">
        <color rgb="FF000000"/>
      </left>
      <right/>
      <top/>
      <bottom style="medium">
        <color indexed="64"/>
      </bottom>
      <diagonal/>
    </border>
    <border>
      <left style="thin">
        <color rgb="FF000000"/>
      </left>
      <right style="thin">
        <color rgb="FF000000"/>
      </right>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rgb="FF000000"/>
      </left>
      <right style="thin">
        <color indexed="64"/>
      </right>
      <top style="medium">
        <color indexed="64"/>
      </top>
      <bottom/>
      <diagonal/>
    </border>
    <border>
      <left style="thin">
        <color indexed="64"/>
      </left>
      <right/>
      <top style="thin">
        <color indexed="64"/>
      </top>
      <bottom/>
      <diagonal/>
    </border>
    <border>
      <left style="thin">
        <color indexed="64"/>
      </left>
      <right style="thin">
        <color rgb="FF000000"/>
      </right>
      <top style="thin">
        <color indexed="64"/>
      </top>
      <bottom/>
      <diagonal/>
    </border>
    <border>
      <left style="thin">
        <color rgb="FF000000"/>
      </left>
      <right/>
      <top style="thin">
        <color rgb="FF000000"/>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medium">
        <color indexed="64"/>
      </bottom>
      <diagonal/>
    </border>
    <border>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rgb="FF000000"/>
      </left>
      <right style="thin">
        <color indexed="64"/>
      </right>
      <top style="medium">
        <color rgb="FF000000"/>
      </top>
      <bottom/>
      <diagonal/>
    </border>
    <border>
      <left style="thin">
        <color indexed="64"/>
      </left>
      <right style="thin">
        <color rgb="FF000000"/>
      </right>
      <top style="medium">
        <color rgb="FF000000"/>
      </top>
      <bottom style="thin">
        <color indexed="64"/>
      </bottom>
      <diagonal/>
    </border>
    <border>
      <left style="thin">
        <color rgb="FF000000"/>
      </left>
      <right/>
      <top style="medium">
        <color rgb="FF000000"/>
      </top>
      <bottom/>
      <diagonal/>
    </border>
    <border>
      <left style="thin">
        <color rgb="FF000000"/>
      </left>
      <right style="thin">
        <color rgb="FF000000"/>
      </right>
      <top style="medium">
        <color rgb="FF000000"/>
      </top>
      <bottom style="thin">
        <color rgb="FF000000"/>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medium">
        <color rgb="FF000000"/>
      </bottom>
      <diagonal/>
    </border>
    <border>
      <left style="thin">
        <color indexed="64"/>
      </left>
      <right style="thin">
        <color rgb="FF000000"/>
      </right>
      <top style="thin">
        <color indexed="64"/>
      </top>
      <bottom style="medium">
        <color rgb="FF000000"/>
      </bottom>
      <diagonal/>
    </border>
    <border>
      <left style="thin">
        <color rgb="FF000000"/>
      </left>
      <right/>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000000"/>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right style="thin">
        <color indexed="64"/>
      </right>
      <top style="thin">
        <color indexed="64"/>
      </top>
      <bottom style="thin">
        <color rgb="FF000000"/>
      </bottom>
      <diagonal/>
    </border>
  </borders>
  <cellStyleXfs count="1">
    <xf numFmtId="0" fontId="0" fillId="0" borderId="0"/>
  </cellStyleXfs>
  <cellXfs count="866">
    <xf numFmtId="0" fontId="0" fillId="0" borderId="0" xfId="0"/>
    <xf numFmtId="0" fontId="3" fillId="0" borderId="0" xfId="0" applyFont="1"/>
    <xf numFmtId="0" fontId="3" fillId="0" borderId="1" xfId="0" applyFont="1" applyBorder="1" applyAlignment="1">
      <alignment horizontal="center" vertical="top" wrapText="1"/>
    </xf>
    <xf numFmtId="0" fontId="3" fillId="3" borderId="1" xfId="0" applyFont="1" applyFill="1" applyBorder="1" applyAlignment="1">
      <alignment horizontal="center" vertical="top" wrapText="1"/>
    </xf>
    <xf numFmtId="164" fontId="3" fillId="0" borderId="1" xfId="0" applyNumberFormat="1" applyFont="1" applyBorder="1" applyAlignment="1">
      <alignment horizontal="center" vertical="top" wrapText="1"/>
    </xf>
    <xf numFmtId="164" fontId="6" fillId="3" borderId="1" xfId="0" applyNumberFormat="1" applyFont="1" applyFill="1" applyBorder="1" applyAlignment="1">
      <alignment horizontal="center" vertical="top" wrapText="1"/>
    </xf>
    <xf numFmtId="164" fontId="1" fillId="3" borderId="1" xfId="0" applyNumberFormat="1" applyFont="1" applyFill="1" applyBorder="1" applyAlignment="1">
      <alignment horizontal="center" vertical="top" wrapText="1"/>
    </xf>
    <xf numFmtId="164" fontId="1" fillId="6" borderId="1" xfId="0" applyNumberFormat="1" applyFont="1" applyFill="1" applyBorder="1" applyAlignment="1">
      <alignment horizontal="center" vertical="top" wrapText="1"/>
    </xf>
    <xf numFmtId="164" fontId="6" fillId="0" borderId="1" xfId="0" applyNumberFormat="1" applyFont="1" applyBorder="1" applyAlignment="1">
      <alignment horizontal="center" vertical="top" wrapText="1"/>
    </xf>
    <xf numFmtId="164" fontId="3" fillId="3" borderId="1" xfId="0" applyNumberFormat="1" applyFont="1" applyFill="1" applyBorder="1" applyAlignment="1">
      <alignment horizontal="center" vertical="top" wrapText="1"/>
    </xf>
    <xf numFmtId="0" fontId="4" fillId="0" borderId="0" xfId="0" applyFont="1"/>
    <xf numFmtId="0" fontId="10" fillId="0" borderId="0" xfId="0" applyFont="1"/>
    <xf numFmtId="165" fontId="10" fillId="0" borderId="8" xfId="0" applyNumberFormat="1" applyFont="1" applyBorder="1" applyAlignment="1">
      <alignment horizontal="center" vertical="top" wrapText="1"/>
    </xf>
    <xf numFmtId="165" fontId="10" fillId="3" borderId="8" xfId="0" applyNumberFormat="1" applyFont="1" applyFill="1" applyBorder="1" applyAlignment="1">
      <alignment horizontal="center" vertical="top" wrapText="1"/>
    </xf>
    <xf numFmtId="0" fontId="11" fillId="0" borderId="0" xfId="0" applyFont="1"/>
    <xf numFmtId="0" fontId="11" fillId="0" borderId="0" xfId="0" applyFont="1" applyAlignment="1">
      <alignment vertical="top"/>
    </xf>
    <xf numFmtId="0" fontId="14" fillId="0" borderId="14" xfId="0" applyFont="1" applyBorder="1" applyAlignment="1">
      <alignment horizontal="center" vertical="center" wrapText="1"/>
    </xf>
    <xf numFmtId="0" fontId="14" fillId="0" borderId="15" xfId="0" applyFont="1" applyBorder="1" applyAlignment="1">
      <alignment horizontal="center" vertical="top"/>
    </xf>
    <xf numFmtId="0" fontId="11" fillId="0" borderId="15" xfId="0" applyFont="1" applyBorder="1" applyAlignment="1">
      <alignment horizontal="center" vertical="top"/>
    </xf>
    <xf numFmtId="0" fontId="11" fillId="0" borderId="0" xfId="0" applyFont="1" applyAlignment="1">
      <alignment horizontal="left" vertical="top"/>
    </xf>
    <xf numFmtId="0" fontId="11" fillId="0" borderId="4" xfId="0" applyFont="1" applyBorder="1" applyAlignment="1">
      <alignment horizontal="left" vertical="top"/>
    </xf>
    <xf numFmtId="164" fontId="10" fillId="3" borderId="8" xfId="0" applyNumberFormat="1" applyFont="1" applyFill="1" applyBorder="1" applyAlignment="1">
      <alignment horizontal="center" vertical="top" wrapText="1"/>
    </xf>
    <xf numFmtId="165" fontId="10" fillId="3" borderId="7" xfId="0" applyNumberFormat="1" applyFont="1" applyFill="1" applyBorder="1" applyAlignment="1">
      <alignment horizontal="center" vertical="top" wrapText="1"/>
    </xf>
    <xf numFmtId="164" fontId="10" fillId="3" borderId="1" xfId="0" applyNumberFormat="1" applyFont="1" applyFill="1" applyBorder="1" applyAlignment="1">
      <alignment horizontal="center" vertical="top" wrapText="1"/>
    </xf>
    <xf numFmtId="164" fontId="10" fillId="3" borderId="7" xfId="0" applyNumberFormat="1" applyFont="1" applyFill="1" applyBorder="1" applyAlignment="1">
      <alignment horizontal="center" vertical="top" wrapText="1"/>
    </xf>
    <xf numFmtId="0" fontId="12" fillId="3" borderId="1" xfId="0" applyFont="1" applyFill="1" applyBorder="1" applyAlignment="1">
      <alignment vertical="top" wrapText="1"/>
    </xf>
    <xf numFmtId="164" fontId="14" fillId="0" borderId="1" xfId="0" applyNumberFormat="1" applyFont="1" applyBorder="1" applyAlignment="1">
      <alignment horizontal="center" vertical="top" wrapText="1"/>
    </xf>
    <xf numFmtId="164" fontId="11" fillId="0" borderId="2" xfId="0" applyNumberFormat="1" applyFont="1" applyBorder="1" applyAlignment="1">
      <alignment horizontal="center" vertical="top" wrapText="1"/>
    </xf>
    <xf numFmtId="164" fontId="16" fillId="0" borderId="1" xfId="0" applyNumberFormat="1" applyFont="1" applyBorder="1" applyAlignment="1">
      <alignment horizontal="center" vertical="top" wrapText="1"/>
    </xf>
    <xf numFmtId="164" fontId="10" fillId="0" borderId="8" xfId="0" applyNumberFormat="1" applyFont="1" applyBorder="1" applyAlignment="1">
      <alignment horizontal="center" vertical="top" wrapText="1"/>
    </xf>
    <xf numFmtId="0" fontId="5" fillId="0" borderId="0" xfId="0" applyFont="1"/>
    <xf numFmtId="164" fontId="10" fillId="0" borderId="0" xfId="0" applyNumberFormat="1" applyFont="1"/>
    <xf numFmtId="0" fontId="4" fillId="3" borderId="1" xfId="0" applyFont="1" applyFill="1" applyBorder="1" applyAlignment="1">
      <alignment horizontal="center" vertical="top" wrapText="1"/>
    </xf>
    <xf numFmtId="164" fontId="4" fillId="3" borderId="1" xfId="0" applyNumberFormat="1" applyFont="1" applyFill="1" applyBorder="1" applyAlignment="1">
      <alignment horizontal="center" vertical="top" wrapText="1"/>
    </xf>
    <xf numFmtId="165" fontId="4" fillId="3" borderId="7" xfId="0" applyNumberFormat="1" applyFont="1" applyFill="1" applyBorder="1" applyAlignment="1">
      <alignment horizontal="center" vertical="top" wrapText="1"/>
    </xf>
    <xf numFmtId="0" fontId="3" fillId="0" borderId="1" xfId="0" applyFont="1" applyBorder="1"/>
    <xf numFmtId="165" fontId="3" fillId="0" borderId="0" xfId="0" applyNumberFormat="1" applyFont="1"/>
    <xf numFmtId="0" fontId="8" fillId="0" borderId="0" xfId="0" applyFont="1"/>
    <xf numFmtId="0" fontId="12" fillId="0" borderId="0" xfId="0" applyFont="1" applyAlignment="1">
      <alignment vertical="top"/>
    </xf>
    <xf numFmtId="0" fontId="17" fillId="3" borderId="1" xfId="0" applyFont="1" applyFill="1" applyBorder="1" applyAlignment="1">
      <alignment vertical="top" wrapText="1"/>
    </xf>
    <xf numFmtId="0" fontId="12" fillId="0" borderId="1" xfId="0" applyFont="1" applyBorder="1" applyAlignment="1">
      <alignment vertical="top" wrapText="1"/>
    </xf>
    <xf numFmtId="0" fontId="12" fillId="3" borderId="1" xfId="0" applyFont="1" applyFill="1" applyBorder="1" applyAlignment="1">
      <alignment vertical="top"/>
    </xf>
    <xf numFmtId="0" fontId="12" fillId="3" borderId="10" xfId="0" applyFont="1" applyFill="1" applyBorder="1" applyAlignment="1">
      <alignment vertical="top" wrapText="1"/>
    </xf>
    <xf numFmtId="0" fontId="17" fillId="0" borderId="1" xfId="0" applyFont="1" applyBorder="1" applyAlignment="1">
      <alignment vertical="top" wrapText="1"/>
    </xf>
    <xf numFmtId="0" fontId="17" fillId="3" borderId="3" xfId="0" applyFont="1" applyFill="1" applyBorder="1" applyAlignment="1">
      <alignment vertical="top" wrapText="1"/>
    </xf>
    <xf numFmtId="0" fontId="12" fillId="3" borderId="9" xfId="0" applyFont="1" applyFill="1" applyBorder="1" applyAlignment="1">
      <alignment vertical="top" wrapText="1"/>
    </xf>
    <xf numFmtId="0" fontId="17" fillId="6" borderId="1" xfId="0" applyFont="1" applyFill="1" applyBorder="1" applyAlignment="1">
      <alignment vertical="top" wrapText="1"/>
    </xf>
    <xf numFmtId="0" fontId="17" fillId="3" borderId="1" xfId="0" applyFont="1" applyFill="1" applyBorder="1" applyAlignment="1">
      <alignment vertical="top"/>
    </xf>
    <xf numFmtId="0" fontId="17" fillId="3" borderId="6" xfId="0" applyFont="1" applyFill="1" applyBorder="1" applyAlignment="1">
      <alignment vertical="top" wrapText="1"/>
    </xf>
    <xf numFmtId="0" fontId="17" fillId="3" borderId="3" xfId="0" applyFont="1" applyFill="1" applyBorder="1" applyAlignment="1">
      <alignment horizontal="left" vertical="top" wrapText="1"/>
    </xf>
    <xf numFmtId="0" fontId="14" fillId="0" borderId="16" xfId="0" applyFont="1" applyBorder="1" applyAlignment="1">
      <alignment horizontal="center" vertical="top"/>
    </xf>
    <xf numFmtId="0" fontId="14" fillId="0" borderId="8" xfId="0" applyFont="1" applyBorder="1" applyAlignment="1">
      <alignment horizontal="left" vertical="top" wrapText="1"/>
    </xf>
    <xf numFmtId="164" fontId="14" fillId="0" borderId="3" xfId="0" applyNumberFormat="1" applyFont="1" applyBorder="1" applyAlignment="1">
      <alignment horizontal="center" vertical="top" wrapText="1"/>
    </xf>
    <xf numFmtId="0" fontId="1" fillId="0" borderId="14" xfId="0" applyFont="1" applyBorder="1" applyAlignment="1">
      <alignment horizontal="center" vertical="center" wrapText="1"/>
    </xf>
    <xf numFmtId="0" fontId="14" fillId="0" borderId="14" xfId="0" applyFont="1" applyBorder="1" applyAlignment="1">
      <alignment horizontal="center" vertical="center"/>
    </xf>
    <xf numFmtId="164" fontId="2" fillId="0" borderId="7" xfId="0" applyNumberFormat="1" applyFont="1" applyBorder="1" applyAlignment="1">
      <alignment horizontal="center" vertical="top" wrapText="1"/>
    </xf>
    <xf numFmtId="164" fontId="16" fillId="3" borderId="2" xfId="0" applyNumberFormat="1" applyFont="1" applyFill="1" applyBorder="1" applyAlignment="1">
      <alignment horizontal="center" vertical="top" wrapText="1"/>
    </xf>
    <xf numFmtId="164" fontId="19" fillId="3" borderId="2" xfId="0" applyNumberFormat="1" applyFont="1" applyFill="1" applyBorder="1" applyAlignment="1">
      <alignment horizontal="center" vertical="top" wrapText="1"/>
    </xf>
    <xf numFmtId="164" fontId="19" fillId="0" borderId="1" xfId="0" applyNumberFormat="1" applyFont="1" applyBorder="1" applyAlignment="1">
      <alignment horizontal="center" vertical="top" wrapText="1"/>
    </xf>
    <xf numFmtId="0" fontId="2" fillId="0" borderId="7" xfId="0" applyFont="1" applyBorder="1" applyAlignment="1">
      <alignment horizontal="left" vertical="top" wrapText="1"/>
    </xf>
    <xf numFmtId="0" fontId="10" fillId="3" borderId="12" xfId="0" applyFont="1" applyFill="1" applyBorder="1" applyAlignment="1">
      <alignment horizontal="left" vertical="top" wrapText="1"/>
    </xf>
    <xf numFmtId="0" fontId="10" fillId="0" borderId="7" xfId="0" applyFont="1" applyBorder="1" applyAlignment="1">
      <alignment horizontal="left" vertical="top" wrapText="1"/>
    </xf>
    <xf numFmtId="0" fontId="12" fillId="3" borderId="11" xfId="0" applyFont="1" applyFill="1" applyBorder="1" applyAlignment="1">
      <alignment vertical="top" wrapText="1"/>
    </xf>
    <xf numFmtId="0" fontId="21" fillId="0" borderId="14" xfId="0" applyFont="1" applyBorder="1" applyAlignment="1">
      <alignment horizontal="center" vertical="center" wrapText="1"/>
    </xf>
    <xf numFmtId="0" fontId="21" fillId="0" borderId="14" xfId="0" applyFont="1" applyBorder="1" applyAlignment="1">
      <alignment horizontal="center" vertical="center"/>
    </xf>
    <xf numFmtId="0" fontId="16" fillId="0" borderId="7" xfId="0" applyFont="1" applyBorder="1" applyAlignment="1">
      <alignment horizontal="left" vertical="top" wrapText="1"/>
    </xf>
    <xf numFmtId="0" fontId="12" fillId="3" borderId="2" xfId="0" applyFont="1" applyFill="1" applyBorder="1" applyAlignment="1">
      <alignment vertical="top" wrapText="1"/>
    </xf>
    <xf numFmtId="164" fontId="12" fillId="3" borderId="1" xfId="0" applyNumberFormat="1" applyFont="1" applyFill="1" applyBorder="1" applyAlignment="1">
      <alignment horizontal="center" vertical="top" wrapText="1"/>
    </xf>
    <xf numFmtId="165" fontId="12" fillId="3" borderId="8" xfId="0" applyNumberFormat="1" applyFont="1" applyFill="1" applyBorder="1" applyAlignment="1">
      <alignment horizontal="center" vertical="top" wrapText="1"/>
    </xf>
    <xf numFmtId="165" fontId="12" fillId="3" borderId="7" xfId="0" applyNumberFormat="1" applyFont="1" applyFill="1" applyBorder="1" applyAlignment="1">
      <alignment horizontal="center" vertical="top" wrapText="1"/>
    </xf>
    <xf numFmtId="164" fontId="12" fillId="0" borderId="1" xfId="0" applyNumberFormat="1" applyFont="1" applyBorder="1" applyAlignment="1">
      <alignment horizontal="center" vertical="top" wrapText="1"/>
    </xf>
    <xf numFmtId="0" fontId="17" fillId="3" borderId="2" xfId="0" applyFont="1" applyFill="1" applyBorder="1" applyAlignment="1">
      <alignment vertical="top" wrapText="1"/>
    </xf>
    <xf numFmtId="0" fontId="17" fillId="6" borderId="7" xfId="0" applyFont="1" applyFill="1" applyBorder="1" applyAlignment="1">
      <alignment vertical="top" wrapText="1"/>
    </xf>
    <xf numFmtId="0" fontId="17" fillId="0" borderId="7" xfId="0" applyFont="1" applyBorder="1" applyAlignment="1">
      <alignment vertical="top" wrapText="1"/>
    </xf>
    <xf numFmtId="0" fontId="17" fillId="3" borderId="21" xfId="0" applyFont="1" applyFill="1" applyBorder="1" applyAlignment="1">
      <alignment vertical="top" wrapText="1"/>
    </xf>
    <xf numFmtId="0" fontId="17" fillId="6" borderId="1" xfId="0" applyFont="1" applyFill="1" applyBorder="1" applyAlignment="1">
      <alignment vertical="top"/>
    </xf>
    <xf numFmtId="0" fontId="3" fillId="0" borderId="0" xfId="0" applyFont="1" applyAlignment="1">
      <alignment vertical="top"/>
    </xf>
    <xf numFmtId="0" fontId="23" fillId="0" borderId="0" xfId="0" applyFont="1"/>
    <xf numFmtId="164" fontId="16" fillId="3" borderId="7" xfId="0" applyNumberFormat="1" applyFont="1" applyFill="1" applyBorder="1" applyAlignment="1">
      <alignment horizontal="center" vertical="top" wrapText="1"/>
    </xf>
    <xf numFmtId="164" fontId="16" fillId="3" borderId="8" xfId="0" applyNumberFormat="1" applyFont="1" applyFill="1" applyBorder="1" applyAlignment="1">
      <alignment horizontal="center" vertical="top" wrapText="1"/>
    </xf>
    <xf numFmtId="164" fontId="16" fillId="3" borderId="1" xfId="0" applyNumberFormat="1" applyFont="1" applyFill="1" applyBorder="1" applyAlignment="1">
      <alignment horizontal="center" vertical="top" wrapText="1"/>
    </xf>
    <xf numFmtId="0" fontId="3" fillId="0" borderId="1" xfId="0" applyFont="1" applyBorder="1" applyAlignment="1">
      <alignment horizontal="center" vertical="top"/>
    </xf>
    <xf numFmtId="165" fontId="12" fillId="7" borderId="8" xfId="0" applyNumberFormat="1" applyFont="1" applyFill="1" applyBorder="1" applyAlignment="1">
      <alignment horizontal="center" vertical="top" wrapText="1"/>
    </xf>
    <xf numFmtId="165" fontId="16" fillId="3" borderId="7" xfId="0" applyNumberFormat="1" applyFont="1" applyFill="1" applyBorder="1" applyAlignment="1">
      <alignment horizontal="center" vertical="top" wrapText="1"/>
    </xf>
    <xf numFmtId="164" fontId="11" fillId="3" borderId="1" xfId="0" applyNumberFormat="1" applyFont="1" applyFill="1" applyBorder="1" applyAlignment="1">
      <alignment horizontal="center" vertical="top" wrapText="1"/>
    </xf>
    <xf numFmtId="0" fontId="12" fillId="0" borderId="0" xfId="0" applyFont="1"/>
    <xf numFmtId="0" fontId="3" fillId="0" borderId="15" xfId="0" applyFont="1" applyBorder="1"/>
    <xf numFmtId="164" fontId="3" fillId="0" borderId="3" xfId="0" applyNumberFormat="1" applyFont="1" applyBorder="1" applyAlignment="1">
      <alignment horizontal="center" vertical="top" wrapText="1"/>
    </xf>
    <xf numFmtId="164" fontId="12" fillId="3" borderId="7" xfId="0" applyNumberFormat="1" applyFont="1" applyFill="1" applyBorder="1" applyAlignment="1">
      <alignment horizontal="center" vertical="top" wrapText="1"/>
    </xf>
    <xf numFmtId="164" fontId="11" fillId="3" borderId="7" xfId="0" applyNumberFormat="1" applyFont="1" applyFill="1" applyBorder="1" applyAlignment="1">
      <alignment horizontal="center" vertical="top" wrapText="1"/>
    </xf>
    <xf numFmtId="0" fontId="10" fillId="3" borderId="13" xfId="0" applyFont="1" applyFill="1" applyBorder="1" applyAlignment="1">
      <alignment horizontal="center" vertical="top" wrapText="1"/>
    </xf>
    <xf numFmtId="0" fontId="3" fillId="0" borderId="8" xfId="0" applyFont="1" applyBorder="1"/>
    <xf numFmtId="0" fontId="3" fillId="3" borderId="8" xfId="0" applyFont="1" applyFill="1" applyBorder="1" applyAlignment="1">
      <alignment horizontal="center" vertical="top"/>
    </xf>
    <xf numFmtId="164" fontId="24" fillId="0" borderId="3" xfId="0" applyNumberFormat="1" applyFont="1" applyBorder="1" applyAlignment="1">
      <alignment horizontal="center" vertical="top" wrapText="1"/>
    </xf>
    <xf numFmtId="164" fontId="16" fillId="3" borderId="10" xfId="0" applyNumberFormat="1" applyFont="1" applyFill="1" applyBorder="1" applyAlignment="1">
      <alignment horizontal="center" vertical="top" wrapText="1"/>
    </xf>
    <xf numFmtId="0" fontId="10" fillId="3" borderId="7" xfId="0" applyFont="1" applyFill="1" applyBorder="1" applyAlignment="1">
      <alignment horizontal="left" vertical="top" wrapText="1"/>
    </xf>
    <xf numFmtId="0" fontId="2" fillId="3" borderId="7" xfId="0" applyFont="1" applyFill="1" applyBorder="1" applyAlignment="1">
      <alignment horizontal="left" vertical="top" wrapText="1"/>
    </xf>
    <xf numFmtId="0" fontId="12" fillId="0" borderId="17" xfId="0" applyFont="1" applyBorder="1" applyAlignment="1">
      <alignment vertical="top"/>
    </xf>
    <xf numFmtId="0" fontId="10" fillId="0" borderId="17" xfId="0" applyFont="1" applyBorder="1"/>
    <xf numFmtId="164" fontId="3" fillId="0" borderId="7" xfId="0" applyNumberFormat="1" applyFont="1" applyBorder="1" applyAlignment="1">
      <alignment horizontal="center" vertical="top" wrapText="1"/>
    </xf>
    <xf numFmtId="0" fontId="12" fillId="0" borderId="3" xfId="0" applyFont="1" applyBorder="1" applyAlignment="1">
      <alignment vertical="top"/>
    </xf>
    <xf numFmtId="0" fontId="4" fillId="3" borderId="5" xfId="0" applyFont="1" applyFill="1" applyBorder="1" applyAlignment="1">
      <alignment vertical="top" wrapText="1"/>
    </xf>
    <xf numFmtId="164" fontId="3" fillId="0" borderId="0" xfId="0" applyNumberFormat="1" applyFont="1"/>
    <xf numFmtId="164" fontId="16" fillId="0" borderId="8" xfId="0" applyNumberFormat="1" applyFont="1" applyBorder="1" applyAlignment="1">
      <alignment horizontal="center" vertical="top" wrapText="1"/>
    </xf>
    <xf numFmtId="164" fontId="5" fillId="0" borderId="2" xfId="0" applyNumberFormat="1" applyFont="1" applyBorder="1" applyAlignment="1">
      <alignment horizontal="center" vertical="top" wrapText="1"/>
    </xf>
    <xf numFmtId="0" fontId="12" fillId="3" borderId="29" xfId="0" applyFont="1" applyFill="1" applyBorder="1" applyAlignment="1">
      <alignment vertical="top" wrapText="1"/>
    </xf>
    <xf numFmtId="0" fontId="12" fillId="3" borderId="6" xfId="0" applyFont="1" applyFill="1" applyBorder="1" applyAlignment="1">
      <alignment vertical="top" wrapText="1"/>
    </xf>
    <xf numFmtId="0" fontId="16" fillId="3" borderId="6" xfId="0" applyFont="1" applyFill="1" applyBorder="1" applyAlignment="1">
      <alignment vertical="top"/>
    </xf>
    <xf numFmtId="0" fontId="12" fillId="7" borderId="24" xfId="0" applyFont="1" applyFill="1" applyBorder="1" applyAlignment="1">
      <alignment vertical="top" wrapText="1"/>
    </xf>
    <xf numFmtId="164" fontId="23" fillId="3" borderId="7" xfId="0" applyNumberFormat="1" applyFont="1" applyFill="1" applyBorder="1" applyAlignment="1">
      <alignment horizontal="center" vertical="top" wrapText="1"/>
    </xf>
    <xf numFmtId="0" fontId="16" fillId="0" borderId="1" xfId="0" applyFont="1" applyBorder="1" applyAlignment="1">
      <alignment vertical="top" wrapText="1"/>
    </xf>
    <xf numFmtId="165" fontId="16" fillId="3" borderId="8" xfId="0" applyNumberFormat="1" applyFont="1" applyFill="1" applyBorder="1" applyAlignment="1">
      <alignment horizontal="center" vertical="top" wrapText="1"/>
    </xf>
    <xf numFmtId="0" fontId="16" fillId="3" borderId="15" xfId="0" applyFont="1" applyFill="1" applyBorder="1" applyAlignment="1">
      <alignment vertical="top" wrapText="1"/>
    </xf>
    <xf numFmtId="0" fontId="10" fillId="3" borderId="1" xfId="0" applyFont="1" applyFill="1" applyBorder="1" applyAlignment="1">
      <alignment horizontal="center" vertical="top" wrapText="1"/>
    </xf>
    <xf numFmtId="0" fontId="10" fillId="3" borderId="8" xfId="0" applyFont="1" applyFill="1" applyBorder="1" applyAlignment="1">
      <alignment horizontal="center" vertical="top" wrapText="1"/>
    </xf>
    <xf numFmtId="0" fontId="17" fillId="6" borderId="3" xfId="0" applyFont="1" applyFill="1" applyBorder="1" applyAlignment="1">
      <alignment vertical="top" wrapText="1"/>
    </xf>
    <xf numFmtId="164" fontId="11" fillId="0" borderId="0" xfId="0" applyNumberFormat="1" applyFont="1"/>
    <xf numFmtId="164" fontId="16" fillId="0" borderId="7" xfId="0" applyNumberFormat="1" applyFont="1" applyBorder="1" applyAlignment="1">
      <alignment horizontal="center" vertical="top" wrapText="1"/>
    </xf>
    <xf numFmtId="164" fontId="3" fillId="3" borderId="7" xfId="0" applyNumberFormat="1" applyFont="1" applyFill="1" applyBorder="1" applyAlignment="1">
      <alignment horizontal="center" vertical="top" wrapText="1"/>
    </xf>
    <xf numFmtId="0" fontId="12" fillId="0" borderId="6" xfId="0" applyFont="1" applyBorder="1" applyAlignment="1">
      <alignment vertical="top" wrapText="1"/>
    </xf>
    <xf numFmtId="164" fontId="5" fillId="3" borderId="1" xfId="0" applyNumberFormat="1" applyFont="1" applyFill="1" applyBorder="1" applyAlignment="1">
      <alignment horizontal="center" vertical="top" wrapText="1"/>
    </xf>
    <xf numFmtId="164" fontId="5" fillId="0" borderId="1" xfId="0" applyNumberFormat="1" applyFont="1" applyBorder="1" applyAlignment="1">
      <alignment horizontal="center" vertical="top" wrapText="1"/>
    </xf>
    <xf numFmtId="0" fontId="5" fillId="0" borderId="19" xfId="0" applyFont="1" applyBorder="1"/>
    <xf numFmtId="0" fontId="4" fillId="3" borderId="15" xfId="0" applyFont="1" applyFill="1" applyBorder="1" applyAlignment="1">
      <alignment horizontal="center" vertical="top"/>
    </xf>
    <xf numFmtId="165" fontId="3" fillId="3" borderId="25" xfId="0" applyNumberFormat="1" applyFont="1" applyFill="1" applyBorder="1" applyAlignment="1">
      <alignment horizontal="center" vertical="top"/>
    </xf>
    <xf numFmtId="0" fontId="16" fillId="3" borderId="7" xfId="0" applyFont="1" applyFill="1" applyBorder="1" applyAlignment="1">
      <alignment vertical="top" wrapText="1"/>
    </xf>
    <xf numFmtId="0" fontId="16" fillId="3" borderId="9" xfId="0" applyFont="1" applyFill="1" applyBorder="1" applyAlignment="1">
      <alignment vertical="top" wrapText="1"/>
    </xf>
    <xf numFmtId="0" fontId="4" fillId="3" borderId="14" xfId="0" applyFont="1" applyFill="1" applyBorder="1" applyAlignment="1">
      <alignment horizontal="center" vertical="top" wrapText="1"/>
    </xf>
    <xf numFmtId="0" fontId="4" fillId="3" borderId="2" xfId="0" applyFont="1" applyFill="1" applyBorder="1" applyAlignment="1">
      <alignment horizontal="center" vertical="top" wrapText="1"/>
    </xf>
    <xf numFmtId="0" fontId="4" fillId="3" borderId="5" xfId="0" applyFont="1" applyFill="1" applyBorder="1" applyAlignment="1">
      <alignment horizontal="center" vertical="top" wrapText="1"/>
    </xf>
    <xf numFmtId="0" fontId="4" fillId="3" borderId="3" xfId="0" applyFont="1" applyFill="1" applyBorder="1" applyAlignment="1">
      <alignment horizontal="center" vertical="top" wrapText="1"/>
    </xf>
    <xf numFmtId="0" fontId="8" fillId="0" borderId="0" xfId="0" applyFont="1" applyAlignment="1">
      <alignment horizontal="left"/>
    </xf>
    <xf numFmtId="0" fontId="12" fillId="3" borderId="5" xfId="0" applyFont="1" applyFill="1" applyBorder="1" applyAlignment="1">
      <alignment horizontal="center"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7" fillId="8" borderId="1" xfId="0" applyFont="1" applyFill="1" applyBorder="1" applyAlignment="1">
      <alignment vertical="top" wrapText="1"/>
    </xf>
    <xf numFmtId="0" fontId="1" fillId="8" borderId="1" xfId="0" applyFont="1" applyFill="1" applyBorder="1" applyAlignment="1">
      <alignment horizontal="center" vertical="top" wrapText="1"/>
    </xf>
    <xf numFmtId="1" fontId="1" fillId="8" borderId="1" xfId="0" applyNumberFormat="1" applyFont="1" applyFill="1" applyBorder="1" applyAlignment="1">
      <alignment horizontal="center" vertical="top" wrapText="1"/>
    </xf>
    <xf numFmtId="0" fontId="4" fillId="0" borderId="1" xfId="0" applyFont="1" applyBorder="1" applyAlignment="1">
      <alignment horizontal="center" vertical="top" wrapText="1"/>
    </xf>
    <xf numFmtId="0" fontId="5" fillId="0" borderId="1" xfId="0" applyFont="1" applyBorder="1" applyAlignment="1">
      <alignment vertical="top"/>
    </xf>
    <xf numFmtId="0" fontId="4" fillId="0" borderId="1" xfId="0" applyFont="1" applyBorder="1"/>
    <xf numFmtId="164" fontId="4" fillId="0" borderId="1" xfId="0" applyNumberFormat="1" applyFont="1" applyBorder="1"/>
    <xf numFmtId="0" fontId="10" fillId="3" borderId="7" xfId="0" applyFont="1" applyFill="1" applyBorder="1" applyAlignment="1">
      <alignment horizontal="center" vertical="top" wrapText="1"/>
    </xf>
    <xf numFmtId="165" fontId="4" fillId="0" borderId="1" xfId="0" applyNumberFormat="1" applyFont="1" applyBorder="1"/>
    <xf numFmtId="0" fontId="12" fillId="3" borderId="8" xfId="0" applyFont="1" applyFill="1" applyBorder="1" applyAlignment="1">
      <alignment vertical="top" wrapText="1"/>
    </xf>
    <xf numFmtId="165" fontId="10" fillId="3" borderId="1" xfId="0" applyNumberFormat="1" applyFont="1" applyFill="1" applyBorder="1" applyAlignment="1">
      <alignment horizontal="center" vertical="top" wrapText="1"/>
    </xf>
    <xf numFmtId="0" fontId="10" fillId="3" borderId="8" xfId="0" applyFont="1" applyFill="1" applyBorder="1" applyAlignment="1">
      <alignment vertical="top" wrapText="1"/>
    </xf>
    <xf numFmtId="0" fontId="5" fillId="3" borderId="2" xfId="0" applyFont="1" applyFill="1" applyBorder="1" applyAlignment="1">
      <alignment horizontal="center" vertical="top" wrapText="1"/>
    </xf>
    <xf numFmtId="0" fontId="4" fillId="3" borderId="12" xfId="0" applyFont="1" applyFill="1" applyBorder="1" applyAlignment="1">
      <alignment horizontal="center" vertical="top" wrapText="1"/>
    </xf>
    <xf numFmtId="0" fontId="4" fillId="3" borderId="12" xfId="0" applyFont="1" applyFill="1" applyBorder="1" applyAlignment="1">
      <alignment wrapText="1"/>
    </xf>
    <xf numFmtId="0" fontId="4" fillId="3" borderId="13" xfId="0" applyFont="1" applyFill="1" applyBorder="1" applyAlignment="1">
      <alignment wrapText="1"/>
    </xf>
    <xf numFmtId="0" fontId="4" fillId="3" borderId="13" xfId="0" applyFont="1" applyFill="1" applyBorder="1" applyAlignment="1">
      <alignment horizontal="center" vertical="top" wrapText="1"/>
    </xf>
    <xf numFmtId="0" fontId="10" fillId="3" borderId="12" xfId="0" applyFont="1" applyFill="1" applyBorder="1" applyAlignment="1">
      <alignment wrapText="1"/>
    </xf>
    <xf numFmtId="0" fontId="4" fillId="0" borderId="2" xfId="0" applyFont="1" applyBorder="1"/>
    <xf numFmtId="1" fontId="6" fillId="8" borderId="1" xfId="0" applyNumberFormat="1" applyFont="1" applyFill="1" applyBorder="1" applyAlignment="1">
      <alignment horizontal="center" vertical="top" wrapText="1"/>
    </xf>
    <xf numFmtId="1" fontId="6" fillId="8" borderId="3" xfId="0" applyNumberFormat="1" applyFont="1" applyFill="1" applyBorder="1" applyAlignment="1">
      <alignment horizontal="center" vertical="top" wrapText="1"/>
    </xf>
    <xf numFmtId="0" fontId="6" fillId="8" borderId="1" xfId="0" applyFont="1" applyFill="1" applyBorder="1" applyAlignment="1">
      <alignment horizontal="center" vertical="top"/>
    </xf>
    <xf numFmtId="0" fontId="6" fillId="8" borderId="3" xfId="0" applyFont="1" applyFill="1" applyBorder="1" applyAlignment="1">
      <alignment horizontal="center" vertical="top"/>
    </xf>
    <xf numFmtId="0" fontId="17" fillId="8" borderId="3" xfId="0" applyFont="1" applyFill="1" applyBorder="1" applyAlignment="1">
      <alignment vertical="top" wrapText="1"/>
    </xf>
    <xf numFmtId="164" fontId="1" fillId="8" borderId="3" xfId="0" applyNumberFormat="1" applyFont="1" applyFill="1" applyBorder="1" applyAlignment="1">
      <alignment horizontal="center" vertical="top" wrapText="1"/>
    </xf>
    <xf numFmtId="0" fontId="12" fillId="3" borderId="7" xfId="0" applyFont="1" applyFill="1" applyBorder="1" applyAlignment="1">
      <alignment vertical="top" wrapText="1"/>
    </xf>
    <xf numFmtId="0" fontId="16" fillId="7" borderId="7" xfId="0" applyFont="1" applyFill="1" applyBorder="1" applyAlignment="1">
      <alignment vertical="top" wrapText="1"/>
    </xf>
    <xf numFmtId="0" fontId="16" fillId="7" borderId="8" xfId="0" applyFont="1" applyFill="1" applyBorder="1" applyAlignment="1">
      <alignment vertical="top" wrapText="1"/>
    </xf>
    <xf numFmtId="0" fontId="10" fillId="3" borderId="7" xfId="0" applyFont="1" applyFill="1" applyBorder="1" applyAlignment="1">
      <alignment vertical="top" wrapText="1"/>
    </xf>
    <xf numFmtId="0" fontId="4" fillId="3" borderId="8" xfId="0" applyFont="1" applyFill="1" applyBorder="1" applyAlignment="1">
      <alignment horizontal="center" vertical="top" wrapText="1"/>
    </xf>
    <xf numFmtId="0" fontId="4" fillId="3" borderId="7" xfId="0" applyFont="1" applyFill="1" applyBorder="1" applyAlignment="1">
      <alignment vertical="top" wrapText="1"/>
    </xf>
    <xf numFmtId="0" fontId="10" fillId="7" borderId="7" xfId="0" applyFont="1" applyFill="1" applyBorder="1" applyAlignment="1">
      <alignment vertical="top" wrapText="1"/>
    </xf>
    <xf numFmtId="0" fontId="3" fillId="3" borderId="1" xfId="0" applyFont="1" applyFill="1" applyBorder="1" applyAlignment="1">
      <alignment horizontal="center" vertical="top"/>
    </xf>
    <xf numFmtId="0" fontId="10" fillId="3" borderId="8" xfId="0" applyFont="1" applyFill="1" applyBorder="1" applyAlignment="1">
      <alignment horizontal="center" vertical="top"/>
    </xf>
    <xf numFmtId="0" fontId="16" fillId="3" borderId="8" xfId="0" applyFont="1" applyFill="1" applyBorder="1" applyAlignment="1">
      <alignment vertical="top" wrapText="1"/>
    </xf>
    <xf numFmtId="0" fontId="10" fillId="0" borderId="3" xfId="0" applyFont="1" applyBorder="1" applyAlignment="1">
      <alignment horizontal="center" vertical="top" wrapText="1"/>
    </xf>
    <xf numFmtId="0" fontId="5" fillId="3" borderId="1" xfId="0" applyFont="1" applyFill="1" applyBorder="1" applyAlignment="1">
      <alignment horizontal="center" vertical="top"/>
    </xf>
    <xf numFmtId="0" fontId="10" fillId="0" borderId="1" xfId="0" applyFont="1" applyBorder="1" applyAlignment="1">
      <alignment horizontal="center" vertical="top"/>
    </xf>
    <xf numFmtId="0" fontId="10" fillId="0" borderId="7" xfId="0" applyFont="1" applyBorder="1" applyAlignment="1">
      <alignment horizontal="center" vertical="top"/>
    </xf>
    <xf numFmtId="0" fontId="6" fillId="8" borderId="42" xfId="0" applyFont="1" applyFill="1" applyBorder="1" applyAlignment="1">
      <alignment vertical="top" wrapText="1"/>
    </xf>
    <xf numFmtId="0" fontId="1" fillId="8" borderId="41" xfId="0" applyFont="1" applyFill="1" applyBorder="1" applyAlignment="1">
      <alignment horizontal="center" vertical="top" wrapText="1"/>
    </xf>
    <xf numFmtId="1" fontId="1" fillId="8" borderId="41" xfId="0" applyNumberFormat="1" applyFont="1" applyFill="1" applyBorder="1" applyAlignment="1">
      <alignment horizontal="center" vertical="top" wrapText="1"/>
    </xf>
    <xf numFmtId="0" fontId="4" fillId="0" borderId="41" xfId="0" applyFont="1" applyBorder="1" applyAlignment="1">
      <alignment horizontal="center" vertical="top" wrapText="1"/>
    </xf>
    <xf numFmtId="0" fontId="4" fillId="0" borderId="41" xfId="0" applyFont="1" applyBorder="1"/>
    <xf numFmtId="0" fontId="3" fillId="0" borderId="41" xfId="0" applyFont="1" applyBorder="1" applyAlignment="1">
      <alignment horizontal="center" vertical="top" wrapText="1"/>
    </xf>
    <xf numFmtId="0" fontId="3" fillId="3" borderId="44" xfId="0" applyFont="1" applyFill="1" applyBorder="1" applyAlignment="1">
      <alignment horizontal="left" vertical="top" wrapText="1"/>
    </xf>
    <xf numFmtId="0" fontId="10" fillId="3" borderId="46" xfId="0" applyFont="1" applyFill="1" applyBorder="1" applyAlignment="1">
      <alignment wrapText="1"/>
    </xf>
    <xf numFmtId="0" fontId="3" fillId="0" borderId="0" xfId="0" applyFont="1" applyAlignment="1">
      <alignment horizontal="center" vertical="top"/>
    </xf>
    <xf numFmtId="0" fontId="4" fillId="3" borderId="41" xfId="0" applyFont="1" applyFill="1" applyBorder="1" applyAlignment="1">
      <alignment horizontal="center" vertical="top" wrapText="1"/>
    </xf>
    <xf numFmtId="0" fontId="4" fillId="3" borderId="47" xfId="0" applyFont="1" applyFill="1" applyBorder="1" applyAlignment="1">
      <alignment horizontal="center" vertical="top" wrapText="1"/>
    </xf>
    <xf numFmtId="0" fontId="12" fillId="3" borderId="44" xfId="0" applyFont="1" applyFill="1" applyBorder="1" applyAlignment="1">
      <alignment horizontal="left" vertical="top" wrapText="1"/>
    </xf>
    <xf numFmtId="0" fontId="5" fillId="3" borderId="47" xfId="0" applyFont="1" applyFill="1" applyBorder="1" applyAlignment="1">
      <alignment horizontal="center" vertical="top" wrapText="1"/>
    </xf>
    <xf numFmtId="0" fontId="4" fillId="0" borderId="47" xfId="0" applyFont="1" applyBorder="1"/>
    <xf numFmtId="0" fontId="3" fillId="6" borderId="42" xfId="0" applyFont="1" applyFill="1" applyBorder="1" applyAlignment="1">
      <alignment horizontal="justify" vertical="center" wrapText="1"/>
    </xf>
    <xf numFmtId="0" fontId="17" fillId="6" borderId="49" xfId="0" applyFont="1" applyFill="1" applyBorder="1" applyAlignment="1">
      <alignment vertical="top" wrapText="1"/>
    </xf>
    <xf numFmtId="0" fontId="17" fillId="6" borderId="0" xfId="0" applyFont="1" applyFill="1" applyAlignment="1">
      <alignment vertical="top"/>
    </xf>
    <xf numFmtId="0" fontId="17" fillId="3" borderId="0" xfId="0" applyFont="1" applyFill="1" applyAlignment="1">
      <alignment vertical="top"/>
    </xf>
    <xf numFmtId="1" fontId="6" fillId="8" borderId="49" xfId="0" applyNumberFormat="1" applyFont="1" applyFill="1" applyBorder="1" applyAlignment="1">
      <alignment horizontal="center" vertical="top" wrapText="1"/>
    </xf>
    <xf numFmtId="0" fontId="3" fillId="0" borderId="49" xfId="0" applyFont="1" applyBorder="1" applyAlignment="1">
      <alignment vertical="top" wrapText="1"/>
    </xf>
    <xf numFmtId="0" fontId="3" fillId="0" borderId="49" xfId="0" applyFont="1" applyBorder="1" applyAlignment="1">
      <alignment horizontal="center" vertical="top" wrapText="1"/>
    </xf>
    <xf numFmtId="0" fontId="3" fillId="3" borderId="49" xfId="0" applyFont="1" applyFill="1" applyBorder="1" applyAlignment="1">
      <alignment horizontal="center" vertical="top" wrapText="1"/>
    </xf>
    <xf numFmtId="0" fontId="4" fillId="3" borderId="49" xfId="0" applyFont="1" applyFill="1" applyBorder="1" applyAlignment="1">
      <alignment horizontal="center" vertical="top" wrapText="1"/>
    </xf>
    <xf numFmtId="0" fontId="17" fillId="6" borderId="41" xfId="0" applyFont="1" applyFill="1" applyBorder="1" applyAlignment="1">
      <alignment vertical="top" wrapText="1"/>
    </xf>
    <xf numFmtId="0" fontId="3" fillId="0" borderId="42" xfId="0" applyFont="1" applyBorder="1" applyAlignment="1">
      <alignment horizontal="justify" vertical="center" wrapText="1"/>
    </xf>
    <xf numFmtId="0" fontId="3" fillId="0" borderId="51" xfId="0" applyFont="1" applyBorder="1" applyAlignment="1">
      <alignment horizontal="justify" vertical="center" wrapText="1"/>
    </xf>
    <xf numFmtId="0" fontId="17" fillId="0" borderId="52" xfId="0" applyFont="1" applyBorder="1" applyAlignment="1">
      <alignment vertical="top" wrapText="1"/>
    </xf>
    <xf numFmtId="164" fontId="1" fillId="0" borderId="52" xfId="0" applyNumberFormat="1" applyFont="1" applyBorder="1" applyAlignment="1">
      <alignment horizontal="center" vertical="top" wrapText="1"/>
    </xf>
    <xf numFmtId="0" fontId="4" fillId="0" borderId="52" xfId="0" applyFont="1" applyBorder="1"/>
    <xf numFmtId="0" fontId="4" fillId="0" borderId="53" xfId="0" applyFont="1" applyBorder="1"/>
    <xf numFmtId="0" fontId="2" fillId="2" borderId="52" xfId="0" applyFont="1" applyFill="1" applyBorder="1" applyAlignment="1">
      <alignment horizontal="center" vertical="center" wrapText="1"/>
    </xf>
    <xf numFmtId="0" fontId="7" fillId="2" borderId="56" xfId="0" applyFont="1" applyFill="1" applyBorder="1" applyAlignment="1">
      <alignment horizontal="center" vertical="center" wrapText="1"/>
    </xf>
    <xf numFmtId="0" fontId="18" fillId="2" borderId="57" xfId="0" applyFont="1" applyFill="1" applyBorder="1" applyAlignment="1">
      <alignment horizontal="center" vertical="top" wrapText="1"/>
    </xf>
    <xf numFmtId="0" fontId="7" fillId="2" borderId="57" xfId="0" applyFont="1" applyFill="1" applyBorder="1" applyAlignment="1">
      <alignment horizontal="center" vertical="center" wrapText="1"/>
    </xf>
    <xf numFmtId="0" fontId="7" fillId="2" borderId="58" xfId="0" applyFont="1" applyFill="1" applyBorder="1" applyAlignment="1">
      <alignment horizontal="center" vertical="center" wrapText="1"/>
    </xf>
    <xf numFmtId="0" fontId="6" fillId="8" borderId="40" xfId="0" applyFont="1" applyFill="1" applyBorder="1" applyAlignment="1">
      <alignment vertical="top" wrapText="1"/>
    </xf>
    <xf numFmtId="0" fontId="1" fillId="8" borderId="3" xfId="0" applyFont="1" applyFill="1" applyBorder="1" applyAlignment="1">
      <alignment horizontal="center" vertical="top" wrapText="1"/>
    </xf>
    <xf numFmtId="165" fontId="1" fillId="8" borderId="3" xfId="0" applyNumberFormat="1" applyFont="1" applyFill="1" applyBorder="1" applyAlignment="1">
      <alignment horizontal="center" vertical="top" wrapText="1"/>
    </xf>
    <xf numFmtId="0" fontId="1" fillId="8" borderId="49" xfId="0" applyFont="1" applyFill="1" applyBorder="1" applyAlignment="1">
      <alignment horizontal="center" vertical="top" wrapText="1"/>
    </xf>
    <xf numFmtId="0" fontId="6" fillId="4" borderId="56" xfId="0" applyFont="1" applyFill="1" applyBorder="1" applyAlignment="1">
      <alignment vertical="top" wrapText="1"/>
    </xf>
    <xf numFmtId="0" fontId="17" fillId="4" borderId="57" xfId="0" applyFont="1" applyFill="1" applyBorder="1" applyAlignment="1">
      <alignment vertical="top" wrapText="1"/>
    </xf>
    <xf numFmtId="0" fontId="1" fillId="4" borderId="57" xfId="0" applyFont="1" applyFill="1" applyBorder="1" applyAlignment="1">
      <alignment horizontal="center" vertical="top" wrapText="1"/>
    </xf>
    <xf numFmtId="0" fontId="1" fillId="4" borderId="58" xfId="0" applyFont="1" applyFill="1" applyBorder="1" applyAlignment="1">
      <alignment horizontal="center" vertical="top" wrapText="1"/>
    </xf>
    <xf numFmtId="0" fontId="6" fillId="8" borderId="43" xfId="0" applyFont="1" applyFill="1" applyBorder="1" applyAlignment="1">
      <alignment vertical="top" wrapText="1"/>
    </xf>
    <xf numFmtId="0" fontId="17" fillId="8" borderId="2" xfId="0" applyFont="1" applyFill="1" applyBorder="1" applyAlignment="1">
      <alignment vertical="top" wrapText="1"/>
    </xf>
    <xf numFmtId="0" fontId="1" fillId="8" borderId="2" xfId="0" applyFont="1" applyFill="1" applyBorder="1" applyAlignment="1">
      <alignment horizontal="center" vertical="top" wrapText="1"/>
    </xf>
    <xf numFmtId="1" fontId="1" fillId="8" borderId="2" xfId="0" applyNumberFormat="1" applyFont="1" applyFill="1" applyBorder="1" applyAlignment="1">
      <alignment horizontal="center" vertical="top" wrapText="1"/>
    </xf>
    <xf numFmtId="0" fontId="6" fillId="8" borderId="56" xfId="0" applyFont="1" applyFill="1" applyBorder="1" applyAlignment="1">
      <alignment vertical="top" wrapText="1"/>
    </xf>
    <xf numFmtId="0" fontId="6" fillId="5" borderId="56" xfId="0" applyFont="1" applyFill="1" applyBorder="1" applyAlignment="1">
      <alignment horizontal="justify" vertical="top" wrapText="1"/>
    </xf>
    <xf numFmtId="0" fontId="17" fillId="5" borderId="57" xfId="0" applyFont="1" applyFill="1" applyBorder="1" applyAlignment="1">
      <alignment vertical="top" wrapText="1"/>
    </xf>
    <xf numFmtId="0" fontId="1" fillId="5" borderId="57" xfId="0" applyFont="1" applyFill="1" applyBorder="1" applyAlignment="1">
      <alignment horizontal="center" vertical="top" wrapText="1"/>
    </xf>
    <xf numFmtId="0" fontId="1" fillId="5" borderId="5" xfId="0" applyFont="1" applyFill="1" applyBorder="1" applyAlignment="1">
      <alignment horizontal="center" vertical="top" wrapText="1"/>
    </xf>
    <xf numFmtId="164" fontId="1" fillId="0" borderId="59" xfId="0" applyNumberFormat="1" applyFont="1" applyBorder="1" applyAlignment="1">
      <alignment horizontal="center" vertical="top" wrapText="1"/>
    </xf>
    <xf numFmtId="0" fontId="3" fillId="3" borderId="59" xfId="0" applyFont="1" applyFill="1" applyBorder="1" applyAlignment="1">
      <alignment horizontal="center" vertical="top" wrapText="1"/>
    </xf>
    <xf numFmtId="0" fontId="3" fillId="0" borderId="59" xfId="0" applyFont="1" applyBorder="1" applyAlignment="1">
      <alignment horizontal="center" vertical="top" wrapText="1"/>
    </xf>
    <xf numFmtId="0" fontId="1" fillId="5" borderId="61" xfId="0" applyFont="1" applyFill="1" applyBorder="1" applyAlignment="1">
      <alignment horizontal="center" vertical="top" wrapText="1"/>
    </xf>
    <xf numFmtId="0" fontId="4" fillId="0" borderId="60" xfId="0" applyFont="1" applyBorder="1" applyAlignment="1">
      <alignment horizontal="center" vertical="top" wrapText="1"/>
    </xf>
    <xf numFmtId="0" fontId="12" fillId="3" borderId="52" xfId="0" applyFont="1" applyFill="1" applyBorder="1" applyAlignment="1">
      <alignment vertical="top" wrapText="1"/>
    </xf>
    <xf numFmtId="0" fontId="2" fillId="3" borderId="63" xfId="0" applyFont="1" applyFill="1" applyBorder="1" applyAlignment="1">
      <alignment vertical="top" wrapText="1"/>
    </xf>
    <xf numFmtId="0" fontId="16" fillId="3" borderId="65" xfId="0" applyFont="1" applyFill="1" applyBorder="1" applyAlignment="1">
      <alignment vertical="top"/>
    </xf>
    <xf numFmtId="0" fontId="17" fillId="3" borderId="59" xfId="0" applyFont="1" applyFill="1" applyBorder="1" applyAlignment="1">
      <alignment vertical="top" wrapText="1"/>
    </xf>
    <xf numFmtId="0" fontId="17" fillId="0" borderId="3" xfId="0" applyFont="1" applyBorder="1" applyAlignment="1">
      <alignment vertical="top" wrapText="1"/>
    </xf>
    <xf numFmtId="0" fontId="3" fillId="3" borderId="35" xfId="0" applyFont="1" applyFill="1" applyBorder="1" applyAlignment="1">
      <alignment horizontal="left" vertical="top" wrapText="1"/>
    </xf>
    <xf numFmtId="0" fontId="19" fillId="3" borderId="59" xfId="0" applyFont="1" applyFill="1" applyBorder="1" applyAlignment="1">
      <alignment vertical="top" wrapText="1"/>
    </xf>
    <xf numFmtId="0" fontId="3" fillId="3" borderId="54" xfId="0" applyFont="1" applyFill="1" applyBorder="1" applyAlignment="1">
      <alignment horizontal="left" vertical="top" wrapText="1"/>
    </xf>
    <xf numFmtId="0" fontId="16" fillId="3" borderId="52" xfId="0" applyFont="1" applyFill="1" applyBorder="1" applyAlignment="1">
      <alignment vertical="top"/>
    </xf>
    <xf numFmtId="0" fontId="17" fillId="0" borderId="59" xfId="0" applyFont="1" applyBorder="1" applyAlignment="1">
      <alignment vertical="top" wrapText="1"/>
    </xf>
    <xf numFmtId="0" fontId="12" fillId="0" borderId="66" xfId="0" applyFont="1" applyBorder="1" applyAlignment="1">
      <alignment vertical="top" wrapText="1"/>
    </xf>
    <xf numFmtId="0" fontId="17" fillId="3" borderId="38" xfId="0" applyFont="1" applyFill="1" applyBorder="1" applyAlignment="1">
      <alignment horizontal="left" vertical="top" wrapText="1"/>
    </xf>
    <xf numFmtId="0" fontId="12" fillId="7" borderId="11" xfId="0" applyFont="1" applyFill="1" applyBorder="1" applyAlignment="1">
      <alignment vertical="top" wrapText="1"/>
    </xf>
    <xf numFmtId="0" fontId="12" fillId="3" borderId="18" xfId="0" applyFont="1" applyFill="1" applyBorder="1" applyAlignment="1">
      <alignment vertical="top" wrapText="1"/>
    </xf>
    <xf numFmtId="0" fontId="12" fillId="3" borderId="67" xfId="0" applyFont="1" applyFill="1" applyBorder="1" applyAlignment="1">
      <alignment vertical="top" wrapText="1"/>
    </xf>
    <xf numFmtId="0" fontId="17" fillId="3" borderId="68" xfId="0" applyFont="1" applyFill="1" applyBorder="1" applyAlignment="1">
      <alignment vertical="top" wrapText="1"/>
    </xf>
    <xf numFmtId="0" fontId="12" fillId="3" borderId="69" xfId="0" applyFont="1" applyFill="1" applyBorder="1" applyAlignment="1">
      <alignment vertical="top" wrapText="1"/>
    </xf>
    <xf numFmtId="0" fontId="12" fillId="3" borderId="70" xfId="0" applyFont="1" applyFill="1" applyBorder="1" applyAlignment="1">
      <alignment vertical="top" wrapText="1"/>
    </xf>
    <xf numFmtId="0" fontId="12" fillId="3" borderId="71" xfId="0" applyFont="1" applyFill="1" applyBorder="1" applyAlignment="1">
      <alignment vertical="top" wrapText="1"/>
    </xf>
    <xf numFmtId="0" fontId="17" fillId="3" borderId="38" xfId="0" applyFont="1" applyFill="1" applyBorder="1" applyAlignment="1">
      <alignment vertical="top" wrapText="1"/>
    </xf>
    <xf numFmtId="0" fontId="2" fillId="3" borderId="38" xfId="0" applyFont="1" applyFill="1" applyBorder="1" applyAlignment="1">
      <alignment vertical="top" wrapText="1"/>
    </xf>
    <xf numFmtId="0" fontId="16" fillId="3" borderId="66" xfId="0" applyFont="1" applyFill="1" applyBorder="1" applyAlignment="1">
      <alignment vertical="top" wrapText="1"/>
    </xf>
    <xf numFmtId="0" fontId="12" fillId="3" borderId="66" xfId="0" applyFont="1" applyFill="1" applyBorder="1" applyAlignment="1">
      <alignment vertical="top" wrapText="1"/>
    </xf>
    <xf numFmtId="0" fontId="19" fillId="3" borderId="38" xfId="0" applyFont="1" applyFill="1" applyBorder="1" applyAlignment="1">
      <alignment vertical="top" wrapText="1"/>
    </xf>
    <xf numFmtId="0" fontId="16" fillId="3" borderId="11" xfId="0" applyFont="1" applyFill="1" applyBorder="1" applyAlignment="1">
      <alignment vertical="top" wrapText="1"/>
    </xf>
    <xf numFmtId="0" fontId="16" fillId="3" borderId="18" xfId="0" applyFont="1" applyFill="1" applyBorder="1" applyAlignment="1">
      <alignment vertical="top" wrapText="1"/>
    </xf>
    <xf numFmtId="0" fontId="12" fillId="0" borderId="11" xfId="0" applyFont="1" applyBorder="1" applyAlignment="1">
      <alignment vertical="top" wrapText="1"/>
    </xf>
    <xf numFmtId="0" fontId="10" fillId="3" borderId="72" xfId="0" applyFont="1" applyFill="1" applyBorder="1" applyAlignment="1">
      <alignment horizontal="left" vertical="top" wrapText="1"/>
    </xf>
    <xf numFmtId="0" fontId="12" fillId="0" borderId="52" xfId="0" applyFont="1" applyBorder="1" applyAlignment="1">
      <alignment vertical="top" wrapText="1"/>
    </xf>
    <xf numFmtId="0" fontId="19" fillId="3" borderId="73" xfId="0" applyFont="1" applyFill="1" applyBorder="1" applyAlignment="1">
      <alignment vertical="top" wrapText="1"/>
    </xf>
    <xf numFmtId="0" fontId="16" fillId="3" borderId="52" xfId="0" applyFont="1" applyFill="1" applyBorder="1" applyAlignment="1">
      <alignment vertical="top" wrapText="1"/>
    </xf>
    <xf numFmtId="0" fontId="25" fillId="3" borderId="73" xfId="0" applyFont="1" applyFill="1" applyBorder="1" applyAlignment="1">
      <alignment vertical="top" wrapText="1"/>
    </xf>
    <xf numFmtId="0" fontId="12" fillId="3" borderId="55" xfId="0" applyFont="1" applyFill="1" applyBorder="1" applyAlignment="1">
      <alignment vertical="top" wrapText="1"/>
    </xf>
    <xf numFmtId="0" fontId="17" fillId="3" borderId="73" xfId="0" applyFont="1" applyFill="1" applyBorder="1" applyAlignment="1">
      <alignment vertical="top" wrapText="1"/>
    </xf>
    <xf numFmtId="0" fontId="12" fillId="3" borderId="35" xfId="0" applyFont="1" applyFill="1" applyBorder="1" applyAlignment="1">
      <alignment horizontal="left" vertical="top" wrapText="1"/>
    </xf>
    <xf numFmtId="0" fontId="12" fillId="3" borderId="54" xfId="0" applyFont="1" applyFill="1" applyBorder="1" applyAlignment="1">
      <alignment horizontal="left" vertical="top" wrapText="1"/>
    </xf>
    <xf numFmtId="0" fontId="12" fillId="3" borderId="76" xfId="0" applyFont="1" applyFill="1" applyBorder="1" applyAlignment="1">
      <alignment vertical="top" wrapText="1"/>
    </xf>
    <xf numFmtId="0" fontId="12" fillId="3" borderId="78" xfId="0" applyFont="1" applyFill="1" applyBorder="1" applyAlignment="1">
      <alignment vertical="top" wrapText="1"/>
    </xf>
    <xf numFmtId="0" fontId="16" fillId="0" borderId="52" xfId="0" applyFont="1" applyBorder="1" applyAlignment="1">
      <alignment vertical="top" wrapText="1"/>
    </xf>
    <xf numFmtId="0" fontId="16" fillId="3" borderId="81" xfId="0" applyFont="1" applyFill="1" applyBorder="1" applyAlignment="1">
      <alignment vertical="top" wrapText="1"/>
    </xf>
    <xf numFmtId="0" fontId="19" fillId="3" borderId="82" xfId="0" applyFont="1" applyFill="1" applyBorder="1" applyAlignment="1">
      <alignment vertical="top" wrapText="1"/>
    </xf>
    <xf numFmtId="0" fontId="16" fillId="7" borderId="25" xfId="0" applyFont="1" applyFill="1" applyBorder="1" applyAlignment="1">
      <alignment vertical="top" wrapText="1"/>
    </xf>
    <xf numFmtId="0" fontId="3" fillId="6" borderId="40" xfId="0" applyFont="1" applyFill="1" applyBorder="1" applyAlignment="1">
      <alignment horizontal="justify" vertical="center" wrapText="1"/>
    </xf>
    <xf numFmtId="0" fontId="19" fillId="0" borderId="84" xfId="0" applyFont="1" applyBorder="1" applyAlignment="1">
      <alignment vertical="top" wrapText="1"/>
    </xf>
    <xf numFmtId="0" fontId="16" fillId="7" borderId="85" xfId="0" applyFont="1" applyFill="1" applyBorder="1" applyAlignment="1">
      <alignment vertical="top" wrapText="1"/>
    </xf>
    <xf numFmtId="164" fontId="3" fillId="3" borderId="2" xfId="0" applyNumberFormat="1" applyFont="1" applyFill="1" applyBorder="1" applyAlignment="1">
      <alignment horizontal="center" vertical="top" wrapText="1"/>
    </xf>
    <xf numFmtId="164" fontId="1" fillId="6" borderId="3" xfId="0" applyNumberFormat="1" applyFont="1" applyFill="1" applyBorder="1" applyAlignment="1">
      <alignment horizontal="center" vertical="top" wrapText="1"/>
    </xf>
    <xf numFmtId="164" fontId="3" fillId="3" borderId="59" xfId="0" applyNumberFormat="1" applyFont="1" applyFill="1" applyBorder="1" applyAlignment="1">
      <alignment horizontal="center" vertical="top" wrapText="1"/>
    </xf>
    <xf numFmtId="0" fontId="4" fillId="3" borderId="59" xfId="0" applyFont="1" applyFill="1" applyBorder="1" applyAlignment="1">
      <alignment wrapText="1"/>
    </xf>
    <xf numFmtId="0" fontId="4" fillId="3" borderId="59" xfId="0" applyFont="1" applyFill="1" applyBorder="1" applyAlignment="1">
      <alignment horizontal="center" vertical="top" wrapText="1"/>
    </xf>
    <xf numFmtId="0" fontId="4" fillId="3" borderId="60" xfId="0" applyFont="1" applyFill="1" applyBorder="1" applyAlignment="1">
      <alignment horizontal="center" vertical="top" wrapText="1"/>
    </xf>
    <xf numFmtId="164" fontId="3" fillId="3" borderId="52" xfId="0" applyNumberFormat="1" applyFont="1" applyFill="1" applyBorder="1" applyAlignment="1">
      <alignment horizontal="center" vertical="top" wrapText="1"/>
    </xf>
    <xf numFmtId="0" fontId="17" fillId="3" borderId="2" xfId="0" applyFont="1" applyFill="1" applyBorder="1" applyAlignment="1">
      <alignment vertical="top"/>
    </xf>
    <xf numFmtId="164" fontId="6" fillId="0" borderId="2" xfId="0" applyNumberFormat="1" applyFont="1" applyBorder="1" applyAlignment="1">
      <alignment horizontal="center" vertical="top" wrapText="1"/>
    </xf>
    <xf numFmtId="164" fontId="4" fillId="0" borderId="2" xfId="0" applyNumberFormat="1" applyFont="1" applyBorder="1"/>
    <xf numFmtId="164" fontId="1" fillId="4" borderId="57" xfId="0" applyNumberFormat="1" applyFont="1" applyFill="1" applyBorder="1" applyAlignment="1">
      <alignment horizontal="center" vertical="top" wrapText="1"/>
    </xf>
    <xf numFmtId="164" fontId="1" fillId="4" borderId="58" xfId="0" applyNumberFormat="1" applyFont="1" applyFill="1" applyBorder="1" applyAlignment="1">
      <alignment horizontal="center" vertical="top" wrapText="1"/>
    </xf>
    <xf numFmtId="0" fontId="17" fillId="8" borderId="5" xfId="0" applyFont="1" applyFill="1" applyBorder="1" applyAlignment="1">
      <alignment vertical="top" wrapText="1"/>
    </xf>
    <xf numFmtId="164" fontId="1" fillId="8" borderId="5" xfId="0" applyNumberFormat="1" applyFont="1" applyFill="1" applyBorder="1" applyAlignment="1">
      <alignment horizontal="center" vertical="top" wrapText="1"/>
    </xf>
    <xf numFmtId="0" fontId="6" fillId="8" borderId="2" xfId="0" applyFont="1" applyFill="1" applyBorder="1" applyAlignment="1">
      <alignment horizontal="center" vertical="top"/>
    </xf>
    <xf numFmtId="0" fontId="6" fillId="8" borderId="5" xfId="0" applyFont="1" applyFill="1" applyBorder="1" applyAlignment="1">
      <alignment horizontal="center" vertical="top"/>
    </xf>
    <xf numFmtId="1" fontId="6" fillId="8" borderId="61" xfId="0" applyNumberFormat="1" applyFont="1" applyFill="1" applyBorder="1" applyAlignment="1">
      <alignment horizontal="center" vertical="top" wrapText="1"/>
    </xf>
    <xf numFmtId="165" fontId="1" fillId="0" borderId="3" xfId="0" applyNumberFormat="1" applyFont="1" applyBorder="1" applyAlignment="1">
      <alignment horizontal="center" vertical="top" wrapText="1"/>
    </xf>
    <xf numFmtId="164" fontId="1" fillId="5" borderId="57" xfId="0" applyNumberFormat="1" applyFont="1" applyFill="1" applyBorder="1" applyAlignment="1">
      <alignment horizontal="center" vertical="top" wrapText="1"/>
    </xf>
    <xf numFmtId="164" fontId="1" fillId="5" borderId="58" xfId="0" applyNumberFormat="1" applyFont="1" applyFill="1" applyBorder="1" applyAlignment="1">
      <alignment horizontal="center" vertical="top" wrapText="1"/>
    </xf>
    <xf numFmtId="0" fontId="7" fillId="2" borderId="86" xfId="0" applyFont="1" applyFill="1" applyBorder="1" applyAlignment="1">
      <alignment horizontal="center" vertical="center" wrapText="1"/>
    </xf>
    <xf numFmtId="0" fontId="1" fillId="4" borderId="86" xfId="0" applyFont="1" applyFill="1" applyBorder="1" applyAlignment="1">
      <alignment horizontal="center" vertical="top" wrapText="1"/>
    </xf>
    <xf numFmtId="0" fontId="17" fillId="8" borderId="8" xfId="0" applyFont="1" applyFill="1" applyBorder="1" applyAlignment="1">
      <alignment vertical="top" wrapText="1"/>
    </xf>
    <xf numFmtId="0" fontId="17" fillId="8" borderId="7" xfId="0" applyFont="1" applyFill="1" applyBorder="1" applyAlignment="1">
      <alignment vertical="top" wrapText="1"/>
    </xf>
    <xf numFmtId="0" fontId="17" fillId="8" borderId="12" xfId="0" applyFont="1" applyFill="1" applyBorder="1" applyAlignment="1">
      <alignment vertical="top" wrapText="1"/>
    </xf>
    <xf numFmtId="0" fontId="1" fillId="5" borderId="86" xfId="0" applyFont="1" applyFill="1" applyBorder="1" applyAlignment="1">
      <alignment horizontal="center" vertical="top" wrapText="1"/>
    </xf>
    <xf numFmtId="0" fontId="5" fillId="0" borderId="7" xfId="0" applyFont="1" applyBorder="1" applyAlignment="1">
      <alignment vertical="top"/>
    </xf>
    <xf numFmtId="0" fontId="4" fillId="0" borderId="7" xfId="0" applyFont="1" applyBorder="1"/>
    <xf numFmtId="0" fontId="29" fillId="0" borderId="7" xfId="0" applyFont="1" applyBorder="1" applyAlignment="1">
      <alignment vertical="top"/>
    </xf>
    <xf numFmtId="0" fontId="12" fillId="0" borderId="7" xfId="0" applyFont="1" applyBorder="1" applyAlignment="1">
      <alignment vertical="top" wrapText="1"/>
    </xf>
    <xf numFmtId="0" fontId="20" fillId="0" borderId="7" xfId="0" applyFont="1" applyBorder="1" applyAlignment="1">
      <alignment vertical="top"/>
    </xf>
    <xf numFmtId="0" fontId="1" fillId="8" borderId="47" xfId="0" applyFont="1" applyFill="1" applyBorder="1" applyAlignment="1">
      <alignment horizontal="center" vertical="top" wrapText="1"/>
    </xf>
    <xf numFmtId="164" fontId="1" fillId="0" borderId="60" xfId="0" applyNumberFormat="1" applyFont="1" applyBorder="1" applyAlignment="1">
      <alignment horizontal="center" vertical="top" wrapText="1"/>
    </xf>
    <xf numFmtId="164" fontId="5" fillId="3" borderId="41" xfId="0" applyNumberFormat="1" applyFont="1" applyFill="1" applyBorder="1" applyAlignment="1">
      <alignment horizontal="center" vertical="top" wrapText="1"/>
    </xf>
    <xf numFmtId="0" fontId="5" fillId="0" borderId="88" xfId="0" applyFont="1" applyBorder="1"/>
    <xf numFmtId="164" fontId="5" fillId="0" borderId="41" xfId="0" applyNumberFormat="1" applyFont="1" applyBorder="1" applyAlignment="1">
      <alignment horizontal="center" vertical="top" wrapText="1"/>
    </xf>
    <xf numFmtId="164" fontId="10" fillId="3" borderId="41" xfId="0" applyNumberFormat="1" applyFont="1" applyFill="1" applyBorder="1" applyAlignment="1">
      <alignment horizontal="center" vertical="top" wrapText="1"/>
    </xf>
    <xf numFmtId="164" fontId="3" fillId="0" borderId="49" xfId="0" applyNumberFormat="1" applyFont="1" applyBorder="1" applyAlignment="1">
      <alignment horizontal="center" vertical="top" wrapText="1"/>
    </xf>
    <xf numFmtId="164" fontId="3" fillId="3" borderId="41" xfId="0" applyNumberFormat="1" applyFont="1" applyFill="1" applyBorder="1" applyAlignment="1">
      <alignment horizontal="center" vertical="top" wrapText="1"/>
    </xf>
    <xf numFmtId="165" fontId="3" fillId="3" borderId="89" xfId="0" applyNumberFormat="1" applyFont="1" applyFill="1" applyBorder="1" applyAlignment="1">
      <alignment horizontal="center" vertical="top"/>
    </xf>
    <xf numFmtId="164" fontId="3" fillId="0" borderId="41" xfId="0" applyNumberFormat="1" applyFont="1" applyBorder="1" applyAlignment="1">
      <alignment horizontal="center" vertical="top" wrapText="1"/>
    </xf>
    <xf numFmtId="0" fontId="12" fillId="7" borderId="7" xfId="0" applyFont="1" applyFill="1" applyBorder="1" applyAlignment="1">
      <alignment vertical="top" wrapText="1"/>
    </xf>
    <xf numFmtId="0" fontId="10" fillId="0" borderId="7" xfId="0" applyFont="1" applyBorder="1" applyAlignment="1">
      <alignment vertical="top" wrapText="1"/>
    </xf>
    <xf numFmtId="165" fontId="20" fillId="0" borderId="7" xfId="0" applyNumberFormat="1" applyFont="1" applyBorder="1" applyAlignment="1">
      <alignment vertical="top"/>
    </xf>
    <xf numFmtId="3" fontId="16" fillId="3" borderId="7" xfId="0" applyNumberFormat="1" applyFont="1" applyFill="1" applyBorder="1" applyAlignment="1">
      <alignment horizontal="left" vertical="top" wrapText="1"/>
    </xf>
    <xf numFmtId="164" fontId="12" fillId="3" borderId="7" xfId="0" applyNumberFormat="1" applyFont="1" applyFill="1" applyBorder="1" applyAlignment="1">
      <alignment vertical="top" wrapText="1"/>
    </xf>
    <xf numFmtId="164" fontId="5" fillId="0" borderId="47" xfId="0" applyNumberFormat="1" applyFont="1" applyBorder="1" applyAlignment="1">
      <alignment horizontal="center" vertical="top" wrapText="1"/>
    </xf>
    <xf numFmtId="0" fontId="3" fillId="0" borderId="92" xfId="0" applyFont="1" applyBorder="1"/>
    <xf numFmtId="164" fontId="16" fillId="3" borderId="50" xfId="0" applyNumberFormat="1" applyFont="1" applyFill="1" applyBorder="1" applyAlignment="1">
      <alignment horizontal="center" vertical="top" wrapText="1"/>
    </xf>
    <xf numFmtId="165" fontId="10" fillId="3" borderId="50" xfId="0" applyNumberFormat="1" applyFont="1" applyFill="1" applyBorder="1" applyAlignment="1">
      <alignment horizontal="center" vertical="top" wrapText="1"/>
    </xf>
    <xf numFmtId="164" fontId="10" fillId="3" borderId="50" xfId="0" applyNumberFormat="1" applyFont="1" applyFill="1" applyBorder="1" applyAlignment="1">
      <alignment horizontal="center" vertical="top" wrapText="1"/>
    </xf>
    <xf numFmtId="164" fontId="10" fillId="3" borderId="46" xfId="0" applyNumberFormat="1" applyFont="1" applyFill="1" applyBorder="1" applyAlignment="1">
      <alignment horizontal="center" vertical="top" wrapText="1"/>
    </xf>
    <xf numFmtId="164" fontId="4" fillId="3" borderId="7" xfId="0" applyNumberFormat="1" applyFont="1" applyFill="1" applyBorder="1" applyAlignment="1">
      <alignment vertical="top" wrapText="1"/>
    </xf>
    <xf numFmtId="0" fontId="12" fillId="0" borderId="7" xfId="0" applyFont="1" applyBorder="1"/>
    <xf numFmtId="3" fontId="10" fillId="3" borderId="7" xfId="0" applyNumberFormat="1" applyFont="1" applyFill="1" applyBorder="1" applyAlignment="1">
      <alignment horizontal="left" vertical="top" wrapText="1"/>
    </xf>
    <xf numFmtId="165" fontId="12" fillId="3" borderId="41" xfId="0" applyNumberFormat="1" applyFont="1" applyFill="1" applyBorder="1" applyAlignment="1">
      <alignment horizontal="center" vertical="top" wrapText="1"/>
    </xf>
    <xf numFmtId="165" fontId="10" fillId="3" borderId="41" xfId="0" applyNumberFormat="1" applyFont="1" applyFill="1" applyBorder="1" applyAlignment="1">
      <alignment horizontal="center" vertical="top" wrapText="1"/>
    </xf>
    <xf numFmtId="165" fontId="10" fillId="3" borderId="49" xfId="0" applyNumberFormat="1" applyFont="1" applyFill="1" applyBorder="1" applyAlignment="1">
      <alignment horizontal="center" vertical="top" wrapText="1"/>
    </xf>
    <xf numFmtId="164" fontId="12" fillId="3" borderId="41" xfId="0" applyNumberFormat="1" applyFont="1" applyFill="1" applyBorder="1" applyAlignment="1">
      <alignment horizontal="center" vertical="top" wrapText="1"/>
    </xf>
    <xf numFmtId="164" fontId="12" fillId="0" borderId="41" xfId="0" applyNumberFormat="1" applyFont="1" applyBorder="1" applyAlignment="1">
      <alignment horizontal="center" vertical="top" wrapText="1"/>
    </xf>
    <xf numFmtId="164" fontId="10" fillId="3" borderId="7" xfId="0" applyNumberFormat="1" applyFont="1" applyFill="1" applyBorder="1" applyAlignment="1">
      <alignment horizontal="left" vertical="top" wrapText="1"/>
    </xf>
    <xf numFmtId="164" fontId="10" fillId="3" borderId="13" xfId="0" applyNumberFormat="1" applyFont="1" applyFill="1" applyBorder="1" applyAlignment="1">
      <alignment horizontal="left" vertical="top" wrapText="1"/>
    </xf>
    <xf numFmtId="3" fontId="10" fillId="0" borderId="12" xfId="0" applyNumberFormat="1" applyFont="1" applyBorder="1" applyAlignment="1">
      <alignment horizontal="left" vertical="top" wrapText="1"/>
    </xf>
    <xf numFmtId="0" fontId="5" fillId="0" borderId="7" xfId="0" applyFont="1" applyBorder="1" applyAlignment="1">
      <alignment vertical="top" wrapText="1"/>
    </xf>
    <xf numFmtId="3" fontId="10" fillId="0" borderId="7" xfId="0" applyNumberFormat="1" applyFont="1" applyBorder="1" applyAlignment="1">
      <alignment horizontal="left" vertical="top" wrapText="1"/>
    </xf>
    <xf numFmtId="165" fontId="12" fillId="3" borderId="49" xfId="0" applyNumberFormat="1" applyFont="1" applyFill="1" applyBorder="1" applyAlignment="1">
      <alignment horizontal="center" vertical="top" wrapText="1"/>
    </xf>
    <xf numFmtId="0" fontId="4" fillId="0" borderId="12" xfId="0" applyFont="1" applyBorder="1"/>
    <xf numFmtId="164" fontId="12" fillId="0" borderId="93" xfId="0" applyNumberFormat="1" applyFont="1" applyBorder="1" applyAlignment="1">
      <alignment horizontal="left" vertical="top" wrapText="1"/>
    </xf>
    <xf numFmtId="0" fontId="4" fillId="0" borderId="65" xfId="0" applyFont="1" applyBorder="1"/>
    <xf numFmtId="0" fontId="12" fillId="7" borderId="49" xfId="0" applyFont="1" applyFill="1" applyBorder="1" applyAlignment="1">
      <alignment wrapText="1"/>
    </xf>
    <xf numFmtId="164" fontId="3" fillId="3" borderId="47" xfId="0" applyNumberFormat="1" applyFont="1" applyFill="1" applyBorder="1" applyAlignment="1">
      <alignment horizontal="center" vertical="top" wrapText="1"/>
    </xf>
    <xf numFmtId="164" fontId="3" fillId="3" borderId="60" xfId="0" applyNumberFormat="1" applyFont="1" applyFill="1" applyBorder="1" applyAlignment="1">
      <alignment horizontal="center" vertical="top" wrapText="1"/>
    </xf>
    <xf numFmtId="164" fontId="3" fillId="3" borderId="53" xfId="0" applyNumberFormat="1" applyFont="1" applyFill="1" applyBorder="1" applyAlignment="1">
      <alignment horizontal="center" vertical="top" wrapText="1"/>
    </xf>
    <xf numFmtId="0" fontId="17" fillId="6" borderId="8" xfId="0" applyFont="1" applyFill="1" applyBorder="1" applyAlignment="1">
      <alignment vertical="top" wrapText="1"/>
    </xf>
    <xf numFmtId="164" fontId="4" fillId="0" borderId="12" xfId="0" applyNumberFormat="1" applyFont="1" applyBorder="1"/>
    <xf numFmtId="164" fontId="1" fillId="4" borderId="86" xfId="0" applyNumberFormat="1" applyFont="1" applyFill="1" applyBorder="1" applyAlignment="1">
      <alignment horizontal="center" vertical="top" wrapText="1"/>
    </xf>
    <xf numFmtId="164" fontId="1" fillId="6" borderId="49" xfId="0" applyNumberFormat="1" applyFont="1" applyFill="1" applyBorder="1" applyAlignment="1">
      <alignment horizontal="center" vertical="top" wrapText="1"/>
    </xf>
    <xf numFmtId="164" fontId="1" fillId="3" borderId="41" xfId="0" applyNumberFormat="1" applyFont="1" applyFill="1" applyBorder="1" applyAlignment="1">
      <alignment horizontal="center" vertical="top" wrapText="1"/>
    </xf>
    <xf numFmtId="164" fontId="6" fillId="0" borderId="41" xfId="0" applyNumberFormat="1" applyFont="1" applyBorder="1" applyAlignment="1">
      <alignment horizontal="center" vertical="top" wrapText="1"/>
    </xf>
    <xf numFmtId="164" fontId="1" fillId="6" borderId="41" xfId="0" applyNumberFormat="1" applyFont="1" applyFill="1" applyBorder="1" applyAlignment="1">
      <alignment horizontal="center" vertical="top" wrapText="1"/>
    </xf>
    <xf numFmtId="164" fontId="6" fillId="0" borderId="47" xfId="0" applyNumberFormat="1" applyFont="1" applyBorder="1" applyAlignment="1">
      <alignment horizontal="center" vertical="top" wrapText="1"/>
    </xf>
    <xf numFmtId="164" fontId="1" fillId="8" borderId="49" xfId="0" applyNumberFormat="1" applyFont="1" applyFill="1" applyBorder="1" applyAlignment="1">
      <alignment horizontal="center" vertical="top" wrapText="1"/>
    </xf>
    <xf numFmtId="164" fontId="1" fillId="8" borderId="91" xfId="0" applyNumberFormat="1" applyFont="1" applyFill="1" applyBorder="1" applyAlignment="1">
      <alignment horizontal="center" vertical="top" wrapText="1"/>
    </xf>
    <xf numFmtId="164" fontId="1" fillId="5" borderId="86" xfId="0" applyNumberFormat="1" applyFont="1" applyFill="1" applyBorder="1" applyAlignment="1">
      <alignment horizontal="center" vertical="top" wrapText="1"/>
    </xf>
    <xf numFmtId="164" fontId="12" fillId="3" borderId="8" xfId="0" applyNumberFormat="1" applyFont="1" applyFill="1" applyBorder="1" applyAlignment="1">
      <alignment vertical="top" wrapText="1"/>
    </xf>
    <xf numFmtId="0" fontId="12" fillId="3" borderId="7" xfId="0" applyFont="1" applyFill="1" applyBorder="1" applyAlignment="1">
      <alignment horizontal="left" vertical="top" wrapText="1"/>
    </xf>
    <xf numFmtId="165" fontId="1" fillId="0" borderId="49" xfId="0" applyNumberFormat="1" applyFont="1" applyBorder="1" applyAlignment="1">
      <alignment horizontal="center" vertical="top" wrapText="1"/>
    </xf>
    <xf numFmtId="164" fontId="11" fillId="3" borderId="41" xfId="0" applyNumberFormat="1" applyFont="1" applyFill="1" applyBorder="1" applyAlignment="1">
      <alignment horizontal="center" vertical="top" wrapText="1"/>
    </xf>
    <xf numFmtId="164" fontId="16" fillId="3" borderId="49" xfId="0" applyNumberFormat="1" applyFont="1" applyFill="1" applyBorder="1" applyAlignment="1">
      <alignment horizontal="center" vertical="top" wrapText="1"/>
    </xf>
    <xf numFmtId="164" fontId="10" fillId="3" borderId="49" xfId="0" applyNumberFormat="1" applyFont="1" applyFill="1" applyBorder="1" applyAlignment="1">
      <alignment horizontal="center" vertical="top" wrapText="1"/>
    </xf>
    <xf numFmtId="164" fontId="10" fillId="0" borderId="49" xfId="0" applyNumberFormat="1" applyFont="1" applyBorder="1" applyAlignment="1">
      <alignment horizontal="center" vertical="top" wrapText="1"/>
    </xf>
    <xf numFmtId="3" fontId="12" fillId="3" borderId="7" xfId="0" applyNumberFormat="1" applyFont="1" applyFill="1" applyBorder="1" applyAlignment="1">
      <alignment vertical="top" wrapText="1"/>
    </xf>
    <xf numFmtId="0" fontId="27" fillId="0" borderId="7" xfId="0" applyFont="1" applyBorder="1" applyAlignment="1">
      <alignment vertical="top" wrapText="1"/>
    </xf>
    <xf numFmtId="165" fontId="16" fillId="3" borderId="49" xfId="0" applyNumberFormat="1" applyFont="1" applyFill="1" applyBorder="1" applyAlignment="1">
      <alignment horizontal="center" vertical="top" wrapText="1"/>
    </xf>
    <xf numFmtId="165" fontId="10" fillId="0" borderId="49" xfId="0" applyNumberFormat="1" applyFont="1" applyBorder="1" applyAlignment="1">
      <alignment horizontal="center" vertical="top" wrapText="1"/>
    </xf>
    <xf numFmtId="0" fontId="10" fillId="0" borderId="49" xfId="0" applyFont="1" applyBorder="1" applyAlignment="1">
      <alignment horizontal="center" vertical="top" wrapText="1"/>
    </xf>
    <xf numFmtId="164" fontId="6" fillId="3" borderId="41" xfId="0" applyNumberFormat="1" applyFont="1" applyFill="1" applyBorder="1" applyAlignment="1">
      <alignment horizontal="center" vertical="top" wrapText="1"/>
    </xf>
    <xf numFmtId="164" fontId="2" fillId="0" borderId="41" xfId="0" applyNumberFormat="1" applyFont="1" applyBorder="1" applyAlignment="1">
      <alignment horizontal="center" vertical="top" wrapText="1"/>
    </xf>
    <xf numFmtId="165" fontId="4" fillId="3" borderId="41" xfId="0" applyNumberFormat="1" applyFont="1" applyFill="1" applyBorder="1" applyAlignment="1">
      <alignment horizontal="center" vertical="top" wrapText="1"/>
    </xf>
    <xf numFmtId="164" fontId="4" fillId="0" borderId="7" xfId="0" applyNumberFormat="1" applyFont="1" applyBorder="1"/>
    <xf numFmtId="0" fontId="3" fillId="0" borderId="41" xfId="0" applyFont="1" applyBorder="1"/>
    <xf numFmtId="0" fontId="3" fillId="0" borderId="49" xfId="0" applyFont="1" applyBorder="1"/>
    <xf numFmtId="0" fontId="4" fillId="0" borderId="42" xfId="0" applyFont="1" applyBorder="1"/>
    <xf numFmtId="164" fontId="1" fillId="0" borderId="53" xfId="0" applyNumberFormat="1" applyFont="1" applyBorder="1" applyAlignment="1">
      <alignment horizontal="center" vertical="top" wrapText="1"/>
    </xf>
    <xf numFmtId="0" fontId="10" fillId="0" borderId="4" xfId="0" applyFont="1" applyBorder="1"/>
    <xf numFmtId="0" fontId="10" fillId="3" borderId="93" xfId="0" applyFont="1" applyFill="1" applyBorder="1" applyAlignment="1">
      <alignment vertical="top" wrapText="1"/>
    </xf>
    <xf numFmtId="0" fontId="10" fillId="3" borderId="59" xfId="0" applyFont="1" applyFill="1" applyBorder="1" applyAlignment="1">
      <alignment horizontal="center" vertical="top" wrapText="1"/>
    </xf>
    <xf numFmtId="164" fontId="3" fillId="0" borderId="52" xfId="0" applyNumberFormat="1" applyFont="1" applyBorder="1" applyAlignment="1">
      <alignment horizontal="center" vertical="top" wrapText="1"/>
    </xf>
    <xf numFmtId="164" fontId="10" fillId="3" borderId="52" xfId="0" applyNumberFormat="1" applyFont="1" applyFill="1" applyBorder="1" applyAlignment="1">
      <alignment horizontal="center" vertical="top" wrapText="1"/>
    </xf>
    <xf numFmtId="164" fontId="5" fillId="3" borderId="52" xfId="0" applyNumberFormat="1" applyFont="1" applyFill="1" applyBorder="1" applyAlignment="1">
      <alignment horizontal="center" vertical="top" wrapText="1"/>
    </xf>
    <xf numFmtId="164" fontId="5" fillId="3" borderId="53" xfId="0" applyNumberFormat="1" applyFont="1" applyFill="1" applyBorder="1" applyAlignment="1">
      <alignment horizontal="center" vertical="top" wrapText="1"/>
    </xf>
    <xf numFmtId="0" fontId="9" fillId="3" borderId="94" xfId="0" applyFont="1" applyFill="1" applyBorder="1"/>
    <xf numFmtId="0" fontId="9" fillId="3" borderId="95" xfId="0" applyFont="1" applyFill="1" applyBorder="1"/>
    <xf numFmtId="0" fontId="9" fillId="3" borderId="96" xfId="0" applyFont="1" applyFill="1" applyBorder="1"/>
    <xf numFmtId="0" fontId="3" fillId="0" borderId="60" xfId="0" applyFont="1" applyBorder="1" applyAlignment="1">
      <alignment horizontal="center" vertical="top" wrapText="1"/>
    </xf>
    <xf numFmtId="0" fontId="29" fillId="3" borderId="97" xfId="0" applyFont="1" applyFill="1" applyBorder="1"/>
    <xf numFmtId="0" fontId="4" fillId="3" borderId="98" xfId="0" applyFont="1" applyFill="1" applyBorder="1"/>
    <xf numFmtId="0" fontId="4" fillId="3" borderId="81" xfId="0" applyFont="1" applyFill="1" applyBorder="1" applyAlignment="1">
      <alignment vertical="top"/>
    </xf>
    <xf numFmtId="164" fontId="10" fillId="3" borderId="53" xfId="0" applyNumberFormat="1" applyFont="1" applyFill="1" applyBorder="1" applyAlignment="1">
      <alignment horizontal="center" vertical="top" wrapText="1"/>
    </xf>
    <xf numFmtId="0" fontId="9" fillId="0" borderId="65" xfId="0" applyFont="1" applyBorder="1"/>
    <xf numFmtId="164" fontId="3" fillId="0" borderId="59" xfId="0" applyNumberFormat="1" applyFont="1" applyBorder="1" applyAlignment="1">
      <alignment horizontal="center" vertical="top" wrapText="1"/>
    </xf>
    <xf numFmtId="164" fontId="3" fillId="0" borderId="60" xfId="0" applyNumberFormat="1" applyFont="1" applyBorder="1" applyAlignment="1">
      <alignment horizontal="center" vertical="top" wrapText="1"/>
    </xf>
    <xf numFmtId="0" fontId="12" fillId="0" borderId="93" xfId="0" applyFont="1" applyBorder="1" applyAlignment="1">
      <alignment vertical="top" wrapText="1"/>
    </xf>
    <xf numFmtId="165" fontId="3" fillId="3" borderId="83" xfId="0" applyNumberFormat="1" applyFont="1" applyFill="1" applyBorder="1" applyAlignment="1">
      <alignment horizontal="center" vertical="top"/>
    </xf>
    <xf numFmtId="165" fontId="3" fillId="3" borderId="99" xfId="0" applyNumberFormat="1" applyFont="1" applyFill="1" applyBorder="1" applyAlignment="1">
      <alignment horizontal="center" vertical="top"/>
    </xf>
    <xf numFmtId="0" fontId="16" fillId="3" borderId="93" xfId="0" applyFont="1" applyFill="1" applyBorder="1" applyAlignment="1">
      <alignment vertical="top" wrapText="1"/>
    </xf>
    <xf numFmtId="0" fontId="10" fillId="0" borderId="93" xfId="0" applyFont="1" applyBorder="1" applyAlignment="1">
      <alignment horizontal="center" vertical="top" wrapText="1"/>
    </xf>
    <xf numFmtId="0" fontId="10" fillId="3" borderId="93" xfId="0" applyFont="1" applyFill="1" applyBorder="1" applyAlignment="1">
      <alignment horizontal="center" vertical="top" wrapText="1"/>
    </xf>
    <xf numFmtId="164" fontId="12" fillId="3" borderId="52" xfId="0" applyNumberFormat="1" applyFont="1" applyFill="1" applyBorder="1" applyAlignment="1">
      <alignment horizontal="center" vertical="top" wrapText="1"/>
    </xf>
    <xf numFmtId="0" fontId="16" fillId="7" borderId="100" xfId="0" applyFont="1" applyFill="1" applyBorder="1" applyAlignment="1">
      <alignment vertical="top" wrapText="1"/>
    </xf>
    <xf numFmtId="0" fontId="10" fillId="3" borderId="100" xfId="0" applyFont="1" applyFill="1" applyBorder="1" applyAlignment="1">
      <alignment horizontal="center" vertical="top" wrapText="1"/>
    </xf>
    <xf numFmtId="0" fontId="4" fillId="0" borderId="53" xfId="0" applyFont="1" applyBorder="1" applyAlignment="1">
      <alignment horizontal="center" vertical="top" wrapText="1"/>
    </xf>
    <xf numFmtId="164" fontId="12" fillId="0" borderId="59" xfId="0" applyNumberFormat="1" applyFont="1" applyBorder="1" applyAlignment="1">
      <alignment horizontal="center" vertical="top" wrapText="1"/>
    </xf>
    <xf numFmtId="0" fontId="12" fillId="7" borderId="93" xfId="0" applyFont="1" applyFill="1" applyBorder="1" applyAlignment="1">
      <alignment vertical="top" wrapText="1"/>
    </xf>
    <xf numFmtId="164" fontId="12" fillId="0" borderId="52" xfId="0" applyNumberFormat="1" applyFont="1" applyBorder="1" applyAlignment="1">
      <alignment horizontal="center" vertical="top" wrapText="1"/>
    </xf>
    <xf numFmtId="164" fontId="3" fillId="0" borderId="53" xfId="0" applyNumberFormat="1" applyFont="1" applyBorder="1" applyAlignment="1">
      <alignment horizontal="center" vertical="top" wrapText="1"/>
    </xf>
    <xf numFmtId="0" fontId="20" fillId="0" borderId="65" xfId="0" applyFont="1" applyBorder="1" applyAlignment="1">
      <alignment vertical="top"/>
    </xf>
    <xf numFmtId="164" fontId="4" fillId="0" borderId="52" xfId="0" applyNumberFormat="1" applyFont="1" applyBorder="1"/>
    <xf numFmtId="3" fontId="12" fillId="3" borderId="93" xfId="0" applyNumberFormat="1" applyFont="1" applyFill="1" applyBorder="1" applyAlignment="1">
      <alignment horizontal="left" vertical="top" wrapText="1"/>
    </xf>
    <xf numFmtId="164" fontId="3" fillId="3" borderId="49" xfId="0" applyNumberFormat="1" applyFont="1" applyFill="1" applyBorder="1" applyAlignment="1">
      <alignment horizontal="center" vertical="top" wrapText="1"/>
    </xf>
    <xf numFmtId="0" fontId="10" fillId="0" borderId="93" xfId="0" applyFont="1" applyBorder="1" applyAlignment="1">
      <alignment vertical="top" wrapText="1"/>
    </xf>
    <xf numFmtId="165" fontId="10" fillId="3" borderId="93" xfId="0" applyNumberFormat="1" applyFont="1" applyFill="1" applyBorder="1" applyAlignment="1">
      <alignment horizontal="center" vertical="top" wrapText="1"/>
    </xf>
    <xf numFmtId="165" fontId="16" fillId="3" borderId="1" xfId="0" applyNumberFormat="1" applyFont="1" applyFill="1" applyBorder="1" applyAlignment="1">
      <alignment horizontal="center" vertical="top" wrapText="1"/>
    </xf>
    <xf numFmtId="165" fontId="12" fillId="3" borderId="98" xfId="0" applyNumberFormat="1" applyFont="1" applyFill="1" applyBorder="1" applyAlignment="1">
      <alignment horizontal="center" vertical="top"/>
    </xf>
    <xf numFmtId="0" fontId="12" fillId="3" borderId="81" xfId="0" applyFont="1" applyFill="1" applyBorder="1"/>
    <xf numFmtId="0" fontId="12" fillId="3" borderId="83" xfId="0" applyFont="1" applyFill="1" applyBorder="1"/>
    <xf numFmtId="0" fontId="3" fillId="3" borderId="99" xfId="0" applyFont="1" applyFill="1" applyBorder="1"/>
    <xf numFmtId="165" fontId="4" fillId="0" borderId="52" xfId="0" applyNumberFormat="1" applyFont="1" applyBorder="1"/>
    <xf numFmtId="164" fontId="12" fillId="3" borderId="102" xfId="0" applyNumberFormat="1" applyFont="1" applyFill="1" applyBorder="1" applyAlignment="1">
      <alignment horizontal="center" vertical="top" wrapText="1"/>
    </xf>
    <xf numFmtId="164" fontId="12" fillId="3" borderId="59" xfId="0" applyNumberFormat="1" applyFont="1" applyFill="1" applyBorder="1" applyAlignment="1">
      <alignment horizontal="center" vertical="top" wrapText="1"/>
    </xf>
    <xf numFmtId="0" fontId="12" fillId="3" borderId="93" xfId="0" applyFont="1" applyFill="1" applyBorder="1" applyAlignment="1">
      <alignment vertical="top" wrapText="1"/>
    </xf>
    <xf numFmtId="0" fontId="10" fillId="3" borderId="103" xfId="0" applyFont="1" applyFill="1" applyBorder="1" applyAlignment="1">
      <alignment horizontal="center" vertical="top" wrapText="1"/>
    </xf>
    <xf numFmtId="0" fontId="5" fillId="3" borderId="104" xfId="0" applyFont="1" applyFill="1" applyBorder="1" applyAlignment="1">
      <alignment vertical="top" wrapText="1"/>
    </xf>
    <xf numFmtId="164" fontId="16" fillId="3" borderId="105" xfId="0" applyNumberFormat="1" applyFont="1" applyFill="1" applyBorder="1" applyAlignment="1">
      <alignment horizontal="center" vertical="top" wrapText="1"/>
    </xf>
    <xf numFmtId="164" fontId="16" fillId="3" borderId="31" xfId="0" applyNumberFormat="1" applyFont="1" applyFill="1" applyBorder="1" applyAlignment="1">
      <alignment horizontal="center" vertical="top" wrapText="1"/>
    </xf>
    <xf numFmtId="164" fontId="12" fillId="3" borderId="31" xfId="0" applyNumberFormat="1" applyFont="1" applyFill="1" applyBorder="1" applyAlignment="1">
      <alignment horizontal="center" vertical="top" wrapText="1"/>
    </xf>
    <xf numFmtId="164" fontId="12" fillId="3" borderId="106" xfId="0" applyNumberFormat="1" applyFont="1" applyFill="1" applyBorder="1" applyAlignment="1">
      <alignment horizontal="center" vertical="top" wrapText="1"/>
    </xf>
    <xf numFmtId="164" fontId="16" fillId="3" borderId="100" xfId="0" applyNumberFormat="1" applyFont="1" applyFill="1" applyBorder="1" applyAlignment="1">
      <alignment horizontal="center" vertical="top" wrapText="1"/>
    </xf>
    <xf numFmtId="164" fontId="10" fillId="3" borderId="99" xfId="0" applyNumberFormat="1" applyFont="1" applyFill="1" applyBorder="1" applyAlignment="1">
      <alignment horizontal="center" vertical="top" wrapText="1"/>
    </xf>
    <xf numFmtId="0" fontId="12" fillId="3" borderId="100" xfId="0" applyFont="1" applyFill="1" applyBorder="1" applyAlignment="1">
      <alignment vertical="top" wrapText="1"/>
    </xf>
    <xf numFmtId="0" fontId="10" fillId="3" borderId="65" xfId="0" applyFont="1" applyFill="1" applyBorder="1" applyAlignment="1">
      <alignment horizontal="center" vertical="top" wrapText="1"/>
    </xf>
    <xf numFmtId="0" fontId="10" fillId="3" borderId="99" xfId="0" applyFont="1" applyFill="1" applyBorder="1" applyAlignment="1">
      <alignment wrapText="1"/>
    </xf>
    <xf numFmtId="0" fontId="3" fillId="3" borderId="60" xfId="0" applyFont="1" applyFill="1" applyBorder="1" applyAlignment="1">
      <alignment horizontal="center" vertical="top" wrapText="1"/>
    </xf>
    <xf numFmtId="164" fontId="12" fillId="3" borderId="105" xfId="0" applyNumberFormat="1" applyFont="1" applyFill="1" applyBorder="1" applyAlignment="1">
      <alignment horizontal="center" vertical="top" wrapText="1"/>
    </xf>
    <xf numFmtId="164" fontId="16" fillId="3" borderId="107" xfId="0" applyNumberFormat="1" applyFont="1" applyFill="1" applyBorder="1" applyAlignment="1">
      <alignment horizontal="center" vertical="top" wrapText="1"/>
    </xf>
    <xf numFmtId="164" fontId="16" fillId="0" borderId="52" xfId="0" applyNumberFormat="1" applyFont="1" applyBorder="1" applyAlignment="1">
      <alignment horizontal="center" vertical="top" wrapText="1"/>
    </xf>
    <xf numFmtId="3" fontId="16" fillId="3" borderId="93" xfId="0" applyNumberFormat="1" applyFont="1" applyFill="1" applyBorder="1" applyAlignment="1">
      <alignment horizontal="left" vertical="top" wrapText="1"/>
    </xf>
    <xf numFmtId="0" fontId="5" fillId="3" borderId="93" xfId="0" applyFont="1" applyFill="1" applyBorder="1" applyAlignment="1">
      <alignment horizontal="center" vertical="top" wrapText="1"/>
    </xf>
    <xf numFmtId="0" fontId="10" fillId="0" borderId="59" xfId="0" applyFont="1" applyBorder="1" applyAlignment="1">
      <alignment horizontal="center" vertical="top" wrapText="1"/>
    </xf>
    <xf numFmtId="3" fontId="4" fillId="0" borderId="65" xfId="0" applyNumberFormat="1" applyFont="1" applyBorder="1"/>
    <xf numFmtId="164" fontId="12" fillId="0" borderId="102" xfId="0" applyNumberFormat="1" applyFont="1" applyBorder="1" applyAlignment="1">
      <alignment horizontal="center" vertical="top" wrapText="1"/>
    </xf>
    <xf numFmtId="164" fontId="12" fillId="3" borderId="93" xfId="0" applyNumberFormat="1" applyFont="1" applyFill="1" applyBorder="1" applyAlignment="1">
      <alignment vertical="top" wrapText="1"/>
    </xf>
    <xf numFmtId="165" fontId="12" fillId="3" borderId="105" xfId="0" applyNumberFormat="1" applyFont="1" applyFill="1" applyBorder="1" applyAlignment="1">
      <alignment horizontal="center" vertical="top" wrapText="1"/>
    </xf>
    <xf numFmtId="164" fontId="3" fillId="0" borderId="105" xfId="0" applyNumberFormat="1" applyFont="1" applyBorder="1" applyAlignment="1">
      <alignment horizontal="center" vertical="top" wrapText="1"/>
    </xf>
    <xf numFmtId="164" fontId="3" fillId="0" borderId="107" xfId="0" applyNumberFormat="1" applyFont="1" applyBorder="1" applyAlignment="1">
      <alignment horizontal="center" vertical="top" wrapText="1"/>
    </xf>
    <xf numFmtId="164" fontId="10" fillId="3" borderId="3" xfId="0" applyNumberFormat="1" applyFont="1" applyFill="1" applyBorder="1" applyAlignment="1">
      <alignment horizontal="center" vertical="top" wrapText="1"/>
    </xf>
    <xf numFmtId="164" fontId="11" fillId="0" borderId="60" xfId="0" applyNumberFormat="1" applyFont="1" applyBorder="1" applyAlignment="1">
      <alignment horizontal="center" vertical="top" wrapText="1"/>
    </xf>
    <xf numFmtId="164" fontId="4" fillId="3" borderId="93" xfId="0" applyNumberFormat="1" applyFont="1" applyFill="1" applyBorder="1" applyAlignment="1">
      <alignment vertical="top" wrapText="1"/>
    </xf>
    <xf numFmtId="0" fontId="12" fillId="3" borderId="93" xfId="0" applyFont="1" applyFill="1" applyBorder="1" applyAlignment="1">
      <alignment horizontal="center" vertical="top" wrapText="1"/>
    </xf>
    <xf numFmtId="0" fontId="16" fillId="0" borderId="93" xfId="0" applyFont="1" applyBorder="1" applyAlignment="1">
      <alignment horizontal="center" vertical="top" wrapText="1"/>
    </xf>
    <xf numFmtId="0" fontId="11" fillId="0" borderId="60" xfId="0" applyFont="1" applyBorder="1" applyAlignment="1">
      <alignment horizontal="center" vertical="top" wrapText="1"/>
    </xf>
    <xf numFmtId="165" fontId="23" fillId="3" borderId="65" xfId="0" applyNumberFormat="1" applyFont="1" applyFill="1" applyBorder="1" applyAlignment="1">
      <alignment horizontal="center" vertical="top" wrapText="1"/>
    </xf>
    <xf numFmtId="164" fontId="12" fillId="0" borderId="65" xfId="0" applyNumberFormat="1" applyFont="1" applyBorder="1" applyAlignment="1">
      <alignment horizontal="center" vertical="top" wrapText="1"/>
    </xf>
    <xf numFmtId="165" fontId="16" fillId="0" borderId="53" xfId="0" applyNumberFormat="1" applyFont="1" applyBorder="1" applyAlignment="1">
      <alignment horizontal="center" vertical="top" wrapText="1"/>
    </xf>
    <xf numFmtId="0" fontId="12" fillId="0" borderId="65" xfId="0" applyFont="1" applyBorder="1"/>
    <xf numFmtId="0" fontId="12" fillId="0" borderId="52" xfId="0" applyFont="1" applyBorder="1"/>
    <xf numFmtId="0" fontId="12" fillId="0" borderId="53" xfId="0" applyFont="1" applyBorder="1"/>
    <xf numFmtId="165" fontId="12" fillId="3" borderId="52" xfId="0" applyNumberFormat="1" applyFont="1" applyFill="1" applyBorder="1" applyAlignment="1">
      <alignment horizontal="center" vertical="top" wrapText="1"/>
    </xf>
    <xf numFmtId="164" fontId="3" fillId="3" borderId="3" xfId="0" applyNumberFormat="1" applyFont="1" applyFill="1" applyBorder="1" applyAlignment="1">
      <alignment horizontal="center" vertical="top" wrapText="1"/>
    </xf>
    <xf numFmtId="164" fontId="10" fillId="3" borderId="65" xfId="0" applyNumberFormat="1" applyFont="1" applyFill="1" applyBorder="1" applyAlignment="1">
      <alignment horizontal="center" vertical="top" wrapText="1"/>
    </xf>
    <xf numFmtId="0" fontId="4" fillId="0" borderId="61" xfId="0" applyFont="1" applyBorder="1"/>
    <xf numFmtId="165" fontId="10" fillId="3" borderId="100" xfId="0" applyNumberFormat="1" applyFont="1" applyFill="1" applyBorder="1" applyAlignment="1">
      <alignment horizontal="center" vertical="top" wrapText="1"/>
    </xf>
    <xf numFmtId="165" fontId="10" fillId="3" borderId="91" xfId="0" applyNumberFormat="1" applyFont="1" applyFill="1" applyBorder="1" applyAlignment="1">
      <alignment horizontal="center" vertical="top" wrapText="1"/>
    </xf>
    <xf numFmtId="0" fontId="4" fillId="0" borderId="100" xfId="0" applyFont="1" applyBorder="1"/>
    <xf numFmtId="0" fontId="4" fillId="0" borderId="55" xfId="0" applyFont="1" applyBorder="1"/>
    <xf numFmtId="0" fontId="5" fillId="3" borderId="59" xfId="0" applyFont="1" applyFill="1" applyBorder="1" applyAlignment="1">
      <alignment horizontal="center" vertical="top" wrapText="1"/>
    </xf>
    <xf numFmtId="164" fontId="3" fillId="3" borderId="102" xfId="0" applyNumberFormat="1" applyFont="1" applyFill="1" applyBorder="1" applyAlignment="1">
      <alignment horizontal="center" vertical="top" wrapText="1"/>
    </xf>
    <xf numFmtId="164" fontId="12" fillId="0" borderId="107" xfId="0" applyNumberFormat="1" applyFont="1" applyBorder="1" applyAlignment="1">
      <alignment horizontal="center" vertical="top" wrapText="1"/>
    </xf>
    <xf numFmtId="164" fontId="12" fillId="0" borderId="53" xfId="0" applyNumberFormat="1" applyFont="1" applyBorder="1" applyAlignment="1">
      <alignment horizontal="center" vertical="top" wrapText="1"/>
    </xf>
    <xf numFmtId="0" fontId="5" fillId="0" borderId="65" xfId="0" applyFont="1" applyBorder="1" applyAlignment="1">
      <alignment vertical="top"/>
    </xf>
    <xf numFmtId="0" fontId="5" fillId="0" borderId="52" xfId="0" applyFont="1" applyBorder="1" applyAlignment="1">
      <alignment vertical="top"/>
    </xf>
    <xf numFmtId="164" fontId="12" fillId="3" borderId="60" xfId="0" applyNumberFormat="1" applyFont="1" applyFill="1" applyBorder="1" applyAlignment="1">
      <alignment horizontal="center" vertical="top" wrapText="1"/>
    </xf>
    <xf numFmtId="3" fontId="4" fillId="3" borderId="93" xfId="0" applyNumberFormat="1" applyFont="1" applyFill="1" applyBorder="1" applyAlignment="1">
      <alignment horizontal="left" vertical="top" wrapText="1"/>
    </xf>
    <xf numFmtId="164" fontId="12" fillId="3" borderId="107" xfId="0" applyNumberFormat="1" applyFont="1" applyFill="1" applyBorder="1" applyAlignment="1">
      <alignment horizontal="center" vertical="top" wrapText="1"/>
    </xf>
    <xf numFmtId="164" fontId="16" fillId="3" borderId="52" xfId="0" applyNumberFormat="1" applyFont="1" applyFill="1" applyBorder="1" applyAlignment="1">
      <alignment horizontal="center" vertical="top" wrapText="1"/>
    </xf>
    <xf numFmtId="164" fontId="12" fillId="3" borderId="53" xfId="0" applyNumberFormat="1" applyFont="1" applyFill="1" applyBorder="1" applyAlignment="1">
      <alignment horizontal="center" vertical="top" wrapText="1"/>
    </xf>
    <xf numFmtId="164" fontId="12" fillId="0" borderId="93" xfId="0" applyNumberFormat="1" applyFont="1" applyBorder="1" applyAlignment="1">
      <alignment horizontal="center" vertical="top" wrapText="1"/>
    </xf>
    <xf numFmtId="164" fontId="12" fillId="0" borderId="60" xfId="0" applyNumberFormat="1" applyFont="1" applyBorder="1" applyAlignment="1">
      <alignment horizontal="center" vertical="top" wrapText="1"/>
    </xf>
    <xf numFmtId="0" fontId="4" fillId="0" borderId="59" xfId="0" applyFont="1" applyBorder="1" applyAlignment="1">
      <alignment horizontal="center" vertical="top" wrapText="1"/>
    </xf>
    <xf numFmtId="164" fontId="12" fillId="3" borderId="65" xfId="0" applyNumberFormat="1" applyFont="1" applyFill="1" applyBorder="1" applyAlignment="1">
      <alignment horizontal="center" vertical="top" wrapText="1"/>
    </xf>
    <xf numFmtId="164" fontId="4" fillId="3" borderId="93" xfId="0" applyNumberFormat="1" applyFont="1" applyFill="1" applyBorder="1" applyAlignment="1">
      <alignment horizontal="left" vertical="top" wrapText="1"/>
    </xf>
    <xf numFmtId="164" fontId="3" fillId="0" borderId="65" xfId="0" applyNumberFormat="1" applyFont="1" applyBorder="1" applyAlignment="1">
      <alignment horizontal="center" vertical="top" wrapText="1"/>
    </xf>
    <xf numFmtId="0" fontId="19" fillId="3" borderId="37" xfId="0" applyFont="1" applyFill="1" applyBorder="1" applyAlignment="1">
      <alignment vertical="top" wrapText="1"/>
    </xf>
    <xf numFmtId="0" fontId="12" fillId="0" borderId="76" xfId="0" applyFont="1" applyBorder="1" applyAlignment="1">
      <alignment vertical="top" wrapText="1"/>
    </xf>
    <xf numFmtId="164" fontId="3" fillId="0" borderId="102" xfId="0" applyNumberFormat="1" applyFont="1" applyBorder="1" applyAlignment="1">
      <alignment horizontal="center" vertical="top" wrapText="1"/>
    </xf>
    <xf numFmtId="164" fontId="12" fillId="3" borderId="93" xfId="0" applyNumberFormat="1" applyFont="1" applyFill="1" applyBorder="1" applyAlignment="1">
      <alignment horizontal="left" vertical="top" wrapText="1"/>
    </xf>
    <xf numFmtId="164" fontId="3" fillId="3" borderId="105" xfId="0" applyNumberFormat="1" applyFont="1" applyFill="1" applyBorder="1" applyAlignment="1">
      <alignment horizontal="center" vertical="top" wrapText="1"/>
    </xf>
    <xf numFmtId="164" fontId="3" fillId="3" borderId="107" xfId="0" applyNumberFormat="1" applyFont="1" applyFill="1" applyBorder="1" applyAlignment="1">
      <alignment horizontal="center" vertical="top" wrapText="1"/>
    </xf>
    <xf numFmtId="0" fontId="34" fillId="0" borderId="60" xfId="0" applyFont="1" applyBorder="1" applyAlignment="1">
      <alignment horizontal="center" vertical="top" wrapText="1"/>
    </xf>
    <xf numFmtId="164" fontId="11" fillId="3" borderId="52" xfId="0" applyNumberFormat="1" applyFont="1" applyFill="1" applyBorder="1" applyAlignment="1">
      <alignment horizontal="center" vertical="top" wrapText="1"/>
    </xf>
    <xf numFmtId="3" fontId="12" fillId="0" borderId="65" xfId="0" applyNumberFormat="1" applyFont="1" applyBorder="1" applyAlignment="1">
      <alignment horizontal="left" vertical="top" wrapText="1"/>
    </xf>
    <xf numFmtId="0" fontId="3" fillId="3" borderId="52" xfId="0" applyFont="1" applyFill="1" applyBorder="1" applyAlignment="1">
      <alignment horizontal="center" vertical="top" wrapText="1"/>
    </xf>
    <xf numFmtId="0" fontId="11" fillId="3" borderId="52" xfId="0" applyFont="1" applyFill="1" applyBorder="1" applyAlignment="1">
      <alignment horizontal="center" vertical="top" wrapText="1"/>
    </xf>
    <xf numFmtId="0" fontId="3" fillId="0" borderId="52" xfId="0" applyFont="1" applyBorder="1" applyAlignment="1">
      <alignment horizontal="center" vertical="top" wrapText="1"/>
    </xf>
    <xf numFmtId="0" fontId="3" fillId="0" borderId="53" xfId="0" applyFont="1" applyBorder="1" applyAlignment="1">
      <alignment horizontal="center" vertical="top" wrapText="1"/>
    </xf>
    <xf numFmtId="164" fontId="4" fillId="3" borderId="102" xfId="0" applyNumberFormat="1" applyFont="1" applyFill="1" applyBorder="1" applyAlignment="1">
      <alignment horizontal="center" vertical="top" wrapText="1"/>
    </xf>
    <xf numFmtId="164" fontId="4" fillId="3" borderId="59" xfId="0" applyNumberFormat="1" applyFont="1" applyFill="1" applyBorder="1" applyAlignment="1">
      <alignment horizontal="center" vertical="top" wrapText="1"/>
    </xf>
    <xf numFmtId="164" fontId="4" fillId="3" borderId="60" xfId="0" applyNumberFormat="1" applyFont="1" applyFill="1" applyBorder="1" applyAlignment="1">
      <alignment horizontal="center" vertical="top" wrapText="1"/>
    </xf>
    <xf numFmtId="164" fontId="10" fillId="3" borderId="105" xfId="0" applyNumberFormat="1" applyFont="1" applyFill="1" applyBorder="1" applyAlignment="1">
      <alignment horizontal="center" vertical="top" wrapText="1"/>
    </xf>
    <xf numFmtId="164" fontId="4" fillId="3" borderId="107" xfId="0" applyNumberFormat="1" applyFont="1" applyFill="1" applyBorder="1" applyAlignment="1">
      <alignment horizontal="center" vertical="top" wrapText="1"/>
    </xf>
    <xf numFmtId="164" fontId="4" fillId="3" borderId="52" xfId="0" applyNumberFormat="1" applyFont="1" applyFill="1" applyBorder="1" applyAlignment="1">
      <alignment horizontal="center" vertical="top" wrapText="1"/>
    </xf>
    <xf numFmtId="164" fontId="4" fillId="3" borderId="53" xfId="0" applyNumberFormat="1" applyFont="1" applyFill="1" applyBorder="1" applyAlignment="1">
      <alignment horizontal="center" vertical="top" wrapText="1"/>
    </xf>
    <xf numFmtId="164" fontId="4" fillId="0" borderId="8" xfId="0" applyNumberFormat="1" applyFont="1" applyBorder="1" applyAlignment="1">
      <alignment horizontal="left" vertical="top" wrapText="1"/>
    </xf>
    <xf numFmtId="0" fontId="4" fillId="3" borderId="61" xfId="0" applyFont="1" applyFill="1" applyBorder="1" applyAlignment="1">
      <alignment horizontal="center" vertical="top" wrapText="1"/>
    </xf>
    <xf numFmtId="164" fontId="10" fillId="3" borderId="93" xfId="0" applyNumberFormat="1" applyFont="1" applyFill="1" applyBorder="1" applyAlignment="1">
      <alignment horizontal="left" vertical="top" wrapText="1"/>
    </xf>
    <xf numFmtId="0" fontId="4" fillId="3" borderId="36" xfId="0" applyFont="1" applyFill="1" applyBorder="1" applyAlignment="1">
      <alignment horizontal="center" vertical="top" wrapText="1"/>
    </xf>
    <xf numFmtId="0" fontId="10" fillId="3" borderId="36" xfId="0" applyFont="1" applyFill="1" applyBorder="1" applyAlignment="1">
      <alignment horizontal="center" vertical="top" wrapText="1"/>
    </xf>
    <xf numFmtId="164" fontId="4" fillId="3" borderId="105" xfId="0" applyNumberFormat="1" applyFont="1" applyFill="1" applyBorder="1" applyAlignment="1">
      <alignment horizontal="center" vertical="top" wrapText="1"/>
    </xf>
    <xf numFmtId="0" fontId="4" fillId="3" borderId="52" xfId="0" applyFont="1" applyFill="1" applyBorder="1" applyAlignment="1">
      <alignment horizontal="center" vertical="top" wrapText="1"/>
    </xf>
    <xf numFmtId="0" fontId="4" fillId="3" borderId="53" xfId="0" applyFont="1" applyFill="1" applyBorder="1" applyAlignment="1">
      <alignment horizontal="center" vertical="top" wrapText="1"/>
    </xf>
    <xf numFmtId="0" fontId="17" fillId="3" borderId="84" xfId="0" applyFont="1" applyFill="1" applyBorder="1" applyAlignment="1">
      <alignment vertical="top" wrapText="1"/>
    </xf>
    <xf numFmtId="164" fontId="4" fillId="3" borderId="26" xfId="0" applyNumberFormat="1" applyFont="1" applyFill="1" applyBorder="1" applyAlignment="1">
      <alignment horizontal="center" vertical="top" wrapText="1"/>
    </xf>
    <xf numFmtId="164" fontId="4" fillId="3" borderId="2" xfId="0" applyNumberFormat="1" applyFont="1" applyFill="1" applyBorder="1" applyAlignment="1">
      <alignment horizontal="center" vertical="top" wrapText="1"/>
    </xf>
    <xf numFmtId="164" fontId="12" fillId="3" borderId="47" xfId="0" applyNumberFormat="1" applyFont="1" applyFill="1" applyBorder="1" applyAlignment="1">
      <alignment horizontal="center" vertical="top" wrapText="1"/>
    </xf>
    <xf numFmtId="164" fontId="10" fillId="3" borderId="12" xfId="0" applyNumberFormat="1" applyFont="1" applyFill="1" applyBorder="1" applyAlignment="1">
      <alignment horizontal="left" vertical="top" wrapText="1"/>
    </xf>
    <xf numFmtId="164" fontId="4" fillId="0" borderId="93" xfId="0" applyNumberFormat="1" applyFont="1" applyBorder="1" applyAlignment="1">
      <alignment horizontal="left" vertical="top" wrapText="1"/>
    </xf>
    <xf numFmtId="0" fontId="4" fillId="3" borderId="90" xfId="0" applyFont="1" applyFill="1" applyBorder="1" applyAlignment="1">
      <alignment horizontal="center" vertical="top" wrapText="1"/>
    </xf>
    <xf numFmtId="3" fontId="4" fillId="0" borderId="65" xfId="0" applyNumberFormat="1" applyFont="1" applyBorder="1" applyAlignment="1">
      <alignment horizontal="left" vertical="top" wrapText="1"/>
    </xf>
    <xf numFmtId="0" fontId="4" fillId="3" borderId="33" xfId="0" applyFont="1" applyFill="1" applyBorder="1" applyAlignment="1">
      <alignment horizontal="center" vertical="top" wrapText="1"/>
    </xf>
    <xf numFmtId="3" fontId="10" fillId="0" borderId="87" xfId="0" applyNumberFormat="1" applyFont="1" applyBorder="1" applyAlignment="1">
      <alignment horizontal="left" vertical="top" wrapText="1"/>
    </xf>
    <xf numFmtId="0" fontId="17" fillId="3" borderId="37" xfId="0" applyFont="1" applyFill="1" applyBorder="1" applyAlignment="1">
      <alignment vertical="top" wrapText="1"/>
    </xf>
    <xf numFmtId="0" fontId="16" fillId="3" borderId="76" xfId="0" applyFont="1" applyFill="1" applyBorder="1" applyAlignment="1">
      <alignment vertical="top"/>
    </xf>
    <xf numFmtId="0" fontId="12" fillId="3" borderId="16" xfId="0" applyFont="1" applyFill="1" applyBorder="1" applyAlignment="1">
      <alignment vertical="top" wrapText="1"/>
    </xf>
    <xf numFmtId="164" fontId="11" fillId="3" borderId="93" xfId="0" applyNumberFormat="1" applyFont="1" applyFill="1" applyBorder="1" applyAlignment="1">
      <alignment horizontal="center" vertical="top" wrapText="1"/>
    </xf>
    <xf numFmtId="164" fontId="12" fillId="3" borderId="93" xfId="0" applyNumberFormat="1" applyFont="1" applyFill="1" applyBorder="1" applyAlignment="1">
      <alignment horizontal="center" vertical="top" wrapText="1"/>
    </xf>
    <xf numFmtId="0" fontId="4" fillId="3" borderId="87" xfId="0" applyFont="1" applyFill="1" applyBorder="1" applyAlignment="1">
      <alignment horizontal="center" vertical="top" wrapText="1"/>
    </xf>
    <xf numFmtId="0" fontId="28" fillId="0" borderId="67" xfId="0" applyFont="1" applyBorder="1" applyAlignment="1">
      <alignment horizontal="center" vertical="center" wrapText="1"/>
    </xf>
    <xf numFmtId="164" fontId="11" fillId="3" borderId="65" xfId="0" applyNumberFormat="1" applyFont="1" applyFill="1" applyBorder="1" applyAlignment="1">
      <alignment horizontal="center" vertical="top" wrapText="1"/>
    </xf>
    <xf numFmtId="0" fontId="5" fillId="0" borderId="65" xfId="0" applyFont="1" applyBorder="1" applyAlignment="1">
      <alignment vertical="top" wrapText="1"/>
    </xf>
    <xf numFmtId="0" fontId="4" fillId="3" borderId="3" xfId="0" applyFont="1" applyFill="1" applyBorder="1" applyAlignment="1">
      <alignment wrapText="1"/>
    </xf>
    <xf numFmtId="0" fontId="12" fillId="3" borderId="77" xfId="0" applyFont="1" applyFill="1" applyBorder="1" applyAlignment="1">
      <alignment vertical="top" wrapText="1"/>
    </xf>
    <xf numFmtId="0" fontId="12" fillId="7" borderId="93" xfId="0" applyFont="1" applyFill="1" applyBorder="1" applyAlignment="1">
      <alignment wrapText="1"/>
    </xf>
    <xf numFmtId="0" fontId="12" fillId="7" borderId="60" xfId="0" applyFont="1" applyFill="1" applyBorder="1" applyAlignment="1">
      <alignment wrapText="1"/>
    </xf>
    <xf numFmtId="0" fontId="4" fillId="3" borderId="87" xfId="0" applyFont="1" applyFill="1" applyBorder="1" applyAlignment="1">
      <alignment wrapText="1"/>
    </xf>
    <xf numFmtId="165" fontId="12" fillId="7" borderId="100" xfId="0" applyNumberFormat="1" applyFont="1" applyFill="1" applyBorder="1" applyAlignment="1">
      <alignment horizontal="center" vertical="top" wrapText="1"/>
    </xf>
    <xf numFmtId="165" fontId="12" fillId="3" borderId="100" xfId="0" applyNumberFormat="1" applyFont="1" applyFill="1" applyBorder="1" applyAlignment="1">
      <alignment horizontal="center" vertical="top" wrapText="1"/>
    </xf>
    <xf numFmtId="165" fontId="12" fillId="3" borderId="53" xfId="0" applyNumberFormat="1" applyFont="1" applyFill="1" applyBorder="1" applyAlignment="1">
      <alignment horizontal="center" vertical="top" wrapText="1"/>
    </xf>
    <xf numFmtId="0" fontId="12" fillId="3" borderId="93" xfId="0" applyFont="1" applyFill="1" applyBorder="1" applyAlignment="1">
      <alignment wrapText="1"/>
    </xf>
    <xf numFmtId="0" fontId="12" fillId="3" borderId="60" xfId="0" applyFont="1" applyFill="1" applyBorder="1" applyAlignment="1">
      <alignment wrapText="1"/>
    </xf>
    <xf numFmtId="0" fontId="12" fillId="3" borderId="91" xfId="0" applyFont="1" applyFill="1" applyBorder="1" applyAlignment="1">
      <alignment wrapText="1"/>
    </xf>
    <xf numFmtId="164" fontId="16" fillId="3" borderId="8" xfId="0" applyNumberFormat="1" applyFont="1" applyFill="1" applyBorder="1" applyAlignment="1">
      <alignment horizontal="left" vertical="top" wrapText="1"/>
    </xf>
    <xf numFmtId="0" fontId="10" fillId="3" borderId="13" xfId="0" applyFont="1" applyFill="1" applyBorder="1" applyAlignment="1">
      <alignment wrapText="1"/>
    </xf>
    <xf numFmtId="165" fontId="12" fillId="3" borderId="93" xfId="0" applyNumberFormat="1" applyFont="1" applyFill="1" applyBorder="1" applyAlignment="1">
      <alignment horizontal="center" vertical="top" wrapText="1"/>
    </xf>
    <xf numFmtId="0" fontId="5" fillId="3" borderId="59" xfId="0" applyFont="1" applyFill="1" applyBorder="1" applyAlignment="1">
      <alignment wrapText="1"/>
    </xf>
    <xf numFmtId="0" fontId="5" fillId="3" borderId="60" xfId="0" applyFont="1" applyFill="1" applyBorder="1" applyAlignment="1">
      <alignment horizontal="center" vertical="top" wrapText="1"/>
    </xf>
    <xf numFmtId="0" fontId="6" fillId="3" borderId="84" xfId="0" applyFont="1" applyFill="1" applyBorder="1" applyAlignment="1">
      <alignment vertical="top" wrapText="1"/>
    </xf>
    <xf numFmtId="165" fontId="12" fillId="3" borderId="13" xfId="0" applyNumberFormat="1" applyFont="1" applyFill="1" applyBorder="1" applyAlignment="1">
      <alignment horizontal="center" vertical="top" wrapText="1"/>
    </xf>
    <xf numFmtId="0" fontId="12" fillId="7" borderId="61" xfId="0" applyFont="1" applyFill="1" applyBorder="1" applyAlignment="1">
      <alignment wrapText="1"/>
    </xf>
    <xf numFmtId="0" fontId="4" fillId="3" borderId="30" xfId="0" applyFont="1" applyFill="1" applyBorder="1" applyAlignment="1">
      <alignment horizontal="center" vertical="top" wrapText="1"/>
    </xf>
    <xf numFmtId="0" fontId="16" fillId="3" borderId="115" xfId="0" applyFont="1" applyFill="1" applyBorder="1" applyAlignment="1">
      <alignment vertical="top" wrapText="1"/>
    </xf>
    <xf numFmtId="3" fontId="4" fillId="3" borderId="13" xfId="0" applyNumberFormat="1" applyFont="1" applyFill="1" applyBorder="1" applyAlignment="1">
      <alignment horizontal="left" vertical="top" wrapText="1"/>
    </xf>
    <xf numFmtId="164" fontId="3" fillId="3" borderId="55" xfId="0" applyNumberFormat="1" applyFont="1" applyFill="1" applyBorder="1" applyAlignment="1">
      <alignment horizontal="center" vertical="top" wrapText="1"/>
    </xf>
    <xf numFmtId="164" fontId="3" fillId="3" borderId="91" xfId="0" applyNumberFormat="1" applyFont="1" applyFill="1" applyBorder="1" applyAlignment="1">
      <alignment horizontal="center" vertical="top" wrapText="1"/>
    </xf>
    <xf numFmtId="0" fontId="17" fillId="3" borderId="36" xfId="0" applyFont="1" applyFill="1" applyBorder="1" applyAlignment="1">
      <alignment horizontal="left" vertical="top" wrapText="1"/>
    </xf>
    <xf numFmtId="0" fontId="19" fillId="3" borderId="36" xfId="0" applyFont="1" applyFill="1" applyBorder="1" applyAlignment="1">
      <alignment vertical="top" wrapText="1"/>
    </xf>
    <xf numFmtId="0" fontId="3" fillId="3" borderId="35" xfId="0" applyFont="1" applyFill="1" applyBorder="1" applyAlignment="1">
      <alignment vertical="top" wrapText="1"/>
    </xf>
    <xf numFmtId="0" fontId="3" fillId="3" borderId="54" xfId="0" applyFont="1" applyFill="1" applyBorder="1" applyAlignment="1">
      <alignment vertical="top" wrapText="1"/>
    </xf>
    <xf numFmtId="0" fontId="12" fillId="3" borderId="8" xfId="0" applyFont="1" applyFill="1" applyBorder="1" applyAlignment="1">
      <alignment horizontal="left" vertical="top" wrapText="1"/>
    </xf>
    <xf numFmtId="164" fontId="12" fillId="3" borderId="65" xfId="0" applyNumberFormat="1" applyFont="1" applyFill="1" applyBorder="1" applyAlignment="1">
      <alignment vertical="top" wrapText="1"/>
    </xf>
    <xf numFmtId="165" fontId="10" fillId="3" borderId="65" xfId="0" applyNumberFormat="1" applyFont="1" applyFill="1" applyBorder="1" applyAlignment="1">
      <alignment horizontal="center" vertical="top" wrapText="1"/>
    </xf>
    <xf numFmtId="165" fontId="10" fillId="3" borderId="52" xfId="0" applyNumberFormat="1" applyFont="1" applyFill="1" applyBorder="1" applyAlignment="1">
      <alignment horizontal="center" vertical="top" wrapText="1"/>
    </xf>
    <xf numFmtId="165" fontId="10" fillId="3" borderId="53" xfId="0" applyNumberFormat="1" applyFont="1" applyFill="1" applyBorder="1" applyAlignment="1">
      <alignment horizontal="center" vertical="top" wrapText="1"/>
    </xf>
    <xf numFmtId="164" fontId="1" fillId="6" borderId="8" xfId="0" applyNumberFormat="1" applyFont="1" applyFill="1" applyBorder="1" applyAlignment="1">
      <alignment horizontal="center" vertical="top" wrapText="1"/>
    </xf>
    <xf numFmtId="164" fontId="1" fillId="6" borderId="59" xfId="0" applyNumberFormat="1" applyFont="1" applyFill="1" applyBorder="1" applyAlignment="1">
      <alignment horizontal="center" vertical="top" wrapText="1"/>
    </xf>
    <xf numFmtId="165" fontId="10" fillId="3" borderId="2" xfId="0" applyNumberFormat="1" applyFont="1" applyFill="1" applyBorder="1" applyAlignment="1">
      <alignment horizontal="center" vertical="top" wrapText="1"/>
    </xf>
    <xf numFmtId="0" fontId="10" fillId="0" borderId="53" xfId="0" applyFont="1" applyBorder="1" applyAlignment="1">
      <alignment horizontal="center" vertical="top" wrapText="1"/>
    </xf>
    <xf numFmtId="0" fontId="17" fillId="6" borderId="111" xfId="0" applyFont="1" applyFill="1" applyBorder="1" applyAlignment="1">
      <alignment vertical="top" wrapText="1"/>
    </xf>
    <xf numFmtId="0" fontId="17" fillId="6" borderId="59" xfId="0" applyFont="1" applyFill="1" applyBorder="1" applyAlignment="1">
      <alignment vertical="top" wrapText="1"/>
    </xf>
    <xf numFmtId="0" fontId="17" fillId="6" borderId="60" xfId="0" applyFont="1" applyFill="1" applyBorder="1" applyAlignment="1">
      <alignment vertical="top" wrapText="1"/>
    </xf>
    <xf numFmtId="0" fontId="4" fillId="0" borderId="116" xfId="0" applyFont="1" applyBorder="1"/>
    <xf numFmtId="0" fontId="4" fillId="0" borderId="113" xfId="0" applyFont="1" applyBorder="1"/>
    <xf numFmtId="0" fontId="17" fillId="0" borderId="65" xfId="0" applyFont="1" applyBorder="1" applyAlignment="1">
      <alignment vertical="top" wrapText="1"/>
    </xf>
    <xf numFmtId="164" fontId="6" fillId="0" borderId="65" xfId="0" applyNumberFormat="1" applyFont="1" applyBorder="1" applyAlignment="1">
      <alignment horizontal="center" vertical="top" wrapText="1"/>
    </xf>
    <xf numFmtId="164" fontId="6" fillId="0" borderId="53" xfId="0" applyNumberFormat="1" applyFont="1" applyBorder="1" applyAlignment="1">
      <alignment horizontal="center" vertical="top" wrapText="1"/>
    </xf>
    <xf numFmtId="0" fontId="4" fillId="3" borderId="65" xfId="0" applyFont="1" applyFill="1" applyBorder="1" applyAlignment="1">
      <alignment vertical="top" wrapText="1"/>
    </xf>
    <xf numFmtId="0" fontId="4" fillId="3" borderId="100" xfId="0" applyFont="1" applyFill="1" applyBorder="1" applyAlignment="1">
      <alignment horizontal="center" vertical="top" wrapText="1"/>
    </xf>
    <xf numFmtId="0" fontId="3" fillId="3" borderId="3" xfId="0" applyFont="1" applyFill="1" applyBorder="1" applyAlignment="1">
      <alignment horizontal="center" vertical="top"/>
    </xf>
    <xf numFmtId="0" fontId="5" fillId="0" borderId="65" xfId="0" applyFont="1" applyBorder="1"/>
    <xf numFmtId="0" fontId="4" fillId="3" borderId="55" xfId="0" applyFont="1" applyFill="1" applyBorder="1" applyAlignment="1">
      <alignment horizontal="center" vertical="top" wrapText="1"/>
    </xf>
    <xf numFmtId="164" fontId="10" fillId="3" borderId="100" xfId="0" applyNumberFormat="1" applyFont="1" applyFill="1" applyBorder="1" applyAlignment="1">
      <alignment horizontal="center" vertical="top" wrapText="1"/>
    </xf>
    <xf numFmtId="164" fontId="10" fillId="3" borderId="91" xfId="0" applyNumberFormat="1" applyFont="1" applyFill="1" applyBorder="1" applyAlignment="1">
      <alignment horizontal="center" vertical="top" wrapText="1"/>
    </xf>
    <xf numFmtId="0" fontId="23" fillId="0" borderId="65" xfId="0" applyFont="1" applyBorder="1"/>
    <xf numFmtId="0" fontId="16" fillId="3" borderId="100" xfId="0" applyFont="1" applyFill="1" applyBorder="1" applyAlignment="1">
      <alignment vertical="top" wrapText="1"/>
    </xf>
    <xf numFmtId="0" fontId="5" fillId="3" borderId="100" xfId="0" applyFont="1" applyFill="1" applyBorder="1" applyAlignment="1">
      <alignment horizontal="center" vertical="top" wrapText="1"/>
    </xf>
    <xf numFmtId="165" fontId="4" fillId="3" borderId="8" xfId="0" applyNumberFormat="1" applyFont="1" applyFill="1" applyBorder="1" applyAlignment="1">
      <alignment horizontal="center" vertical="top" wrapText="1"/>
    </xf>
    <xf numFmtId="165" fontId="4" fillId="3" borderId="49" xfId="0" applyNumberFormat="1" applyFont="1" applyFill="1" applyBorder="1" applyAlignment="1">
      <alignment horizontal="center" vertical="top" wrapText="1"/>
    </xf>
    <xf numFmtId="0" fontId="5" fillId="3" borderId="3" xfId="0" applyFont="1" applyFill="1" applyBorder="1" applyAlignment="1">
      <alignment horizontal="center" vertical="top"/>
    </xf>
    <xf numFmtId="165" fontId="4" fillId="3" borderId="65" xfId="0" applyNumberFormat="1" applyFont="1" applyFill="1" applyBorder="1" applyAlignment="1">
      <alignment horizontal="center" vertical="top" wrapText="1"/>
    </xf>
    <xf numFmtId="165" fontId="4" fillId="3" borderId="53" xfId="0" applyNumberFormat="1" applyFont="1" applyFill="1" applyBorder="1" applyAlignment="1">
      <alignment horizontal="center" vertical="top" wrapText="1"/>
    </xf>
    <xf numFmtId="0" fontId="17" fillId="3" borderId="52" xfId="0" applyFont="1" applyFill="1" applyBorder="1" applyAlignment="1">
      <alignment vertical="top" wrapText="1"/>
    </xf>
    <xf numFmtId="164" fontId="6" fillId="0" borderId="52" xfId="0" applyNumberFormat="1" applyFont="1" applyBorder="1" applyAlignment="1">
      <alignment horizontal="center" vertical="top" wrapText="1"/>
    </xf>
    <xf numFmtId="0" fontId="3" fillId="0" borderId="3" xfId="0" applyFont="1" applyBorder="1" applyAlignment="1">
      <alignment horizontal="center" vertical="top"/>
    </xf>
    <xf numFmtId="0" fontId="12" fillId="3" borderId="55" xfId="0" applyFont="1" applyFill="1" applyBorder="1" applyAlignment="1">
      <alignment horizontal="center" vertical="top" wrapText="1"/>
    </xf>
    <xf numFmtId="164" fontId="4" fillId="0" borderId="65" xfId="0" applyNumberFormat="1" applyFont="1" applyBorder="1"/>
    <xf numFmtId="0" fontId="12" fillId="3" borderId="72" xfId="0" applyFont="1" applyFill="1" applyBorder="1" applyAlignment="1">
      <alignment vertical="top" wrapText="1"/>
    </xf>
    <xf numFmtId="0" fontId="4" fillId="0" borderId="7" xfId="0" applyFont="1" applyBorder="1" applyAlignment="1">
      <alignment vertical="top" wrapText="1"/>
    </xf>
    <xf numFmtId="0" fontId="12" fillId="3" borderId="71" xfId="0" applyFont="1" applyFill="1" applyBorder="1" applyAlignment="1">
      <alignment vertical="top"/>
    </xf>
    <xf numFmtId="164" fontId="6" fillId="3" borderId="52" xfId="0" applyNumberFormat="1" applyFont="1" applyFill="1" applyBorder="1" applyAlignment="1">
      <alignment horizontal="center" vertical="top" wrapText="1"/>
    </xf>
    <xf numFmtId="164" fontId="6" fillId="3" borderId="53" xfId="0" applyNumberFormat="1" applyFont="1" applyFill="1" applyBorder="1" applyAlignment="1">
      <alignment horizontal="center" vertical="top" wrapText="1"/>
    </xf>
    <xf numFmtId="164" fontId="1" fillId="3" borderId="3" xfId="0" applyNumberFormat="1" applyFont="1" applyFill="1" applyBorder="1" applyAlignment="1">
      <alignment horizontal="center" vertical="top" wrapText="1"/>
    </xf>
    <xf numFmtId="0" fontId="4" fillId="0" borderId="3" xfId="0" applyFont="1" applyBorder="1"/>
    <xf numFmtId="0" fontId="4" fillId="0" borderId="49" xfId="0" applyFont="1" applyBorder="1"/>
    <xf numFmtId="0" fontId="4" fillId="3" borderId="55" xfId="0" applyFont="1" applyFill="1" applyBorder="1" applyAlignment="1">
      <alignment vertical="top" wrapText="1"/>
    </xf>
    <xf numFmtId="0" fontId="6" fillId="0" borderId="2" xfId="0" applyFont="1" applyBorder="1" applyAlignment="1">
      <alignment vertical="top" wrapText="1"/>
    </xf>
    <xf numFmtId="0" fontId="3" fillId="6" borderId="35" xfId="0" applyFont="1" applyFill="1" applyBorder="1" applyAlignment="1">
      <alignment horizontal="center" vertical="center" wrapText="1"/>
    </xf>
    <xf numFmtId="0" fontId="17" fillId="6" borderId="36" xfId="0" applyFont="1" applyFill="1" applyBorder="1" applyAlignment="1">
      <alignment vertical="top" wrapText="1"/>
    </xf>
    <xf numFmtId="164" fontId="6" fillId="6" borderId="59" xfId="0" applyNumberFormat="1" applyFont="1" applyFill="1" applyBorder="1" applyAlignment="1">
      <alignment horizontal="center" vertical="top" wrapText="1"/>
    </xf>
    <xf numFmtId="164" fontId="6" fillId="6" borderId="36" xfId="0" applyNumberFormat="1" applyFont="1" applyFill="1" applyBorder="1" applyAlignment="1">
      <alignment horizontal="center" vertical="top" wrapText="1"/>
    </xf>
    <xf numFmtId="164" fontId="6" fillId="6" borderId="90" xfId="0" applyNumberFormat="1" applyFont="1" applyFill="1" applyBorder="1" applyAlignment="1">
      <alignment horizontal="center" vertical="top" wrapText="1"/>
    </xf>
    <xf numFmtId="0" fontId="17" fillId="6" borderId="87" xfId="0" applyFont="1" applyFill="1" applyBorder="1" applyAlignment="1">
      <alignment vertical="top" wrapText="1"/>
    </xf>
    <xf numFmtId="0" fontId="6" fillId="5" borderId="54" xfId="0" applyFont="1" applyFill="1" applyBorder="1" applyAlignment="1">
      <alignment horizontal="justify" vertical="top" wrapText="1"/>
    </xf>
    <xf numFmtId="0" fontId="17" fillId="5" borderId="55" xfId="0" applyFont="1" applyFill="1" applyBorder="1" applyAlignment="1">
      <alignment vertical="top" wrapText="1"/>
    </xf>
    <xf numFmtId="164" fontId="1" fillId="5" borderId="55" xfId="0" applyNumberFormat="1" applyFont="1" applyFill="1" applyBorder="1" applyAlignment="1">
      <alignment horizontal="center" vertical="top" wrapText="1"/>
    </xf>
    <xf numFmtId="164" fontId="1" fillId="5" borderId="91" xfId="0" applyNumberFormat="1" applyFont="1" applyFill="1" applyBorder="1" applyAlignment="1">
      <alignment horizontal="center" vertical="top" wrapText="1"/>
    </xf>
    <xf numFmtId="164" fontId="1" fillId="5" borderId="100" xfId="0" applyNumberFormat="1" applyFont="1" applyFill="1" applyBorder="1" applyAlignment="1">
      <alignment horizontal="center" vertical="top" wrapText="1"/>
    </xf>
    <xf numFmtId="0" fontId="17" fillId="4" borderId="117" xfId="0" applyFont="1" applyFill="1" applyBorder="1" applyAlignment="1">
      <alignment vertical="top" wrapText="1"/>
    </xf>
    <xf numFmtId="164" fontId="5" fillId="4" borderId="57" xfId="0" applyNumberFormat="1" applyFont="1" applyFill="1" applyBorder="1" applyAlignment="1">
      <alignment horizontal="center" vertical="top" wrapText="1"/>
    </xf>
    <xf numFmtId="164" fontId="5" fillId="4" borderId="58" xfId="0" applyNumberFormat="1" applyFont="1" applyFill="1" applyBorder="1" applyAlignment="1">
      <alignment horizontal="center" vertical="top" wrapText="1"/>
    </xf>
    <xf numFmtId="164" fontId="5" fillId="4" borderId="86" xfId="0" applyNumberFormat="1" applyFont="1" applyFill="1" applyBorder="1" applyAlignment="1">
      <alignment horizontal="center" vertical="top" wrapText="1"/>
    </xf>
    <xf numFmtId="0" fontId="17" fillId="8" borderId="117" xfId="0" applyFont="1" applyFill="1" applyBorder="1" applyAlignment="1">
      <alignment vertical="top" wrapText="1"/>
    </xf>
    <xf numFmtId="164" fontId="5" fillId="8" borderId="57" xfId="0" applyNumberFormat="1" applyFont="1" applyFill="1" applyBorder="1" applyAlignment="1">
      <alignment horizontal="center" vertical="top" wrapText="1"/>
    </xf>
    <xf numFmtId="164" fontId="5" fillId="8" borderId="58" xfId="0" applyNumberFormat="1" applyFont="1" applyFill="1" applyBorder="1" applyAlignment="1">
      <alignment horizontal="center" vertical="top" wrapText="1"/>
    </xf>
    <xf numFmtId="0" fontId="17" fillId="8" borderId="86" xfId="0" applyFont="1" applyFill="1" applyBorder="1" applyAlignment="1">
      <alignment vertical="top" wrapText="1"/>
    </xf>
    <xf numFmtId="1" fontId="6" fillId="8" borderId="57" xfId="0" applyNumberFormat="1" applyFont="1" applyFill="1" applyBorder="1" applyAlignment="1">
      <alignment horizontal="center" vertical="top" wrapText="1"/>
    </xf>
    <xf numFmtId="1" fontId="6" fillId="8" borderId="58" xfId="0" applyNumberFormat="1" applyFont="1" applyFill="1" applyBorder="1" applyAlignment="1">
      <alignment horizontal="center" vertical="top" wrapText="1"/>
    </xf>
    <xf numFmtId="0" fontId="10" fillId="7" borderId="3" xfId="0" applyFont="1" applyFill="1" applyBorder="1" applyAlignment="1">
      <alignment wrapText="1"/>
    </xf>
    <xf numFmtId="165" fontId="5" fillId="3" borderId="93" xfId="0" applyNumberFormat="1" applyFont="1" applyFill="1" applyBorder="1" applyAlignment="1">
      <alignment horizontal="center" vertical="top" wrapText="1"/>
    </xf>
    <xf numFmtId="165" fontId="10" fillId="3" borderId="60" xfId="0" applyNumberFormat="1" applyFont="1" applyFill="1" applyBorder="1" applyAlignment="1">
      <alignment horizontal="center" vertical="top" wrapText="1"/>
    </xf>
    <xf numFmtId="165" fontId="10" fillId="0" borderId="100" xfId="0" applyNumberFormat="1" applyFont="1" applyBorder="1" applyAlignment="1">
      <alignment horizontal="center" vertical="top" wrapText="1"/>
    </xf>
    <xf numFmtId="165" fontId="10" fillId="0" borderId="91" xfId="0" applyNumberFormat="1" applyFont="1" applyBorder="1" applyAlignment="1">
      <alignment horizontal="center" vertical="top" wrapText="1"/>
    </xf>
    <xf numFmtId="3" fontId="17" fillId="3" borderId="110" xfId="0" applyNumberFormat="1" applyFont="1" applyFill="1" applyBorder="1" applyAlignment="1">
      <alignment vertical="top" wrapText="1"/>
    </xf>
    <xf numFmtId="3" fontId="12" fillId="3" borderId="93" xfId="0" applyNumberFormat="1" applyFont="1" applyFill="1" applyBorder="1" applyAlignment="1">
      <alignment vertical="top" wrapText="1"/>
    </xf>
    <xf numFmtId="165" fontId="10" fillId="3" borderId="59" xfId="0" applyNumberFormat="1" applyFont="1" applyFill="1" applyBorder="1" applyAlignment="1">
      <alignment horizontal="center" vertical="top" wrapText="1"/>
    </xf>
    <xf numFmtId="165" fontId="3" fillId="3" borderId="59" xfId="0" applyNumberFormat="1" applyFont="1" applyFill="1" applyBorder="1" applyAlignment="1">
      <alignment horizontal="center" vertical="top" wrapText="1"/>
    </xf>
    <xf numFmtId="0" fontId="19" fillId="3" borderId="37" xfId="0" applyFont="1" applyFill="1" applyBorder="1" applyAlignment="1">
      <alignment horizontal="left" vertical="top" wrapText="1"/>
    </xf>
    <xf numFmtId="164" fontId="16" fillId="3" borderId="93" xfId="0" applyNumberFormat="1" applyFont="1" applyFill="1" applyBorder="1" applyAlignment="1">
      <alignment vertical="top" wrapText="1"/>
    </xf>
    <xf numFmtId="49" fontId="10" fillId="3" borderId="59" xfId="0" applyNumberFormat="1" applyFont="1" applyFill="1" applyBorder="1" applyAlignment="1">
      <alignment horizontal="center" vertical="top" wrapText="1"/>
    </xf>
    <xf numFmtId="49" fontId="26" fillId="3" borderId="59" xfId="0" applyNumberFormat="1" applyFont="1" applyFill="1" applyBorder="1" applyAlignment="1">
      <alignment horizontal="center" vertical="top" wrapText="1"/>
    </xf>
    <xf numFmtId="0" fontId="17" fillId="3" borderId="37" xfId="0" applyFont="1" applyFill="1" applyBorder="1" applyAlignment="1">
      <alignment horizontal="left" vertical="top" wrapText="1"/>
    </xf>
    <xf numFmtId="0" fontId="3" fillId="3" borderId="59" xfId="0" applyFont="1" applyFill="1" applyBorder="1" applyAlignment="1">
      <alignment horizontal="center" vertical="top"/>
    </xf>
    <xf numFmtId="165" fontId="10" fillId="0" borderId="93" xfId="0" applyNumberFormat="1" applyFont="1" applyBorder="1" applyAlignment="1">
      <alignment horizontal="center" vertical="top" wrapText="1"/>
    </xf>
    <xf numFmtId="165" fontId="10" fillId="0" borderId="60" xfId="0" applyNumberFormat="1" applyFont="1" applyBorder="1" applyAlignment="1">
      <alignment horizontal="center" vertical="top" wrapText="1"/>
    </xf>
    <xf numFmtId="0" fontId="12" fillId="3" borderId="93" xfId="0" applyFont="1" applyFill="1" applyBorder="1" applyAlignment="1">
      <alignment horizontal="left" vertical="top" wrapText="1"/>
    </xf>
    <xf numFmtId="0" fontId="10" fillId="3" borderId="59" xfId="0" applyFont="1" applyFill="1" applyBorder="1" applyAlignment="1">
      <alignment horizontal="center" vertical="top"/>
    </xf>
    <xf numFmtId="165" fontId="3" fillId="0" borderId="59" xfId="0" applyNumberFormat="1" applyFont="1" applyBorder="1" applyAlignment="1">
      <alignment horizontal="center" vertical="top" wrapText="1"/>
    </xf>
    <xf numFmtId="165" fontId="3" fillId="0" borderId="60" xfId="0" applyNumberFormat="1" applyFont="1" applyBorder="1" applyAlignment="1">
      <alignment horizontal="center" vertical="top" wrapText="1"/>
    </xf>
    <xf numFmtId="0" fontId="10" fillId="3" borderId="93" xfId="0" applyFont="1" applyFill="1" applyBorder="1" applyAlignment="1">
      <alignment horizontal="center" vertical="top"/>
    </xf>
    <xf numFmtId="0" fontId="6" fillId="3" borderId="59" xfId="0" applyFont="1" applyFill="1" applyBorder="1" applyAlignment="1">
      <alignment vertical="top" wrapText="1"/>
    </xf>
    <xf numFmtId="0" fontId="4" fillId="3" borderId="93" xfId="0" applyFont="1" applyFill="1" applyBorder="1" applyAlignment="1">
      <alignment vertical="top" wrapText="1"/>
    </xf>
    <xf numFmtId="0" fontId="6" fillId="8" borderId="54" xfId="0" applyFont="1" applyFill="1" applyBorder="1" applyAlignment="1">
      <alignment vertical="top" wrapText="1"/>
    </xf>
    <xf numFmtId="0" fontId="17" fillId="8" borderId="52" xfId="0" applyFont="1" applyFill="1" applyBorder="1" applyAlignment="1">
      <alignment vertical="top" wrapText="1"/>
    </xf>
    <xf numFmtId="0" fontId="17" fillId="8" borderId="55" xfId="0" applyFont="1" applyFill="1" applyBorder="1" applyAlignment="1">
      <alignment vertical="top" wrapText="1"/>
    </xf>
    <xf numFmtId="0" fontId="1" fillId="8" borderId="55" xfId="0" applyFont="1" applyFill="1" applyBorder="1" applyAlignment="1">
      <alignment horizontal="center" vertical="top" wrapText="1"/>
    </xf>
    <xf numFmtId="0" fontId="1" fillId="8" borderId="52" xfId="0" applyFont="1" applyFill="1" applyBorder="1" applyAlignment="1">
      <alignment horizontal="center" vertical="top" wrapText="1"/>
    </xf>
    <xf numFmtId="0" fontId="1" fillId="8" borderId="53" xfId="0" applyFont="1" applyFill="1" applyBorder="1" applyAlignment="1">
      <alignment horizontal="center" vertical="top" wrapText="1"/>
    </xf>
    <xf numFmtId="0" fontId="17" fillId="9" borderId="51" xfId="0" applyFont="1" applyFill="1" applyBorder="1" applyAlignment="1">
      <alignment vertical="top" wrapText="1"/>
    </xf>
    <xf numFmtId="0" fontId="2" fillId="8" borderId="52" xfId="0" applyFont="1" applyFill="1" applyBorder="1" applyAlignment="1">
      <alignment horizontal="center" vertical="top" wrapText="1"/>
    </xf>
    <xf numFmtId="0" fontId="30" fillId="8" borderId="52" xfId="0" applyFont="1" applyFill="1" applyBorder="1" applyAlignment="1">
      <alignment horizontal="center" vertical="top" wrapText="1"/>
    </xf>
    <xf numFmtId="0" fontId="2" fillId="9" borderId="91" xfId="0" applyFont="1" applyFill="1" applyBorder="1" applyAlignment="1">
      <alignment horizontal="center" vertical="top" wrapText="1"/>
    </xf>
    <xf numFmtId="0" fontId="16" fillId="3" borderId="114" xfId="0" applyFont="1" applyFill="1" applyBorder="1" applyAlignment="1">
      <alignment vertical="top" wrapText="1"/>
    </xf>
    <xf numFmtId="164" fontId="10" fillId="3" borderId="12" xfId="0" applyNumberFormat="1" applyFont="1" applyFill="1" applyBorder="1" applyAlignment="1">
      <alignment horizontal="center" vertical="top" wrapText="1"/>
    </xf>
    <xf numFmtId="164" fontId="10" fillId="3" borderId="2" xfId="0" applyNumberFormat="1" applyFont="1" applyFill="1" applyBorder="1" applyAlignment="1">
      <alignment horizontal="center" vertical="top" wrapText="1"/>
    </xf>
    <xf numFmtId="164" fontId="10" fillId="3" borderId="47" xfId="0" applyNumberFormat="1" applyFont="1" applyFill="1" applyBorder="1" applyAlignment="1">
      <alignment horizontal="center" vertical="top" wrapText="1"/>
    </xf>
    <xf numFmtId="3" fontId="16" fillId="3" borderId="12" xfId="0" applyNumberFormat="1" applyFont="1" applyFill="1" applyBorder="1" applyAlignment="1">
      <alignment horizontal="left" vertical="top" wrapText="1"/>
    </xf>
    <xf numFmtId="0" fontId="4" fillId="0" borderId="47" xfId="0" applyFont="1" applyBorder="1" applyAlignment="1">
      <alignment horizontal="center" vertical="top" wrapText="1"/>
    </xf>
    <xf numFmtId="0" fontId="4" fillId="0" borderId="6" xfId="0" applyFont="1" applyBorder="1" applyAlignment="1">
      <alignment horizontal="center" vertical="top" wrapText="1"/>
    </xf>
    <xf numFmtId="0" fontId="16" fillId="3" borderId="42" xfId="0" applyFont="1" applyFill="1" applyBorder="1" applyAlignment="1">
      <alignment vertical="top" wrapText="1"/>
    </xf>
    <xf numFmtId="0" fontId="12" fillId="3" borderId="67" xfId="0" applyFont="1" applyFill="1" applyBorder="1" applyAlignment="1">
      <alignment horizontal="center" vertical="top" wrapText="1"/>
    </xf>
    <xf numFmtId="0" fontId="12" fillId="3" borderId="118" xfId="0" applyFont="1" applyFill="1" applyBorder="1" applyAlignment="1">
      <alignment horizontal="center" vertical="top" wrapText="1"/>
    </xf>
    <xf numFmtId="165" fontId="12" fillId="3" borderId="107" xfId="0" applyNumberFormat="1" applyFont="1" applyFill="1" applyBorder="1" applyAlignment="1">
      <alignment horizontal="center" vertical="top" wrapText="1"/>
    </xf>
    <xf numFmtId="0" fontId="12" fillId="7" borderId="53" xfId="0" applyFont="1" applyFill="1" applyBorder="1" applyAlignment="1">
      <alignment wrapText="1"/>
    </xf>
    <xf numFmtId="165" fontId="12" fillId="3" borderId="1" xfId="0" applyNumberFormat="1" applyFont="1" applyFill="1" applyBorder="1" applyAlignment="1">
      <alignment horizontal="center" vertical="top" wrapText="1"/>
    </xf>
    <xf numFmtId="0" fontId="5" fillId="0" borderId="100" xfId="0" applyFont="1" applyBorder="1" applyAlignment="1">
      <alignment vertical="top"/>
    </xf>
    <xf numFmtId="3" fontId="10" fillId="3" borderId="42" xfId="0" applyNumberFormat="1" applyFont="1" applyFill="1" applyBorder="1" applyAlignment="1">
      <alignment horizontal="left" vertical="top" wrapText="1"/>
    </xf>
    <xf numFmtId="0" fontId="5" fillId="3" borderId="1" xfId="0" applyFont="1" applyFill="1" applyBorder="1" applyAlignment="1">
      <alignment horizontal="center" vertical="top" wrapText="1"/>
    </xf>
    <xf numFmtId="0" fontId="11" fillId="0" borderId="59" xfId="0" applyFont="1" applyBorder="1" applyAlignment="1">
      <alignment horizontal="center" vertical="top" wrapText="1"/>
    </xf>
    <xf numFmtId="0" fontId="16" fillId="3" borderId="59" xfId="0" applyFont="1" applyFill="1" applyBorder="1" applyAlignment="1">
      <alignment horizontal="center" vertical="top" wrapText="1"/>
    </xf>
    <xf numFmtId="164" fontId="4" fillId="0" borderId="0" xfId="0" applyNumberFormat="1" applyFont="1"/>
    <xf numFmtId="164" fontId="16" fillId="3" borderId="15" xfId="0" applyNumberFormat="1" applyFont="1" applyFill="1" applyBorder="1" applyAlignment="1">
      <alignment horizontal="center" vertical="top" wrapText="1"/>
    </xf>
    <xf numFmtId="165" fontId="10" fillId="3" borderId="15" xfId="0" applyNumberFormat="1" applyFont="1" applyFill="1" applyBorder="1" applyAlignment="1">
      <alignment horizontal="center" vertical="top" wrapText="1"/>
    </xf>
    <xf numFmtId="164" fontId="10" fillId="3" borderId="113" xfId="0" applyNumberFormat="1" applyFont="1" applyFill="1" applyBorder="1" applyAlignment="1">
      <alignment horizontal="center" vertical="top" wrapText="1"/>
    </xf>
    <xf numFmtId="164" fontId="3" fillId="3" borderId="31" xfId="0" applyNumberFormat="1" applyFont="1" applyFill="1" applyBorder="1" applyAlignment="1">
      <alignment horizontal="center" vertical="top" wrapText="1"/>
    </xf>
    <xf numFmtId="164" fontId="16" fillId="3" borderId="65" xfId="0" applyNumberFormat="1" applyFont="1" applyFill="1" applyBorder="1" applyAlignment="1">
      <alignment horizontal="center" vertical="top" wrapText="1"/>
    </xf>
    <xf numFmtId="164" fontId="16" fillId="0" borderId="49" xfId="0" applyNumberFormat="1" applyFont="1" applyBorder="1" applyAlignment="1">
      <alignment horizontal="center" vertical="top" wrapText="1"/>
    </xf>
    <xf numFmtId="164" fontId="16" fillId="3" borderId="53" xfId="0" applyNumberFormat="1" applyFont="1" applyFill="1" applyBorder="1" applyAlignment="1">
      <alignment horizontal="center" vertical="top" wrapText="1"/>
    </xf>
    <xf numFmtId="164" fontId="16" fillId="3" borderId="121" xfId="0" applyNumberFormat="1" applyFont="1" applyFill="1" applyBorder="1" applyAlignment="1">
      <alignment horizontal="center" vertical="top" wrapText="1"/>
    </xf>
    <xf numFmtId="0" fontId="10" fillId="3" borderId="1" xfId="0" applyFont="1" applyFill="1" applyBorder="1" applyAlignment="1">
      <alignment horizontal="center" vertical="top"/>
    </xf>
    <xf numFmtId="0" fontId="10" fillId="3" borderId="7" xfId="0" applyFont="1" applyFill="1" applyBorder="1" applyAlignment="1">
      <alignment horizontal="center" vertical="top"/>
    </xf>
    <xf numFmtId="3" fontId="17" fillId="3" borderId="13" xfId="0" applyNumberFormat="1" applyFont="1" applyFill="1" applyBorder="1" applyAlignment="1">
      <alignment vertical="top" wrapText="1"/>
    </xf>
    <xf numFmtId="0" fontId="16" fillId="3" borderId="8" xfId="0" applyFont="1" applyFill="1" applyBorder="1" applyAlignment="1">
      <alignment horizontal="center" vertical="top" wrapText="1"/>
    </xf>
    <xf numFmtId="0" fontId="12" fillId="3" borderId="8" xfId="0" applyFont="1" applyFill="1" applyBorder="1" applyAlignment="1">
      <alignment horizontal="center" vertical="top" wrapText="1"/>
    </xf>
    <xf numFmtId="164" fontId="3" fillId="3" borderId="126" xfId="0" applyNumberFormat="1" applyFont="1" applyFill="1" applyBorder="1" applyAlignment="1">
      <alignment horizontal="center" vertical="top" wrapText="1"/>
    </xf>
    <xf numFmtId="0" fontId="12" fillId="7" borderId="127" xfId="0" applyFont="1" applyFill="1" applyBorder="1" applyAlignment="1">
      <alignment vertical="top" wrapText="1"/>
    </xf>
    <xf numFmtId="0" fontId="10" fillId="3" borderId="128" xfId="0" applyFont="1" applyFill="1" applyBorder="1" applyAlignment="1">
      <alignment horizontal="center" vertical="top" wrapText="1"/>
    </xf>
    <xf numFmtId="0" fontId="5" fillId="3" borderId="128" xfId="0" applyFont="1" applyFill="1" applyBorder="1" applyAlignment="1">
      <alignment horizontal="center" vertical="top" wrapText="1"/>
    </xf>
    <xf numFmtId="0" fontId="3" fillId="0" borderId="129" xfId="0" applyFont="1" applyBorder="1" applyAlignment="1">
      <alignment horizontal="center" vertical="top" wrapText="1"/>
    </xf>
    <xf numFmtId="0" fontId="4" fillId="0" borderId="131" xfId="0" applyFont="1" applyBorder="1" applyAlignment="1">
      <alignment horizontal="center" vertical="top" wrapText="1"/>
    </xf>
    <xf numFmtId="0" fontId="4" fillId="0" borderId="131" xfId="0" applyFont="1" applyBorder="1"/>
    <xf numFmtId="0" fontId="12" fillId="3" borderId="133" xfId="0" applyFont="1" applyFill="1" applyBorder="1" applyAlignment="1">
      <alignment vertical="top" wrapText="1"/>
    </xf>
    <xf numFmtId="165" fontId="10" fillId="3" borderId="135" xfId="0" applyNumberFormat="1" applyFont="1" applyFill="1" applyBorder="1" applyAlignment="1">
      <alignment horizontal="center" vertical="top" wrapText="1"/>
    </xf>
    <xf numFmtId="0" fontId="4" fillId="0" borderId="136" xfId="0" applyFont="1" applyBorder="1"/>
    <xf numFmtId="0" fontId="4" fillId="0" borderId="137" xfId="0" applyFont="1" applyBorder="1"/>
    <xf numFmtId="0" fontId="4" fillId="0" borderId="138" xfId="0" applyFont="1" applyBorder="1"/>
    <xf numFmtId="0" fontId="16" fillId="3" borderId="2" xfId="0" applyFont="1" applyFill="1" applyBorder="1" applyAlignment="1">
      <alignment vertical="top" wrapText="1"/>
    </xf>
    <xf numFmtId="3" fontId="16" fillId="3" borderId="43" xfId="0" applyNumberFormat="1" applyFont="1" applyFill="1" applyBorder="1" applyAlignment="1">
      <alignment horizontal="left" vertical="top" wrapText="1"/>
    </xf>
    <xf numFmtId="0" fontId="33" fillId="3" borderId="2" xfId="0" applyFont="1" applyFill="1" applyBorder="1" applyAlignment="1">
      <alignment horizontal="center" vertical="top" wrapText="1"/>
    </xf>
    <xf numFmtId="0" fontId="4" fillId="0" borderId="113" xfId="0" applyFont="1" applyBorder="1" applyAlignment="1">
      <alignment horizontal="center" vertical="top" wrapText="1"/>
    </xf>
    <xf numFmtId="0" fontId="19" fillId="3" borderId="70" xfId="0" applyFont="1" applyFill="1" applyBorder="1" applyAlignment="1">
      <alignment vertical="top" wrapText="1"/>
    </xf>
    <xf numFmtId="0" fontId="33" fillId="3" borderId="3" xfId="0" applyFont="1" applyFill="1" applyBorder="1" applyAlignment="1">
      <alignment horizontal="center" vertical="top" wrapText="1"/>
    </xf>
    <xf numFmtId="0" fontId="33" fillId="3" borderId="8" xfId="0" applyFont="1" applyFill="1" applyBorder="1" applyAlignment="1">
      <alignment horizontal="center" vertical="top" wrapText="1"/>
    </xf>
    <xf numFmtId="0" fontId="3" fillId="0" borderId="3" xfId="0" applyFont="1" applyBorder="1" applyAlignment="1">
      <alignment horizontal="center" vertical="top" wrapText="1"/>
    </xf>
    <xf numFmtId="0" fontId="4" fillId="0" borderId="49" xfId="0" applyFont="1" applyBorder="1" applyAlignment="1">
      <alignment horizontal="center" vertical="top" wrapText="1"/>
    </xf>
    <xf numFmtId="0" fontId="12" fillId="3" borderId="139" xfId="0" applyFont="1" applyFill="1" applyBorder="1" applyAlignment="1">
      <alignment horizontal="center" vertical="top" wrapText="1"/>
    </xf>
    <xf numFmtId="164" fontId="3" fillId="3" borderId="10" xfId="0" applyNumberFormat="1" applyFont="1" applyFill="1" applyBorder="1" applyAlignment="1">
      <alignment horizontal="center" vertical="top" wrapText="1"/>
    </xf>
    <xf numFmtId="164" fontId="3" fillId="3" borderId="140" xfId="0" applyNumberFormat="1" applyFont="1" applyFill="1" applyBorder="1" applyAlignment="1">
      <alignment horizontal="center" vertical="top" wrapText="1"/>
    </xf>
    <xf numFmtId="3" fontId="4" fillId="0" borderId="141" xfId="0" applyNumberFormat="1" applyFont="1" applyBorder="1" applyAlignment="1">
      <alignment horizontal="left" vertical="top" wrapText="1"/>
    </xf>
    <xf numFmtId="0" fontId="4" fillId="3" borderId="10" xfId="0" applyFont="1" applyFill="1" applyBorder="1" applyAlignment="1">
      <alignment wrapText="1"/>
    </xf>
    <xf numFmtId="0" fontId="4" fillId="3" borderId="10" xfId="0" applyFont="1" applyFill="1" applyBorder="1" applyAlignment="1">
      <alignment horizontal="center" vertical="top" wrapText="1"/>
    </xf>
    <xf numFmtId="0" fontId="4" fillId="3" borderId="140" xfId="0" applyFont="1" applyFill="1" applyBorder="1" applyAlignment="1">
      <alignment horizontal="center" vertical="top" wrapText="1"/>
    </xf>
    <xf numFmtId="0" fontId="4" fillId="0" borderId="91" xfId="0" applyFont="1" applyBorder="1"/>
    <xf numFmtId="165" fontId="10" fillId="3" borderId="17" xfId="0" applyNumberFormat="1" applyFont="1" applyFill="1" applyBorder="1" applyAlignment="1">
      <alignment horizontal="center" vertical="top" wrapText="1"/>
    </xf>
    <xf numFmtId="0" fontId="6" fillId="3" borderId="38" xfId="0" applyFont="1" applyFill="1" applyBorder="1" applyAlignment="1">
      <alignment vertical="top" wrapText="1"/>
    </xf>
    <xf numFmtId="0" fontId="12" fillId="3" borderId="59" xfId="0" applyFont="1" applyFill="1" applyBorder="1" applyAlignment="1">
      <alignment horizontal="center" vertical="top" wrapText="1"/>
    </xf>
    <xf numFmtId="0" fontId="2" fillId="3" borderId="59" xfId="0" applyFont="1" applyFill="1" applyBorder="1" applyAlignment="1">
      <alignment vertical="top" wrapText="1"/>
    </xf>
    <xf numFmtId="0" fontId="6" fillId="0" borderId="75" xfId="0" applyFont="1" applyBorder="1" applyAlignment="1">
      <alignment vertical="top" wrapText="1"/>
    </xf>
    <xf numFmtId="0" fontId="6" fillId="3" borderId="73" xfId="0" applyFont="1" applyFill="1" applyBorder="1" applyAlignment="1">
      <alignment vertical="top" wrapText="1"/>
    </xf>
    <xf numFmtId="0" fontId="25" fillId="3" borderId="77" xfId="0" applyFont="1" applyFill="1" applyBorder="1" applyAlignment="1">
      <alignment vertical="top" wrapText="1"/>
    </xf>
    <xf numFmtId="164" fontId="10" fillId="3" borderId="55" xfId="0" applyNumberFormat="1" applyFont="1" applyFill="1" applyBorder="1" applyAlignment="1">
      <alignment horizontal="center" vertical="top" wrapText="1"/>
    </xf>
    <xf numFmtId="164" fontId="16" fillId="3" borderId="122" xfId="0" applyNumberFormat="1" applyFont="1" applyFill="1" applyBorder="1" applyAlignment="1">
      <alignment horizontal="center" vertical="top" wrapText="1"/>
    </xf>
    <xf numFmtId="164" fontId="4" fillId="3" borderId="7" xfId="0" applyNumberFormat="1" applyFont="1" applyFill="1" applyBorder="1" applyAlignment="1">
      <alignment horizontal="center" vertical="top" wrapText="1"/>
    </xf>
    <xf numFmtId="164" fontId="4" fillId="3" borderId="41" xfId="0" applyNumberFormat="1" applyFont="1" applyFill="1" applyBorder="1" applyAlignment="1">
      <alignment horizontal="center" vertical="top" wrapText="1"/>
    </xf>
    <xf numFmtId="0" fontId="3" fillId="3" borderId="8" xfId="0" applyFont="1" applyFill="1" applyBorder="1"/>
    <xf numFmtId="0" fontId="6" fillId="3" borderId="124" xfId="0" applyFont="1" applyFill="1" applyBorder="1" applyAlignment="1">
      <alignment vertical="top" wrapText="1"/>
    </xf>
    <xf numFmtId="0" fontId="5" fillId="3" borderId="35" xfId="0" applyFont="1" applyFill="1" applyBorder="1" applyAlignment="1">
      <alignment horizontal="left" vertical="top" wrapText="1"/>
    </xf>
    <xf numFmtId="0" fontId="5" fillId="3" borderId="54" xfId="0" applyFont="1" applyFill="1" applyBorder="1" applyAlignment="1">
      <alignment horizontal="left" vertical="top" wrapText="1"/>
    </xf>
    <xf numFmtId="0" fontId="10" fillId="0" borderId="35" xfId="0" applyFont="1" applyBorder="1" applyAlignment="1">
      <alignment horizontal="left" vertical="top" wrapText="1"/>
    </xf>
    <xf numFmtId="0" fontId="10" fillId="0" borderId="44" xfId="0" applyFont="1" applyBorder="1" applyAlignment="1">
      <alignment horizontal="left" vertical="top" wrapText="1"/>
    </xf>
    <xf numFmtId="0" fontId="10" fillId="0" borderId="54" xfId="0" applyFont="1" applyBorder="1" applyAlignment="1">
      <alignment horizontal="left" vertical="top" wrapText="1"/>
    </xf>
    <xf numFmtId="0" fontId="4" fillId="3" borderId="36" xfId="0" applyFont="1" applyFill="1" applyBorder="1" applyAlignment="1">
      <alignment horizontal="center" vertical="top" wrapText="1"/>
    </xf>
    <xf numFmtId="0" fontId="4" fillId="3" borderId="5" xfId="0" applyFont="1" applyFill="1" applyBorder="1" applyAlignment="1">
      <alignment horizontal="center" vertical="top" wrapText="1"/>
    </xf>
    <xf numFmtId="0" fontId="4" fillId="3" borderId="55" xfId="0" applyFont="1" applyFill="1" applyBorder="1" applyAlignment="1">
      <alignment horizontal="center" vertical="top"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16" fillId="3" borderId="35" xfId="0" applyFont="1" applyFill="1" applyBorder="1" applyAlignment="1">
      <alignment horizontal="left" vertical="top" wrapText="1"/>
    </xf>
    <xf numFmtId="0" fontId="16" fillId="3" borderId="44" xfId="0" applyFont="1" applyFill="1" applyBorder="1" applyAlignment="1">
      <alignment horizontal="left" vertical="top" wrapText="1"/>
    </xf>
    <xf numFmtId="0" fontId="16" fillId="3" borderId="54" xfId="0" applyFont="1" applyFill="1" applyBorder="1" applyAlignment="1">
      <alignment horizontal="left" vertical="top" wrapText="1"/>
    </xf>
    <xf numFmtId="0" fontId="3" fillId="0" borderId="36" xfId="0" applyFont="1" applyBorder="1" applyAlignment="1">
      <alignment horizontal="center" vertical="top" wrapText="1"/>
    </xf>
    <xf numFmtId="0" fontId="3" fillId="0" borderId="55" xfId="0" applyFont="1" applyBorder="1" applyAlignment="1">
      <alignment horizontal="center" vertical="top" wrapText="1"/>
    </xf>
    <xf numFmtId="0" fontId="3" fillId="0" borderId="35" xfId="0" applyFont="1" applyBorder="1" applyAlignment="1">
      <alignment horizontal="left" vertical="top" wrapText="1"/>
    </xf>
    <xf numFmtId="0" fontId="3" fillId="0" borderId="44" xfId="0" applyFont="1" applyBorder="1" applyAlignment="1">
      <alignment horizontal="left" vertical="top" wrapText="1"/>
    </xf>
    <xf numFmtId="0" fontId="3" fillId="0" borderId="54" xfId="0" applyFont="1" applyBorder="1" applyAlignment="1">
      <alignment horizontal="left" vertical="top" wrapText="1"/>
    </xf>
    <xf numFmtId="3" fontId="4" fillId="3" borderId="36" xfId="0" applyNumberFormat="1" applyFont="1" applyFill="1" applyBorder="1" applyAlignment="1">
      <alignment horizontal="center" vertical="top" wrapText="1"/>
    </xf>
    <xf numFmtId="3" fontId="4" fillId="3" borderId="5" xfId="0" applyNumberFormat="1" applyFont="1" applyFill="1" applyBorder="1" applyAlignment="1">
      <alignment horizontal="center" vertical="top" wrapText="1"/>
    </xf>
    <xf numFmtId="3" fontId="4" fillId="3" borderId="55" xfId="0" applyNumberFormat="1" applyFont="1" applyFill="1" applyBorder="1" applyAlignment="1">
      <alignment horizontal="center" vertical="top" wrapText="1"/>
    </xf>
    <xf numFmtId="0" fontId="3" fillId="3" borderId="35"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3" borderId="54" xfId="0" applyFont="1" applyFill="1" applyBorder="1" applyAlignment="1">
      <alignment horizontal="left" vertical="top" wrapText="1"/>
    </xf>
    <xf numFmtId="0" fontId="0" fillId="0" borderId="54" xfId="0" applyBorder="1" applyAlignment="1">
      <alignment horizontal="left" vertical="top" wrapText="1"/>
    </xf>
    <xf numFmtId="0" fontId="3" fillId="3" borderId="54" xfId="0" applyFont="1" applyFill="1" applyBorder="1" applyAlignment="1">
      <alignment horizontal="center" vertical="center" wrapText="1"/>
    </xf>
    <xf numFmtId="0" fontId="16" fillId="3" borderId="79" xfId="0" applyFont="1" applyFill="1" applyBorder="1" applyAlignment="1">
      <alignment horizontal="left" vertical="top" wrapText="1"/>
    </xf>
    <xf numFmtId="0" fontId="16" fillId="3" borderId="48" xfId="0" applyFont="1" applyFill="1" applyBorder="1" applyAlignment="1">
      <alignment horizontal="left" vertical="top" wrapText="1"/>
    </xf>
    <xf numFmtId="0" fontId="16" fillId="3" borderId="80" xfId="0" applyFont="1" applyFill="1" applyBorder="1" applyAlignment="1">
      <alignment horizontal="left" vertical="top" wrapText="1"/>
    </xf>
    <xf numFmtId="0" fontId="26" fillId="3" borderId="35" xfId="0" applyFont="1" applyFill="1" applyBorder="1" applyAlignment="1">
      <alignment horizontal="left" vertical="top" wrapText="1"/>
    </xf>
    <xf numFmtId="0" fontId="26" fillId="3" borderId="54" xfId="0" applyFont="1" applyFill="1" applyBorder="1" applyAlignment="1">
      <alignment horizontal="left" vertical="top" wrapText="1"/>
    </xf>
    <xf numFmtId="0" fontId="12" fillId="3" borderId="36" xfId="0" applyFont="1" applyFill="1" applyBorder="1" applyAlignment="1">
      <alignment horizontal="center" vertical="top" wrapText="1"/>
    </xf>
    <xf numFmtId="0" fontId="12" fillId="3" borderId="55" xfId="0" applyFont="1" applyFill="1" applyBorder="1" applyAlignment="1">
      <alignment horizontal="center" vertical="top" wrapText="1"/>
    </xf>
    <xf numFmtId="0" fontId="10" fillId="3" borderId="36" xfId="0" applyFont="1" applyFill="1" applyBorder="1" applyAlignment="1">
      <alignment horizontal="center" vertical="top" wrapText="1"/>
    </xf>
    <xf numFmtId="0" fontId="10" fillId="3" borderId="3" xfId="0" applyFont="1" applyFill="1" applyBorder="1" applyAlignment="1">
      <alignment horizontal="center" vertical="top" wrapText="1"/>
    </xf>
    <xf numFmtId="0" fontId="4" fillId="3" borderId="0" xfId="0" applyFont="1" applyFill="1" applyAlignment="1">
      <alignment horizontal="center" vertical="top" wrapText="1"/>
    </xf>
    <xf numFmtId="0" fontId="5" fillId="0" borderId="35" xfId="0" applyFont="1" applyBorder="1" applyAlignment="1">
      <alignment horizontal="left" vertical="top" wrapText="1"/>
    </xf>
    <xf numFmtId="0" fontId="5" fillId="0" borderId="44" xfId="0" applyFont="1" applyBorder="1" applyAlignment="1">
      <alignment horizontal="left" vertical="top" wrapText="1"/>
    </xf>
    <xf numFmtId="0" fontId="5" fillId="0" borderId="54" xfId="0" applyFont="1" applyBorder="1" applyAlignment="1">
      <alignment horizontal="left" vertical="top" wrapText="1"/>
    </xf>
    <xf numFmtId="0" fontId="10" fillId="3" borderId="62" xfId="0" applyFont="1" applyFill="1" applyBorder="1" applyAlignment="1">
      <alignment horizontal="left" vertical="top" wrapText="1"/>
    </xf>
    <xf numFmtId="0" fontId="10" fillId="3" borderId="45" xfId="0" applyFont="1" applyFill="1" applyBorder="1" applyAlignment="1">
      <alignment horizontal="left" vertical="top" wrapText="1"/>
    </xf>
    <xf numFmtId="0" fontId="10" fillId="3" borderId="64" xfId="0" applyFont="1" applyFill="1" applyBorder="1" applyAlignment="1">
      <alignment horizontal="left" vertical="top" wrapText="1"/>
    </xf>
    <xf numFmtId="0" fontId="10" fillId="3" borderId="35" xfId="0" applyFont="1" applyFill="1" applyBorder="1" applyAlignment="1">
      <alignment horizontal="left" vertical="top" wrapText="1"/>
    </xf>
    <xf numFmtId="0" fontId="10" fillId="3" borderId="44" xfId="0" applyFont="1" applyFill="1" applyBorder="1" applyAlignment="1">
      <alignment horizontal="left" vertical="top" wrapText="1"/>
    </xf>
    <xf numFmtId="0" fontId="10" fillId="3" borderId="54" xfId="0" applyFont="1" applyFill="1" applyBorder="1" applyAlignment="1">
      <alignment horizontal="left" vertical="top" wrapText="1"/>
    </xf>
    <xf numFmtId="0" fontId="12" fillId="3" borderId="35" xfId="0" applyFont="1" applyFill="1" applyBorder="1" applyAlignment="1">
      <alignment horizontal="left" vertical="top" wrapText="1"/>
    </xf>
    <xf numFmtId="0" fontId="12" fillId="3" borderId="44" xfId="0" applyFont="1" applyFill="1" applyBorder="1" applyAlignment="1">
      <alignment horizontal="left" vertical="top" wrapText="1"/>
    </xf>
    <xf numFmtId="0" fontId="12" fillId="3" borderId="54" xfId="0" applyFont="1" applyFill="1" applyBorder="1" applyAlignment="1">
      <alignment horizontal="left" vertical="top" wrapText="1"/>
    </xf>
    <xf numFmtId="0" fontId="4" fillId="3" borderId="34" xfId="0" applyFont="1" applyFill="1" applyBorder="1" applyAlignment="1">
      <alignment horizontal="center" vertical="top" wrapText="1"/>
    </xf>
    <xf numFmtId="0" fontId="4" fillId="3" borderId="101" xfId="0" applyFont="1" applyFill="1" applyBorder="1" applyAlignment="1">
      <alignment horizontal="center" vertical="top" wrapText="1"/>
    </xf>
    <xf numFmtId="0" fontId="4" fillId="3" borderId="108" xfId="0" applyFont="1" applyFill="1" applyBorder="1" applyAlignment="1">
      <alignment horizontal="center" vertical="top" wrapText="1"/>
    </xf>
    <xf numFmtId="0" fontId="4" fillId="3" borderId="28" xfId="0" applyFont="1" applyFill="1" applyBorder="1" applyAlignment="1">
      <alignment horizontal="center" vertical="top" wrapText="1"/>
    </xf>
    <xf numFmtId="0" fontId="4" fillId="3" borderId="109" xfId="0" applyFont="1" applyFill="1" applyBorder="1" applyAlignment="1">
      <alignment horizontal="center" vertical="top" wrapText="1"/>
    </xf>
    <xf numFmtId="0" fontId="4" fillId="3" borderId="114" xfId="0" applyFont="1" applyFill="1" applyBorder="1" applyAlignment="1">
      <alignment horizontal="center" vertical="top" wrapText="1"/>
    </xf>
    <xf numFmtId="0" fontId="4" fillId="3" borderId="27" xfId="0" applyFont="1" applyFill="1" applyBorder="1" applyAlignment="1">
      <alignment horizontal="center" vertical="top" wrapText="1"/>
    </xf>
    <xf numFmtId="0" fontId="4" fillId="3" borderId="67" xfId="0" applyFont="1" applyFill="1" applyBorder="1" applyAlignment="1">
      <alignment horizontal="center" vertical="top" wrapText="1"/>
    </xf>
    <xf numFmtId="0" fontId="5" fillId="3" borderId="44" xfId="0" applyFont="1" applyFill="1" applyBorder="1" applyAlignment="1">
      <alignment horizontal="left" vertical="top" wrapText="1"/>
    </xf>
    <xf numFmtId="0" fontId="4" fillId="3" borderId="95" xfId="0" applyFont="1" applyFill="1" applyBorder="1" applyAlignment="1">
      <alignment horizontal="center" vertical="top" wrapText="1"/>
    </xf>
    <xf numFmtId="0" fontId="4" fillId="3" borderId="125" xfId="0" applyFont="1" applyFill="1" applyBorder="1" applyAlignment="1">
      <alignment horizontal="center" vertical="top" wrapText="1"/>
    </xf>
    <xf numFmtId="0" fontId="4" fillId="3" borderId="134" xfId="0" applyFont="1" applyFill="1" applyBorder="1" applyAlignment="1">
      <alignment horizontal="center" vertical="top" wrapText="1"/>
    </xf>
    <xf numFmtId="0" fontId="10" fillId="0" borderId="0" xfId="0" applyFont="1" applyAlignment="1">
      <alignment horizontal="left" vertical="top"/>
    </xf>
    <xf numFmtId="0" fontId="10"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vertical="top"/>
    </xf>
    <xf numFmtId="0" fontId="4" fillId="3" borderId="2" xfId="0" applyFont="1" applyFill="1" applyBorder="1" applyAlignment="1">
      <alignment horizontal="center" vertical="top" wrapText="1"/>
    </xf>
    <xf numFmtId="0" fontId="4" fillId="3" borderId="35" xfId="0" applyFont="1" applyFill="1" applyBorder="1" applyAlignment="1">
      <alignment horizontal="left" vertical="top" wrapText="1"/>
    </xf>
    <xf numFmtId="0" fontId="4" fillId="3" borderId="54" xfId="0" applyFont="1" applyFill="1" applyBorder="1" applyAlignment="1">
      <alignment horizontal="left" vertical="top" wrapText="1"/>
    </xf>
    <xf numFmtId="0" fontId="4" fillId="0" borderId="0" xfId="0" applyFont="1" applyAlignment="1">
      <alignment vertical="top" wrapText="1"/>
    </xf>
    <xf numFmtId="3" fontId="4" fillId="3" borderId="12" xfId="0" applyNumberFormat="1" applyFont="1" applyFill="1" applyBorder="1" applyAlignment="1">
      <alignment horizontal="center" vertical="top" wrapText="1"/>
    </xf>
    <xf numFmtId="3" fontId="4" fillId="3" borderId="22" xfId="0" applyNumberFormat="1" applyFont="1" applyFill="1" applyBorder="1" applyAlignment="1">
      <alignment horizontal="center" vertical="top" wrapText="1"/>
    </xf>
    <xf numFmtId="0" fontId="3" fillId="0" borderId="43"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54" xfId="0" applyFont="1" applyBorder="1" applyAlignment="1">
      <alignment horizontal="center" vertical="center" wrapText="1"/>
    </xf>
    <xf numFmtId="0" fontId="4" fillId="3" borderId="44" xfId="0" applyFont="1" applyFill="1" applyBorder="1" applyAlignment="1">
      <alignment horizontal="left" vertical="top" wrapText="1"/>
    </xf>
    <xf numFmtId="3" fontId="27" fillId="3" borderId="23" xfId="0" applyNumberFormat="1" applyFont="1" applyFill="1" applyBorder="1" applyAlignment="1">
      <alignment horizontal="center" vertical="top" wrapText="1"/>
    </xf>
    <xf numFmtId="3" fontId="10" fillId="3" borderId="13" xfId="0" applyNumberFormat="1" applyFont="1" applyFill="1" applyBorder="1" applyAlignment="1">
      <alignment horizontal="center" vertical="top" wrapText="1"/>
    </xf>
    <xf numFmtId="3" fontId="10" fillId="3" borderId="100" xfId="0" applyNumberFormat="1" applyFont="1" applyFill="1" applyBorder="1" applyAlignment="1">
      <alignment horizontal="center" vertical="top" wrapText="1"/>
    </xf>
    <xf numFmtId="0" fontId="2" fillId="2" borderId="87"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8" fillId="0" borderId="0" xfId="0" applyFont="1" applyAlignment="1">
      <alignment horizontal="left"/>
    </xf>
    <xf numFmtId="0" fontId="9" fillId="0" borderId="0" xfId="0" applyFont="1" applyAlignment="1">
      <alignment horizontal="center" vertical="center" wrapText="1"/>
    </xf>
    <xf numFmtId="0" fontId="1" fillId="2" borderId="35" xfId="0" applyFont="1" applyFill="1" applyBorder="1" applyAlignment="1">
      <alignment horizontal="center" vertical="center" wrapText="1"/>
    </xf>
    <xf numFmtId="0" fontId="1" fillId="2" borderId="54"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17" fillId="2" borderId="55"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6" fillId="2" borderId="5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90" xfId="0" applyFont="1" applyFill="1" applyBorder="1" applyAlignment="1">
      <alignment horizontal="center" vertical="center" wrapText="1"/>
    </xf>
    <xf numFmtId="0" fontId="2" fillId="2" borderId="91" xfId="0" applyFont="1" applyFill="1" applyBorder="1" applyAlignment="1">
      <alignment horizontal="center" vertical="center" wrapText="1"/>
    </xf>
    <xf numFmtId="0" fontId="12" fillId="3" borderId="94" xfId="0" applyFont="1" applyFill="1" applyBorder="1" applyAlignment="1">
      <alignment horizontal="center" vertical="top" wrapText="1"/>
    </xf>
    <xf numFmtId="0" fontId="12" fillId="3" borderId="27" xfId="0" applyFont="1" applyFill="1" applyBorder="1" applyAlignment="1">
      <alignment horizontal="center" vertical="top" wrapText="1"/>
    </xf>
    <xf numFmtId="0" fontId="12" fillId="3" borderId="74" xfId="0" applyFont="1" applyFill="1" applyBorder="1" applyAlignment="1">
      <alignment horizontal="center" vertical="top" wrapText="1"/>
    </xf>
    <xf numFmtId="0" fontId="28" fillId="0" borderId="97" xfId="0" applyFont="1" applyBorder="1" applyAlignment="1">
      <alignment horizontal="center" vertical="top" wrapText="1"/>
    </xf>
    <xf numFmtId="0" fontId="28" fillId="0" borderId="98" xfId="0" applyFont="1" applyBorder="1" applyAlignment="1">
      <alignment horizontal="center" vertical="top" wrapText="1"/>
    </xf>
    <xf numFmtId="0" fontId="12" fillId="3" borderId="73" xfId="0" applyFont="1" applyFill="1" applyBorder="1" applyAlignment="1">
      <alignment horizontal="center" vertical="top" wrapText="1"/>
    </xf>
    <xf numFmtId="0" fontId="12" fillId="3" borderId="119" xfId="0" applyFont="1" applyFill="1" applyBorder="1" applyAlignment="1">
      <alignment horizontal="center" vertical="top" wrapText="1"/>
    </xf>
    <xf numFmtId="0" fontId="12" fillId="3" borderId="120" xfId="0" applyFont="1" applyFill="1" applyBorder="1" applyAlignment="1">
      <alignment horizontal="center" vertical="top" wrapText="1"/>
    </xf>
    <xf numFmtId="0" fontId="11" fillId="0" borderId="35" xfId="0" applyFont="1" applyBorder="1" applyAlignment="1">
      <alignment horizontal="left" vertical="top" wrapText="1"/>
    </xf>
    <xf numFmtId="0" fontId="11" fillId="0" borderId="54" xfId="0" applyFont="1" applyBorder="1" applyAlignment="1">
      <alignment horizontal="left" vertical="top" wrapText="1"/>
    </xf>
    <xf numFmtId="0" fontId="12" fillId="3" borderId="112" xfId="0" applyFont="1" applyFill="1" applyBorder="1" applyAlignment="1">
      <alignment horizontal="center" vertical="top" wrapText="1"/>
    </xf>
    <xf numFmtId="0" fontId="12" fillId="3" borderId="30" xfId="0" applyFont="1" applyFill="1" applyBorder="1" applyAlignment="1">
      <alignment horizontal="center" vertical="top" wrapText="1"/>
    </xf>
    <xf numFmtId="0" fontId="12" fillId="3" borderId="106" xfId="0" applyFont="1" applyFill="1" applyBorder="1" applyAlignment="1">
      <alignment horizontal="center" vertical="top" wrapText="1"/>
    </xf>
    <xf numFmtId="0" fontId="12" fillId="3" borderId="16" xfId="0" applyFont="1" applyFill="1" applyBorder="1" applyAlignment="1">
      <alignment horizontal="center" vertical="top" wrapText="1"/>
    </xf>
    <xf numFmtId="0" fontId="12" fillId="3" borderId="15" xfId="0" applyFont="1" applyFill="1" applyBorder="1" applyAlignment="1">
      <alignment horizontal="center" vertical="top" wrapText="1"/>
    </xf>
    <xf numFmtId="0" fontId="12" fillId="3" borderId="32" xfId="0" applyFont="1" applyFill="1" applyBorder="1" applyAlignment="1">
      <alignment horizontal="center" vertical="top" wrapText="1"/>
    </xf>
    <xf numFmtId="0" fontId="12" fillId="3" borderId="14" xfId="0" applyFont="1" applyFill="1" applyBorder="1" applyAlignment="1">
      <alignment horizontal="center" vertical="top" wrapText="1"/>
    </xf>
    <xf numFmtId="0" fontId="3" fillId="0" borderId="123" xfId="0" applyFont="1" applyBorder="1" applyAlignment="1">
      <alignment horizontal="left" vertical="top" wrapText="1"/>
    </xf>
    <xf numFmtId="0" fontId="3" fillId="0" borderId="130" xfId="0" applyFont="1" applyBorder="1" applyAlignment="1">
      <alignment horizontal="left" vertical="top" wrapText="1"/>
    </xf>
    <xf numFmtId="0" fontId="3" fillId="0" borderId="132" xfId="0" applyFont="1" applyBorder="1" applyAlignment="1">
      <alignment horizontal="left" vertical="top" wrapText="1"/>
    </xf>
    <xf numFmtId="0" fontId="4" fillId="3" borderId="113" xfId="0" applyFont="1" applyFill="1" applyBorder="1" applyAlignment="1">
      <alignment horizontal="center" vertical="top" wrapText="1"/>
    </xf>
    <xf numFmtId="0" fontId="4" fillId="3" borderId="20" xfId="0" applyFont="1" applyFill="1" applyBorder="1" applyAlignment="1">
      <alignment horizontal="center" vertical="top" wrapText="1"/>
    </xf>
    <xf numFmtId="0" fontId="4"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3" borderId="33" xfId="0" applyFont="1" applyFill="1" applyBorder="1" applyAlignment="1">
      <alignment horizontal="center" vertical="top" wrapText="1"/>
    </xf>
    <xf numFmtId="0" fontId="4" fillId="3" borderId="112" xfId="0" applyFont="1" applyFill="1" applyBorder="1" applyAlignment="1">
      <alignment horizontal="center" vertical="top" wrapText="1"/>
    </xf>
    <xf numFmtId="0" fontId="4" fillId="3" borderId="106" xfId="0" applyFont="1" applyFill="1" applyBorder="1" applyAlignment="1">
      <alignment horizontal="center" vertical="top" wrapText="1"/>
    </xf>
    <xf numFmtId="0" fontId="4" fillId="3" borderId="16" xfId="0" applyFont="1" applyFill="1" applyBorder="1" applyAlignment="1">
      <alignment horizontal="center" vertical="top" wrapText="1"/>
    </xf>
    <xf numFmtId="0" fontId="13" fillId="0" borderId="0" xfId="0" applyFont="1" applyAlignment="1">
      <alignment horizontal="center" vertical="center"/>
    </xf>
    <xf numFmtId="0" fontId="15" fillId="5" borderId="1"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FFCCFF"/>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A1:W303"/>
  <sheetViews>
    <sheetView tabSelected="1" zoomScaleNormal="100" workbookViewId="0">
      <selection activeCell="B4" sqref="B4:N4"/>
    </sheetView>
  </sheetViews>
  <sheetFormatPr defaultColWidth="9.453125" defaultRowHeight="13" x14ac:dyDescent="0.3"/>
  <cols>
    <col min="1" max="1" width="2" style="1" customWidth="1"/>
    <col min="2" max="2" width="13.26953125" style="1" customWidth="1"/>
    <col min="3" max="3" width="46.1796875" style="38" customWidth="1"/>
    <col min="4" max="4" width="14.1796875" style="38" customWidth="1"/>
    <col min="5" max="8" width="10.1796875" style="1" customWidth="1"/>
    <col min="9" max="9" width="27.7265625" style="10" customWidth="1"/>
    <col min="10" max="13" width="7.26953125" style="10" customWidth="1"/>
    <col min="14" max="14" width="11" style="10" customWidth="1"/>
    <col min="15" max="16" width="9.453125" style="10"/>
    <col min="17" max="16384" width="9.453125" style="1"/>
  </cols>
  <sheetData>
    <row r="1" spans="2:16" ht="15.5" x14ac:dyDescent="0.35">
      <c r="C1" s="76"/>
      <c r="D1" s="1"/>
      <c r="H1" s="131"/>
      <c r="I1" s="77"/>
      <c r="J1" s="1"/>
      <c r="K1" s="1"/>
      <c r="L1" s="1"/>
      <c r="M1" s="824" t="s">
        <v>0</v>
      </c>
      <c r="N1" s="824"/>
      <c r="O1" s="77"/>
      <c r="P1" s="1"/>
    </row>
    <row r="2" spans="2:16" ht="13.9" customHeight="1" x14ac:dyDescent="0.35">
      <c r="C2" s="76"/>
      <c r="D2" s="1"/>
      <c r="H2" s="131"/>
      <c r="I2" s="77"/>
      <c r="J2" s="1"/>
      <c r="K2" s="1"/>
      <c r="L2" s="1"/>
      <c r="M2" s="824" t="s">
        <v>1</v>
      </c>
      <c r="N2" s="824"/>
      <c r="O2" s="77"/>
      <c r="P2" s="1"/>
    </row>
    <row r="3" spans="2:16" ht="12.65" customHeight="1" x14ac:dyDescent="0.35">
      <c r="B3" s="10"/>
      <c r="E3" s="10"/>
      <c r="F3" s="10"/>
      <c r="G3" s="37"/>
      <c r="H3" s="37"/>
    </row>
    <row r="4" spans="2:16" ht="43.9" customHeight="1" thickBot="1" x14ac:dyDescent="0.35">
      <c r="B4" s="825" t="s">
        <v>2</v>
      </c>
      <c r="C4" s="825"/>
      <c r="D4" s="825"/>
      <c r="E4" s="825"/>
      <c r="F4" s="825"/>
      <c r="G4" s="825"/>
      <c r="H4" s="825"/>
      <c r="I4" s="825"/>
      <c r="J4" s="825"/>
      <c r="K4" s="825"/>
      <c r="L4" s="825"/>
      <c r="M4" s="825"/>
      <c r="N4" s="825"/>
    </row>
    <row r="5" spans="2:16" ht="34.15" customHeight="1" x14ac:dyDescent="0.3">
      <c r="B5" s="826" t="s">
        <v>3</v>
      </c>
      <c r="C5" s="828" t="s">
        <v>4</v>
      </c>
      <c r="D5" s="830" t="s">
        <v>5</v>
      </c>
      <c r="E5" s="832" t="s">
        <v>6</v>
      </c>
      <c r="F5" s="832" t="s">
        <v>7</v>
      </c>
      <c r="G5" s="832" t="s">
        <v>8</v>
      </c>
      <c r="H5" s="834" t="s">
        <v>9</v>
      </c>
      <c r="I5" s="818" t="s">
        <v>10</v>
      </c>
      <c r="J5" s="820" t="s">
        <v>11</v>
      </c>
      <c r="K5" s="820"/>
      <c r="L5" s="820"/>
      <c r="M5" s="821"/>
      <c r="N5" s="822" t="s">
        <v>12</v>
      </c>
    </row>
    <row r="6" spans="2:16" ht="34.15" customHeight="1" thickBot="1" x14ac:dyDescent="0.35">
      <c r="B6" s="827"/>
      <c r="C6" s="829"/>
      <c r="D6" s="831"/>
      <c r="E6" s="833"/>
      <c r="F6" s="833"/>
      <c r="G6" s="833"/>
      <c r="H6" s="835"/>
      <c r="I6" s="819"/>
      <c r="J6" s="204" t="s">
        <v>13</v>
      </c>
      <c r="K6" s="204" t="s">
        <v>14</v>
      </c>
      <c r="L6" s="204" t="s">
        <v>15</v>
      </c>
      <c r="M6" s="204" t="s">
        <v>16</v>
      </c>
      <c r="N6" s="823"/>
    </row>
    <row r="7" spans="2:16" ht="13.5" thickBot="1" x14ac:dyDescent="0.35">
      <c r="B7" s="205">
        <v>1</v>
      </c>
      <c r="C7" s="206">
        <v>2</v>
      </c>
      <c r="D7" s="206">
        <v>3</v>
      </c>
      <c r="E7" s="207">
        <v>4</v>
      </c>
      <c r="F7" s="207">
        <v>5</v>
      </c>
      <c r="G7" s="207">
        <v>6</v>
      </c>
      <c r="H7" s="208">
        <v>7</v>
      </c>
      <c r="I7" s="296">
        <v>8</v>
      </c>
      <c r="J7" s="207">
        <v>9</v>
      </c>
      <c r="K7" s="207">
        <v>10</v>
      </c>
      <c r="L7" s="207">
        <v>11</v>
      </c>
      <c r="M7" s="207">
        <v>12</v>
      </c>
      <c r="N7" s="208">
        <v>13</v>
      </c>
    </row>
    <row r="8" spans="2:16" ht="21" customHeight="1" thickBot="1" x14ac:dyDescent="0.35">
      <c r="B8" s="213" t="s">
        <v>17</v>
      </c>
      <c r="C8" s="214" t="s">
        <v>18</v>
      </c>
      <c r="D8" s="214"/>
      <c r="E8" s="215"/>
      <c r="F8" s="215"/>
      <c r="G8" s="215"/>
      <c r="H8" s="216"/>
      <c r="I8" s="297"/>
      <c r="J8" s="215"/>
      <c r="K8" s="215"/>
      <c r="L8" s="215"/>
      <c r="M8" s="215"/>
      <c r="N8" s="216"/>
    </row>
    <row r="9" spans="2:16" ht="46.15" customHeight="1" x14ac:dyDescent="0.3">
      <c r="B9" s="209"/>
      <c r="C9" s="158"/>
      <c r="D9" s="158"/>
      <c r="E9" s="210"/>
      <c r="F9" s="210"/>
      <c r="G9" s="210"/>
      <c r="H9" s="212"/>
      <c r="I9" s="298" t="s">
        <v>19</v>
      </c>
      <c r="J9" s="211">
        <v>89.7</v>
      </c>
      <c r="K9" s="211">
        <v>92</v>
      </c>
      <c r="L9" s="211">
        <v>94</v>
      </c>
      <c r="M9" s="211">
        <v>96</v>
      </c>
      <c r="N9" s="212"/>
    </row>
    <row r="10" spans="2:16" ht="21" customHeight="1" x14ac:dyDescent="0.3">
      <c r="B10" s="174"/>
      <c r="C10" s="135"/>
      <c r="D10" s="135"/>
      <c r="E10" s="136"/>
      <c r="F10" s="136"/>
      <c r="G10" s="136"/>
      <c r="H10" s="175"/>
      <c r="I10" s="299" t="s">
        <v>20</v>
      </c>
      <c r="J10" s="137">
        <v>4</v>
      </c>
      <c r="K10" s="137">
        <v>4</v>
      </c>
      <c r="L10" s="137">
        <v>4</v>
      </c>
      <c r="M10" s="137">
        <v>4</v>
      </c>
      <c r="N10" s="175"/>
    </row>
    <row r="11" spans="2:16" ht="21" customHeight="1" x14ac:dyDescent="0.3">
      <c r="B11" s="174"/>
      <c r="C11" s="218"/>
      <c r="D11" s="135"/>
      <c r="E11" s="136"/>
      <c r="F11" s="219"/>
      <c r="G11" s="219"/>
      <c r="H11" s="307"/>
      <c r="I11" s="300" t="s">
        <v>21</v>
      </c>
      <c r="J11" s="220"/>
      <c r="K11" s="220"/>
      <c r="L11" s="220"/>
      <c r="M11" s="220">
        <v>1</v>
      </c>
      <c r="N11" s="176"/>
    </row>
    <row r="12" spans="2:16" ht="31.15" customHeight="1" thickBot="1" x14ac:dyDescent="0.35">
      <c r="B12" s="655"/>
      <c r="C12" s="656"/>
      <c r="D12" s="657"/>
      <c r="E12" s="658"/>
      <c r="F12" s="659"/>
      <c r="G12" s="659"/>
      <c r="H12" s="660"/>
      <c r="I12" s="661" t="s">
        <v>22</v>
      </c>
      <c r="J12" s="662">
        <f>20+136</f>
        <v>156</v>
      </c>
      <c r="K12" s="662">
        <v>610</v>
      </c>
      <c r="L12" s="662">
        <v>90</v>
      </c>
      <c r="M12" s="663"/>
      <c r="N12" s="664"/>
    </row>
    <row r="13" spans="2:16" ht="19.5" customHeight="1" thickBot="1" x14ac:dyDescent="0.35">
      <c r="B13" s="222" t="s">
        <v>23</v>
      </c>
      <c r="C13" s="223" t="s">
        <v>24</v>
      </c>
      <c r="D13" s="223"/>
      <c r="E13" s="224"/>
      <c r="F13" s="225"/>
      <c r="G13" s="224"/>
      <c r="H13" s="229"/>
      <c r="I13" s="301"/>
      <c r="J13" s="224"/>
      <c r="K13" s="224"/>
      <c r="L13" s="225"/>
      <c r="M13" s="225"/>
      <c r="N13" s="229"/>
    </row>
    <row r="14" spans="2:16" ht="39.75" customHeight="1" x14ac:dyDescent="0.3">
      <c r="B14" s="755" t="s">
        <v>25</v>
      </c>
      <c r="C14" s="653" t="s">
        <v>307</v>
      </c>
      <c r="D14" s="775" t="s">
        <v>26</v>
      </c>
      <c r="E14" s="226"/>
      <c r="F14" s="226"/>
      <c r="G14" s="226"/>
      <c r="H14" s="308"/>
      <c r="I14" s="381" t="s">
        <v>27</v>
      </c>
      <c r="J14" s="382">
        <f>100-30</f>
        <v>70</v>
      </c>
      <c r="K14" s="382">
        <v>100</v>
      </c>
      <c r="L14" s="227"/>
      <c r="M14" s="228"/>
      <c r="N14" s="230" t="s">
        <v>28</v>
      </c>
    </row>
    <row r="15" spans="2:16" ht="28.5" customHeight="1" x14ac:dyDescent="0.3">
      <c r="B15" s="756"/>
      <c r="C15" s="40" t="s">
        <v>29</v>
      </c>
      <c r="D15" s="775"/>
      <c r="E15" s="9">
        <f>90-5</f>
        <v>85</v>
      </c>
      <c r="F15" s="23">
        <f>500+313.1-704.1-55.3</f>
        <v>53.7</v>
      </c>
      <c r="G15" s="23"/>
      <c r="H15" s="309"/>
      <c r="I15" s="302"/>
      <c r="J15" s="140"/>
      <c r="K15" s="140"/>
      <c r="L15" s="140"/>
      <c r="M15" s="140"/>
      <c r="N15" s="178"/>
    </row>
    <row r="16" spans="2:16" ht="16.5" customHeight="1" x14ac:dyDescent="0.3">
      <c r="B16" s="756"/>
      <c r="C16" s="40" t="s">
        <v>30</v>
      </c>
      <c r="D16" s="775"/>
      <c r="E16" s="9"/>
      <c r="F16" s="23"/>
      <c r="G16" s="122"/>
      <c r="H16" s="310"/>
      <c r="I16" s="303"/>
      <c r="J16" s="140"/>
      <c r="K16" s="140"/>
      <c r="L16" s="140"/>
      <c r="M16" s="140"/>
      <c r="N16" s="178"/>
    </row>
    <row r="17" spans="2:14" ht="16.5" customHeight="1" x14ac:dyDescent="0.3">
      <c r="B17" s="756"/>
      <c r="C17" s="40" t="s">
        <v>31</v>
      </c>
      <c r="D17" s="775"/>
      <c r="E17" s="23">
        <f>176.6+700</f>
        <v>876.6</v>
      </c>
      <c r="F17" s="23">
        <v>704.1</v>
      </c>
      <c r="G17" s="121"/>
      <c r="H17" s="311"/>
      <c r="I17" s="303"/>
      <c r="J17" s="140"/>
      <c r="K17" s="140"/>
      <c r="L17" s="140"/>
      <c r="M17" s="140"/>
      <c r="N17" s="178"/>
    </row>
    <row r="18" spans="2:14" ht="16.5" customHeight="1" x14ac:dyDescent="0.3">
      <c r="B18" s="756"/>
      <c r="C18" s="41" t="s">
        <v>32</v>
      </c>
      <c r="D18" s="775"/>
      <c r="E18" s="4"/>
      <c r="F18" s="23"/>
      <c r="G18" s="120"/>
      <c r="H18" s="309"/>
      <c r="I18" s="303"/>
      <c r="J18" s="140"/>
      <c r="K18" s="140"/>
      <c r="L18" s="140"/>
      <c r="M18" s="140"/>
      <c r="N18" s="178"/>
    </row>
    <row r="19" spans="2:14" ht="16.5" customHeight="1" thickBot="1" x14ac:dyDescent="0.35">
      <c r="B19" s="757"/>
      <c r="C19" s="231" t="s">
        <v>33</v>
      </c>
      <c r="D19" s="775"/>
      <c r="E19" s="383"/>
      <c r="F19" s="384">
        <v>500</v>
      </c>
      <c r="G19" s="385"/>
      <c r="H19" s="386"/>
      <c r="I19" s="344"/>
      <c r="J19" s="202"/>
      <c r="K19" s="202"/>
      <c r="L19" s="202"/>
      <c r="M19" s="202"/>
      <c r="N19" s="203"/>
    </row>
    <row r="20" spans="2:14" ht="41.25" customHeight="1" x14ac:dyDescent="0.3">
      <c r="B20" s="779" t="s">
        <v>34</v>
      </c>
      <c r="C20" s="232" t="s">
        <v>35</v>
      </c>
      <c r="D20" s="775"/>
      <c r="E20" s="387"/>
      <c r="F20" s="388"/>
      <c r="G20" s="388"/>
      <c r="H20" s="389"/>
      <c r="I20" s="381" t="s">
        <v>27</v>
      </c>
      <c r="J20" s="382"/>
      <c r="K20" s="382"/>
      <c r="L20" s="382">
        <v>80</v>
      </c>
      <c r="M20" s="382">
        <v>100</v>
      </c>
      <c r="N20" s="390"/>
    </row>
    <row r="21" spans="2:14" ht="29.25" customHeight="1" x14ac:dyDescent="0.3">
      <c r="B21" s="780"/>
      <c r="C21" s="125" t="s">
        <v>29</v>
      </c>
      <c r="D21" s="775"/>
      <c r="E21" s="391"/>
      <c r="F21" s="123"/>
      <c r="G21" s="23"/>
      <c r="H21" s="312">
        <v>150</v>
      </c>
      <c r="I21" s="304"/>
      <c r="J21" s="140"/>
      <c r="K21" s="140"/>
      <c r="L21" s="140"/>
      <c r="M21" s="140"/>
      <c r="N21" s="178"/>
    </row>
    <row r="22" spans="2:14" ht="19.5" customHeight="1" thickBot="1" x14ac:dyDescent="0.35">
      <c r="B22" s="781"/>
      <c r="C22" s="233" t="s">
        <v>32</v>
      </c>
      <c r="D22" s="775"/>
      <c r="E22" s="392"/>
      <c r="F22" s="393"/>
      <c r="G22" s="384">
        <v>2500</v>
      </c>
      <c r="H22" s="394">
        <v>650</v>
      </c>
      <c r="I22" s="395"/>
      <c r="J22" s="202"/>
      <c r="K22" s="202"/>
      <c r="L22" s="202"/>
      <c r="M22" s="202"/>
      <c r="N22" s="203"/>
    </row>
    <row r="23" spans="2:14" ht="31.5" customHeight="1" x14ac:dyDescent="0.3">
      <c r="B23" s="755" t="s">
        <v>36</v>
      </c>
      <c r="C23" s="234" t="s">
        <v>37</v>
      </c>
      <c r="D23" s="775"/>
      <c r="E23" s="396"/>
      <c r="F23" s="396"/>
      <c r="G23" s="396"/>
      <c r="H23" s="397"/>
      <c r="I23" s="398" t="s">
        <v>38</v>
      </c>
      <c r="J23" s="228">
        <f>8-3</f>
        <v>5</v>
      </c>
      <c r="K23" s="228">
        <v>42</v>
      </c>
      <c r="L23" s="228">
        <v>100</v>
      </c>
      <c r="M23" s="228"/>
      <c r="N23" s="230" t="s">
        <v>39</v>
      </c>
    </row>
    <row r="24" spans="2:14" ht="27" customHeight="1" x14ac:dyDescent="0.3">
      <c r="B24" s="756"/>
      <c r="C24" s="25" t="s">
        <v>29</v>
      </c>
      <c r="D24" s="775"/>
      <c r="E24" s="9">
        <f>958.4-444.4</f>
        <v>514</v>
      </c>
      <c r="F24" s="9">
        <v>600</v>
      </c>
      <c r="G24" s="9">
        <f>1000-1000+971-915.4</f>
        <v>55.600000000000023</v>
      </c>
      <c r="H24" s="314"/>
      <c r="I24" s="306"/>
      <c r="J24" s="141"/>
      <c r="K24" s="141"/>
      <c r="L24" s="140"/>
      <c r="M24" s="140"/>
      <c r="N24" s="178"/>
    </row>
    <row r="25" spans="2:14" ht="18" customHeight="1" x14ac:dyDescent="0.3">
      <c r="B25" s="756"/>
      <c r="C25" s="25" t="s">
        <v>31</v>
      </c>
      <c r="D25" s="775"/>
      <c r="E25" s="9">
        <v>400</v>
      </c>
      <c r="F25" s="9"/>
      <c r="G25" s="9">
        <v>915.4</v>
      </c>
      <c r="H25" s="314"/>
      <c r="I25" s="303"/>
      <c r="J25" s="141"/>
      <c r="K25" s="140"/>
      <c r="L25" s="140"/>
      <c r="M25" s="140"/>
      <c r="N25" s="178"/>
    </row>
    <row r="26" spans="2:14" ht="18" customHeight="1" x14ac:dyDescent="0.3">
      <c r="B26" s="756"/>
      <c r="C26" s="40" t="s">
        <v>30</v>
      </c>
      <c r="D26" s="775"/>
      <c r="E26" s="9"/>
      <c r="F26" s="4"/>
      <c r="G26" s="124"/>
      <c r="H26" s="315"/>
      <c r="I26" s="303"/>
      <c r="J26" s="140"/>
      <c r="K26" s="140"/>
      <c r="L26" s="140"/>
      <c r="M26" s="140"/>
      <c r="N26" s="178"/>
    </row>
    <row r="27" spans="2:14" ht="18" customHeight="1" thickBot="1" x14ac:dyDescent="0.35">
      <c r="B27" s="757"/>
      <c r="C27" s="231" t="s">
        <v>33</v>
      </c>
      <c r="D27" s="775"/>
      <c r="E27" s="383"/>
      <c r="F27" s="282">
        <v>1700</v>
      </c>
      <c r="G27" s="399">
        <f>1700-1700+1800</f>
        <v>1800</v>
      </c>
      <c r="H27" s="400"/>
      <c r="I27" s="344"/>
      <c r="J27" s="202"/>
      <c r="K27" s="202"/>
      <c r="L27" s="202"/>
      <c r="M27" s="202"/>
      <c r="N27" s="203"/>
    </row>
    <row r="28" spans="2:14" ht="32" customHeight="1" x14ac:dyDescent="0.3">
      <c r="B28" s="755" t="s">
        <v>40</v>
      </c>
      <c r="C28" s="653" t="s">
        <v>308</v>
      </c>
      <c r="D28" s="775"/>
      <c r="E28" s="396"/>
      <c r="F28" s="396"/>
      <c r="G28" s="396"/>
      <c r="H28" s="397"/>
      <c r="I28" s="401" t="s">
        <v>41</v>
      </c>
      <c r="J28" s="402">
        <v>35</v>
      </c>
      <c r="K28" s="402">
        <v>100</v>
      </c>
      <c r="L28" s="403"/>
      <c r="M28" s="403"/>
      <c r="N28" s="230" t="s">
        <v>42</v>
      </c>
    </row>
    <row r="29" spans="2:14" ht="28.15" customHeight="1" x14ac:dyDescent="0.3">
      <c r="B29" s="756"/>
      <c r="C29" s="40" t="s">
        <v>29</v>
      </c>
      <c r="D29" s="775"/>
      <c r="E29" s="23"/>
      <c r="F29" s="23">
        <v>360</v>
      </c>
      <c r="G29" s="23">
        <v>520</v>
      </c>
      <c r="H29" s="312">
        <v>1277.7</v>
      </c>
      <c r="I29" s="162" t="s">
        <v>43</v>
      </c>
      <c r="J29" s="114" t="s">
        <v>44</v>
      </c>
      <c r="K29" s="114"/>
      <c r="L29" s="114">
        <v>100</v>
      </c>
      <c r="M29" s="114"/>
      <c r="N29" s="177" t="s">
        <v>42</v>
      </c>
    </row>
    <row r="30" spans="2:14" ht="31.9" customHeight="1" x14ac:dyDescent="0.3">
      <c r="B30" s="756"/>
      <c r="C30" s="25" t="s">
        <v>30</v>
      </c>
      <c r="D30" s="775"/>
      <c r="E30" s="67">
        <v>250</v>
      </c>
      <c r="F30" s="67"/>
      <c r="G30" s="9"/>
      <c r="H30" s="314"/>
      <c r="I30" s="162" t="s">
        <v>45</v>
      </c>
      <c r="J30" s="114"/>
      <c r="K30" s="114"/>
      <c r="L30" s="114"/>
      <c r="M30" s="114">
        <v>100</v>
      </c>
      <c r="N30" s="177" t="s">
        <v>42</v>
      </c>
    </row>
    <row r="31" spans="2:14" ht="31.15" customHeight="1" x14ac:dyDescent="0.3">
      <c r="B31" s="756"/>
      <c r="C31" s="25" t="s">
        <v>31</v>
      </c>
      <c r="D31" s="775"/>
      <c r="E31" s="23">
        <f>580-100-150-205</f>
        <v>125</v>
      </c>
      <c r="F31" s="23"/>
      <c r="G31" s="4"/>
      <c r="H31" s="316"/>
      <c r="I31" s="169" t="s">
        <v>46</v>
      </c>
      <c r="J31" s="114"/>
      <c r="K31" s="114"/>
      <c r="L31" s="114">
        <v>1</v>
      </c>
      <c r="M31" s="114"/>
      <c r="N31" s="177" t="s">
        <v>42</v>
      </c>
    </row>
    <row r="32" spans="2:14" ht="33" customHeight="1" x14ac:dyDescent="0.3">
      <c r="B32" s="756"/>
      <c r="C32" s="42" t="s">
        <v>33</v>
      </c>
      <c r="D32" s="775"/>
      <c r="E32" s="67"/>
      <c r="F32" s="67">
        <v>100</v>
      </c>
      <c r="G32" s="9">
        <v>100</v>
      </c>
      <c r="H32" s="314">
        <v>200</v>
      </c>
      <c r="I32" s="169" t="s">
        <v>47</v>
      </c>
      <c r="J32" s="114"/>
      <c r="K32" s="114"/>
      <c r="L32" s="114"/>
      <c r="M32" s="114">
        <v>100</v>
      </c>
      <c r="N32" s="177" t="s">
        <v>42</v>
      </c>
    </row>
    <row r="33" spans="2:14" ht="32.5" customHeight="1" thickBot="1" x14ac:dyDescent="0.35">
      <c r="B33" s="757"/>
      <c r="C33" s="231"/>
      <c r="D33" s="775"/>
      <c r="E33" s="404"/>
      <c r="F33" s="404"/>
      <c r="G33" s="282"/>
      <c r="H33" s="348"/>
      <c r="I33" s="405" t="s">
        <v>48</v>
      </c>
      <c r="J33" s="406">
        <v>100</v>
      </c>
      <c r="K33" s="406"/>
      <c r="L33" s="406"/>
      <c r="M33" s="406"/>
      <c r="N33" s="407" t="s">
        <v>42</v>
      </c>
    </row>
    <row r="34" spans="2:14" ht="28.5" customHeight="1" x14ac:dyDescent="0.3">
      <c r="B34" s="236" t="s">
        <v>49</v>
      </c>
      <c r="C34" s="237" t="s">
        <v>50</v>
      </c>
      <c r="D34" s="775"/>
      <c r="E34" s="408"/>
      <c r="F34" s="408"/>
      <c r="G34" s="396"/>
      <c r="H34" s="397"/>
      <c r="I34" s="409" t="s">
        <v>51</v>
      </c>
      <c r="J34" s="403">
        <v>50</v>
      </c>
      <c r="K34" s="403">
        <v>100</v>
      </c>
      <c r="L34" s="403"/>
      <c r="M34" s="227"/>
      <c r="N34" s="230" t="s">
        <v>52</v>
      </c>
    </row>
    <row r="35" spans="2:14" ht="43.9" customHeight="1" x14ac:dyDescent="0.3">
      <c r="B35" s="180"/>
      <c r="C35" s="25" t="s">
        <v>29</v>
      </c>
      <c r="D35" s="775"/>
      <c r="E35" s="56">
        <v>270</v>
      </c>
      <c r="F35" s="56">
        <f>151-42.5</f>
        <v>108.5</v>
      </c>
      <c r="G35" s="104"/>
      <c r="H35" s="322"/>
      <c r="I35" s="317" t="s">
        <v>53</v>
      </c>
      <c r="J35" s="142">
        <v>100</v>
      </c>
      <c r="K35" s="142"/>
      <c r="L35" s="142"/>
      <c r="M35" s="3"/>
      <c r="N35" s="177" t="s">
        <v>52</v>
      </c>
    </row>
    <row r="36" spans="2:14" ht="33" customHeight="1" x14ac:dyDescent="0.3">
      <c r="B36" s="180"/>
      <c r="C36" s="25" t="s">
        <v>31</v>
      </c>
      <c r="D36" s="775"/>
      <c r="E36" s="94">
        <f>790-90</f>
        <v>700</v>
      </c>
      <c r="F36" s="94"/>
      <c r="G36" s="86"/>
      <c r="H36" s="323"/>
      <c r="I36" s="166" t="s">
        <v>54</v>
      </c>
      <c r="J36" s="142"/>
      <c r="K36" s="142"/>
      <c r="L36" s="142"/>
      <c r="M36" s="142" t="s">
        <v>44</v>
      </c>
      <c r="N36" s="177" t="s">
        <v>52</v>
      </c>
    </row>
    <row r="37" spans="2:14" ht="36.75" customHeight="1" x14ac:dyDescent="0.3">
      <c r="B37" s="180"/>
      <c r="C37" s="66" t="s">
        <v>33</v>
      </c>
      <c r="D37" s="775"/>
      <c r="E37" s="93"/>
      <c r="F37" s="93"/>
      <c r="G37" s="87"/>
      <c r="H37" s="313"/>
      <c r="I37" s="162" t="s">
        <v>55</v>
      </c>
      <c r="J37" s="114">
        <v>100</v>
      </c>
      <c r="K37" s="114"/>
      <c r="L37" s="114"/>
      <c r="M37" s="114" t="s">
        <v>44</v>
      </c>
      <c r="N37" s="177" t="s">
        <v>52</v>
      </c>
    </row>
    <row r="38" spans="2:14" ht="18.649999999999999" customHeight="1" thickBot="1" x14ac:dyDescent="0.35">
      <c r="B38" s="238"/>
      <c r="C38" s="239" t="s">
        <v>56</v>
      </c>
      <c r="D38" s="775"/>
      <c r="E38" s="410">
        <f>529.3-385.3</f>
        <v>143.99999999999994</v>
      </c>
      <c r="F38" s="410"/>
      <c r="G38" s="383"/>
      <c r="H38" s="411"/>
      <c r="I38" s="412"/>
      <c r="J38" s="413"/>
      <c r="K38" s="202"/>
      <c r="L38" s="202"/>
      <c r="M38" s="202"/>
      <c r="N38" s="203"/>
    </row>
    <row r="39" spans="2:14" ht="58.15" customHeight="1" x14ac:dyDescent="0.3">
      <c r="B39" s="755" t="s">
        <v>57</v>
      </c>
      <c r="C39" s="240" t="s">
        <v>58</v>
      </c>
      <c r="D39" s="775"/>
      <c r="E39" s="408"/>
      <c r="F39" s="408"/>
      <c r="G39" s="396"/>
      <c r="H39" s="397"/>
      <c r="I39" s="414" t="s">
        <v>59</v>
      </c>
      <c r="J39" s="227">
        <v>100</v>
      </c>
      <c r="K39" s="382">
        <v>100</v>
      </c>
      <c r="L39" s="382">
        <v>100</v>
      </c>
      <c r="M39" s="382">
        <v>100</v>
      </c>
      <c r="N39" s="390"/>
    </row>
    <row r="40" spans="2:14" ht="29.25" customHeight="1" thickBot="1" x14ac:dyDescent="0.35">
      <c r="B40" s="757"/>
      <c r="C40" s="241" t="s">
        <v>29</v>
      </c>
      <c r="D40" s="775"/>
      <c r="E40" s="410">
        <f>30+5</f>
        <v>35</v>
      </c>
      <c r="F40" s="404">
        <v>30</v>
      </c>
      <c r="G40" s="282">
        <v>30</v>
      </c>
      <c r="H40" s="348">
        <v>30</v>
      </c>
      <c r="I40" s="344"/>
      <c r="J40" s="202"/>
      <c r="K40" s="202"/>
      <c r="L40" s="202"/>
      <c r="M40" s="202"/>
      <c r="N40" s="203"/>
    </row>
    <row r="41" spans="2:14" ht="34.15" customHeight="1" x14ac:dyDescent="0.3">
      <c r="B41" s="755" t="s">
        <v>60</v>
      </c>
      <c r="C41" s="242" t="s">
        <v>61</v>
      </c>
      <c r="D41" s="788" t="s">
        <v>62</v>
      </c>
      <c r="E41" s="408"/>
      <c r="F41" s="408"/>
      <c r="G41" s="396"/>
      <c r="H41" s="397"/>
      <c r="I41" s="416" t="s">
        <v>63</v>
      </c>
      <c r="J41" s="417">
        <v>58</v>
      </c>
      <c r="K41" s="417">
        <v>43.5</v>
      </c>
      <c r="L41" s="417">
        <v>6.5</v>
      </c>
      <c r="M41" s="417">
        <v>29.78</v>
      </c>
      <c r="N41" s="390"/>
    </row>
    <row r="42" spans="2:14" ht="29.25" customHeight="1" x14ac:dyDescent="0.3">
      <c r="B42" s="756"/>
      <c r="C42" s="62" t="s">
        <v>29</v>
      </c>
      <c r="D42" s="789"/>
      <c r="E42" s="418">
        <f>600+280</f>
        <v>880</v>
      </c>
      <c r="F42" s="78">
        <f>2500-1000</f>
        <v>1500</v>
      </c>
      <c r="G42" s="78">
        <v>700</v>
      </c>
      <c r="H42" s="324">
        <f>3160-163.4</f>
        <v>2996.6</v>
      </c>
      <c r="I42" s="303"/>
      <c r="J42" s="140"/>
      <c r="K42" s="140"/>
      <c r="L42" s="140"/>
      <c r="M42" s="140"/>
      <c r="N42" s="178"/>
    </row>
    <row r="43" spans="2:14" ht="16.5" customHeight="1" x14ac:dyDescent="0.3">
      <c r="B43" s="756"/>
      <c r="C43" s="243" t="s">
        <v>31</v>
      </c>
      <c r="D43" s="789"/>
      <c r="E43" s="418">
        <v>735</v>
      </c>
      <c r="F43" s="83"/>
      <c r="G43" s="22"/>
      <c r="H43" s="325">
        <v>163.4</v>
      </c>
      <c r="I43" s="303"/>
      <c r="J43" s="143"/>
      <c r="K43" s="140"/>
      <c r="L43" s="140"/>
      <c r="M43" s="140"/>
      <c r="N43" s="178"/>
    </row>
    <row r="44" spans="2:14" ht="17.25" customHeight="1" x14ac:dyDescent="0.3">
      <c r="B44" s="756"/>
      <c r="C44" s="244" t="s">
        <v>33</v>
      </c>
      <c r="D44" s="789"/>
      <c r="E44" s="418"/>
      <c r="F44" s="83"/>
      <c r="G44" s="78"/>
      <c r="H44" s="325"/>
      <c r="I44" s="319"/>
      <c r="J44" s="143"/>
      <c r="K44" s="140"/>
      <c r="L44" s="140"/>
      <c r="M44" s="140"/>
      <c r="N44" s="178"/>
    </row>
    <row r="45" spans="2:14" ht="16.899999999999999" customHeight="1" thickBot="1" x14ac:dyDescent="0.35">
      <c r="B45" s="764"/>
      <c r="C45" s="245" t="s">
        <v>30</v>
      </c>
      <c r="D45" s="789"/>
      <c r="E45" s="419"/>
      <c r="F45" s="420"/>
      <c r="G45" s="421"/>
      <c r="H45" s="422"/>
      <c r="I45" s="344"/>
      <c r="J45" s="423"/>
      <c r="K45" s="202"/>
      <c r="L45" s="202"/>
      <c r="M45" s="202"/>
      <c r="N45" s="203"/>
    </row>
    <row r="46" spans="2:14" ht="36.65" customHeight="1" x14ac:dyDescent="0.3">
      <c r="B46" s="782" t="s">
        <v>64</v>
      </c>
      <c r="C46" s="246" t="s">
        <v>65</v>
      </c>
      <c r="D46" s="789"/>
      <c r="E46" s="424"/>
      <c r="F46" s="425"/>
      <c r="G46" s="425"/>
      <c r="H46" s="347"/>
      <c r="I46" s="426" t="s">
        <v>66</v>
      </c>
      <c r="J46" s="403">
        <v>1.05</v>
      </c>
      <c r="K46" s="403">
        <v>1.45</v>
      </c>
      <c r="L46" s="427">
        <v>1.45</v>
      </c>
      <c r="M46" s="382">
        <v>1.45</v>
      </c>
      <c r="N46" s="428"/>
    </row>
    <row r="47" spans="2:14" ht="33" customHeight="1" x14ac:dyDescent="0.3">
      <c r="B47" s="783"/>
      <c r="C47" s="247" t="s">
        <v>29</v>
      </c>
      <c r="D47" s="789"/>
      <c r="E47" s="429">
        <f>2665.8-498+240.8+200+353.8</f>
        <v>2962.4000000000005</v>
      </c>
      <c r="F47" s="78">
        <v>3100.5</v>
      </c>
      <c r="G47" s="78">
        <f>2428.9-1000</f>
        <v>1428.9</v>
      </c>
      <c r="H47" s="326">
        <v>2428.9</v>
      </c>
      <c r="I47" s="144" t="s">
        <v>67</v>
      </c>
      <c r="J47" s="13">
        <v>68.099999999999994</v>
      </c>
      <c r="K47" s="13">
        <v>52.3</v>
      </c>
      <c r="L47" s="726">
        <v>30.3</v>
      </c>
      <c r="M47" s="145">
        <v>43.7</v>
      </c>
      <c r="N47" s="181" t="s">
        <v>44</v>
      </c>
    </row>
    <row r="48" spans="2:14" ht="16.149999999999999" customHeight="1" x14ac:dyDescent="0.3">
      <c r="B48" s="783"/>
      <c r="C48" s="248" t="s">
        <v>30</v>
      </c>
      <c r="D48" s="789"/>
      <c r="E48" s="430">
        <f>520+150</f>
        <v>670</v>
      </c>
      <c r="F48" s="79"/>
      <c r="G48" s="79"/>
      <c r="H48" s="327"/>
      <c r="I48" s="146" t="s">
        <v>68</v>
      </c>
      <c r="J48" s="13">
        <v>29</v>
      </c>
      <c r="K48" s="13">
        <v>24</v>
      </c>
      <c r="L48" s="13">
        <v>24</v>
      </c>
      <c r="M48" s="13">
        <v>24</v>
      </c>
      <c r="N48" s="181" t="s">
        <v>44</v>
      </c>
    </row>
    <row r="49" spans="1:16" ht="18" customHeight="1" x14ac:dyDescent="0.3">
      <c r="B49" s="783"/>
      <c r="C49" s="244" t="s">
        <v>33</v>
      </c>
      <c r="D49" s="789"/>
      <c r="E49" s="431"/>
      <c r="F49" s="79">
        <v>510</v>
      </c>
      <c r="G49" s="79">
        <v>510</v>
      </c>
      <c r="H49" s="327">
        <v>510</v>
      </c>
      <c r="I49" s="146" t="s">
        <v>69</v>
      </c>
      <c r="J49" s="13">
        <v>14.9</v>
      </c>
      <c r="K49" s="13">
        <f>19.15+4.2+0.35</f>
        <v>23.7</v>
      </c>
      <c r="L49" s="13">
        <v>15</v>
      </c>
      <c r="M49" s="13">
        <v>19.149999999999999</v>
      </c>
      <c r="N49" s="181" t="s">
        <v>44</v>
      </c>
    </row>
    <row r="50" spans="1:16" ht="32.5" customHeight="1" thickBot="1" x14ac:dyDescent="0.35">
      <c r="B50" s="784"/>
      <c r="C50" s="249" t="s">
        <v>70</v>
      </c>
      <c r="D50" s="789"/>
      <c r="E50" s="432"/>
      <c r="F50" s="433">
        <v>48.2</v>
      </c>
      <c r="G50" s="433"/>
      <c r="H50" s="434"/>
      <c r="I50" s="435" t="s">
        <v>71</v>
      </c>
      <c r="J50" s="436">
        <v>3</v>
      </c>
      <c r="K50" s="436">
        <v>2</v>
      </c>
      <c r="L50" s="436"/>
      <c r="M50" s="406">
        <v>2</v>
      </c>
      <c r="N50" s="437" t="s">
        <v>44</v>
      </c>
    </row>
    <row r="51" spans="1:16" ht="31.9" customHeight="1" x14ac:dyDescent="0.3">
      <c r="B51" s="761"/>
      <c r="C51" s="250" t="s">
        <v>72</v>
      </c>
      <c r="D51" s="789"/>
      <c r="E51" s="424"/>
      <c r="F51" s="425"/>
      <c r="G51" s="425"/>
      <c r="H51" s="347"/>
      <c r="I51" s="414" t="s">
        <v>27</v>
      </c>
      <c r="J51" s="382">
        <v>100</v>
      </c>
      <c r="K51" s="382"/>
      <c r="L51" s="227"/>
      <c r="M51" s="227"/>
      <c r="N51" s="438"/>
    </row>
    <row r="52" spans="1:16" ht="28.15" customHeight="1" x14ac:dyDescent="0.3">
      <c r="B52" s="762"/>
      <c r="C52" s="244" t="s">
        <v>29</v>
      </c>
      <c r="D52" s="789"/>
      <c r="E52" s="439">
        <v>132.30000000000001</v>
      </c>
      <c r="F52" s="70"/>
      <c r="G52" s="67"/>
      <c r="H52" s="314"/>
      <c r="I52" s="303"/>
      <c r="J52" s="140"/>
      <c r="K52" s="140"/>
      <c r="L52" s="140"/>
      <c r="M52" s="140"/>
      <c r="N52" s="178"/>
    </row>
    <row r="53" spans="1:16" ht="17.25" customHeight="1" thickBot="1" x14ac:dyDescent="0.35">
      <c r="B53" s="763"/>
      <c r="C53" s="245" t="s">
        <v>30</v>
      </c>
      <c r="D53" s="789"/>
      <c r="E53" s="440">
        <v>200</v>
      </c>
      <c r="F53" s="441"/>
      <c r="G53" s="404"/>
      <c r="H53" s="348"/>
      <c r="I53" s="344"/>
      <c r="J53" s="202"/>
      <c r="K53" s="202"/>
      <c r="L53" s="202"/>
      <c r="M53" s="202"/>
      <c r="N53" s="203"/>
    </row>
    <row r="54" spans="1:16" ht="18" customHeight="1" x14ac:dyDescent="0.3">
      <c r="B54" s="769"/>
      <c r="C54" s="251" t="s">
        <v>73</v>
      </c>
      <c r="D54" s="789"/>
      <c r="E54" s="424"/>
      <c r="F54" s="425"/>
      <c r="G54" s="425"/>
      <c r="H54" s="347"/>
      <c r="I54" s="442" t="s">
        <v>27</v>
      </c>
      <c r="J54" s="443"/>
      <c r="K54" s="402"/>
      <c r="L54" s="444"/>
      <c r="M54" s="382"/>
      <c r="N54" s="438"/>
    </row>
    <row r="55" spans="1:16" ht="29.25" customHeight="1" thickBot="1" x14ac:dyDescent="0.35">
      <c r="B55" s="770"/>
      <c r="C55" s="252" t="s">
        <v>29</v>
      </c>
      <c r="D55" s="789"/>
      <c r="E55" s="440"/>
      <c r="F55" s="441"/>
      <c r="G55" s="410"/>
      <c r="H55" s="348"/>
      <c r="I55" s="445"/>
      <c r="J55" s="202"/>
      <c r="K55" s="202"/>
      <c r="L55" s="202"/>
      <c r="M55" s="202"/>
      <c r="N55" s="203"/>
    </row>
    <row r="56" spans="1:16" ht="19.899999999999999" customHeight="1" x14ac:dyDescent="0.3">
      <c r="B56" s="755" t="s">
        <v>74</v>
      </c>
      <c r="C56" s="727" t="s">
        <v>309</v>
      </c>
      <c r="D56" s="789"/>
      <c r="E56" s="446"/>
      <c r="F56" s="408"/>
      <c r="G56" s="408"/>
      <c r="H56" s="397"/>
      <c r="I56" s="447" t="s">
        <v>75</v>
      </c>
      <c r="J56" s="403">
        <v>16</v>
      </c>
      <c r="K56" s="403">
        <v>16</v>
      </c>
      <c r="L56" s="403">
        <v>16</v>
      </c>
      <c r="M56" s="403">
        <v>16</v>
      </c>
      <c r="N56" s="390"/>
    </row>
    <row r="57" spans="1:16" ht="30.65" customHeight="1" x14ac:dyDescent="0.3">
      <c r="B57" s="756"/>
      <c r="C57" s="62" t="s">
        <v>29</v>
      </c>
      <c r="D57" s="789"/>
      <c r="E57" s="448">
        <v>200</v>
      </c>
      <c r="F57" s="83">
        <v>300</v>
      </c>
      <c r="G57" s="69">
        <v>200</v>
      </c>
      <c r="H57" s="331">
        <v>200</v>
      </c>
      <c r="I57" s="328" t="s">
        <v>76</v>
      </c>
      <c r="J57" s="142"/>
      <c r="K57" s="142">
        <v>100</v>
      </c>
      <c r="L57" s="142"/>
      <c r="M57" s="142"/>
      <c r="N57" s="179"/>
    </row>
    <row r="58" spans="1:16" ht="15.75" customHeight="1" x14ac:dyDescent="0.3">
      <c r="B58" s="756"/>
      <c r="C58" s="62" t="s">
        <v>30</v>
      </c>
      <c r="D58" s="789"/>
      <c r="E58" s="449">
        <v>200</v>
      </c>
      <c r="F58" s="69"/>
      <c r="G58" s="69"/>
      <c r="H58" s="331"/>
      <c r="I58" s="303"/>
      <c r="J58" s="140"/>
      <c r="K58" s="140"/>
      <c r="L58" s="140"/>
      <c r="M58" s="140"/>
      <c r="N58" s="178"/>
    </row>
    <row r="59" spans="1:16" ht="16.5" customHeight="1" thickBot="1" x14ac:dyDescent="0.35">
      <c r="B59" s="757"/>
      <c r="C59" s="253" t="s">
        <v>33</v>
      </c>
      <c r="D59" s="789"/>
      <c r="E59" s="450"/>
      <c r="F59" s="282">
        <v>200</v>
      </c>
      <c r="G59" s="282">
        <v>200</v>
      </c>
      <c r="H59" s="348">
        <v>200</v>
      </c>
      <c r="I59" s="344"/>
      <c r="J59" s="202"/>
      <c r="K59" s="202"/>
      <c r="L59" s="202"/>
      <c r="M59" s="202"/>
      <c r="N59" s="203"/>
    </row>
    <row r="60" spans="1:16" ht="31.9" customHeight="1" x14ac:dyDescent="0.3">
      <c r="A60" s="14"/>
      <c r="B60" s="844"/>
      <c r="C60" s="254" t="s">
        <v>77</v>
      </c>
      <c r="D60" s="789"/>
      <c r="E60" s="446"/>
      <c r="F60" s="408"/>
      <c r="G60" s="408"/>
      <c r="H60" s="452"/>
      <c r="I60" s="453" t="s">
        <v>27</v>
      </c>
      <c r="J60" s="454"/>
      <c r="K60" s="454"/>
      <c r="L60" s="455"/>
      <c r="M60" s="455"/>
      <c r="N60" s="456"/>
      <c r="O60" s="85"/>
      <c r="P60" s="85"/>
    </row>
    <row r="61" spans="1:16" ht="30.75" customHeight="1" thickBot="1" x14ac:dyDescent="0.35">
      <c r="A61" s="14"/>
      <c r="B61" s="845"/>
      <c r="C61" s="252" t="s">
        <v>29</v>
      </c>
      <c r="D61" s="790"/>
      <c r="E61" s="463">
        <f>718-600-108</f>
        <v>10</v>
      </c>
      <c r="F61" s="457"/>
      <c r="G61" s="458"/>
      <c r="H61" s="459"/>
      <c r="I61" s="460"/>
      <c r="J61" s="461"/>
      <c r="K61" s="461"/>
      <c r="L61" s="461"/>
      <c r="M61" s="461"/>
      <c r="N61" s="462"/>
      <c r="O61" s="85"/>
      <c r="P61" s="85"/>
    </row>
    <row r="62" spans="1:16" ht="76.150000000000006" customHeight="1" x14ac:dyDescent="0.3">
      <c r="B62" s="782" t="s">
        <v>78</v>
      </c>
      <c r="C62" s="254" t="s">
        <v>79</v>
      </c>
      <c r="D62" s="791" t="s">
        <v>80</v>
      </c>
      <c r="E62" s="21"/>
      <c r="F62" s="451"/>
      <c r="G62" s="451"/>
      <c r="H62" s="365"/>
      <c r="I62" s="320" t="s">
        <v>81</v>
      </c>
      <c r="J62" s="113"/>
      <c r="K62" s="113"/>
      <c r="L62" s="113">
        <v>100</v>
      </c>
      <c r="M62" s="113"/>
      <c r="N62" s="177" t="s">
        <v>42</v>
      </c>
    </row>
    <row r="63" spans="1:16" ht="27.65" customHeight="1" x14ac:dyDescent="0.3">
      <c r="B63" s="783"/>
      <c r="C63" s="255" t="s">
        <v>29</v>
      </c>
      <c r="D63" s="791"/>
      <c r="E63" s="24">
        <f>620-300+375</f>
        <v>695</v>
      </c>
      <c r="F63" s="23">
        <v>660.8</v>
      </c>
      <c r="G63" s="23">
        <v>858</v>
      </c>
      <c r="H63" s="312">
        <v>803.4</v>
      </c>
      <c r="I63" s="320" t="s">
        <v>82</v>
      </c>
      <c r="J63" s="113"/>
      <c r="K63" s="113">
        <v>100</v>
      </c>
      <c r="L63" s="113"/>
      <c r="M63" s="113"/>
      <c r="N63" s="177" t="s">
        <v>42</v>
      </c>
    </row>
    <row r="64" spans="1:16" ht="30" customHeight="1" x14ac:dyDescent="0.3">
      <c r="B64" s="783"/>
      <c r="C64" s="255" t="s">
        <v>31</v>
      </c>
      <c r="D64" s="791"/>
      <c r="E64" s="24">
        <f>300+205</f>
        <v>505</v>
      </c>
      <c r="F64" s="23"/>
      <c r="G64" s="23"/>
      <c r="H64" s="312"/>
      <c r="I64" s="320" t="s">
        <v>83</v>
      </c>
      <c r="J64" s="113"/>
      <c r="K64" s="113"/>
      <c r="L64" s="113">
        <v>100</v>
      </c>
      <c r="M64" s="113"/>
      <c r="N64" s="177" t="s">
        <v>42</v>
      </c>
    </row>
    <row r="65" spans="2:15" ht="54.75" customHeight="1" x14ac:dyDescent="0.3">
      <c r="B65" s="783"/>
      <c r="C65" s="255" t="s">
        <v>30</v>
      </c>
      <c r="D65" s="791"/>
      <c r="E65" s="78">
        <v>1425</v>
      </c>
      <c r="F65" s="23"/>
      <c r="G65" s="23"/>
      <c r="H65" s="312"/>
      <c r="I65" s="320" t="s">
        <v>84</v>
      </c>
      <c r="J65" s="113"/>
      <c r="K65" s="113"/>
      <c r="L65" s="113">
        <v>8</v>
      </c>
      <c r="M65" s="113">
        <v>100</v>
      </c>
      <c r="N65" s="177" t="s">
        <v>42</v>
      </c>
    </row>
    <row r="66" spans="2:15" ht="52.5" customHeight="1" x14ac:dyDescent="0.3">
      <c r="B66" s="783"/>
      <c r="C66" s="256" t="s">
        <v>33</v>
      </c>
      <c r="D66" s="863"/>
      <c r="E66" s="24"/>
      <c r="F66" s="23">
        <v>900</v>
      </c>
      <c r="G66" s="23">
        <v>400</v>
      </c>
      <c r="H66" s="312">
        <f>300-300+700</f>
        <v>700</v>
      </c>
      <c r="I66" s="330" t="s">
        <v>85</v>
      </c>
      <c r="J66" s="113"/>
      <c r="K66" s="113">
        <v>100</v>
      </c>
      <c r="L66" s="113"/>
      <c r="M66" s="113"/>
      <c r="N66" s="177" t="s">
        <v>42</v>
      </c>
    </row>
    <row r="67" spans="2:15" ht="54" customHeight="1" x14ac:dyDescent="0.3">
      <c r="B67" s="783"/>
      <c r="C67" s="255" t="s">
        <v>29</v>
      </c>
      <c r="D67" s="127" t="s">
        <v>86</v>
      </c>
      <c r="E67" s="24"/>
      <c r="F67" s="23"/>
      <c r="G67" s="23">
        <v>170</v>
      </c>
      <c r="H67" s="312"/>
      <c r="I67" s="320" t="s">
        <v>87</v>
      </c>
      <c r="J67" s="113"/>
      <c r="K67" s="113"/>
      <c r="L67" s="113"/>
      <c r="M67" s="113">
        <v>100</v>
      </c>
      <c r="N67" s="177" t="s">
        <v>42</v>
      </c>
    </row>
    <row r="68" spans="2:15" ht="49.5" customHeight="1" x14ac:dyDescent="0.3">
      <c r="B68" s="783"/>
      <c r="C68" s="255"/>
      <c r="D68" s="127"/>
      <c r="E68" s="24"/>
      <c r="F68" s="23"/>
      <c r="G68" s="23"/>
      <c r="H68" s="312"/>
      <c r="I68" s="320" t="s">
        <v>88</v>
      </c>
      <c r="J68" s="113"/>
      <c r="K68" s="113"/>
      <c r="L68" s="113"/>
      <c r="M68" s="113">
        <v>100</v>
      </c>
      <c r="N68" s="177" t="s">
        <v>42</v>
      </c>
    </row>
    <row r="69" spans="2:15" ht="50.25" customHeight="1" x14ac:dyDescent="0.3">
      <c r="B69" s="783"/>
      <c r="C69" s="255"/>
      <c r="D69" s="127"/>
      <c r="E69" s="24"/>
      <c r="F69" s="23"/>
      <c r="G69" s="23"/>
      <c r="H69" s="312"/>
      <c r="I69" s="320" t="s">
        <v>89</v>
      </c>
      <c r="J69" s="113"/>
      <c r="K69" s="113"/>
      <c r="L69" s="113"/>
      <c r="M69" s="113">
        <v>100</v>
      </c>
      <c r="N69" s="177" t="s">
        <v>42</v>
      </c>
    </row>
    <row r="70" spans="2:15" ht="51" customHeight="1" x14ac:dyDescent="0.3">
      <c r="B70" s="783"/>
      <c r="C70" s="255"/>
      <c r="D70" s="127"/>
      <c r="E70" s="24"/>
      <c r="F70" s="23"/>
      <c r="G70" s="23"/>
      <c r="H70" s="312"/>
      <c r="I70" s="669" t="s">
        <v>90</v>
      </c>
      <c r="J70" s="133"/>
      <c r="K70" s="133">
        <v>100</v>
      </c>
      <c r="L70" s="133"/>
      <c r="M70" s="133"/>
      <c r="N70" s="670" t="s">
        <v>42</v>
      </c>
    </row>
    <row r="71" spans="2:15" ht="19.149999999999999" customHeight="1" x14ac:dyDescent="0.3">
      <c r="B71" s="783"/>
      <c r="C71" s="665"/>
      <c r="D71" s="127"/>
      <c r="E71" s="666"/>
      <c r="F71" s="667"/>
      <c r="G71" s="667"/>
      <c r="H71" s="668"/>
      <c r="I71" s="672" t="s">
        <v>91</v>
      </c>
      <c r="J71" s="113"/>
      <c r="K71" s="113"/>
      <c r="L71" s="113">
        <v>8</v>
      </c>
      <c r="M71" s="113"/>
      <c r="N71" s="671" t="s">
        <v>42</v>
      </c>
      <c r="O71" s="575"/>
    </row>
    <row r="72" spans="2:15" ht="27.75" customHeight="1" x14ac:dyDescent="0.3">
      <c r="B72" s="783"/>
      <c r="C72" s="709"/>
      <c r="D72" s="128"/>
      <c r="E72" s="667"/>
      <c r="F72" s="667"/>
      <c r="G72" s="667"/>
      <c r="H72" s="686"/>
      <c r="I72" s="710" t="s">
        <v>92</v>
      </c>
      <c r="J72" s="133">
        <v>80</v>
      </c>
      <c r="K72" s="711"/>
      <c r="L72" s="711"/>
      <c r="M72" s="711"/>
      <c r="N72" s="712" t="s">
        <v>42</v>
      </c>
      <c r="O72" s="575"/>
    </row>
    <row r="73" spans="2:15" ht="35.5" customHeight="1" x14ac:dyDescent="0.3">
      <c r="B73" s="853" t="s">
        <v>93</v>
      </c>
      <c r="C73" s="738" t="s">
        <v>313</v>
      </c>
      <c r="D73" s="798" t="s">
        <v>62</v>
      </c>
      <c r="E73" s="697"/>
      <c r="F73" s="697"/>
      <c r="G73" s="697"/>
      <c r="H73" s="697"/>
      <c r="I73" s="698" t="s">
        <v>91</v>
      </c>
      <c r="J73" s="699">
        <v>3</v>
      </c>
      <c r="K73" s="699">
        <v>1</v>
      </c>
      <c r="L73" s="699">
        <v>1</v>
      </c>
      <c r="M73" s="700"/>
      <c r="N73" s="701"/>
    </row>
    <row r="74" spans="2:15" ht="30" customHeight="1" x14ac:dyDescent="0.3">
      <c r="B74" s="854"/>
      <c r="C74" s="257" t="s">
        <v>29</v>
      </c>
      <c r="D74" s="789"/>
      <c r="E74" s="684">
        <f>1209.4</f>
        <v>1209.4000000000001</v>
      </c>
      <c r="F74" s="684">
        <v>852</v>
      </c>
      <c r="G74" s="684">
        <v>800</v>
      </c>
      <c r="H74" s="685"/>
      <c r="I74" s="317" t="s">
        <v>94</v>
      </c>
      <c r="J74" s="113"/>
      <c r="K74" s="113">
        <v>1</v>
      </c>
      <c r="L74" s="113">
        <v>1</v>
      </c>
      <c r="M74" s="113"/>
      <c r="N74" s="702" t="s">
        <v>95</v>
      </c>
    </row>
    <row r="75" spans="2:15" ht="18.75" customHeight="1" x14ac:dyDescent="0.3">
      <c r="B75" s="854"/>
      <c r="C75" s="258" t="s">
        <v>96</v>
      </c>
      <c r="D75" s="789"/>
      <c r="E75" s="685"/>
      <c r="F75" s="685"/>
      <c r="G75" s="685"/>
      <c r="H75" s="685"/>
      <c r="I75" s="303"/>
      <c r="J75" s="140"/>
      <c r="K75" s="140"/>
      <c r="L75" s="140"/>
      <c r="M75" s="140"/>
      <c r="N75" s="703"/>
    </row>
    <row r="76" spans="2:15" ht="18.75" customHeight="1" x14ac:dyDescent="0.3">
      <c r="B76" s="855"/>
      <c r="C76" s="704" t="s">
        <v>56</v>
      </c>
      <c r="D76" s="799"/>
      <c r="E76" s="705"/>
      <c r="F76" s="705"/>
      <c r="G76" s="705"/>
      <c r="H76" s="705"/>
      <c r="I76" s="706"/>
      <c r="J76" s="707"/>
      <c r="K76" s="707"/>
      <c r="L76" s="707"/>
      <c r="M76" s="707"/>
      <c r="N76" s="708"/>
    </row>
    <row r="77" spans="2:15" ht="43.9" customHeight="1" x14ac:dyDescent="0.3">
      <c r="B77" s="762"/>
      <c r="C77" s="713" t="s">
        <v>97</v>
      </c>
      <c r="D77" s="791" t="s">
        <v>80</v>
      </c>
      <c r="E77" s="687"/>
      <c r="F77" s="464"/>
      <c r="G77" s="464"/>
      <c r="H77" s="415"/>
      <c r="I77" s="169" t="s">
        <v>27</v>
      </c>
      <c r="J77" s="714"/>
      <c r="K77" s="715"/>
      <c r="L77" s="716"/>
      <c r="M77" s="716"/>
      <c r="N77" s="717"/>
    </row>
    <row r="78" spans="2:15" ht="28.5" customHeight="1" x14ac:dyDescent="0.3">
      <c r="B78" s="762"/>
      <c r="C78" s="257" t="s">
        <v>29</v>
      </c>
      <c r="D78" s="791"/>
      <c r="E78" s="429">
        <f>140.2+151.7-90-136.2</f>
        <v>65.699999999999989</v>
      </c>
      <c r="F78" s="80"/>
      <c r="G78" s="67"/>
      <c r="H78" s="334"/>
      <c r="I78" s="302"/>
      <c r="J78" s="139"/>
      <c r="K78" s="140"/>
      <c r="L78" s="140"/>
      <c r="M78" s="140"/>
      <c r="N78" s="178"/>
    </row>
    <row r="79" spans="2:15" ht="16.5" customHeight="1" thickBot="1" x14ac:dyDescent="0.35">
      <c r="B79" s="763"/>
      <c r="C79" s="253" t="s">
        <v>30</v>
      </c>
      <c r="D79" s="791"/>
      <c r="E79" s="473">
        <v>90</v>
      </c>
      <c r="F79" s="410"/>
      <c r="G79" s="410"/>
      <c r="H79" s="474"/>
      <c r="I79" s="475"/>
      <c r="J79" s="476"/>
      <c r="K79" s="202"/>
      <c r="L79" s="202"/>
      <c r="M79" s="202"/>
      <c r="N79" s="203"/>
    </row>
    <row r="80" spans="2:15" ht="28.5" customHeight="1" x14ac:dyDescent="0.3">
      <c r="B80" s="761" t="s">
        <v>98</v>
      </c>
      <c r="C80" s="250" t="s">
        <v>99</v>
      </c>
      <c r="D80" s="791"/>
      <c r="E80" s="424"/>
      <c r="F80" s="425"/>
      <c r="G80" s="425"/>
      <c r="H80" s="477"/>
      <c r="I80" s="478" t="s">
        <v>27</v>
      </c>
      <c r="J80" s="280"/>
      <c r="K80" s="280"/>
      <c r="L80" s="728"/>
      <c r="M80" s="728">
        <v>100</v>
      </c>
      <c r="N80" s="390"/>
    </row>
    <row r="81" spans="2:14" ht="31.9" customHeight="1" x14ac:dyDescent="0.3">
      <c r="B81" s="762"/>
      <c r="C81" s="62" t="s">
        <v>29</v>
      </c>
      <c r="D81" s="791"/>
      <c r="E81" s="439"/>
      <c r="F81" s="67"/>
      <c r="G81" s="67"/>
      <c r="H81" s="334">
        <v>598.20000000000005</v>
      </c>
      <c r="I81" s="302"/>
      <c r="J81" s="139"/>
      <c r="K81" s="140"/>
      <c r="L81" s="140"/>
      <c r="M81" s="140"/>
      <c r="N81" s="178"/>
    </row>
    <row r="82" spans="2:14" ht="19.149999999999999" customHeight="1" thickBot="1" x14ac:dyDescent="0.35">
      <c r="B82" s="763"/>
      <c r="C82" s="253" t="s">
        <v>31</v>
      </c>
      <c r="D82" s="791"/>
      <c r="E82" s="479"/>
      <c r="F82" s="404"/>
      <c r="G82" s="480"/>
      <c r="H82" s="481"/>
      <c r="I82" s="475"/>
      <c r="J82" s="202"/>
      <c r="K82" s="202"/>
      <c r="L82" s="202"/>
      <c r="M82" s="202"/>
      <c r="N82" s="203"/>
    </row>
    <row r="83" spans="2:14" ht="29.25" customHeight="1" x14ac:dyDescent="0.3">
      <c r="B83" s="776"/>
      <c r="C83" s="254" t="s">
        <v>100</v>
      </c>
      <c r="D83" s="791"/>
      <c r="E83" s="482"/>
      <c r="F83" s="408"/>
      <c r="G83" s="408"/>
      <c r="H83" s="483"/>
      <c r="I83" s="478" t="s">
        <v>27</v>
      </c>
      <c r="J83" s="484">
        <v>100</v>
      </c>
      <c r="K83" s="484"/>
      <c r="L83" s="484"/>
      <c r="M83" s="228"/>
      <c r="N83" s="230" t="s">
        <v>39</v>
      </c>
    </row>
    <row r="84" spans="2:14" ht="29.25" customHeight="1" x14ac:dyDescent="0.3">
      <c r="B84" s="777"/>
      <c r="C84" s="257" t="s">
        <v>29</v>
      </c>
      <c r="D84" s="791"/>
      <c r="E84" s="78"/>
      <c r="F84" s="80"/>
      <c r="G84" s="70"/>
      <c r="H84" s="335"/>
      <c r="I84" s="303"/>
      <c r="J84" s="141"/>
      <c r="K84" s="140"/>
      <c r="L84" s="140"/>
      <c r="M84" s="140"/>
      <c r="N84" s="178"/>
    </row>
    <row r="85" spans="2:14" ht="17.25" customHeight="1" x14ac:dyDescent="0.3">
      <c r="B85" s="777"/>
      <c r="C85" s="62" t="s">
        <v>31</v>
      </c>
      <c r="D85" s="791"/>
      <c r="E85" s="78">
        <f>455.1+298.1</f>
        <v>753.2</v>
      </c>
      <c r="F85" s="80"/>
      <c r="G85" s="70"/>
      <c r="H85" s="335"/>
      <c r="I85" s="303"/>
      <c r="J85" s="141"/>
      <c r="K85" s="140"/>
      <c r="L85" s="140"/>
      <c r="M85" s="140"/>
      <c r="N85" s="178"/>
    </row>
    <row r="86" spans="2:14" ht="17.25" customHeight="1" x14ac:dyDescent="0.3">
      <c r="B86" s="777"/>
      <c r="C86" s="62" t="s">
        <v>30</v>
      </c>
      <c r="D86" s="791"/>
      <c r="E86" s="117">
        <v>1700</v>
      </c>
      <c r="F86" s="70"/>
      <c r="G86" s="70"/>
      <c r="H86" s="335"/>
      <c r="I86" s="303"/>
      <c r="J86" s="141"/>
      <c r="K86" s="140"/>
      <c r="L86" s="140"/>
      <c r="M86" s="140"/>
      <c r="N86" s="178"/>
    </row>
    <row r="87" spans="2:14" ht="17.25" customHeight="1" thickBot="1" x14ac:dyDescent="0.35">
      <c r="B87" s="778"/>
      <c r="C87" s="253" t="s">
        <v>33</v>
      </c>
      <c r="D87" s="792"/>
      <c r="E87" s="485"/>
      <c r="F87" s="404"/>
      <c r="G87" s="404"/>
      <c r="H87" s="481"/>
      <c r="I87" s="344"/>
      <c r="J87" s="413"/>
      <c r="K87" s="202"/>
      <c r="L87" s="202"/>
      <c r="M87" s="202"/>
      <c r="N87" s="203"/>
    </row>
    <row r="88" spans="2:14" ht="32.5" customHeight="1" x14ac:dyDescent="0.3">
      <c r="B88" s="761" t="s">
        <v>101</v>
      </c>
      <c r="C88" s="250" t="s">
        <v>102</v>
      </c>
      <c r="D88" s="797" t="s">
        <v>80</v>
      </c>
      <c r="E88" s="482"/>
      <c r="F88" s="408"/>
      <c r="G88" s="408"/>
      <c r="H88" s="483"/>
      <c r="I88" s="486" t="s">
        <v>103</v>
      </c>
      <c r="J88" s="280"/>
      <c r="K88" s="280"/>
      <c r="L88" s="280"/>
      <c r="M88" s="227">
        <v>1</v>
      </c>
      <c r="N88" s="438"/>
    </row>
    <row r="89" spans="2:14" ht="29.5" customHeight="1" x14ac:dyDescent="0.3">
      <c r="B89" s="762"/>
      <c r="C89" s="62" t="s">
        <v>29</v>
      </c>
      <c r="D89" s="791"/>
      <c r="E89" s="118"/>
      <c r="F89" s="9"/>
      <c r="G89" s="9"/>
      <c r="H89" s="312">
        <v>169.3</v>
      </c>
      <c r="I89" s="165" t="s">
        <v>27</v>
      </c>
      <c r="J89" s="138"/>
      <c r="K89" s="138"/>
      <c r="L89" s="138"/>
      <c r="M89" s="3"/>
      <c r="N89" s="177" t="s">
        <v>104</v>
      </c>
    </row>
    <row r="90" spans="2:14" ht="15.75" customHeight="1" x14ac:dyDescent="0.3">
      <c r="B90" s="762"/>
      <c r="C90" s="62" t="s">
        <v>31</v>
      </c>
      <c r="D90" s="791"/>
      <c r="E90" s="99"/>
      <c r="F90" s="9"/>
      <c r="G90" s="4"/>
      <c r="H90" s="316"/>
      <c r="I90" s="303"/>
      <c r="J90" s="140"/>
      <c r="K90" s="140"/>
      <c r="L90" s="140"/>
      <c r="M90" s="140"/>
      <c r="N90" s="178"/>
    </row>
    <row r="91" spans="2:14" ht="17.25" customHeight="1" x14ac:dyDescent="0.3">
      <c r="B91" s="762"/>
      <c r="C91" s="62" t="s">
        <v>105</v>
      </c>
      <c r="D91" s="791"/>
      <c r="E91" s="182"/>
      <c r="F91" s="4"/>
      <c r="G91" s="4"/>
      <c r="H91" s="316"/>
      <c r="I91" s="303"/>
      <c r="J91" s="140"/>
      <c r="K91" s="140"/>
      <c r="L91" s="140"/>
      <c r="M91" s="140"/>
      <c r="N91" s="178"/>
    </row>
    <row r="92" spans="2:14" ht="16.5" customHeight="1" thickBot="1" x14ac:dyDescent="0.35">
      <c r="B92" s="763"/>
      <c r="C92" s="253" t="s">
        <v>30</v>
      </c>
      <c r="D92" s="792"/>
      <c r="E92" s="487"/>
      <c r="F92" s="383"/>
      <c r="G92" s="383"/>
      <c r="H92" s="411"/>
      <c r="I92" s="344"/>
      <c r="J92" s="202"/>
      <c r="K92" s="202"/>
      <c r="L92" s="202"/>
      <c r="M92" s="202"/>
      <c r="N92" s="203"/>
    </row>
    <row r="93" spans="2:14" ht="32.25" customHeight="1" x14ac:dyDescent="0.3">
      <c r="B93" s="739"/>
      <c r="C93" s="488" t="s">
        <v>106</v>
      </c>
      <c r="D93" s="846" t="s">
        <v>80</v>
      </c>
      <c r="E93" s="396"/>
      <c r="F93" s="396"/>
      <c r="G93" s="396"/>
      <c r="H93" s="397"/>
      <c r="I93" s="414" t="s">
        <v>27</v>
      </c>
      <c r="J93" s="227">
        <v>100</v>
      </c>
      <c r="K93" s="227"/>
      <c r="L93" s="228"/>
      <c r="M93" s="228"/>
      <c r="N93" s="230" t="s">
        <v>107</v>
      </c>
    </row>
    <row r="94" spans="2:14" ht="29.25" customHeight="1" x14ac:dyDescent="0.3">
      <c r="B94" s="796"/>
      <c r="C94" s="119" t="s">
        <v>29</v>
      </c>
      <c r="D94" s="847"/>
      <c r="E94" s="23">
        <f>1400-161.7-986.4-110</f>
        <v>141.89999999999998</v>
      </c>
      <c r="F94" s="23"/>
      <c r="G94" s="9"/>
      <c r="H94" s="314"/>
      <c r="I94" s="303"/>
      <c r="J94" s="140"/>
      <c r="K94" s="140"/>
      <c r="L94" s="140"/>
      <c r="M94" s="140"/>
      <c r="N94" s="178"/>
    </row>
    <row r="95" spans="2:14" ht="20.25" customHeight="1" thickBot="1" x14ac:dyDescent="0.35">
      <c r="B95" s="740"/>
      <c r="C95" s="489" t="s">
        <v>31</v>
      </c>
      <c r="D95" s="848"/>
      <c r="E95" s="384">
        <f>822+164.4</f>
        <v>986.4</v>
      </c>
      <c r="F95" s="384"/>
      <c r="G95" s="282"/>
      <c r="H95" s="348"/>
      <c r="I95" s="344"/>
      <c r="J95" s="202"/>
      <c r="K95" s="202"/>
      <c r="L95" s="202"/>
      <c r="M95" s="202"/>
      <c r="N95" s="203"/>
    </row>
    <row r="96" spans="2:14" ht="42.75" customHeight="1" x14ac:dyDescent="0.3">
      <c r="B96" s="761" t="s">
        <v>108</v>
      </c>
      <c r="C96" s="237" t="s">
        <v>109</v>
      </c>
      <c r="D96" s="859" t="s">
        <v>80</v>
      </c>
      <c r="E96" s="490"/>
      <c r="F96" s="396"/>
      <c r="G96" s="396"/>
      <c r="H96" s="397"/>
      <c r="I96" s="491" t="s">
        <v>103</v>
      </c>
      <c r="J96" s="228">
        <v>1</v>
      </c>
      <c r="K96" s="228"/>
      <c r="L96" s="228"/>
      <c r="M96" s="228"/>
      <c r="N96" s="390"/>
    </row>
    <row r="97" spans="2:14" ht="29.25" customHeight="1" x14ac:dyDescent="0.3">
      <c r="B97" s="762"/>
      <c r="C97" s="25" t="s">
        <v>29</v>
      </c>
      <c r="D97" s="859"/>
      <c r="E97" s="492">
        <f>25+8.1</f>
        <v>33.1</v>
      </c>
      <c r="F97" s="9"/>
      <c r="G97" s="9"/>
      <c r="H97" s="314">
        <v>200</v>
      </c>
      <c r="I97" s="160" t="s">
        <v>27</v>
      </c>
      <c r="J97" s="2"/>
      <c r="K97" s="3"/>
      <c r="L97" s="3"/>
      <c r="M97" s="3">
        <v>50</v>
      </c>
      <c r="N97" s="179"/>
    </row>
    <row r="98" spans="2:14" ht="21.75" customHeight="1" thickBot="1" x14ac:dyDescent="0.35">
      <c r="B98" s="238"/>
      <c r="C98" s="231" t="s">
        <v>33</v>
      </c>
      <c r="D98" s="859"/>
      <c r="E98" s="493"/>
      <c r="F98" s="282"/>
      <c r="G98" s="282"/>
      <c r="H98" s="348">
        <v>300</v>
      </c>
      <c r="I98" s="344"/>
      <c r="J98" s="202"/>
      <c r="K98" s="202"/>
      <c r="L98" s="202"/>
      <c r="M98" s="202"/>
      <c r="N98" s="203"/>
    </row>
    <row r="99" spans="2:14" ht="42" customHeight="1" x14ac:dyDescent="0.3">
      <c r="B99" s="755" t="s">
        <v>110</v>
      </c>
      <c r="C99" s="729" t="s">
        <v>310</v>
      </c>
      <c r="D99" s="859"/>
      <c r="E99" s="490"/>
      <c r="F99" s="396"/>
      <c r="G99" s="396"/>
      <c r="H99" s="397"/>
      <c r="I99" s="426" t="s">
        <v>27</v>
      </c>
      <c r="J99" s="228">
        <v>29</v>
      </c>
      <c r="K99" s="228">
        <v>100</v>
      </c>
      <c r="L99" s="228"/>
      <c r="M99" s="228"/>
      <c r="N99" s="494"/>
    </row>
    <row r="100" spans="2:14" ht="29.25" customHeight="1" x14ac:dyDescent="0.3">
      <c r="B100" s="756"/>
      <c r="C100" s="25" t="s">
        <v>29</v>
      </c>
      <c r="D100" s="859"/>
      <c r="E100" s="492"/>
      <c r="F100" s="9"/>
      <c r="G100" s="23"/>
      <c r="H100" s="314"/>
      <c r="I100" s="303"/>
      <c r="J100" s="140"/>
      <c r="K100" s="140"/>
      <c r="L100" s="140"/>
      <c r="M100" s="140"/>
      <c r="N100" s="178"/>
    </row>
    <row r="101" spans="2:14" ht="19.5" customHeight="1" x14ac:dyDescent="0.3">
      <c r="B101" s="756"/>
      <c r="C101" s="25" t="s">
        <v>31</v>
      </c>
      <c r="D101" s="859"/>
      <c r="E101" s="492">
        <f>400+45</f>
        <v>445</v>
      </c>
      <c r="F101" s="9"/>
      <c r="G101" s="23"/>
      <c r="H101" s="314"/>
      <c r="I101" s="303"/>
      <c r="J101" s="140"/>
      <c r="K101" s="140"/>
      <c r="L101" s="140"/>
      <c r="M101" s="140"/>
      <c r="N101" s="178"/>
    </row>
    <row r="102" spans="2:14" ht="19.5" customHeight="1" x14ac:dyDescent="0.3">
      <c r="B102" s="756"/>
      <c r="C102" s="25" t="s">
        <v>30</v>
      </c>
      <c r="D102" s="859"/>
      <c r="E102" s="492"/>
      <c r="F102" s="9"/>
      <c r="G102" s="23"/>
      <c r="H102" s="314"/>
      <c r="I102" s="303"/>
      <c r="J102" s="140"/>
      <c r="K102" s="140"/>
      <c r="L102" s="140"/>
      <c r="M102" s="140"/>
      <c r="N102" s="178"/>
    </row>
    <row r="103" spans="2:14" ht="17.25" customHeight="1" x14ac:dyDescent="0.3">
      <c r="B103" s="756"/>
      <c r="C103" s="42" t="s">
        <v>33</v>
      </c>
      <c r="D103" s="859"/>
      <c r="E103" s="492"/>
      <c r="F103" s="9">
        <v>500</v>
      </c>
      <c r="G103" s="23"/>
      <c r="H103" s="314"/>
      <c r="I103" s="303"/>
      <c r="J103" s="140"/>
      <c r="K103" s="140"/>
      <c r="L103" s="140"/>
      <c r="M103" s="140"/>
      <c r="N103" s="178"/>
    </row>
    <row r="104" spans="2:14" ht="19.5" customHeight="1" thickBot="1" x14ac:dyDescent="0.35">
      <c r="B104" s="757"/>
      <c r="C104" s="231" t="s">
        <v>105</v>
      </c>
      <c r="D104" s="859"/>
      <c r="E104" s="493">
        <v>300</v>
      </c>
      <c r="F104" s="282">
        <v>1400</v>
      </c>
      <c r="G104" s="384"/>
      <c r="H104" s="348"/>
      <c r="I104" s="344"/>
      <c r="J104" s="202"/>
      <c r="K104" s="202"/>
      <c r="L104" s="202"/>
      <c r="M104" s="202"/>
      <c r="N104" s="203"/>
    </row>
    <row r="105" spans="2:14" ht="30.75" customHeight="1" x14ac:dyDescent="0.3">
      <c r="B105" s="761" t="s">
        <v>111</v>
      </c>
      <c r="C105" s="234" t="s">
        <v>112</v>
      </c>
      <c r="D105" s="859"/>
      <c r="E105" s="472"/>
      <c r="F105" s="278"/>
      <c r="G105" s="278"/>
      <c r="H105" s="347"/>
      <c r="I105" s="491" t="s">
        <v>103</v>
      </c>
      <c r="J105" s="382">
        <v>1</v>
      </c>
      <c r="K105" s="682">
        <v>1</v>
      </c>
      <c r="L105" s="681"/>
      <c r="M105" s="227"/>
      <c r="N105" s="438"/>
    </row>
    <row r="106" spans="2:14" ht="29.25" customHeight="1" thickBot="1" x14ac:dyDescent="0.35">
      <c r="B106" s="763"/>
      <c r="C106" s="231" t="s">
        <v>29</v>
      </c>
      <c r="D106" s="860"/>
      <c r="E106" s="493"/>
      <c r="F106" s="495"/>
      <c r="G106" s="282">
        <f>300+40</f>
        <v>340</v>
      </c>
      <c r="H106" s="411"/>
      <c r="I106" s="496" t="s">
        <v>27</v>
      </c>
      <c r="J106" s="497"/>
      <c r="K106" s="497"/>
      <c r="L106" s="498">
        <v>100</v>
      </c>
      <c r="M106" s="499"/>
      <c r="N106" s="500"/>
    </row>
    <row r="107" spans="2:14" ht="18.75" customHeight="1" x14ac:dyDescent="0.3">
      <c r="B107" s="805"/>
      <c r="C107" s="260" t="s">
        <v>113</v>
      </c>
      <c r="D107" s="856" t="s">
        <v>62</v>
      </c>
      <c r="E107" s="501"/>
      <c r="F107" s="502"/>
      <c r="G107" s="502"/>
      <c r="H107" s="503"/>
      <c r="I107" s="426" t="s">
        <v>114</v>
      </c>
      <c r="J107" s="382">
        <v>2</v>
      </c>
      <c r="K107" s="382"/>
      <c r="L107" s="382"/>
      <c r="M107" s="382"/>
      <c r="N107" s="390"/>
    </row>
    <row r="108" spans="2:14" ht="27" customHeight="1" x14ac:dyDescent="0.3">
      <c r="B108" s="814"/>
      <c r="C108" s="126" t="s">
        <v>29</v>
      </c>
      <c r="D108" s="857"/>
      <c r="E108" s="504"/>
      <c r="F108" s="120"/>
      <c r="G108" s="120"/>
      <c r="H108" s="309"/>
      <c r="I108" s="329"/>
      <c r="J108" s="140"/>
      <c r="K108" s="140"/>
      <c r="L108" s="140"/>
      <c r="M108" s="140"/>
      <c r="N108" s="178"/>
    </row>
    <row r="109" spans="2:14" ht="18" customHeight="1" thickBot="1" x14ac:dyDescent="0.35">
      <c r="B109" s="806"/>
      <c r="C109" s="261" t="s">
        <v>31</v>
      </c>
      <c r="D109" s="858"/>
      <c r="E109" s="505">
        <v>400</v>
      </c>
      <c r="F109" s="506"/>
      <c r="G109" s="506"/>
      <c r="H109" s="507"/>
      <c r="I109" s="344"/>
      <c r="J109" s="202"/>
      <c r="K109" s="202"/>
      <c r="L109" s="202"/>
      <c r="M109" s="202"/>
      <c r="N109" s="203"/>
    </row>
    <row r="110" spans="2:14" ht="44.5" customHeight="1" x14ac:dyDescent="0.3">
      <c r="B110" s="805" t="s">
        <v>115</v>
      </c>
      <c r="C110" s="262" t="s">
        <v>116</v>
      </c>
      <c r="D110" s="793" t="s">
        <v>117</v>
      </c>
      <c r="E110" s="501"/>
      <c r="F110" s="502"/>
      <c r="G110" s="502"/>
      <c r="H110" s="503"/>
      <c r="I110" s="510" t="s">
        <v>118</v>
      </c>
      <c r="J110" s="511"/>
      <c r="K110" s="511"/>
      <c r="L110" s="512">
        <v>1</v>
      </c>
      <c r="M110" s="511"/>
      <c r="N110" s="281" t="s">
        <v>39</v>
      </c>
    </row>
    <row r="111" spans="2:14" ht="35.25" customHeight="1" x14ac:dyDescent="0.3">
      <c r="B111" s="814"/>
      <c r="C111" s="45" t="s">
        <v>29</v>
      </c>
      <c r="D111" s="794"/>
      <c r="E111" s="513"/>
      <c r="F111" s="33"/>
      <c r="G111" s="9">
        <v>420</v>
      </c>
      <c r="H111" s="334">
        <v>100</v>
      </c>
      <c r="I111" s="337" t="s">
        <v>119</v>
      </c>
      <c r="J111" s="128"/>
      <c r="K111" s="128"/>
      <c r="L111" s="128">
        <v>80</v>
      </c>
      <c r="M111" s="128">
        <v>100</v>
      </c>
      <c r="N111" s="184"/>
    </row>
    <row r="112" spans="2:14" ht="35.25" customHeight="1" thickBot="1" x14ac:dyDescent="0.35">
      <c r="B112" s="806"/>
      <c r="C112" s="263"/>
      <c r="D112" s="795"/>
      <c r="E112" s="517"/>
      <c r="F112" s="518"/>
      <c r="G112" s="276"/>
      <c r="H112" s="519"/>
      <c r="I112" s="520" t="s">
        <v>120</v>
      </c>
      <c r="J112" s="128"/>
      <c r="K112" s="128"/>
      <c r="L112" s="147"/>
      <c r="M112" s="128"/>
      <c r="N112" s="184"/>
    </row>
    <row r="113" spans="1:14" ht="34.5" customHeight="1" x14ac:dyDescent="0.3">
      <c r="B113" s="785" t="s">
        <v>121</v>
      </c>
      <c r="C113" s="516" t="s">
        <v>122</v>
      </c>
      <c r="D113" s="861" t="s">
        <v>86</v>
      </c>
      <c r="E113" s="425"/>
      <c r="F113" s="425"/>
      <c r="G113" s="425"/>
      <c r="H113" s="477"/>
      <c r="I113" s="521" t="s">
        <v>103</v>
      </c>
      <c r="J113" s="511"/>
      <c r="K113" s="511">
        <v>1</v>
      </c>
      <c r="L113" s="511"/>
      <c r="M113" s="511"/>
      <c r="N113" s="522"/>
    </row>
    <row r="114" spans="1:14" ht="29.25" customHeight="1" thickBot="1" x14ac:dyDescent="0.35">
      <c r="B114" s="787"/>
      <c r="C114" s="268" t="s">
        <v>29</v>
      </c>
      <c r="D114" s="862"/>
      <c r="E114" s="404"/>
      <c r="F114" s="404">
        <v>46.8</v>
      </c>
      <c r="G114" s="404">
        <v>400</v>
      </c>
      <c r="H114" s="481"/>
      <c r="I114" s="523" t="s">
        <v>27</v>
      </c>
      <c r="J114" s="514"/>
      <c r="K114" s="514">
        <v>100</v>
      </c>
      <c r="L114" s="514"/>
      <c r="M114" s="514"/>
      <c r="N114" s="515"/>
    </row>
    <row r="115" spans="1:14" ht="33.65" customHeight="1" x14ac:dyDescent="0.3">
      <c r="B115" s="785" t="s">
        <v>123</v>
      </c>
      <c r="C115" s="264" t="s">
        <v>124</v>
      </c>
      <c r="D115" s="744" t="s">
        <v>125</v>
      </c>
      <c r="E115" s="425"/>
      <c r="F115" s="425"/>
      <c r="G115" s="425"/>
      <c r="H115" s="477"/>
      <c r="I115" s="525" t="s">
        <v>27</v>
      </c>
      <c r="J115" s="511">
        <v>87</v>
      </c>
      <c r="K115" s="511">
        <v>100</v>
      </c>
      <c r="L115" s="511"/>
      <c r="M115" s="511"/>
      <c r="N115" s="522"/>
    </row>
    <row r="116" spans="1:14" ht="17.25" customHeight="1" x14ac:dyDescent="0.3">
      <c r="B116" s="786"/>
      <c r="C116" s="25" t="s">
        <v>30</v>
      </c>
      <c r="D116" s="745"/>
      <c r="E116" s="67">
        <f>531.1+469.8</f>
        <v>1000.9000000000001</v>
      </c>
      <c r="F116" s="67"/>
      <c r="G116" s="67"/>
      <c r="H116" s="334"/>
      <c r="I116" s="339"/>
      <c r="J116" s="139"/>
      <c r="K116" s="140"/>
      <c r="L116" s="140"/>
      <c r="M116" s="140"/>
      <c r="N116" s="178"/>
    </row>
    <row r="117" spans="1:14" ht="45.75" customHeight="1" thickBot="1" x14ac:dyDescent="0.35">
      <c r="B117" s="787"/>
      <c r="C117" s="239" t="s">
        <v>32</v>
      </c>
      <c r="D117" s="746"/>
      <c r="E117" s="495"/>
      <c r="F117" s="495">
        <f>210</f>
        <v>210</v>
      </c>
      <c r="G117" s="404"/>
      <c r="H117" s="481"/>
      <c r="I117" s="344"/>
      <c r="J117" s="413"/>
      <c r="K117" s="202"/>
      <c r="L117" s="202"/>
      <c r="M117" s="202"/>
      <c r="N117" s="203"/>
    </row>
    <row r="118" spans="1:14" ht="42.65" customHeight="1" x14ac:dyDescent="0.3">
      <c r="B118" s="265" t="s">
        <v>126</v>
      </c>
      <c r="C118" s="526" t="s">
        <v>127</v>
      </c>
      <c r="D118" s="836" t="s">
        <v>128</v>
      </c>
      <c r="E118" s="529"/>
      <c r="F118" s="529"/>
      <c r="G118" s="530"/>
      <c r="H118" s="477"/>
      <c r="I118" s="491" t="s">
        <v>103</v>
      </c>
      <c r="J118" s="531">
        <v>1</v>
      </c>
      <c r="K118" s="531">
        <v>1</v>
      </c>
      <c r="L118" s="531"/>
      <c r="M118" s="511"/>
      <c r="N118" s="522"/>
    </row>
    <row r="119" spans="1:14" ht="27" customHeight="1" x14ac:dyDescent="0.3">
      <c r="B119" s="185"/>
      <c r="C119" s="105" t="s">
        <v>29</v>
      </c>
      <c r="D119" s="837"/>
      <c r="E119" s="89"/>
      <c r="F119" s="109"/>
      <c r="G119" s="88"/>
      <c r="H119" s="334"/>
      <c r="I119" s="340" t="s">
        <v>27</v>
      </c>
      <c r="J119" s="32"/>
      <c r="K119" s="32">
        <v>100</v>
      </c>
      <c r="L119" s="32"/>
      <c r="M119" s="32"/>
      <c r="N119" s="183"/>
    </row>
    <row r="120" spans="1:14" ht="18" customHeight="1" x14ac:dyDescent="0.3">
      <c r="B120" s="185"/>
      <c r="C120" s="106" t="s">
        <v>30</v>
      </c>
      <c r="D120" s="837"/>
      <c r="E120" s="89">
        <v>60</v>
      </c>
      <c r="F120" s="89"/>
      <c r="G120" s="88"/>
      <c r="H120" s="334"/>
      <c r="I120" s="339"/>
      <c r="J120" s="140"/>
      <c r="K120" s="140"/>
      <c r="L120" s="140"/>
      <c r="M120" s="140"/>
      <c r="N120" s="178"/>
    </row>
    <row r="121" spans="1:14" ht="18" customHeight="1" x14ac:dyDescent="0.3">
      <c r="B121" s="185"/>
      <c r="C121" s="107" t="s">
        <v>32</v>
      </c>
      <c r="D121" s="838"/>
      <c r="E121" s="89"/>
      <c r="F121" s="89">
        <f>18.2+5</f>
        <v>23.2</v>
      </c>
      <c r="G121" s="88"/>
      <c r="H121" s="334"/>
      <c r="I121" s="339"/>
      <c r="J121" s="140"/>
      <c r="K121" s="140"/>
      <c r="L121" s="140"/>
      <c r="M121" s="140"/>
      <c r="N121" s="178"/>
    </row>
    <row r="122" spans="1:14" ht="31.5" customHeight="1" thickBot="1" x14ac:dyDescent="0.35">
      <c r="B122" s="266"/>
      <c r="C122" s="527" t="s">
        <v>32</v>
      </c>
      <c r="D122" s="532" t="s">
        <v>80</v>
      </c>
      <c r="E122" s="533"/>
      <c r="F122" s="533">
        <f>700</f>
        <v>700</v>
      </c>
      <c r="G122" s="485"/>
      <c r="H122" s="481"/>
      <c r="I122" s="534"/>
      <c r="J122" s="202"/>
      <c r="K122" s="202"/>
      <c r="L122" s="202"/>
      <c r="M122" s="202"/>
      <c r="N122" s="203"/>
    </row>
    <row r="123" spans="1:14" ht="47" customHeight="1" x14ac:dyDescent="0.3">
      <c r="A123" s="11"/>
      <c r="B123" s="785" t="s">
        <v>129</v>
      </c>
      <c r="C123" s="730" t="s">
        <v>311</v>
      </c>
      <c r="D123" s="536"/>
      <c r="E123" s="537" t="s">
        <v>44</v>
      </c>
      <c r="F123" s="537"/>
      <c r="G123" s="537"/>
      <c r="H123" s="538" t="s">
        <v>44</v>
      </c>
      <c r="I123" s="426" t="s">
        <v>130</v>
      </c>
      <c r="J123" s="539" t="s">
        <v>44</v>
      </c>
      <c r="K123" s="531">
        <v>1</v>
      </c>
      <c r="L123" s="531"/>
      <c r="M123" s="511"/>
      <c r="N123" s="522"/>
    </row>
    <row r="124" spans="1:14" ht="42.75" customHeight="1" x14ac:dyDescent="0.3">
      <c r="A124" s="11"/>
      <c r="B124" s="786"/>
      <c r="C124" s="108" t="s">
        <v>29</v>
      </c>
      <c r="D124" s="132" t="s">
        <v>128</v>
      </c>
      <c r="E124" s="82"/>
      <c r="F124" s="68">
        <v>100</v>
      </c>
      <c r="G124" s="68"/>
      <c r="H124" s="341"/>
      <c r="I124" s="338" t="s">
        <v>27</v>
      </c>
      <c r="J124" s="149"/>
      <c r="K124" s="148"/>
      <c r="L124" s="148">
        <v>60</v>
      </c>
      <c r="M124" s="128">
        <v>100</v>
      </c>
      <c r="N124" s="184"/>
    </row>
    <row r="125" spans="1:14" ht="27.75" customHeight="1" x14ac:dyDescent="0.3">
      <c r="A125" s="11"/>
      <c r="B125" s="185"/>
      <c r="C125" s="108" t="s">
        <v>29</v>
      </c>
      <c r="D125" s="839" t="s">
        <v>80</v>
      </c>
      <c r="E125" s="82"/>
      <c r="F125" s="68"/>
      <c r="G125" s="68">
        <v>200</v>
      </c>
      <c r="H125" s="341">
        <v>200</v>
      </c>
      <c r="I125" s="303"/>
      <c r="J125" s="140"/>
      <c r="K125" s="140"/>
      <c r="L125" s="140"/>
      <c r="M125" s="140"/>
      <c r="N125" s="178"/>
    </row>
    <row r="126" spans="1:14" ht="27.75" customHeight="1" thickBot="1" x14ac:dyDescent="0.35">
      <c r="A126" s="11"/>
      <c r="B126" s="266"/>
      <c r="C126" s="267" t="s">
        <v>33</v>
      </c>
      <c r="D126" s="840"/>
      <c r="E126" s="540"/>
      <c r="F126" s="541"/>
      <c r="G126" s="541">
        <v>800</v>
      </c>
      <c r="H126" s="542">
        <v>400</v>
      </c>
      <c r="I126" s="344"/>
      <c r="J126" s="202"/>
      <c r="K126" s="202"/>
      <c r="L126" s="202"/>
      <c r="M126" s="202"/>
      <c r="N126" s="203"/>
    </row>
    <row r="127" spans="1:14" ht="29.25" customHeight="1" x14ac:dyDescent="0.3">
      <c r="A127" s="11"/>
      <c r="B127" s="785" t="s">
        <v>131</v>
      </c>
      <c r="C127" s="551" t="s">
        <v>132</v>
      </c>
      <c r="D127" s="841" t="s">
        <v>128</v>
      </c>
      <c r="E127" s="543" t="s">
        <v>44</v>
      </c>
      <c r="F127" s="543"/>
      <c r="G127" s="543"/>
      <c r="H127" s="544" t="s">
        <v>44</v>
      </c>
      <c r="I127" s="381" t="s">
        <v>130</v>
      </c>
      <c r="J127" s="279" t="s">
        <v>44</v>
      </c>
      <c r="K127" s="280"/>
      <c r="L127" s="280"/>
      <c r="M127" s="280"/>
      <c r="N127" s="281"/>
    </row>
    <row r="128" spans="1:14" ht="19.5" customHeight="1" thickBot="1" x14ac:dyDescent="0.35">
      <c r="A128" s="11"/>
      <c r="B128" s="787"/>
      <c r="C128" s="267" t="s">
        <v>105</v>
      </c>
      <c r="D128" s="842"/>
      <c r="E128" s="541">
        <v>70</v>
      </c>
      <c r="F128" s="541"/>
      <c r="G128" s="541"/>
      <c r="H128" s="545" t="s">
        <v>44</v>
      </c>
      <c r="I128" s="344"/>
      <c r="J128" s="202"/>
      <c r="K128" s="202"/>
      <c r="L128" s="202"/>
      <c r="M128" s="202"/>
      <c r="N128" s="203"/>
    </row>
    <row r="129" spans="1:14" ht="20.25" customHeight="1" x14ac:dyDescent="0.3">
      <c r="A129" s="11"/>
      <c r="B129" s="785" t="s">
        <v>133</v>
      </c>
      <c r="C129" s="516" t="s">
        <v>134</v>
      </c>
      <c r="D129" s="842"/>
      <c r="E129" s="548"/>
      <c r="F129" s="548"/>
      <c r="G129" s="548"/>
      <c r="H129" s="544"/>
      <c r="I129" s="510" t="s">
        <v>103</v>
      </c>
      <c r="J129" s="549"/>
      <c r="K129" s="471"/>
      <c r="L129" s="471"/>
      <c r="M129" s="471"/>
      <c r="N129" s="550"/>
    </row>
    <row r="130" spans="1:14" ht="28.5" customHeight="1" thickBot="1" x14ac:dyDescent="0.35">
      <c r="A130" s="11"/>
      <c r="B130" s="787"/>
      <c r="C130" s="268" t="s">
        <v>29</v>
      </c>
      <c r="D130" s="843"/>
      <c r="E130" s="541"/>
      <c r="F130" s="541"/>
      <c r="G130" s="541"/>
      <c r="H130" s="545"/>
      <c r="I130" s="344"/>
      <c r="J130" s="202"/>
      <c r="K130" s="202"/>
      <c r="L130" s="202"/>
      <c r="M130" s="202"/>
      <c r="N130" s="203"/>
    </row>
    <row r="131" spans="1:14" ht="33.75" customHeight="1" x14ac:dyDescent="0.3">
      <c r="A131" s="11"/>
      <c r="B131" s="750" t="s">
        <v>135</v>
      </c>
      <c r="C131" s="731" t="s">
        <v>312</v>
      </c>
      <c r="D131" s="528"/>
      <c r="E131" s="68"/>
      <c r="F131" s="68"/>
      <c r="G131" s="68"/>
      <c r="H131" s="345"/>
      <c r="I131" s="546" t="s">
        <v>130</v>
      </c>
      <c r="J131" s="547"/>
      <c r="K131" s="90">
        <v>1</v>
      </c>
      <c r="L131" s="90"/>
      <c r="M131" s="129"/>
      <c r="N131" s="509"/>
    </row>
    <row r="132" spans="1:14" ht="42" customHeight="1" x14ac:dyDescent="0.3">
      <c r="A132" s="11"/>
      <c r="B132" s="751"/>
      <c r="C132" s="45" t="s">
        <v>29</v>
      </c>
      <c r="D132" s="674" t="s">
        <v>136</v>
      </c>
      <c r="E132" s="552">
        <f>25-20.9</f>
        <v>4.1000000000000014</v>
      </c>
      <c r="F132" s="418">
        <v>60.9</v>
      </c>
      <c r="G132" s="677"/>
      <c r="H132" s="553"/>
      <c r="I132" s="679" t="s">
        <v>27</v>
      </c>
      <c r="J132" s="152"/>
      <c r="K132" s="113"/>
      <c r="L132" s="113">
        <v>100</v>
      </c>
      <c r="M132" s="680"/>
      <c r="N132" s="186"/>
    </row>
    <row r="133" spans="1:14" ht="35.25" customHeight="1" thickBot="1" x14ac:dyDescent="0.35">
      <c r="A133" s="11"/>
      <c r="B133" s="752"/>
      <c r="C133" s="268" t="s">
        <v>29</v>
      </c>
      <c r="D133" s="673" t="s">
        <v>80</v>
      </c>
      <c r="E133" s="675"/>
      <c r="F133" s="541"/>
      <c r="G133" s="541">
        <v>450</v>
      </c>
      <c r="H133" s="676"/>
      <c r="I133" s="678"/>
      <c r="J133" s="202"/>
      <c r="K133" s="470"/>
      <c r="L133" s="470"/>
      <c r="M133" s="470"/>
      <c r="N133" s="203"/>
    </row>
    <row r="134" spans="1:14" ht="28.5" customHeight="1" x14ac:dyDescent="0.3">
      <c r="A134" s="11"/>
      <c r="B134" s="750" t="s">
        <v>137</v>
      </c>
      <c r="C134" s="262" t="s">
        <v>138</v>
      </c>
      <c r="D134" s="744" t="s">
        <v>139</v>
      </c>
      <c r="E134" s="548"/>
      <c r="F134" s="548"/>
      <c r="G134" s="548"/>
      <c r="H134" s="538"/>
      <c r="I134" s="525" t="s">
        <v>27</v>
      </c>
      <c r="J134" s="539"/>
      <c r="K134" s="531">
        <v>30</v>
      </c>
      <c r="L134" s="531">
        <v>100</v>
      </c>
      <c r="M134" s="511"/>
      <c r="N134" s="522"/>
    </row>
    <row r="135" spans="1:14" ht="18.75" customHeight="1" thickBot="1" x14ac:dyDescent="0.35">
      <c r="A135" s="11"/>
      <c r="B135" s="752"/>
      <c r="C135" s="269" t="s">
        <v>105</v>
      </c>
      <c r="D135" s="746"/>
      <c r="E135" s="282"/>
      <c r="F135" s="282">
        <v>500</v>
      </c>
      <c r="G135" s="282">
        <v>1200</v>
      </c>
      <c r="H135" s="348"/>
      <c r="I135" s="344"/>
      <c r="J135" s="202"/>
      <c r="K135" s="202"/>
      <c r="L135" s="202"/>
      <c r="M135" s="202"/>
      <c r="N135" s="203"/>
    </row>
    <row r="136" spans="1:14" ht="19.5" customHeight="1" x14ac:dyDescent="0.3">
      <c r="A136" s="11"/>
      <c r="B136" s="766" t="s">
        <v>140</v>
      </c>
      <c r="C136" s="732" t="s">
        <v>141</v>
      </c>
      <c r="D136" s="554"/>
      <c r="E136" s="464"/>
      <c r="F136" s="464"/>
      <c r="G136" s="464"/>
      <c r="H136" s="415"/>
      <c r="I136" s="508" t="s">
        <v>103</v>
      </c>
      <c r="J136" s="150"/>
      <c r="K136" s="151"/>
      <c r="L136" s="151">
        <v>9</v>
      </c>
      <c r="M136" s="129"/>
      <c r="N136" s="509"/>
    </row>
    <row r="137" spans="1:14" ht="41.25" customHeight="1" x14ac:dyDescent="0.3">
      <c r="A137" s="11"/>
      <c r="B137" s="767"/>
      <c r="C137" s="112" t="s">
        <v>29</v>
      </c>
      <c r="D137" s="718" t="s">
        <v>142</v>
      </c>
      <c r="E137" s="719"/>
      <c r="F137" s="719">
        <v>161.5</v>
      </c>
      <c r="G137" s="719">
        <v>188.5</v>
      </c>
      <c r="H137" s="720"/>
      <c r="I137" s="721" t="s">
        <v>27</v>
      </c>
      <c r="J137" s="722"/>
      <c r="K137" s="723"/>
      <c r="L137" s="723"/>
      <c r="M137" s="723">
        <v>65</v>
      </c>
      <c r="N137" s="724"/>
    </row>
    <row r="138" spans="1:14" ht="28.5" customHeight="1" x14ac:dyDescent="0.3">
      <c r="A138" s="11"/>
      <c r="B138" s="768"/>
      <c r="C138" s="555" t="s">
        <v>29</v>
      </c>
      <c r="D138" s="673" t="s">
        <v>80</v>
      </c>
      <c r="E138" s="557"/>
      <c r="F138" s="557"/>
      <c r="G138" s="733"/>
      <c r="H138" s="586">
        <f>2500+500</f>
        <v>3000</v>
      </c>
      <c r="I138" s="469"/>
      <c r="J138" s="470"/>
      <c r="K138" s="470"/>
      <c r="L138" s="470"/>
      <c r="M138" s="470"/>
      <c r="N138" s="725"/>
    </row>
    <row r="139" spans="1:14" ht="48.75" customHeight="1" x14ac:dyDescent="0.3">
      <c r="A139" s="11"/>
      <c r="B139" s="766" t="s">
        <v>143</v>
      </c>
      <c r="C139" s="271" t="s">
        <v>144</v>
      </c>
      <c r="D139" s="849" t="s">
        <v>125</v>
      </c>
      <c r="E139" s="464"/>
      <c r="F139" s="464"/>
      <c r="G139" s="464"/>
      <c r="H139" s="415"/>
      <c r="I139" s="556" t="s">
        <v>92</v>
      </c>
      <c r="J139" s="150"/>
      <c r="K139" s="151"/>
      <c r="L139" s="151"/>
      <c r="M139" s="129">
        <v>15</v>
      </c>
      <c r="N139" s="466"/>
    </row>
    <row r="140" spans="1:14" ht="28.5" customHeight="1" x14ac:dyDescent="0.3">
      <c r="A140" s="11"/>
      <c r="B140" s="767"/>
      <c r="C140" s="112" t="s">
        <v>29</v>
      </c>
      <c r="D140" s="850"/>
      <c r="E140" s="492"/>
      <c r="F140" s="9"/>
      <c r="G140" s="9"/>
      <c r="H140" s="314">
        <v>1500</v>
      </c>
      <c r="I140" s="303"/>
      <c r="J140" s="140"/>
      <c r="K140" s="140"/>
      <c r="L140" s="140"/>
      <c r="M140" s="153"/>
      <c r="N140" s="187"/>
    </row>
    <row r="141" spans="1:14" ht="18.75" customHeight="1" thickBot="1" x14ac:dyDescent="0.35">
      <c r="A141" s="11"/>
      <c r="B141" s="768"/>
      <c r="C141" s="270" t="s">
        <v>33</v>
      </c>
      <c r="D141" s="851"/>
      <c r="E141" s="557"/>
      <c r="F141" s="557"/>
      <c r="G141" s="557"/>
      <c r="H141" s="558"/>
      <c r="I141" s="469"/>
      <c r="J141" s="470"/>
      <c r="K141" s="470"/>
      <c r="L141" s="470"/>
      <c r="M141" s="202"/>
      <c r="N141" s="203"/>
    </row>
    <row r="142" spans="1:14" ht="28.5" customHeight="1" x14ac:dyDescent="0.3">
      <c r="A142" s="11"/>
      <c r="B142" s="750" t="s">
        <v>145</v>
      </c>
      <c r="C142" s="250" t="s">
        <v>146</v>
      </c>
      <c r="D142" s="850"/>
      <c r="E142" s="464"/>
      <c r="F142" s="464"/>
      <c r="G142" s="464"/>
      <c r="H142" s="415"/>
      <c r="I142" s="144" t="s">
        <v>27</v>
      </c>
      <c r="J142" s="535"/>
      <c r="K142" s="535"/>
      <c r="L142" s="130"/>
      <c r="M142" s="130">
        <f>100-100+70</f>
        <v>70</v>
      </c>
      <c r="N142" s="196"/>
    </row>
    <row r="143" spans="1:14" ht="28.5" customHeight="1" x14ac:dyDescent="0.3">
      <c r="A143" s="11"/>
      <c r="B143" s="751"/>
      <c r="C143" s="272" t="s">
        <v>29</v>
      </c>
      <c r="D143" s="850"/>
      <c r="E143" s="9"/>
      <c r="F143" s="9"/>
      <c r="G143" s="9"/>
      <c r="H143" s="314">
        <f>367.5-367.5+1200</f>
        <v>1200</v>
      </c>
      <c r="I143" s="303"/>
      <c r="J143" s="140"/>
      <c r="K143" s="140"/>
      <c r="L143" s="140"/>
      <c r="M143" s="140"/>
      <c r="N143" s="178"/>
    </row>
    <row r="144" spans="1:14" ht="18.75" customHeight="1" thickBot="1" x14ac:dyDescent="0.35">
      <c r="A144" s="11"/>
      <c r="B144" s="752"/>
      <c r="C144" s="252" t="s">
        <v>33</v>
      </c>
      <c r="D144" s="852"/>
      <c r="E144" s="276"/>
      <c r="F144" s="276"/>
      <c r="G144" s="276"/>
      <c r="H144" s="346">
        <v>400</v>
      </c>
      <c r="I144" s="342"/>
      <c r="J144" s="153"/>
      <c r="K144" s="153"/>
      <c r="L144" s="153"/>
      <c r="M144" s="153"/>
      <c r="N144" s="187"/>
    </row>
    <row r="145" spans="1:14" ht="18.75" customHeight="1" x14ac:dyDescent="0.3">
      <c r="A145" s="11"/>
      <c r="B145" s="750" t="s">
        <v>147</v>
      </c>
      <c r="C145" s="274" t="s">
        <v>148</v>
      </c>
      <c r="D145" s="771" t="s">
        <v>142</v>
      </c>
      <c r="E145" s="278"/>
      <c r="F145" s="278"/>
      <c r="G145" s="278"/>
      <c r="H145" s="347"/>
      <c r="I145" s="343" t="s">
        <v>103</v>
      </c>
      <c r="J145" s="279"/>
      <c r="K145" s="279"/>
      <c r="L145" s="280"/>
      <c r="M145" s="280"/>
      <c r="N145" s="281"/>
    </row>
    <row r="146" spans="1:14" ht="35.25" customHeight="1" thickBot="1" x14ac:dyDescent="0.35">
      <c r="A146" s="11"/>
      <c r="B146" s="752"/>
      <c r="C146" s="275" t="s">
        <v>29</v>
      </c>
      <c r="D146" s="772"/>
      <c r="E146" s="282"/>
      <c r="F146" s="282"/>
      <c r="G146" s="282"/>
      <c r="H146" s="348"/>
      <c r="I146" s="344"/>
      <c r="J146" s="202"/>
      <c r="K146" s="202"/>
      <c r="L146" s="202"/>
      <c r="M146" s="202"/>
      <c r="N146" s="203"/>
    </row>
    <row r="147" spans="1:14" ht="19.5" customHeight="1" x14ac:dyDescent="0.3">
      <c r="B147" s="273"/>
      <c r="C147" s="115" t="s">
        <v>149</v>
      </c>
      <c r="D147" s="115"/>
      <c r="E147" s="277">
        <f>+E149+E150+E151+E152</f>
        <v>18760</v>
      </c>
      <c r="F147" s="277">
        <f t="shared" ref="F147:H147" si="0">+F149+F150+F151+F152</f>
        <v>8638.7999999999993</v>
      </c>
      <c r="G147" s="277">
        <f t="shared" si="0"/>
        <v>7676.4</v>
      </c>
      <c r="H147" s="352">
        <f t="shared" si="0"/>
        <v>15017.5</v>
      </c>
      <c r="I147" s="349"/>
      <c r="J147" s="115"/>
      <c r="K147" s="115"/>
      <c r="L147" s="115"/>
      <c r="M147" s="115"/>
      <c r="N147" s="189"/>
    </row>
    <row r="148" spans="1:14" ht="17.25" customHeight="1" x14ac:dyDescent="0.3">
      <c r="B148" s="747"/>
      <c r="C148" s="39" t="s">
        <v>150</v>
      </c>
      <c r="D148" s="44"/>
      <c r="E148" s="6"/>
      <c r="F148" s="6"/>
      <c r="G148" s="6"/>
      <c r="H148" s="353"/>
      <c r="I148" s="303"/>
      <c r="J148" s="140"/>
      <c r="K148" s="140"/>
      <c r="L148" s="140"/>
      <c r="M148" s="140"/>
      <c r="N148" s="178"/>
    </row>
    <row r="149" spans="1:14" ht="30" customHeight="1" x14ac:dyDescent="0.3">
      <c r="B149" s="748"/>
      <c r="C149" s="43" t="s">
        <v>151</v>
      </c>
      <c r="D149" s="43"/>
      <c r="E149" s="8">
        <f>SUMIF($C14:$C146,$C15,E14:E146)</f>
        <v>7237.9000000000005</v>
      </c>
      <c r="F149" s="8">
        <f>SUMIF($C14:$C146,$C15,F14:F146)</f>
        <v>7934.7</v>
      </c>
      <c r="G149" s="8">
        <f>SUMIF($C14:$C146,$C15,G14:G146)</f>
        <v>6761</v>
      </c>
      <c r="H149" s="354">
        <f>SUMIF($C14:$C146,$C15,H14:H146)</f>
        <v>14854.1</v>
      </c>
      <c r="I149" s="303"/>
      <c r="J149" s="140"/>
      <c r="K149" s="140"/>
      <c r="L149" s="140"/>
      <c r="M149" s="140"/>
      <c r="N149" s="178"/>
    </row>
    <row r="150" spans="1:14" ht="20.25" customHeight="1" x14ac:dyDescent="0.3">
      <c r="B150" s="748"/>
      <c r="C150" s="39" t="s">
        <v>152</v>
      </c>
      <c r="D150" s="39"/>
      <c r="E150" s="8">
        <f>SUMIF($C14:$C146,$C16,E14:E146)</f>
        <v>5595.9</v>
      </c>
      <c r="F150" s="8">
        <f>SUMIF($C14:$C146,$C16,F14:F146)</f>
        <v>0</v>
      </c>
      <c r="G150" s="8">
        <f>SUMIF($C14:$C146,$C16,G14:G146)</f>
        <v>0</v>
      </c>
      <c r="H150" s="354">
        <f>SUMIF($C14:$C146,$C16,H14:H146)</f>
        <v>0</v>
      </c>
      <c r="I150" s="303"/>
      <c r="J150" s="140"/>
      <c r="K150" s="140"/>
      <c r="L150" s="140"/>
      <c r="M150" s="140"/>
      <c r="N150" s="178"/>
    </row>
    <row r="151" spans="1:14" ht="16.5" customHeight="1" x14ac:dyDescent="0.3">
      <c r="B151" s="748"/>
      <c r="C151" s="43" t="s">
        <v>153</v>
      </c>
      <c r="D151" s="43"/>
      <c r="E151" s="8">
        <f>SUMIF($C14:$C146,$C17,E14:E146)</f>
        <v>5926.2</v>
      </c>
      <c r="F151" s="8">
        <f>SUMIF($C14:$C146,$C17,F14:F146)</f>
        <v>704.1</v>
      </c>
      <c r="G151" s="8">
        <f>SUMIF($C14:$C146,$C17,G14:G146)</f>
        <v>915.4</v>
      </c>
      <c r="H151" s="354">
        <f>SUMIF($C14:$C146,$C17,H14:H146)</f>
        <v>163.4</v>
      </c>
      <c r="I151" s="303"/>
      <c r="J151" s="140"/>
      <c r="K151" s="140"/>
      <c r="L151" s="140"/>
      <c r="M151" s="140"/>
      <c r="N151" s="178"/>
    </row>
    <row r="152" spans="1:14" ht="16.5" customHeight="1" x14ac:dyDescent="0.3">
      <c r="B152" s="749"/>
      <c r="C152" s="71" t="s">
        <v>154</v>
      </c>
      <c r="D152" s="39"/>
      <c r="E152" s="8" cm="1">
        <f t="array" ref="E152">SUMIF($C14:$C146,C00,E14:E146)</f>
        <v>0</v>
      </c>
      <c r="F152" s="8" cm="1">
        <f t="array" ref="F152">SUMIF($C14:$C146,C00,F14:F146)</f>
        <v>0</v>
      </c>
      <c r="G152" s="8" cm="1">
        <f t="array" ref="G152">SUMIF($C14:$C146,C00,G14:G146)</f>
        <v>0</v>
      </c>
      <c r="H152" s="354" cm="1">
        <f t="array" ref="H152">SUMIF($C14:$C146,C00,H14:H146)</f>
        <v>0</v>
      </c>
      <c r="I152" s="303"/>
      <c r="J152" s="140"/>
      <c r="K152" s="140"/>
      <c r="L152" s="140"/>
      <c r="M152" s="140"/>
      <c r="N152" s="178"/>
    </row>
    <row r="153" spans="1:14" ht="17.25" customHeight="1" x14ac:dyDescent="0.3">
      <c r="B153" s="188"/>
      <c r="C153" s="75" t="s">
        <v>155</v>
      </c>
      <c r="D153" s="190"/>
      <c r="E153" s="7">
        <f>+E156+E157+E158+E155</f>
        <v>514</v>
      </c>
      <c r="F153" s="7">
        <f>+F156+F157+F158+F155</f>
        <v>7243.2</v>
      </c>
      <c r="G153" s="7">
        <f t="shared" ref="G153:H153" si="1">+G156+G157+G158+G155</f>
        <v>7510</v>
      </c>
      <c r="H153" s="355">
        <f t="shared" si="1"/>
        <v>3360</v>
      </c>
      <c r="I153" s="349"/>
      <c r="J153" s="115"/>
      <c r="K153" s="115"/>
      <c r="L153" s="115"/>
      <c r="M153" s="115"/>
      <c r="N153" s="189"/>
    </row>
    <row r="154" spans="1:14" ht="15" customHeight="1" x14ac:dyDescent="0.3">
      <c r="B154" s="747"/>
      <c r="C154" s="39" t="s">
        <v>156</v>
      </c>
      <c r="D154" s="39"/>
      <c r="E154" s="6"/>
      <c r="F154" s="6"/>
      <c r="G154" s="6"/>
      <c r="H154" s="353"/>
      <c r="I154" s="303"/>
      <c r="J154" s="140"/>
      <c r="K154" s="140"/>
      <c r="L154" s="140"/>
      <c r="M154" s="140"/>
      <c r="N154" s="178"/>
    </row>
    <row r="155" spans="1:14" ht="15" customHeight="1" x14ac:dyDescent="0.3">
      <c r="B155" s="748"/>
      <c r="C155" s="74" t="s">
        <v>157</v>
      </c>
      <c r="D155" s="39"/>
      <c r="E155" s="8">
        <f>SUMIF($C14:$C146,$C44,E14:E146)</f>
        <v>0</v>
      </c>
      <c r="F155" s="8">
        <f>SUMIF($C14:$C146,$C44,F14:F146)</f>
        <v>4410</v>
      </c>
      <c r="G155" s="8">
        <f>SUMIF($C14:$C146,$C44,G14:G146)</f>
        <v>3810</v>
      </c>
      <c r="H155" s="354">
        <f>SUMIF($C14:$C146,$C44,H14:H146)</f>
        <v>2710</v>
      </c>
      <c r="I155" s="303"/>
      <c r="J155" s="140"/>
      <c r="K155" s="140"/>
      <c r="L155" s="140"/>
      <c r="M155" s="140"/>
      <c r="N155" s="178"/>
    </row>
    <row r="156" spans="1:14" ht="15" customHeight="1" x14ac:dyDescent="0.3">
      <c r="B156" s="748"/>
      <c r="C156" s="191" t="s">
        <v>158</v>
      </c>
      <c r="D156" s="47"/>
      <c r="E156" s="8">
        <f>SUMIF($C14:$C146,$C38,E14:E146)</f>
        <v>143.99999999999994</v>
      </c>
      <c r="F156" s="8">
        <f>SUMIF($C14:$C146,$C38,F14:F146)</f>
        <v>0</v>
      </c>
      <c r="G156" s="8">
        <f>SUMIF($C14:$C146,$C38,G14:G146)</f>
        <v>0</v>
      </c>
      <c r="H156" s="354">
        <f>SUMIF($C14:$C146,$C38,H14:H146)</f>
        <v>0</v>
      </c>
      <c r="I156" s="303"/>
      <c r="J156" s="140"/>
      <c r="K156" s="140"/>
      <c r="L156" s="140"/>
      <c r="M156" s="140"/>
      <c r="N156" s="178"/>
    </row>
    <row r="157" spans="1:14" ht="15" customHeight="1" x14ac:dyDescent="0.3">
      <c r="B157" s="748"/>
      <c r="C157" s="43" t="s">
        <v>159</v>
      </c>
      <c r="D157" s="43"/>
      <c r="E157" s="8">
        <f>SUMIF($C14:$C146,$C91,E14:E146)</f>
        <v>370</v>
      </c>
      <c r="F157" s="8">
        <f>SUMIF($C14:$C146,$C91,F14:F146)</f>
        <v>1900</v>
      </c>
      <c r="G157" s="8">
        <f>SUMIF($C14:$C146,$C91,G14:G146)</f>
        <v>1200</v>
      </c>
      <c r="H157" s="354">
        <f>SUMIF($C14:$C146,$C91,H14:H146)</f>
        <v>0</v>
      </c>
      <c r="I157" s="303"/>
      <c r="J157" s="140"/>
      <c r="K157" s="140"/>
      <c r="L157" s="140"/>
      <c r="M157" s="140"/>
      <c r="N157" s="178"/>
    </row>
    <row r="158" spans="1:14" ht="15" customHeight="1" thickBot="1" x14ac:dyDescent="0.35">
      <c r="B158" s="748"/>
      <c r="C158" s="283" t="s">
        <v>160</v>
      </c>
      <c r="D158" s="283"/>
      <c r="E158" s="284">
        <f>SUMIF($C14:$C146,$C18,E14:E146)</f>
        <v>0</v>
      </c>
      <c r="F158" s="284">
        <f>SUMIF($C14:$C146,$C18,F14:F146)</f>
        <v>933.2</v>
      </c>
      <c r="G158" s="284">
        <f>SUMIF($C14:$C146,$C18,G14:G146)</f>
        <v>2500</v>
      </c>
      <c r="H158" s="356">
        <f>SUMIF($C14:$C146,$C18,H14:H146)</f>
        <v>650</v>
      </c>
      <c r="I158" s="350"/>
      <c r="J158" s="285"/>
      <c r="K158" s="285"/>
      <c r="L158" s="285"/>
      <c r="M158" s="285"/>
      <c r="N158" s="187"/>
    </row>
    <row r="159" spans="1:14" ht="28.5" customHeight="1" thickBot="1" x14ac:dyDescent="0.35">
      <c r="B159" s="213" t="s">
        <v>161</v>
      </c>
      <c r="C159" s="214" t="s">
        <v>162</v>
      </c>
      <c r="D159" s="214"/>
      <c r="E159" s="286"/>
      <c r="F159" s="286"/>
      <c r="G159" s="286"/>
      <c r="H159" s="287"/>
      <c r="I159" s="351"/>
      <c r="J159" s="286"/>
      <c r="K159" s="286"/>
      <c r="L159" s="286"/>
      <c r="M159" s="286"/>
      <c r="N159" s="287"/>
    </row>
    <row r="160" spans="1:14" ht="40.9" customHeight="1" x14ac:dyDescent="0.3">
      <c r="B160" s="209"/>
      <c r="C160" s="158"/>
      <c r="D160" s="158"/>
      <c r="E160" s="159"/>
      <c r="F160" s="159"/>
      <c r="G160" s="159"/>
      <c r="H160" s="357"/>
      <c r="I160" s="298" t="s">
        <v>163</v>
      </c>
      <c r="J160" s="155">
        <v>45</v>
      </c>
      <c r="K160" s="155">
        <v>80</v>
      </c>
      <c r="L160" s="155">
        <v>80</v>
      </c>
      <c r="M160" s="155">
        <v>80</v>
      </c>
      <c r="N160" s="192"/>
    </row>
    <row r="161" spans="2:22" ht="44.5" customHeight="1" x14ac:dyDescent="0.3">
      <c r="B161" s="174"/>
      <c r="C161" s="135"/>
      <c r="D161" s="158"/>
      <c r="E161" s="159"/>
      <c r="F161" s="159"/>
      <c r="G161" s="159"/>
      <c r="H161" s="357"/>
      <c r="I161" s="299" t="s">
        <v>164</v>
      </c>
      <c r="J161" s="155">
        <v>100</v>
      </c>
      <c r="K161" s="155">
        <v>100</v>
      </c>
      <c r="L161" s="155">
        <v>100</v>
      </c>
      <c r="M161" s="155">
        <v>100</v>
      </c>
      <c r="N161" s="192"/>
    </row>
    <row r="162" spans="2:22" ht="45" customHeight="1" x14ac:dyDescent="0.3">
      <c r="B162" s="174"/>
      <c r="C162" s="135"/>
      <c r="D162" s="158"/>
      <c r="E162" s="159"/>
      <c r="F162" s="159"/>
      <c r="G162" s="159"/>
      <c r="H162" s="357"/>
      <c r="I162" s="299" t="s">
        <v>165</v>
      </c>
      <c r="J162" s="154">
        <v>55</v>
      </c>
      <c r="K162" s="154">
        <v>88</v>
      </c>
      <c r="L162" s="154">
        <v>88</v>
      </c>
      <c r="M162" s="155">
        <v>88</v>
      </c>
      <c r="N162" s="192"/>
    </row>
    <row r="163" spans="2:22" ht="30" customHeight="1" x14ac:dyDescent="0.3">
      <c r="B163" s="174"/>
      <c r="C163" s="135"/>
      <c r="D163" s="158"/>
      <c r="E163" s="159"/>
      <c r="F163" s="159"/>
      <c r="G163" s="159"/>
      <c r="H163" s="357"/>
      <c r="I163" s="299" t="s">
        <v>166</v>
      </c>
      <c r="J163" s="154">
        <v>126</v>
      </c>
      <c r="K163" s="154">
        <v>127</v>
      </c>
      <c r="L163" s="154">
        <v>127</v>
      </c>
      <c r="M163" s="155">
        <v>128</v>
      </c>
      <c r="N163" s="192"/>
    </row>
    <row r="164" spans="2:22" ht="81" customHeight="1" x14ac:dyDescent="0.3">
      <c r="B164" s="174"/>
      <c r="C164" s="135"/>
      <c r="D164" s="158"/>
      <c r="E164" s="159"/>
      <c r="F164" s="159"/>
      <c r="G164" s="159"/>
      <c r="H164" s="357"/>
      <c r="I164" s="299" t="s">
        <v>167</v>
      </c>
      <c r="J164" s="156">
        <v>231</v>
      </c>
      <c r="K164" s="156">
        <v>226</v>
      </c>
      <c r="L164" s="156">
        <v>226</v>
      </c>
      <c r="M164" s="157">
        <v>226</v>
      </c>
      <c r="N164" s="192" t="s">
        <v>168</v>
      </c>
    </row>
    <row r="165" spans="2:22" ht="57" customHeight="1" thickBot="1" x14ac:dyDescent="0.35">
      <c r="B165" s="217"/>
      <c r="C165" s="218"/>
      <c r="D165" s="288"/>
      <c r="E165" s="289"/>
      <c r="F165" s="289"/>
      <c r="G165" s="289"/>
      <c r="H165" s="358"/>
      <c r="I165" s="300" t="s">
        <v>169</v>
      </c>
      <c r="J165" s="290">
        <v>45</v>
      </c>
      <c r="K165" s="290">
        <v>80</v>
      </c>
      <c r="L165" s="290">
        <v>80</v>
      </c>
      <c r="M165" s="291">
        <v>80</v>
      </c>
      <c r="N165" s="292" t="s">
        <v>170</v>
      </c>
    </row>
    <row r="166" spans="2:22" ht="22.5" customHeight="1" thickBot="1" x14ac:dyDescent="0.35">
      <c r="B166" s="222" t="s">
        <v>171</v>
      </c>
      <c r="C166" s="223" t="s">
        <v>172</v>
      </c>
      <c r="D166" s="223"/>
      <c r="E166" s="294"/>
      <c r="F166" s="294"/>
      <c r="G166" s="294"/>
      <c r="H166" s="295"/>
      <c r="I166" s="359"/>
      <c r="J166" s="294"/>
      <c r="K166" s="294"/>
      <c r="L166" s="294"/>
      <c r="M166" s="294"/>
      <c r="N166" s="295"/>
    </row>
    <row r="167" spans="2:22" ht="30.65" customHeight="1" x14ac:dyDescent="0.3">
      <c r="B167" s="755" t="s">
        <v>173</v>
      </c>
      <c r="C167" s="240" t="s">
        <v>174</v>
      </c>
      <c r="D167" s="745" t="s">
        <v>175</v>
      </c>
      <c r="E167" s="293"/>
      <c r="F167" s="293"/>
      <c r="G167" s="293"/>
      <c r="H167" s="362"/>
      <c r="I167" s="360" t="s">
        <v>176</v>
      </c>
      <c r="J167" s="114">
        <v>2.4</v>
      </c>
      <c r="K167" s="13">
        <v>2</v>
      </c>
      <c r="L167" s="13">
        <v>2</v>
      </c>
      <c r="M167" s="13">
        <v>1.9</v>
      </c>
      <c r="N167" s="193"/>
    </row>
    <row r="168" spans="2:22" ht="42.65" customHeight="1" x14ac:dyDescent="0.3">
      <c r="B168" s="756"/>
      <c r="C168" s="40" t="s">
        <v>29</v>
      </c>
      <c r="D168" s="745"/>
      <c r="E168" s="9">
        <v>261</v>
      </c>
      <c r="F168" s="84"/>
      <c r="G168" s="84"/>
      <c r="H168" s="363"/>
      <c r="I168" s="317" t="s">
        <v>177</v>
      </c>
      <c r="J168" s="114">
        <v>0.3</v>
      </c>
      <c r="K168" s="13">
        <v>0.26</v>
      </c>
      <c r="L168" s="13">
        <v>0.3</v>
      </c>
      <c r="M168" s="13">
        <v>0.35</v>
      </c>
      <c r="N168" s="193"/>
      <c r="P168" s="683"/>
      <c r="Q168" s="102"/>
    </row>
    <row r="169" spans="2:22" ht="40.9" customHeight="1" x14ac:dyDescent="0.3">
      <c r="B169" s="756"/>
      <c r="C169" s="40" t="s">
        <v>31</v>
      </c>
      <c r="D169" s="745"/>
      <c r="E169" s="9">
        <v>9595</v>
      </c>
      <c r="F169" s="84">
        <v>10000</v>
      </c>
      <c r="G169" s="84">
        <f>11420-500-920</f>
        <v>10000</v>
      </c>
      <c r="H169" s="363">
        <f>11625-500-1125</f>
        <v>10000</v>
      </c>
      <c r="I169" s="321" t="s">
        <v>178</v>
      </c>
      <c r="J169" s="114">
        <v>26.7</v>
      </c>
      <c r="K169" s="13">
        <v>19.46</v>
      </c>
      <c r="L169" s="13">
        <v>19.91</v>
      </c>
      <c r="M169" s="13">
        <v>20.3</v>
      </c>
      <c r="N169" s="194"/>
    </row>
    <row r="170" spans="2:22" ht="42" customHeight="1" x14ac:dyDescent="0.3">
      <c r="B170" s="756"/>
      <c r="C170" s="40"/>
      <c r="D170" s="129"/>
      <c r="E170" s="9"/>
      <c r="F170" s="9"/>
      <c r="G170" s="9"/>
      <c r="H170" s="314"/>
      <c r="I170" s="321" t="s">
        <v>179</v>
      </c>
      <c r="J170" s="114">
        <v>275.10000000000002</v>
      </c>
      <c r="K170" s="13">
        <v>142.78</v>
      </c>
      <c r="L170" s="13">
        <v>145.63999999999999</v>
      </c>
      <c r="M170" s="13">
        <v>147.1</v>
      </c>
      <c r="N170" s="194"/>
    </row>
    <row r="171" spans="2:22" ht="42" customHeight="1" x14ac:dyDescent="0.3">
      <c r="B171" s="756"/>
      <c r="C171" s="40"/>
      <c r="D171" s="129"/>
      <c r="E171" s="9"/>
      <c r="F171" s="9"/>
      <c r="G171" s="9"/>
      <c r="H171" s="314"/>
      <c r="I171" s="321" t="s">
        <v>180</v>
      </c>
      <c r="J171" s="13">
        <v>18.899999999999999</v>
      </c>
      <c r="K171" s="13">
        <v>19.100000000000001</v>
      </c>
      <c r="L171" s="13">
        <v>19.100000000000001</v>
      </c>
      <c r="M171" s="13">
        <v>19.100000000000001</v>
      </c>
      <c r="N171" s="194"/>
    </row>
    <row r="172" spans="2:22" ht="45.65" customHeight="1" thickBot="1" x14ac:dyDescent="0.35">
      <c r="B172" s="757"/>
      <c r="C172" s="259"/>
      <c r="D172" s="129"/>
      <c r="E172" s="282"/>
      <c r="F172" s="282"/>
      <c r="G172" s="282"/>
      <c r="H172" s="348"/>
      <c r="I172" s="564" t="s">
        <v>181</v>
      </c>
      <c r="J172" s="565">
        <v>15.5</v>
      </c>
      <c r="K172" s="565">
        <v>15</v>
      </c>
      <c r="L172" s="565">
        <v>15</v>
      </c>
      <c r="M172" s="565">
        <v>15</v>
      </c>
      <c r="N172" s="500"/>
    </row>
    <row r="173" spans="2:22" ht="55.15" customHeight="1" x14ac:dyDescent="0.3">
      <c r="B173" s="761" t="s">
        <v>182</v>
      </c>
      <c r="C173" s="559" t="s">
        <v>183</v>
      </c>
      <c r="D173" s="101"/>
      <c r="E173" s="464"/>
      <c r="F173" s="464"/>
      <c r="G173" s="464"/>
      <c r="H173" s="415"/>
      <c r="I173" s="563" t="s">
        <v>184</v>
      </c>
      <c r="J173" s="114">
        <v>58</v>
      </c>
      <c r="K173" s="114">
        <v>58</v>
      </c>
      <c r="L173" s="114">
        <v>58</v>
      </c>
      <c r="M173" s="114">
        <v>58</v>
      </c>
      <c r="N173" s="195"/>
    </row>
    <row r="174" spans="2:22" ht="27" customHeight="1" x14ac:dyDescent="0.3">
      <c r="B174" s="762"/>
      <c r="C174" s="25" t="s">
        <v>29</v>
      </c>
      <c r="D174" s="101"/>
      <c r="E174" s="21">
        <v>332.9</v>
      </c>
      <c r="F174" s="79"/>
      <c r="G174" s="79"/>
      <c r="H174" s="364"/>
      <c r="I174" s="303"/>
      <c r="J174" s="140"/>
      <c r="K174" s="141"/>
      <c r="L174" s="140"/>
      <c r="M174" s="140"/>
      <c r="N174" s="178"/>
      <c r="P174" s="683"/>
      <c r="Q174" s="102"/>
    </row>
    <row r="175" spans="2:22" ht="16.5" customHeight="1" x14ac:dyDescent="0.3">
      <c r="B175" s="763"/>
      <c r="C175" s="231" t="s">
        <v>31</v>
      </c>
      <c r="D175" s="101"/>
      <c r="E175" s="480">
        <f>2300+183.4</f>
        <v>2483.4</v>
      </c>
      <c r="F175" s="691">
        <f>6919.1-508.3-750</f>
        <v>5660.8</v>
      </c>
      <c r="G175" s="691">
        <f>9151-500-2990.2</f>
        <v>5660.8</v>
      </c>
      <c r="H175" s="734">
        <f>11597-500-5436.2</f>
        <v>5660.8</v>
      </c>
      <c r="I175" s="344"/>
      <c r="J175" s="202"/>
      <c r="K175" s="413"/>
      <c r="L175" s="202"/>
      <c r="M175" s="202"/>
      <c r="N175" s="203"/>
    </row>
    <row r="176" spans="2:22" ht="54.75" customHeight="1" x14ac:dyDescent="0.3">
      <c r="B176" s="769"/>
      <c r="C176" s="560" t="s">
        <v>185</v>
      </c>
      <c r="D176" s="101"/>
      <c r="E176" s="21"/>
      <c r="F176" s="79"/>
      <c r="G176" s="103"/>
      <c r="H176" s="689"/>
      <c r="I176" s="144" t="s">
        <v>186</v>
      </c>
      <c r="J176" s="114">
        <v>26</v>
      </c>
      <c r="K176" s="114"/>
      <c r="L176" s="114"/>
      <c r="M176" s="114"/>
      <c r="N176" s="195"/>
      <c r="V176" s="102"/>
    </row>
    <row r="177" spans="2:23" ht="18.75" customHeight="1" x14ac:dyDescent="0.3">
      <c r="B177" s="770"/>
      <c r="C177" s="231" t="s">
        <v>31</v>
      </c>
      <c r="D177" s="101"/>
      <c r="E177" s="384">
        <f>619.2-183.4</f>
        <v>435.80000000000007</v>
      </c>
      <c r="F177" s="465"/>
      <c r="G177" s="688"/>
      <c r="H177" s="690"/>
      <c r="I177" s="344"/>
      <c r="J177" s="423"/>
      <c r="K177" s="202"/>
      <c r="L177" s="202"/>
      <c r="M177" s="202"/>
      <c r="N177" s="203"/>
    </row>
    <row r="178" spans="2:23" ht="28.5" customHeight="1" x14ac:dyDescent="0.3">
      <c r="B178" s="761" t="s">
        <v>187</v>
      </c>
      <c r="C178" s="234" t="s">
        <v>188</v>
      </c>
      <c r="D178" s="101"/>
      <c r="E178" s="29"/>
      <c r="F178" s="29"/>
      <c r="G178" s="29"/>
      <c r="H178" s="366"/>
      <c r="I178" s="144" t="s">
        <v>189</v>
      </c>
      <c r="J178" s="114">
        <v>2.7</v>
      </c>
      <c r="K178" s="114">
        <v>2.4</v>
      </c>
      <c r="L178" s="114">
        <v>2.4</v>
      </c>
      <c r="M178" s="114">
        <v>2.4</v>
      </c>
      <c r="N178" s="195"/>
    </row>
    <row r="179" spans="2:23" ht="28.5" customHeight="1" thickBot="1" x14ac:dyDescent="0.35">
      <c r="B179" s="763"/>
      <c r="C179" s="231" t="s">
        <v>29</v>
      </c>
      <c r="D179" s="101"/>
      <c r="E179" s="384">
        <v>85</v>
      </c>
      <c r="F179" s="465">
        <v>90</v>
      </c>
      <c r="G179" s="465">
        <v>95</v>
      </c>
      <c r="H179" s="394">
        <v>100</v>
      </c>
      <c r="I179" s="344"/>
      <c r="J179" s="202"/>
      <c r="K179" s="202"/>
      <c r="L179" s="202"/>
      <c r="M179" s="202"/>
      <c r="N179" s="203"/>
    </row>
    <row r="180" spans="2:23" ht="30" customHeight="1" x14ac:dyDescent="0.3">
      <c r="B180" s="761" t="s">
        <v>190</v>
      </c>
      <c r="C180" s="234" t="s">
        <v>191</v>
      </c>
      <c r="D180" s="101"/>
      <c r="E180" s="29"/>
      <c r="F180" s="29"/>
      <c r="G180" s="29"/>
      <c r="H180" s="366"/>
      <c r="I180" s="144" t="s">
        <v>192</v>
      </c>
      <c r="J180" s="134">
        <v>6</v>
      </c>
      <c r="K180" s="134">
        <v>6</v>
      </c>
      <c r="L180" s="134">
        <v>6</v>
      </c>
      <c r="M180" s="134">
        <v>6</v>
      </c>
      <c r="N180" s="195"/>
    </row>
    <row r="181" spans="2:23" ht="30" customHeight="1" x14ac:dyDescent="0.3">
      <c r="B181" s="762"/>
      <c r="C181" s="25" t="s">
        <v>29</v>
      </c>
      <c r="D181" s="101"/>
      <c r="E181" s="13"/>
      <c r="F181" s="111"/>
      <c r="G181" s="111"/>
      <c r="H181" s="369"/>
      <c r="I181" s="303"/>
      <c r="J181" s="140"/>
      <c r="K181" s="140"/>
      <c r="L181" s="140"/>
      <c r="M181" s="140"/>
      <c r="N181" s="178"/>
      <c r="U181" s="102"/>
      <c r="V181" s="102"/>
      <c r="W181" s="102"/>
    </row>
    <row r="182" spans="2:23" ht="16.5" customHeight="1" x14ac:dyDescent="0.3">
      <c r="B182" s="764"/>
      <c r="C182" s="259" t="s">
        <v>31</v>
      </c>
      <c r="D182" s="608"/>
      <c r="E182" s="566">
        <v>182.6</v>
      </c>
      <c r="F182" s="111">
        <v>211.4</v>
      </c>
      <c r="G182" s="111">
        <v>217.7</v>
      </c>
      <c r="H182" s="369">
        <v>224.2</v>
      </c>
      <c r="I182" s="344"/>
      <c r="J182" s="202"/>
      <c r="K182" s="202"/>
      <c r="L182" s="202"/>
      <c r="M182" s="202"/>
      <c r="N182" s="203"/>
    </row>
    <row r="183" spans="2:23" ht="30.75" customHeight="1" x14ac:dyDescent="0.3">
      <c r="B183" s="561" t="s">
        <v>193</v>
      </c>
      <c r="C183" s="234" t="s">
        <v>194</v>
      </c>
      <c r="D183" s="744" t="s">
        <v>62</v>
      </c>
      <c r="E183" s="632"/>
      <c r="F183" s="632"/>
      <c r="G183" s="417" t="s">
        <v>44</v>
      </c>
      <c r="H183" s="633" t="s">
        <v>44</v>
      </c>
      <c r="I183" s="447" t="s">
        <v>195</v>
      </c>
      <c r="J183" s="382"/>
      <c r="K183" s="382">
        <v>1</v>
      </c>
      <c r="L183" s="228"/>
      <c r="M183" s="228"/>
      <c r="N183" s="390"/>
    </row>
    <row r="184" spans="2:23" ht="30" customHeight="1" thickBot="1" x14ac:dyDescent="0.35">
      <c r="B184" s="562"/>
      <c r="C184" s="231" t="s">
        <v>29</v>
      </c>
      <c r="D184" s="746"/>
      <c r="E184" s="467">
        <f>20-16.5</f>
        <v>3.5</v>
      </c>
      <c r="F184" s="467">
        <v>16.5</v>
      </c>
      <c r="G184" s="634"/>
      <c r="H184" s="635" t="s">
        <v>44</v>
      </c>
      <c r="I184" s="344"/>
      <c r="J184" s="202"/>
      <c r="K184" s="202"/>
      <c r="L184" s="202"/>
      <c r="M184" s="202"/>
      <c r="N184" s="203"/>
    </row>
    <row r="185" spans="2:23" ht="30" customHeight="1" x14ac:dyDescent="0.3">
      <c r="B185" s="761" t="s">
        <v>196</v>
      </c>
      <c r="C185" s="234" t="s">
        <v>197</v>
      </c>
      <c r="D185" s="745" t="s">
        <v>139</v>
      </c>
      <c r="E185" s="170"/>
      <c r="F185" s="170"/>
      <c r="G185" s="170"/>
      <c r="H185" s="371" t="s">
        <v>44</v>
      </c>
      <c r="I185" s="162" t="s">
        <v>198</v>
      </c>
      <c r="J185" s="134"/>
      <c r="K185" s="134"/>
      <c r="L185" s="134">
        <v>100</v>
      </c>
      <c r="M185" s="631" t="s">
        <v>44</v>
      </c>
      <c r="N185" s="524" t="s">
        <v>199</v>
      </c>
      <c r="O185" s="575"/>
    </row>
    <row r="186" spans="2:23" ht="29.25" customHeight="1" thickBot="1" x14ac:dyDescent="0.35">
      <c r="B186" s="764"/>
      <c r="C186" s="231" t="s">
        <v>29</v>
      </c>
      <c r="D186" s="746"/>
      <c r="E186" s="133"/>
      <c r="F186" s="570"/>
      <c r="G186" s="566">
        <f>200-200+180</f>
        <v>180</v>
      </c>
      <c r="H186" s="571" t="s">
        <v>44</v>
      </c>
      <c r="I186" s="342"/>
      <c r="J186" s="153"/>
      <c r="K186" s="153"/>
      <c r="L186" s="202"/>
      <c r="M186" s="153"/>
      <c r="N186" s="576"/>
      <c r="O186" s="575"/>
    </row>
    <row r="187" spans="2:23" ht="17.25" customHeight="1" x14ac:dyDescent="0.3">
      <c r="B187" s="273"/>
      <c r="C187" s="115" t="s">
        <v>149</v>
      </c>
      <c r="D187" s="349"/>
      <c r="E187" s="569">
        <f t="shared" ref="E187" si="2">+E189+E190</f>
        <v>13379.199999999999</v>
      </c>
      <c r="F187" s="569">
        <f t="shared" ref="F187:H187" si="3">+F189+F190</f>
        <v>15978.699999999999</v>
      </c>
      <c r="G187" s="568">
        <f t="shared" si="3"/>
        <v>16153.5</v>
      </c>
      <c r="H187" s="352">
        <f t="shared" si="3"/>
        <v>15985</v>
      </c>
      <c r="I187" s="572"/>
      <c r="J187" s="573"/>
      <c r="K187" s="573"/>
      <c r="L187" s="349"/>
      <c r="M187" s="573"/>
      <c r="N187" s="574"/>
    </row>
    <row r="188" spans="2:23" ht="17.25" customHeight="1" x14ac:dyDescent="0.3">
      <c r="B188" s="747"/>
      <c r="C188" s="48" t="s">
        <v>150</v>
      </c>
      <c r="D188" s="48"/>
      <c r="E188" s="5"/>
      <c r="F188" s="5"/>
      <c r="G188" s="5"/>
      <c r="H188" s="372"/>
      <c r="I188" s="303"/>
      <c r="J188" s="140"/>
      <c r="K188" s="140"/>
      <c r="L188" s="140"/>
      <c r="M188" s="140"/>
      <c r="N188" s="178"/>
    </row>
    <row r="189" spans="2:23" ht="27.75" customHeight="1" x14ac:dyDescent="0.3">
      <c r="B189" s="748"/>
      <c r="C189" s="43" t="s">
        <v>151</v>
      </c>
      <c r="D189" s="73"/>
      <c r="E189" s="55">
        <f>SUMIF($C167:$C186,$C168,E167:E186)</f>
        <v>682.4</v>
      </c>
      <c r="F189" s="55">
        <f>SUMIF($C167:$C186,$C168,F167:F186)</f>
        <v>106.5</v>
      </c>
      <c r="G189" s="55">
        <f>SUMIF($C167:$C186,$C168,G167:G186)</f>
        <v>275</v>
      </c>
      <c r="H189" s="373">
        <f>SUMIF($C167:$C186,$C168,H167:H186)</f>
        <v>100</v>
      </c>
      <c r="I189" s="303"/>
      <c r="J189" s="140"/>
      <c r="K189" s="140"/>
      <c r="L189" s="140"/>
      <c r="M189" s="140"/>
      <c r="N189" s="178"/>
    </row>
    <row r="190" spans="2:23" ht="16.5" customHeight="1" thickBot="1" x14ac:dyDescent="0.35">
      <c r="B190" s="765"/>
      <c r="C190" s="200" t="s">
        <v>153</v>
      </c>
      <c r="D190" s="577"/>
      <c r="E190" s="578">
        <f>SUMIF($C167:$C186,$C169,E167:E186)</f>
        <v>12696.8</v>
      </c>
      <c r="F190" s="578">
        <f>SUMIF($C167:$C186,$C169,F167:F186)</f>
        <v>15872.199999999999</v>
      </c>
      <c r="G190" s="578">
        <f>SUMIF($C167:$C186,$C169,G167:G186)</f>
        <v>15878.5</v>
      </c>
      <c r="H190" s="579">
        <f>SUMIF($C167:$C186,$C169,H167:H186)</f>
        <v>15885</v>
      </c>
      <c r="I190" s="344"/>
      <c r="J190" s="202"/>
      <c r="K190" s="202"/>
      <c r="L190" s="202"/>
      <c r="M190" s="202"/>
      <c r="N190" s="203"/>
    </row>
    <row r="191" spans="2:23" ht="30.75" customHeight="1" thickBot="1" x14ac:dyDescent="0.35">
      <c r="B191" s="213" t="s">
        <v>200</v>
      </c>
      <c r="C191" s="621" t="s">
        <v>201</v>
      </c>
      <c r="D191" s="621"/>
      <c r="E191" s="622"/>
      <c r="F191" s="622"/>
      <c r="G191" s="622"/>
      <c r="H191" s="623"/>
      <c r="I191" s="624"/>
      <c r="J191" s="622"/>
      <c r="K191" s="622"/>
      <c r="L191" s="622"/>
      <c r="M191" s="622"/>
      <c r="N191" s="623"/>
    </row>
    <row r="192" spans="2:23" ht="47.5" customHeight="1" thickBot="1" x14ac:dyDescent="0.35">
      <c r="B192" s="221"/>
      <c r="C192" s="625"/>
      <c r="D192" s="625"/>
      <c r="E192" s="626"/>
      <c r="F192" s="626"/>
      <c r="G192" s="626"/>
      <c r="H192" s="627"/>
      <c r="I192" s="628" t="s">
        <v>202</v>
      </c>
      <c r="J192" s="629"/>
      <c r="K192" s="629">
        <v>1</v>
      </c>
      <c r="L192" s="629">
        <v>1</v>
      </c>
      <c r="M192" s="629">
        <v>1</v>
      </c>
      <c r="N192" s="630"/>
    </row>
    <row r="193" spans="2:17" ht="30" customHeight="1" thickBot="1" x14ac:dyDescent="0.35">
      <c r="B193" s="222" t="s">
        <v>203</v>
      </c>
      <c r="C193" s="223" t="s">
        <v>204</v>
      </c>
      <c r="D193" s="223"/>
      <c r="E193" s="294"/>
      <c r="F193" s="294"/>
      <c r="G193" s="294"/>
      <c r="H193" s="295"/>
      <c r="I193" s="359"/>
      <c r="J193" s="294"/>
      <c r="K193" s="294"/>
      <c r="L193" s="294"/>
      <c r="M193" s="294"/>
      <c r="N193" s="295"/>
    </row>
    <row r="194" spans="2:17" ht="29.25" customHeight="1" x14ac:dyDescent="0.3">
      <c r="B194" s="755" t="s">
        <v>205</v>
      </c>
      <c r="C194" s="636" t="s">
        <v>206</v>
      </c>
      <c r="D194" s="758" t="s">
        <v>175</v>
      </c>
      <c r="E194" s="396"/>
      <c r="F194" s="396"/>
      <c r="G194" s="396"/>
      <c r="H194" s="397"/>
      <c r="I194" s="637" t="s">
        <v>207</v>
      </c>
      <c r="J194" s="638">
        <v>18</v>
      </c>
      <c r="K194" s="638">
        <v>18.100000000000001</v>
      </c>
      <c r="L194" s="639">
        <v>18.2</v>
      </c>
      <c r="M194" s="639">
        <v>18.3</v>
      </c>
      <c r="N194" s="390"/>
    </row>
    <row r="195" spans="2:17" ht="29.25" customHeight="1" x14ac:dyDescent="0.3">
      <c r="B195" s="756"/>
      <c r="C195" s="106" t="s">
        <v>29</v>
      </c>
      <c r="D195" s="759"/>
      <c r="E195" s="88">
        <f>1589.9-201.2-355.4+100+13.8</f>
        <v>1147.1000000000001</v>
      </c>
      <c r="F195" s="88">
        <f>2411-202.5</f>
        <v>2208.5</v>
      </c>
      <c r="G195" s="24"/>
      <c r="H195" s="312">
        <v>2240.1</v>
      </c>
      <c r="I195" s="367" t="s">
        <v>208</v>
      </c>
      <c r="J195" s="113">
        <v>102</v>
      </c>
      <c r="K195" s="113">
        <v>103</v>
      </c>
      <c r="L195" s="3">
        <v>104</v>
      </c>
      <c r="M195" s="3">
        <v>106</v>
      </c>
      <c r="N195" s="179"/>
      <c r="P195" s="683"/>
    </row>
    <row r="196" spans="2:17" ht="19.149999999999999" customHeight="1" x14ac:dyDescent="0.3">
      <c r="B196" s="756"/>
      <c r="C196" s="106" t="s">
        <v>31</v>
      </c>
      <c r="D196" s="759"/>
      <c r="E196" s="13">
        <v>355.4</v>
      </c>
      <c r="F196" s="13"/>
      <c r="G196" s="24">
        <f>2225.3+202.5-219.3</f>
        <v>2208.5</v>
      </c>
      <c r="H196" s="333"/>
      <c r="I196" s="336" t="s">
        <v>209</v>
      </c>
      <c r="J196" s="142">
        <v>16.899999999999999</v>
      </c>
      <c r="K196" s="142">
        <v>16</v>
      </c>
      <c r="L196" s="142">
        <v>16</v>
      </c>
      <c r="M196" s="142">
        <v>16</v>
      </c>
      <c r="N196" s="179"/>
    </row>
    <row r="197" spans="2:17" ht="56.5" customHeight="1" x14ac:dyDescent="0.3">
      <c r="B197" s="756"/>
      <c r="C197" s="106"/>
      <c r="D197" s="759"/>
      <c r="E197" s="13"/>
      <c r="F197" s="13"/>
      <c r="G197" s="13"/>
      <c r="H197" s="333"/>
      <c r="I197" s="368" t="s">
        <v>210</v>
      </c>
      <c r="J197" s="114">
        <v>15</v>
      </c>
      <c r="K197" s="114">
        <f>15+4</f>
        <v>19</v>
      </c>
      <c r="L197" s="114">
        <v>19</v>
      </c>
      <c r="M197" s="114">
        <v>19</v>
      </c>
      <c r="N197" s="179"/>
    </row>
    <row r="198" spans="2:17" ht="45" customHeight="1" x14ac:dyDescent="0.3">
      <c r="B198" s="756"/>
      <c r="C198" s="106"/>
      <c r="D198" s="759"/>
      <c r="E198" s="13"/>
      <c r="F198" s="13"/>
      <c r="G198" s="13"/>
      <c r="H198" s="332"/>
      <c r="I198" s="163" t="s">
        <v>211</v>
      </c>
      <c r="J198" s="164">
        <f>10+12</f>
        <v>22</v>
      </c>
      <c r="K198" s="114">
        <v>22</v>
      </c>
      <c r="L198" s="114">
        <v>20</v>
      </c>
      <c r="M198" s="114">
        <v>18</v>
      </c>
      <c r="N198" s="183" t="s">
        <v>212</v>
      </c>
    </row>
    <row r="199" spans="2:17" ht="32.5" customHeight="1" x14ac:dyDescent="0.3">
      <c r="B199" s="756"/>
      <c r="C199" s="106"/>
      <c r="D199" s="759"/>
      <c r="E199" s="13"/>
      <c r="F199" s="13"/>
      <c r="G199" s="13"/>
      <c r="H199" s="333"/>
      <c r="I199" s="165" t="s">
        <v>213</v>
      </c>
      <c r="J199" s="164">
        <v>3</v>
      </c>
      <c r="K199" s="164">
        <v>4</v>
      </c>
      <c r="L199" s="114">
        <v>2</v>
      </c>
      <c r="M199" s="114">
        <v>2</v>
      </c>
      <c r="N199" s="183"/>
    </row>
    <row r="200" spans="2:17" ht="32.5" customHeight="1" x14ac:dyDescent="0.3">
      <c r="B200" s="756"/>
      <c r="C200" s="106"/>
      <c r="D200" s="759"/>
      <c r="E200" s="13"/>
      <c r="F200" s="13"/>
      <c r="G200" s="13"/>
      <c r="H200" s="333"/>
      <c r="I200" s="161" t="s">
        <v>214</v>
      </c>
      <c r="J200" s="696"/>
      <c r="K200" s="696"/>
      <c r="L200" s="695">
        <f>0+100</f>
        <v>100</v>
      </c>
      <c r="M200" s="114"/>
      <c r="N200" s="183"/>
    </row>
    <row r="201" spans="2:17" ht="44.5" customHeight="1" x14ac:dyDescent="0.3">
      <c r="B201" s="756"/>
      <c r="C201" s="106"/>
      <c r="D201" s="759"/>
      <c r="E201" s="13"/>
      <c r="F201" s="13"/>
      <c r="G201" s="13"/>
      <c r="H201" s="333"/>
      <c r="I201" s="336" t="s">
        <v>215</v>
      </c>
      <c r="J201" s="113">
        <v>40</v>
      </c>
      <c r="K201" s="113"/>
      <c r="L201" s="3"/>
      <c r="M201" s="3"/>
      <c r="N201" s="179"/>
    </row>
    <row r="202" spans="2:17" ht="30.65" customHeight="1" thickBot="1" x14ac:dyDescent="0.35">
      <c r="B202" s="757"/>
      <c r="C202" s="267"/>
      <c r="D202" s="760"/>
      <c r="E202" s="467"/>
      <c r="F202" s="467"/>
      <c r="G202" s="467"/>
      <c r="H202" s="468"/>
      <c r="I202" s="580" t="s">
        <v>216</v>
      </c>
      <c r="J202" s="406">
        <v>1</v>
      </c>
      <c r="K202" s="581"/>
      <c r="L202" s="406"/>
      <c r="M202" s="406"/>
      <c r="N202" s="515"/>
    </row>
    <row r="203" spans="2:17" ht="29.25" customHeight="1" x14ac:dyDescent="0.3">
      <c r="B203" s="739"/>
      <c r="C203" s="640" t="s">
        <v>217</v>
      </c>
      <c r="D203" s="744" t="s">
        <v>62</v>
      </c>
      <c r="E203" s="417"/>
      <c r="F203" s="417"/>
      <c r="G203" s="417"/>
      <c r="H203" s="633"/>
      <c r="I203" s="641" t="s">
        <v>218</v>
      </c>
      <c r="J203" s="642" t="s">
        <v>219</v>
      </c>
      <c r="K203" s="643"/>
      <c r="L203" s="643"/>
      <c r="M203" s="643"/>
      <c r="N203" s="230" t="s">
        <v>220</v>
      </c>
    </row>
    <row r="204" spans="2:17" ht="32.25" customHeight="1" thickBot="1" x14ac:dyDescent="0.35">
      <c r="B204" s="740"/>
      <c r="C204" s="261" t="s">
        <v>29</v>
      </c>
      <c r="D204" s="746"/>
      <c r="E204" s="467">
        <f>75.9-53.1</f>
        <v>22.800000000000004</v>
      </c>
      <c r="F204" s="467"/>
      <c r="G204" s="467"/>
      <c r="H204" s="567"/>
      <c r="I204" s="583"/>
      <c r="J204" s="202"/>
      <c r="K204" s="202"/>
      <c r="L204" s="202"/>
      <c r="M204" s="202"/>
      <c r="N204" s="203"/>
    </row>
    <row r="205" spans="2:17" ht="28.5" customHeight="1" x14ac:dyDescent="0.3">
      <c r="B205" s="755" t="s">
        <v>221</v>
      </c>
      <c r="C205" s="644" t="s">
        <v>222</v>
      </c>
      <c r="D205" s="773" t="s">
        <v>223</v>
      </c>
      <c r="E205" s="417"/>
      <c r="F205" s="417"/>
      <c r="G205" s="417"/>
      <c r="H205" s="633"/>
      <c r="I205" s="398" t="s">
        <v>224</v>
      </c>
      <c r="J205" s="645">
        <v>173</v>
      </c>
      <c r="K205" s="645">
        <v>173</v>
      </c>
      <c r="L205" s="645">
        <v>173</v>
      </c>
      <c r="M205" s="645">
        <v>173</v>
      </c>
      <c r="N205" s="230" t="s">
        <v>225</v>
      </c>
      <c r="Q205" s="102"/>
    </row>
    <row r="206" spans="2:17" ht="54.65" customHeight="1" x14ac:dyDescent="0.3">
      <c r="B206" s="756"/>
      <c r="C206" s="110" t="s">
        <v>29</v>
      </c>
      <c r="D206" s="774"/>
      <c r="E206" s="21">
        <v>334.9</v>
      </c>
      <c r="F206" s="21"/>
      <c r="G206" s="21"/>
      <c r="H206" s="365"/>
      <c r="I206" s="303"/>
      <c r="J206" s="140"/>
      <c r="K206" s="140"/>
      <c r="L206" s="140"/>
      <c r="M206" s="140"/>
      <c r="N206" s="178"/>
    </row>
    <row r="207" spans="2:17" ht="88.15" customHeight="1" thickBot="1" x14ac:dyDescent="0.35">
      <c r="B207" s="757"/>
      <c r="C207" s="259" t="s">
        <v>29</v>
      </c>
      <c r="D207" s="584" t="s">
        <v>226</v>
      </c>
      <c r="E207" s="585">
        <f>730.8+130.9</f>
        <v>861.69999999999993</v>
      </c>
      <c r="F207" s="585">
        <v>1069.2</v>
      </c>
      <c r="G207" s="585">
        <v>1052.2</v>
      </c>
      <c r="H207" s="586">
        <f>4800*0.234</f>
        <v>1123.2</v>
      </c>
      <c r="I207" s="587"/>
      <c r="J207" s="461"/>
      <c r="K207" s="413"/>
      <c r="L207" s="202"/>
      <c r="M207" s="202"/>
      <c r="N207" s="203"/>
    </row>
    <row r="208" spans="2:17" ht="29.25" customHeight="1" x14ac:dyDescent="0.3">
      <c r="B208" s="755" t="s">
        <v>227</v>
      </c>
      <c r="C208" s="644" t="s">
        <v>228</v>
      </c>
      <c r="D208" s="753" t="s">
        <v>229</v>
      </c>
      <c r="E208" s="646"/>
      <c r="F208" s="646"/>
      <c r="G208" s="646"/>
      <c r="H208" s="647"/>
      <c r="I208" s="648" t="s">
        <v>230</v>
      </c>
      <c r="J208" s="649">
        <v>9</v>
      </c>
      <c r="K208" s="649">
        <v>9</v>
      </c>
      <c r="L208" s="649">
        <v>9</v>
      </c>
      <c r="M208" s="649">
        <v>9</v>
      </c>
      <c r="N208" s="230" t="s">
        <v>231</v>
      </c>
    </row>
    <row r="209" spans="2:16" ht="44.25" customHeight="1" thickBot="1" x14ac:dyDescent="0.35">
      <c r="B209" s="757"/>
      <c r="C209" s="259" t="s">
        <v>29</v>
      </c>
      <c r="D209" s="754"/>
      <c r="E209" s="467">
        <f>246.9-2.5</f>
        <v>244.4</v>
      </c>
      <c r="F209" s="467">
        <v>261.5</v>
      </c>
      <c r="G209" s="467">
        <v>273.10000000000002</v>
      </c>
      <c r="H209" s="468">
        <v>281.5</v>
      </c>
      <c r="I209" s="344"/>
      <c r="J209" s="202"/>
      <c r="K209" s="202"/>
      <c r="L209" s="202"/>
      <c r="M209" s="202"/>
      <c r="N209" s="203"/>
    </row>
    <row r="210" spans="2:16" ht="31.9" customHeight="1" x14ac:dyDescent="0.3">
      <c r="B210" s="741" t="s">
        <v>232</v>
      </c>
      <c r="C210" s="234" t="s">
        <v>233</v>
      </c>
      <c r="D210" s="744" t="s">
        <v>175</v>
      </c>
      <c r="E210" s="650"/>
      <c r="F210" s="650"/>
      <c r="G210" s="650"/>
      <c r="H210" s="651"/>
      <c r="I210" s="426" t="s">
        <v>234</v>
      </c>
      <c r="J210" s="652">
        <v>10</v>
      </c>
      <c r="K210" s="652">
        <v>11</v>
      </c>
      <c r="L210" s="652">
        <v>11</v>
      </c>
      <c r="M210" s="652">
        <v>11</v>
      </c>
      <c r="N210" s="390"/>
    </row>
    <row r="211" spans="2:16" ht="34.15" customHeight="1" x14ac:dyDescent="0.3">
      <c r="B211" s="742"/>
      <c r="C211" s="40" t="s">
        <v>29</v>
      </c>
      <c r="D211" s="745"/>
      <c r="E211" s="22">
        <f>244.6-10-133</f>
        <v>101.6</v>
      </c>
      <c r="F211" s="22">
        <v>68</v>
      </c>
      <c r="G211" s="22">
        <v>189</v>
      </c>
      <c r="H211" s="332">
        <v>110.7</v>
      </c>
      <c r="I211" s="144" t="s">
        <v>235</v>
      </c>
      <c r="J211" s="164">
        <v>1</v>
      </c>
      <c r="K211" s="164">
        <v>1</v>
      </c>
      <c r="L211" s="164">
        <v>1</v>
      </c>
      <c r="M211" s="164">
        <v>1</v>
      </c>
      <c r="N211" s="179"/>
    </row>
    <row r="212" spans="2:16" ht="34.15" customHeight="1" thickBot="1" x14ac:dyDescent="0.35">
      <c r="B212" s="743"/>
      <c r="C212" s="259"/>
      <c r="D212" s="746"/>
      <c r="E212" s="565"/>
      <c r="F212" s="565"/>
      <c r="G212" s="565"/>
      <c r="H212" s="567"/>
      <c r="I212" s="588" t="s">
        <v>236</v>
      </c>
      <c r="J212" s="589"/>
      <c r="K212" s="589"/>
      <c r="L212" s="581"/>
      <c r="M212" s="581">
        <v>1</v>
      </c>
      <c r="N212" s="500"/>
    </row>
    <row r="213" spans="2:16" ht="33.65" customHeight="1" x14ac:dyDescent="0.3">
      <c r="B213" s="805"/>
      <c r="C213" s="653" t="s">
        <v>237</v>
      </c>
      <c r="D213" s="744" t="s">
        <v>238</v>
      </c>
      <c r="E213" s="417"/>
      <c r="F213" s="417"/>
      <c r="G213" s="417"/>
      <c r="H213" s="633"/>
      <c r="I213" s="654" t="s">
        <v>239</v>
      </c>
      <c r="J213" s="645">
        <v>1</v>
      </c>
      <c r="K213" s="645"/>
      <c r="L213" s="645"/>
      <c r="M213" s="645"/>
      <c r="N213" s="390"/>
    </row>
    <row r="214" spans="2:16" ht="65.5" customHeight="1" thickBot="1" x14ac:dyDescent="0.35">
      <c r="B214" s="806"/>
      <c r="C214" s="231" t="s">
        <v>29</v>
      </c>
      <c r="D214" s="746"/>
      <c r="E214" s="593">
        <f>217-100-8.7</f>
        <v>108.3</v>
      </c>
      <c r="F214" s="593"/>
      <c r="G214" s="593"/>
      <c r="H214" s="594"/>
      <c r="I214" s="475"/>
      <c r="J214" s="202"/>
      <c r="K214" s="202"/>
      <c r="L214" s="202"/>
      <c r="M214" s="202"/>
      <c r="N214" s="203"/>
    </row>
    <row r="215" spans="2:16" ht="19.149999999999999" customHeight="1" x14ac:dyDescent="0.3">
      <c r="B215" s="786" t="s">
        <v>240</v>
      </c>
      <c r="C215" s="44" t="s">
        <v>241</v>
      </c>
      <c r="D215" s="745" t="s">
        <v>242</v>
      </c>
      <c r="E215" s="590"/>
      <c r="F215" s="590"/>
      <c r="G215" s="590"/>
      <c r="H215" s="591"/>
      <c r="I215" s="144" t="s">
        <v>243</v>
      </c>
      <c r="J215" s="582"/>
      <c r="K215" s="592"/>
      <c r="L215" s="582">
        <v>5</v>
      </c>
      <c r="M215" s="582"/>
      <c r="N215" s="194"/>
    </row>
    <row r="216" spans="2:16" ht="28.15" customHeight="1" x14ac:dyDescent="0.3">
      <c r="B216" s="786"/>
      <c r="C216" s="25" t="s">
        <v>29</v>
      </c>
      <c r="D216" s="745"/>
      <c r="E216" s="22">
        <v>76.7</v>
      </c>
      <c r="F216" s="34">
        <v>335.6</v>
      </c>
      <c r="G216" s="34">
        <v>328.6</v>
      </c>
      <c r="H216" s="374"/>
      <c r="I216" s="161" t="s">
        <v>244</v>
      </c>
      <c r="J216" s="167"/>
      <c r="K216" s="167"/>
      <c r="L216" s="692">
        <v>12</v>
      </c>
      <c r="M216" s="692">
        <v>85</v>
      </c>
      <c r="N216" s="179"/>
    </row>
    <row r="217" spans="2:16" ht="31.5" customHeight="1" x14ac:dyDescent="0.3">
      <c r="B217" s="786"/>
      <c r="C217" s="25" t="s">
        <v>29</v>
      </c>
      <c r="D217" s="804" t="s">
        <v>245</v>
      </c>
      <c r="E217" s="34"/>
      <c r="F217" s="34"/>
      <c r="G217" s="735">
        <f>2300-1300</f>
        <v>1000</v>
      </c>
      <c r="H217" s="736">
        <f>2650+1300</f>
        <v>3950</v>
      </c>
      <c r="I217" s="302"/>
      <c r="J217" s="140"/>
      <c r="K217" s="140"/>
      <c r="L217" s="140"/>
      <c r="M217" s="140"/>
      <c r="N217" s="178"/>
      <c r="O217" s="683"/>
    </row>
    <row r="218" spans="2:16" ht="18" customHeight="1" thickBot="1" x14ac:dyDescent="0.35">
      <c r="B218" s="787"/>
      <c r="C218" s="231" t="s">
        <v>33</v>
      </c>
      <c r="D218" s="746"/>
      <c r="E218" s="593"/>
      <c r="F218" s="593"/>
      <c r="G218" s="593"/>
      <c r="H218" s="507">
        <v>1500</v>
      </c>
      <c r="I218" s="475"/>
      <c r="J218" s="202"/>
      <c r="K218" s="202"/>
      <c r="L218" s="202"/>
      <c r="M218" s="202"/>
      <c r="N218" s="203"/>
    </row>
    <row r="219" spans="2:16" ht="17.25" customHeight="1" x14ac:dyDescent="0.3">
      <c r="B219" s="273"/>
      <c r="C219" s="115" t="s">
        <v>149</v>
      </c>
      <c r="D219" s="115"/>
      <c r="E219" s="277">
        <f>+E221+E222</f>
        <v>3252.9</v>
      </c>
      <c r="F219" s="277">
        <f t="shared" ref="F219:G219" si="4">+F221+F222</f>
        <v>3942.7999999999997</v>
      </c>
      <c r="G219" s="277">
        <f t="shared" si="4"/>
        <v>5051.3999999999996</v>
      </c>
      <c r="H219" s="352">
        <f>+H221+H222</f>
        <v>7705.5</v>
      </c>
      <c r="I219" s="349"/>
      <c r="J219" s="115"/>
      <c r="K219" s="115"/>
      <c r="L219" s="115"/>
      <c r="M219" s="115"/>
      <c r="N219" s="189"/>
      <c r="P219" s="683"/>
    </row>
    <row r="220" spans="2:16" ht="17.25" customHeight="1" x14ac:dyDescent="0.3">
      <c r="B220" s="747"/>
      <c r="C220" s="39" t="s">
        <v>150</v>
      </c>
      <c r="D220" s="39"/>
      <c r="E220" s="5"/>
      <c r="F220" s="5"/>
      <c r="G220" s="5"/>
      <c r="H220" s="372"/>
      <c r="I220" s="303"/>
      <c r="J220" s="140"/>
      <c r="K220" s="140"/>
      <c r="L220" s="140"/>
      <c r="M220" s="140"/>
      <c r="N220" s="178"/>
    </row>
    <row r="221" spans="2:16" ht="27" customHeight="1" x14ac:dyDescent="0.3">
      <c r="B221" s="748"/>
      <c r="C221" s="43" t="s">
        <v>151</v>
      </c>
      <c r="D221" s="43"/>
      <c r="E221" s="8">
        <f>SUMIF($C194:$C218,$C195,E194:E218)</f>
        <v>2897.5</v>
      </c>
      <c r="F221" s="8">
        <f>SUMIF($C194:$C218,$C195,F194:F218)</f>
        <v>3942.7999999999997</v>
      </c>
      <c r="G221" s="8">
        <f>SUMIF($C194:$C218,$C195,G194:G218)</f>
        <v>2842.9</v>
      </c>
      <c r="H221" s="354">
        <f>SUMIF($C194:$C218,$C195,H194:H218)</f>
        <v>7705.5</v>
      </c>
      <c r="I221" s="303"/>
      <c r="J221" s="140"/>
      <c r="K221" s="140"/>
      <c r="L221" s="140"/>
      <c r="M221" s="140"/>
      <c r="N221" s="178"/>
    </row>
    <row r="222" spans="2:16" ht="16.5" customHeight="1" x14ac:dyDescent="0.3">
      <c r="B222" s="748"/>
      <c r="C222" s="43" t="s">
        <v>153</v>
      </c>
      <c r="D222" s="43"/>
      <c r="E222" s="8">
        <f>SUMIF($C194:$C218,$C196,E194:E218)</f>
        <v>355.4</v>
      </c>
      <c r="F222" s="8">
        <f>SUMIF($C194:$C218,$C196,F194:F218)</f>
        <v>0</v>
      </c>
      <c r="G222" s="8">
        <f>SUMIF($C194:$C218,$C196,G194:G218)</f>
        <v>2208.5</v>
      </c>
      <c r="H222" s="354">
        <f>SUMIF($C194:$C218,$C196,H194:H218)</f>
        <v>0</v>
      </c>
      <c r="I222" s="303"/>
      <c r="J222" s="143"/>
      <c r="K222" s="143"/>
      <c r="L222" s="143"/>
      <c r="M222" s="143"/>
      <c r="N222" s="178"/>
    </row>
    <row r="223" spans="2:16" ht="17.25" customHeight="1" x14ac:dyDescent="0.3">
      <c r="B223" s="748"/>
      <c r="C223" s="75" t="s">
        <v>155</v>
      </c>
      <c r="D223" s="190"/>
      <c r="E223" s="7">
        <f>+E225</f>
        <v>0</v>
      </c>
      <c r="F223" s="7">
        <f>+F225</f>
        <v>0</v>
      </c>
      <c r="G223" s="7">
        <f t="shared" ref="G223" si="5">+G225</f>
        <v>0</v>
      </c>
      <c r="H223" s="355">
        <f>+H225</f>
        <v>1500</v>
      </c>
      <c r="I223" s="72"/>
      <c r="J223" s="46"/>
      <c r="K223" s="46"/>
      <c r="L223" s="46"/>
      <c r="M223" s="46"/>
      <c r="N223" s="197"/>
    </row>
    <row r="224" spans="2:16" ht="15" customHeight="1" x14ac:dyDescent="0.3">
      <c r="B224" s="748"/>
      <c r="C224" s="39" t="s">
        <v>156</v>
      </c>
      <c r="D224" s="39"/>
      <c r="E224" s="6"/>
      <c r="F224" s="6"/>
      <c r="G224" s="6"/>
      <c r="H224" s="353"/>
      <c r="I224" s="303"/>
      <c r="J224" s="140"/>
      <c r="K224" s="140"/>
      <c r="L224" s="140"/>
      <c r="M224" s="140"/>
      <c r="N224" s="178"/>
    </row>
    <row r="225" spans="2:17" ht="16.5" customHeight="1" thickBot="1" x14ac:dyDescent="0.35">
      <c r="B225" s="765"/>
      <c r="C225" s="595" t="s">
        <v>157</v>
      </c>
      <c r="D225" s="200"/>
      <c r="E225" s="596">
        <f>SUMIF($C194:$C218,$C218,E194:E218)</f>
        <v>0</v>
      </c>
      <c r="F225" s="596">
        <f>SUMIF($C194:$C218,$C218,F194:F218)</f>
        <v>0</v>
      </c>
      <c r="G225" s="596">
        <f>SUMIF($C194:$C218,$C218,G194:G218)</f>
        <v>0</v>
      </c>
      <c r="H225" s="579">
        <f>SUMIF($C194:$C218,$C218,H194:H218)</f>
        <v>1500</v>
      </c>
      <c r="I225" s="344"/>
      <c r="J225" s="423"/>
      <c r="K225" s="423"/>
      <c r="L225" s="423"/>
      <c r="M225" s="423"/>
      <c r="N225" s="203"/>
    </row>
    <row r="226" spans="2:17" ht="18.75" customHeight="1" thickBot="1" x14ac:dyDescent="0.35">
      <c r="B226" s="616" t="s">
        <v>246</v>
      </c>
      <c r="C226" s="617" t="s">
        <v>247</v>
      </c>
      <c r="D226" s="617"/>
      <c r="E226" s="618"/>
      <c r="F226" s="618"/>
      <c r="G226" s="618"/>
      <c r="H226" s="619"/>
      <c r="I226" s="620"/>
      <c r="J226" s="618"/>
      <c r="K226" s="618"/>
      <c r="L226" s="618"/>
      <c r="M226" s="618"/>
      <c r="N226" s="619"/>
    </row>
    <row r="227" spans="2:17" ht="46.9" customHeight="1" x14ac:dyDescent="0.3">
      <c r="B227" s="777"/>
      <c r="C227" s="49" t="s">
        <v>248</v>
      </c>
      <c r="D227" s="101"/>
      <c r="E227" s="87"/>
      <c r="F227" s="87"/>
      <c r="G227" s="87"/>
      <c r="H227" s="313"/>
      <c r="I227" s="360" t="s">
        <v>249</v>
      </c>
      <c r="J227" s="168">
        <v>13</v>
      </c>
      <c r="K227" s="168"/>
      <c r="L227" s="168"/>
      <c r="M227" s="168"/>
      <c r="N227" s="194"/>
    </row>
    <row r="228" spans="2:17" ht="43.9" customHeight="1" x14ac:dyDescent="0.3">
      <c r="B228" s="777"/>
      <c r="C228" s="40" t="s">
        <v>29</v>
      </c>
      <c r="D228" s="32" t="s">
        <v>175</v>
      </c>
      <c r="E228" s="99">
        <v>33.299999999999997</v>
      </c>
      <c r="F228" s="99"/>
      <c r="G228" s="99"/>
      <c r="H228" s="316"/>
      <c r="I228" s="375"/>
      <c r="J228" s="140"/>
      <c r="K228" s="140"/>
      <c r="L228" s="140"/>
      <c r="M228" s="140"/>
      <c r="N228" s="178"/>
    </row>
    <row r="229" spans="2:17" ht="48" customHeight="1" thickBot="1" x14ac:dyDescent="0.35">
      <c r="B229" s="778"/>
      <c r="C229" s="259" t="s">
        <v>29</v>
      </c>
      <c r="D229" s="598" t="s">
        <v>250</v>
      </c>
      <c r="E229" s="565">
        <v>110.9</v>
      </c>
      <c r="F229" s="565"/>
      <c r="G229" s="565"/>
      <c r="H229" s="567"/>
      <c r="I229" s="344"/>
      <c r="J229" s="202"/>
      <c r="K229" s="202"/>
      <c r="L229" s="202"/>
      <c r="M229" s="202"/>
      <c r="N229" s="203"/>
    </row>
    <row r="230" spans="2:17" ht="16.899999999999999" customHeight="1" x14ac:dyDescent="0.3">
      <c r="B230" s="805" t="s">
        <v>251</v>
      </c>
      <c r="C230" s="694" t="s">
        <v>252</v>
      </c>
      <c r="D230" s="100"/>
      <c r="E230" s="12"/>
      <c r="F230" s="12"/>
      <c r="G230" s="12"/>
      <c r="H230" s="370"/>
      <c r="I230" s="360" t="s">
        <v>103</v>
      </c>
      <c r="J230" s="582">
        <v>1</v>
      </c>
      <c r="K230" s="597"/>
      <c r="L230" s="597"/>
      <c r="M230" s="597"/>
      <c r="N230" s="194"/>
    </row>
    <row r="231" spans="2:17" ht="29.25" customHeight="1" x14ac:dyDescent="0.3">
      <c r="B231" s="814"/>
      <c r="C231" s="305" t="s">
        <v>29</v>
      </c>
      <c r="D231" s="808" t="s">
        <v>253</v>
      </c>
      <c r="E231" s="81">
        <v>6.8</v>
      </c>
      <c r="F231" s="109"/>
      <c r="G231" s="35"/>
      <c r="H231" s="376"/>
      <c r="I231" s="361" t="s">
        <v>27</v>
      </c>
      <c r="J231" s="172">
        <v>5</v>
      </c>
      <c r="K231" s="692">
        <v>23</v>
      </c>
      <c r="L231" s="693">
        <v>65</v>
      </c>
      <c r="M231" s="693">
        <v>95</v>
      </c>
      <c r="N231" s="177" t="s">
        <v>254</v>
      </c>
    </row>
    <row r="232" spans="2:17" ht="33" customHeight="1" x14ac:dyDescent="0.3">
      <c r="B232" s="814"/>
      <c r="C232" s="600" t="s">
        <v>31</v>
      </c>
      <c r="D232" s="809"/>
      <c r="E232" s="92">
        <v>157.30000000000001</v>
      </c>
      <c r="F232" s="103"/>
      <c r="G232" s="91"/>
      <c r="H232" s="377"/>
      <c r="I232" s="361" t="s">
        <v>255</v>
      </c>
      <c r="J232" s="172"/>
      <c r="K232" s="172"/>
      <c r="L232" s="173"/>
      <c r="M232" s="173"/>
      <c r="N232" s="177"/>
    </row>
    <row r="233" spans="2:17" ht="43.15" customHeight="1" x14ac:dyDescent="0.3">
      <c r="B233" s="814"/>
      <c r="C233" s="160" t="s">
        <v>29</v>
      </c>
      <c r="D233" s="815" t="s">
        <v>256</v>
      </c>
      <c r="E233" s="13">
        <f>101.7+122.1</f>
        <v>223.8</v>
      </c>
      <c r="F233" s="79">
        <f>2480.1-245-896.8-1000</f>
        <v>338.29999999999995</v>
      </c>
      <c r="G233" s="737"/>
      <c r="H233" s="365">
        <f>590.7+500+2000-1000</f>
        <v>2090.6999999999998</v>
      </c>
      <c r="I233" s="361" t="s">
        <v>257</v>
      </c>
      <c r="J233" s="172"/>
      <c r="K233" s="172"/>
      <c r="L233" s="173"/>
      <c r="M233" s="173"/>
      <c r="N233" s="177"/>
      <c r="O233" s="85"/>
      <c r="P233" s="85"/>
      <c r="Q233" s="10"/>
    </row>
    <row r="234" spans="2:17" ht="27.75" customHeight="1" x14ac:dyDescent="0.3">
      <c r="B234" s="814"/>
      <c r="C234" s="600" t="s">
        <v>31</v>
      </c>
      <c r="D234" s="816"/>
      <c r="E234" s="13"/>
      <c r="F234" s="79"/>
      <c r="G234" s="21"/>
      <c r="H234" s="365">
        <v>1000</v>
      </c>
      <c r="I234" s="361" t="s">
        <v>258</v>
      </c>
      <c r="J234" s="81"/>
      <c r="K234" s="81"/>
      <c r="L234" s="171"/>
      <c r="M234" s="81"/>
      <c r="N234" s="177"/>
    </row>
    <row r="235" spans="2:17" ht="23.25" customHeight="1" x14ac:dyDescent="0.3">
      <c r="B235" s="814"/>
      <c r="C235" s="95" t="s">
        <v>96</v>
      </c>
      <c r="D235" s="816"/>
      <c r="E235" s="13"/>
      <c r="F235" s="79">
        <f>1317.1+245</f>
        <v>1562.1</v>
      </c>
      <c r="G235" s="21">
        <f>2370.8+1105.1+1058.5+500-2000</f>
        <v>3034.3999999999996</v>
      </c>
      <c r="H235" s="365"/>
      <c r="I235" s="318"/>
      <c r="J235" s="143"/>
      <c r="K235" s="143"/>
      <c r="L235" s="143"/>
      <c r="M235" s="140"/>
      <c r="N235" s="178"/>
      <c r="P235" s="683"/>
      <c r="Q235" s="102"/>
    </row>
    <row r="236" spans="2:17" ht="27" customHeight="1" x14ac:dyDescent="0.3">
      <c r="B236" s="814"/>
      <c r="C236" s="601" t="s">
        <v>259</v>
      </c>
      <c r="D236" s="816"/>
      <c r="E236" s="13"/>
      <c r="F236" s="21">
        <f>7872.1-7872.1+5872.1</f>
        <v>5872.1</v>
      </c>
      <c r="G236" s="21">
        <v>6317.1</v>
      </c>
      <c r="H236" s="365">
        <v>1754.8</v>
      </c>
      <c r="I236" s="303"/>
      <c r="J236" s="143"/>
      <c r="K236" s="143"/>
      <c r="L236" s="143"/>
      <c r="M236" s="140"/>
      <c r="N236" s="178"/>
    </row>
    <row r="237" spans="2:17" ht="19.5" customHeight="1" thickBot="1" x14ac:dyDescent="0.35">
      <c r="B237" s="806"/>
      <c r="C237" s="602" t="s">
        <v>260</v>
      </c>
      <c r="D237" s="817"/>
      <c r="E237" s="467"/>
      <c r="F237" s="467"/>
      <c r="G237" s="585"/>
      <c r="H237" s="586"/>
      <c r="I237" s="599"/>
      <c r="J237" s="202"/>
      <c r="K237" s="202"/>
      <c r="L237" s="423"/>
      <c r="M237" s="202"/>
      <c r="N237" s="203"/>
    </row>
    <row r="238" spans="2:17" ht="17.25" customHeight="1" x14ac:dyDescent="0.3">
      <c r="B238" s="273"/>
      <c r="C238" s="115" t="s">
        <v>149</v>
      </c>
      <c r="D238" s="115"/>
      <c r="E238" s="277">
        <f>+E240+E243+E241+E242</f>
        <v>532.1</v>
      </c>
      <c r="F238" s="277">
        <f t="shared" ref="F238:H238" si="6">+F240+F243+F241+F242</f>
        <v>7772.5</v>
      </c>
      <c r="G238" s="277">
        <f t="shared" si="6"/>
        <v>9351.5</v>
      </c>
      <c r="H238" s="352">
        <f t="shared" si="6"/>
        <v>4845.5</v>
      </c>
      <c r="I238" s="349"/>
      <c r="J238" s="115"/>
      <c r="K238" s="115"/>
      <c r="L238" s="115"/>
      <c r="M238" s="115"/>
      <c r="N238" s="189"/>
    </row>
    <row r="239" spans="2:17" ht="17.25" customHeight="1" x14ac:dyDescent="0.3">
      <c r="B239" s="810"/>
      <c r="C239" s="39" t="s">
        <v>150</v>
      </c>
      <c r="D239" s="39"/>
      <c r="E239" s="6"/>
      <c r="F239" s="6"/>
      <c r="G239" s="6"/>
      <c r="H239" s="353"/>
      <c r="I239" s="303"/>
      <c r="J239" s="140"/>
      <c r="K239" s="140"/>
      <c r="L239" s="140"/>
      <c r="M239" s="140"/>
      <c r="N239" s="178"/>
    </row>
    <row r="240" spans="2:17" ht="27.75" customHeight="1" x14ac:dyDescent="0.3">
      <c r="B240" s="811"/>
      <c r="C240" s="43" t="s">
        <v>151</v>
      </c>
      <c r="D240" s="43"/>
      <c r="E240" s="8">
        <f>SUMIF($C227:$C237,$C233,E227:E237)</f>
        <v>374.8</v>
      </c>
      <c r="F240" s="8">
        <f t="shared" ref="F240:H240" si="7">SUMIF($C227:$C237,$C233,F227:F237)</f>
        <v>338.29999999999995</v>
      </c>
      <c r="G240" s="8">
        <f t="shared" si="7"/>
        <v>0</v>
      </c>
      <c r="H240" s="354">
        <f t="shared" si="7"/>
        <v>2090.6999999999998</v>
      </c>
      <c r="I240" s="303"/>
      <c r="J240" s="140"/>
      <c r="K240" s="140"/>
      <c r="L240" s="140"/>
      <c r="M240" s="140"/>
      <c r="N240" s="178"/>
    </row>
    <row r="241" spans="2:17" ht="18.75" customHeight="1" x14ac:dyDescent="0.3">
      <c r="B241" s="811"/>
      <c r="C241" s="96" t="s">
        <v>154</v>
      </c>
      <c r="D241" s="43"/>
      <c r="E241" s="8">
        <f>SUMIF($C227:$C237,$C235,E227:E237)</f>
        <v>0</v>
      </c>
      <c r="F241" s="8">
        <f t="shared" ref="F241:H241" si="8">SUMIF($C227:$C237,$C235,F227:F237)</f>
        <v>1562.1</v>
      </c>
      <c r="G241" s="8">
        <f t="shared" si="8"/>
        <v>3034.3999999999996</v>
      </c>
      <c r="H241" s="354">
        <f t="shared" si="8"/>
        <v>0</v>
      </c>
      <c r="I241" s="303"/>
      <c r="J241" s="140"/>
      <c r="K241" s="140"/>
      <c r="L241" s="140"/>
      <c r="M241" s="140"/>
      <c r="N241" s="178"/>
    </row>
    <row r="242" spans="2:17" ht="26.25" customHeight="1" x14ac:dyDescent="0.3">
      <c r="B242" s="811"/>
      <c r="C242" s="609" t="s">
        <v>261</v>
      </c>
      <c r="D242" s="43"/>
      <c r="E242" s="8">
        <f>SUMIF($C227:$C237,$C236,E227:E237)</f>
        <v>0</v>
      </c>
      <c r="F242" s="8">
        <f t="shared" ref="F242:H242" si="9">SUMIF($C227:$C237,$C236,F227:F237)</f>
        <v>5872.1</v>
      </c>
      <c r="G242" s="8">
        <f t="shared" si="9"/>
        <v>6317.1</v>
      </c>
      <c r="H242" s="354">
        <f t="shared" si="9"/>
        <v>1754.8</v>
      </c>
      <c r="I242" s="303"/>
      <c r="J242" s="140"/>
      <c r="K242" s="140"/>
      <c r="L242" s="140"/>
      <c r="M242" s="140"/>
      <c r="N242" s="178"/>
    </row>
    <row r="243" spans="2:17" ht="15" customHeight="1" x14ac:dyDescent="0.3">
      <c r="B243" s="812"/>
      <c r="C243" s="43" t="s">
        <v>153</v>
      </c>
      <c r="D243" s="43"/>
      <c r="E243" s="8">
        <f>SUMIF($C227:$C237,$C232,E227:E237)</f>
        <v>157.30000000000001</v>
      </c>
      <c r="F243" s="8">
        <f>SUMIF($C227:$C237,$C232,F227:F237)</f>
        <v>0</v>
      </c>
      <c r="G243" s="8">
        <f>SUMIF($C227:$C237,$C232,G227:G237)</f>
        <v>0</v>
      </c>
      <c r="H243" s="354">
        <f>SUMIF($C227:$C237,$C232,H227:H237)</f>
        <v>1000</v>
      </c>
      <c r="I243" s="303"/>
      <c r="J243" s="140"/>
      <c r="K243" s="140"/>
      <c r="L243" s="140"/>
      <c r="M243" s="140"/>
      <c r="N243" s="178"/>
    </row>
    <row r="244" spans="2:17" ht="15" customHeight="1" x14ac:dyDescent="0.3">
      <c r="B244" s="188"/>
      <c r="C244" s="75" t="s">
        <v>155</v>
      </c>
      <c r="D244" s="190"/>
      <c r="E244" s="7">
        <f t="shared" ref="E244" si="10">+E246</f>
        <v>0</v>
      </c>
      <c r="F244" s="7">
        <f t="shared" ref="F244:G244" si="11">+F246</f>
        <v>0</v>
      </c>
      <c r="G244" s="7">
        <f t="shared" si="11"/>
        <v>0</v>
      </c>
      <c r="H244" s="355">
        <f t="shared" ref="H244" si="12">+H246</f>
        <v>0</v>
      </c>
      <c r="I244" s="72"/>
      <c r="J244" s="46"/>
      <c r="K244" s="46"/>
      <c r="L244" s="46"/>
      <c r="M244" s="46"/>
      <c r="N244" s="197"/>
    </row>
    <row r="245" spans="2:17" ht="15" customHeight="1" x14ac:dyDescent="0.3">
      <c r="B245" s="810"/>
      <c r="C245" s="39" t="s">
        <v>156</v>
      </c>
      <c r="D245" s="39"/>
      <c r="E245" s="5"/>
      <c r="F245" s="5"/>
      <c r="G245" s="5"/>
      <c r="H245" s="372"/>
      <c r="I245" s="303"/>
      <c r="J245" s="140"/>
      <c r="K245" s="140"/>
      <c r="L245" s="140"/>
      <c r="M245" s="140"/>
      <c r="N245" s="178"/>
    </row>
    <row r="246" spans="2:17" ht="18" customHeight="1" thickBot="1" x14ac:dyDescent="0.35">
      <c r="B246" s="813"/>
      <c r="C246" s="595" t="s">
        <v>262</v>
      </c>
      <c r="D246" s="595"/>
      <c r="E246" s="603">
        <f>SUMIF($C227:$C237,#REF!,E227:E237)</f>
        <v>0</v>
      </c>
      <c r="F246" s="603">
        <f>SUMIF($C227:$C237,#REF!,F227:F237)</f>
        <v>0</v>
      </c>
      <c r="G246" s="603">
        <f>SUMIF($C227:$C237,#REF!,G227:G237)</f>
        <v>0</v>
      </c>
      <c r="H246" s="604">
        <f>SUMIF($C227:$C237,#REF!,H227:H237)</f>
        <v>0</v>
      </c>
      <c r="I246" s="344"/>
      <c r="J246" s="423"/>
      <c r="K246" s="423"/>
      <c r="L246" s="423"/>
      <c r="M246" s="423"/>
      <c r="N246" s="203"/>
    </row>
    <row r="247" spans="2:17" ht="26.25" customHeight="1" x14ac:dyDescent="0.3">
      <c r="B247" s="610"/>
      <c r="C247" s="611" t="s">
        <v>263</v>
      </c>
      <c r="D247" s="573"/>
      <c r="E247" s="612">
        <f>+E147+E153+E187+E219+E223+E238+E244</f>
        <v>36438.199999999997</v>
      </c>
      <c r="F247" s="612">
        <f>+F147+F153+F187+F219+F223+F238+F244</f>
        <v>43576</v>
      </c>
      <c r="G247" s="613">
        <f>+G147+G153+G187+G219+G223+G238+G244</f>
        <v>45742.8</v>
      </c>
      <c r="H247" s="614">
        <f>+H147+H153+H187+H219+H223+H238+H244</f>
        <v>48413.5</v>
      </c>
      <c r="I247" s="615"/>
      <c r="J247" s="611"/>
      <c r="K247" s="611"/>
      <c r="L247" s="611"/>
      <c r="M247" s="573"/>
      <c r="N247" s="574"/>
    </row>
    <row r="248" spans="2:17" ht="24" customHeight="1" x14ac:dyDescent="0.3">
      <c r="B248" s="198"/>
      <c r="C248" s="43" t="s">
        <v>264</v>
      </c>
      <c r="D248" s="235"/>
      <c r="E248" s="605">
        <f>+E231+E233+E237+E232+E235+E234+E236</f>
        <v>387.90000000000003</v>
      </c>
      <c r="F248" s="605">
        <f t="shared" ref="F248:H248" si="13">+F231+F233+F237+F232+F235+F234+F236</f>
        <v>7772.5</v>
      </c>
      <c r="G248" s="6">
        <f t="shared" si="13"/>
        <v>9351.5</v>
      </c>
      <c r="H248" s="353">
        <f t="shared" si="13"/>
        <v>4845.5</v>
      </c>
      <c r="I248" s="378"/>
      <c r="J248" s="140"/>
      <c r="K248" s="140"/>
      <c r="L248" s="140"/>
      <c r="M248" s="606"/>
      <c r="N248" s="607"/>
    </row>
    <row r="249" spans="2:17" ht="46.15" customHeight="1" thickBot="1" x14ac:dyDescent="0.35">
      <c r="B249" s="199"/>
      <c r="C249" s="200" t="s">
        <v>265</v>
      </c>
      <c r="D249" s="200"/>
      <c r="E249" s="201"/>
      <c r="F249" s="201">
        <f>+F247-E247</f>
        <v>7137.8000000000029</v>
      </c>
      <c r="G249" s="201">
        <f t="shared" ref="G249:H249" si="14">+G247-F247</f>
        <v>2166.8000000000029</v>
      </c>
      <c r="H249" s="379">
        <f t="shared" si="14"/>
        <v>2670.6999999999971</v>
      </c>
      <c r="I249" s="344"/>
      <c r="J249" s="202"/>
      <c r="K249" s="202"/>
      <c r="L249" s="202"/>
      <c r="M249" s="202"/>
      <c r="N249" s="203"/>
    </row>
    <row r="250" spans="2:17" ht="15" customHeight="1" x14ac:dyDescent="0.3">
      <c r="E250" s="36"/>
      <c r="F250" s="36"/>
      <c r="G250" s="36"/>
      <c r="H250" s="36"/>
      <c r="P250" s="683"/>
      <c r="Q250" s="683"/>
    </row>
    <row r="251" spans="2:17" ht="15" customHeight="1" x14ac:dyDescent="0.3">
      <c r="B251" s="802" t="s">
        <v>266</v>
      </c>
      <c r="C251" s="802"/>
      <c r="D251" s="802"/>
      <c r="E251" s="802"/>
      <c r="F251" s="802"/>
      <c r="G251" s="802"/>
      <c r="H251" s="802"/>
    </row>
    <row r="252" spans="2:17" ht="15" customHeight="1" x14ac:dyDescent="0.3">
      <c r="B252" s="807" t="s">
        <v>267</v>
      </c>
      <c r="C252" s="807"/>
      <c r="D252" s="807"/>
      <c r="E252" s="807"/>
      <c r="F252" s="807"/>
      <c r="G252" s="807"/>
      <c r="H252" s="807"/>
    </row>
    <row r="253" spans="2:17" ht="15" customHeight="1" x14ac:dyDescent="0.3">
      <c r="B253" s="802" t="s">
        <v>268</v>
      </c>
      <c r="C253" s="802"/>
      <c r="D253" s="802"/>
      <c r="E253" s="802"/>
      <c r="F253" s="802"/>
      <c r="G253" s="802"/>
      <c r="H253" s="802"/>
    </row>
    <row r="254" spans="2:17" ht="15" customHeight="1" x14ac:dyDescent="0.3">
      <c r="B254" s="802" t="s">
        <v>269</v>
      </c>
      <c r="C254" s="802"/>
      <c r="D254" s="802"/>
      <c r="E254" s="802"/>
      <c r="F254" s="802"/>
      <c r="G254" s="802"/>
      <c r="H254" s="802"/>
    </row>
    <row r="255" spans="2:17" ht="15" customHeight="1" x14ac:dyDescent="0.3">
      <c r="B255" s="802" t="s">
        <v>270</v>
      </c>
      <c r="C255" s="802"/>
      <c r="D255" s="802"/>
      <c r="E255" s="802"/>
      <c r="F255" s="802"/>
      <c r="G255" s="802"/>
      <c r="H255" s="802"/>
    </row>
    <row r="256" spans="2:17" ht="15" customHeight="1" x14ac:dyDescent="0.3">
      <c r="B256" s="801"/>
      <c r="C256" s="801"/>
      <c r="D256" s="801"/>
      <c r="E256" s="801"/>
      <c r="F256" s="801"/>
      <c r="G256" s="801"/>
      <c r="H256" s="801"/>
    </row>
    <row r="257" spans="2:8" ht="15.75" customHeight="1" x14ac:dyDescent="0.3">
      <c r="B257" s="803" t="s">
        <v>271</v>
      </c>
      <c r="C257" s="803"/>
      <c r="D257" s="803"/>
      <c r="E257" s="803"/>
      <c r="F257" s="803"/>
      <c r="G257" s="803"/>
      <c r="H257" s="803"/>
    </row>
    <row r="258" spans="2:8" ht="15.75" customHeight="1" x14ac:dyDescent="0.3">
      <c r="B258" s="800" t="s">
        <v>272</v>
      </c>
      <c r="C258" s="800"/>
      <c r="D258" s="800"/>
      <c r="E258" s="800"/>
      <c r="F258" s="800"/>
      <c r="G258" s="800"/>
      <c r="H258" s="800"/>
    </row>
    <row r="259" spans="2:8" x14ac:dyDescent="0.3">
      <c r="B259" s="11"/>
      <c r="D259" s="97"/>
      <c r="E259" s="98"/>
      <c r="F259" s="98"/>
      <c r="G259" s="98"/>
      <c r="H259" s="11"/>
    </row>
    <row r="260" spans="2:8" x14ac:dyDescent="0.3">
      <c r="B260" s="11"/>
      <c r="E260" s="11"/>
      <c r="F260" s="11"/>
      <c r="G260" s="11"/>
      <c r="H260" s="380"/>
    </row>
    <row r="261" spans="2:8" x14ac:dyDescent="0.3">
      <c r="B261" s="11"/>
      <c r="E261" s="11"/>
      <c r="F261" s="11"/>
      <c r="G261" s="11"/>
      <c r="H261" s="31"/>
    </row>
    <row r="262" spans="2:8" x14ac:dyDescent="0.3">
      <c r="B262" s="11"/>
      <c r="E262" s="11"/>
      <c r="F262" s="11"/>
      <c r="G262" s="11"/>
      <c r="H262" s="11"/>
    </row>
    <row r="263" spans="2:8" x14ac:dyDescent="0.3">
      <c r="B263" s="11"/>
      <c r="E263" s="11"/>
      <c r="F263" s="11"/>
      <c r="G263" s="11"/>
      <c r="H263" s="11"/>
    </row>
    <row r="264" spans="2:8" x14ac:dyDescent="0.3">
      <c r="B264" s="11"/>
      <c r="E264" s="11"/>
      <c r="F264" s="11"/>
      <c r="G264" s="11"/>
      <c r="H264" s="11"/>
    </row>
    <row r="265" spans="2:8" x14ac:dyDescent="0.3">
      <c r="B265" s="11"/>
      <c r="E265" s="11"/>
      <c r="F265" s="11"/>
      <c r="G265" s="11"/>
      <c r="H265" s="11"/>
    </row>
    <row r="266" spans="2:8" x14ac:dyDescent="0.3">
      <c r="B266" s="11"/>
      <c r="E266" s="11"/>
      <c r="F266" s="11"/>
      <c r="G266" s="11"/>
      <c r="H266" s="11"/>
    </row>
    <row r="267" spans="2:8" x14ac:dyDescent="0.3">
      <c r="B267" s="11"/>
      <c r="E267" s="11"/>
      <c r="F267" s="11"/>
      <c r="G267" s="11"/>
      <c r="H267" s="11"/>
    </row>
    <row r="268" spans="2:8" x14ac:dyDescent="0.3">
      <c r="B268" s="11"/>
      <c r="E268" s="31"/>
      <c r="F268" s="31"/>
      <c r="G268" s="31"/>
      <c r="H268" s="31"/>
    </row>
    <row r="269" spans="2:8" x14ac:dyDescent="0.3">
      <c r="B269" s="11"/>
      <c r="E269" s="31"/>
      <c r="F269" s="31"/>
      <c r="G269" s="31"/>
      <c r="H269" s="31"/>
    </row>
    <row r="270" spans="2:8" x14ac:dyDescent="0.3">
      <c r="B270" s="11"/>
      <c r="E270" s="31"/>
      <c r="F270" s="31"/>
      <c r="G270" s="31"/>
      <c r="H270" s="31"/>
    </row>
    <row r="271" spans="2:8" x14ac:dyDescent="0.3">
      <c r="B271" s="11"/>
      <c r="E271" s="31"/>
      <c r="F271" s="31"/>
      <c r="G271" s="31"/>
      <c r="H271" s="31"/>
    </row>
    <row r="272" spans="2:8" x14ac:dyDescent="0.3">
      <c r="B272" s="11"/>
      <c r="E272" s="11"/>
      <c r="F272" s="11"/>
      <c r="G272" s="11"/>
      <c r="H272" s="11"/>
    </row>
    <row r="273" spans="2:8" x14ac:dyDescent="0.3">
      <c r="B273" s="11"/>
      <c r="E273" s="31"/>
      <c r="F273" s="31"/>
      <c r="G273" s="11"/>
      <c r="H273" s="11"/>
    </row>
    <row r="274" spans="2:8" x14ac:dyDescent="0.3">
      <c r="B274" s="11"/>
      <c r="E274" s="31"/>
      <c r="F274" s="31"/>
      <c r="G274" s="11"/>
      <c r="H274" s="11"/>
    </row>
    <row r="275" spans="2:8" x14ac:dyDescent="0.3">
      <c r="B275" s="11"/>
      <c r="E275" s="11"/>
      <c r="F275" s="11"/>
      <c r="G275" s="11"/>
      <c r="H275" s="11"/>
    </row>
    <row r="276" spans="2:8" x14ac:dyDescent="0.3">
      <c r="B276" s="11"/>
      <c r="E276" s="11"/>
      <c r="F276" s="11"/>
      <c r="G276" s="11"/>
      <c r="H276" s="11"/>
    </row>
    <row r="277" spans="2:8" x14ac:dyDescent="0.3">
      <c r="B277" s="11"/>
      <c r="E277" s="11"/>
      <c r="F277" s="11"/>
      <c r="G277" s="11"/>
      <c r="H277" s="11"/>
    </row>
    <row r="278" spans="2:8" x14ac:dyDescent="0.3">
      <c r="B278" s="11"/>
      <c r="E278" s="11"/>
      <c r="F278" s="11"/>
      <c r="G278" s="11"/>
      <c r="H278" s="11"/>
    </row>
    <row r="279" spans="2:8" x14ac:dyDescent="0.3">
      <c r="B279" s="11"/>
      <c r="E279" s="11"/>
      <c r="F279" s="11"/>
      <c r="G279" s="11"/>
      <c r="H279" s="11"/>
    </row>
    <row r="280" spans="2:8" x14ac:dyDescent="0.3">
      <c r="B280" s="11"/>
      <c r="E280" s="11"/>
      <c r="F280" s="11"/>
      <c r="G280" s="11"/>
      <c r="H280" s="11"/>
    </row>
    <row r="281" spans="2:8" x14ac:dyDescent="0.3">
      <c r="B281" s="11"/>
      <c r="E281" s="11"/>
      <c r="F281" s="11"/>
      <c r="G281" s="11"/>
      <c r="H281" s="11"/>
    </row>
    <row r="282" spans="2:8" x14ac:dyDescent="0.3">
      <c r="B282" s="11"/>
      <c r="E282" s="11"/>
      <c r="F282" s="11"/>
      <c r="G282" s="11"/>
      <c r="H282" s="11"/>
    </row>
    <row r="283" spans="2:8" x14ac:dyDescent="0.3">
      <c r="B283" s="11"/>
      <c r="E283" s="11"/>
      <c r="F283" s="11"/>
      <c r="G283" s="11"/>
      <c r="H283" s="11"/>
    </row>
    <row r="284" spans="2:8" x14ac:dyDescent="0.3">
      <c r="B284" s="11"/>
      <c r="E284" s="11"/>
      <c r="F284" s="11"/>
      <c r="G284" s="11"/>
      <c r="H284" s="11"/>
    </row>
    <row r="285" spans="2:8" x14ac:dyDescent="0.3">
      <c r="B285" s="11"/>
      <c r="E285" s="11"/>
      <c r="F285" s="11"/>
      <c r="G285" s="11"/>
      <c r="H285" s="11"/>
    </row>
    <row r="286" spans="2:8" x14ac:dyDescent="0.3">
      <c r="B286" s="11"/>
      <c r="E286" s="11"/>
      <c r="F286" s="11"/>
      <c r="G286" s="11"/>
      <c r="H286" s="11"/>
    </row>
    <row r="287" spans="2:8" x14ac:dyDescent="0.3">
      <c r="E287" s="30"/>
      <c r="F287" s="30"/>
      <c r="G287" s="30"/>
      <c r="H287" s="30"/>
    </row>
    <row r="288" spans="2:8" x14ac:dyDescent="0.3">
      <c r="E288" s="30"/>
      <c r="F288" s="30"/>
      <c r="G288" s="30"/>
      <c r="H288" s="30"/>
    </row>
    <row r="289" spans="5:8" x14ac:dyDescent="0.3">
      <c r="E289" s="30"/>
      <c r="F289" s="30"/>
      <c r="G289" s="30"/>
      <c r="H289" s="30"/>
    </row>
    <row r="290" spans="5:8" x14ac:dyDescent="0.3">
      <c r="E290" s="30"/>
      <c r="F290" s="30"/>
      <c r="G290" s="30"/>
      <c r="H290" s="30"/>
    </row>
    <row r="291" spans="5:8" x14ac:dyDescent="0.3">
      <c r="E291" s="11"/>
      <c r="F291" s="11"/>
      <c r="G291" s="11"/>
      <c r="H291" s="11"/>
    </row>
    <row r="292" spans="5:8" x14ac:dyDescent="0.3">
      <c r="E292" s="11"/>
      <c r="F292" s="11"/>
      <c r="G292" s="11"/>
      <c r="H292" s="11"/>
    </row>
    <row r="293" spans="5:8" x14ac:dyDescent="0.3">
      <c r="E293" s="11"/>
      <c r="F293" s="11"/>
      <c r="G293" s="11"/>
      <c r="H293" s="11"/>
    </row>
    <row r="294" spans="5:8" x14ac:dyDescent="0.3">
      <c r="E294" s="11"/>
      <c r="F294" s="11"/>
      <c r="G294" s="11"/>
      <c r="H294" s="11"/>
    </row>
    <row r="295" spans="5:8" x14ac:dyDescent="0.3">
      <c r="E295" s="11"/>
      <c r="F295" s="11"/>
      <c r="G295" s="11"/>
      <c r="H295" s="11"/>
    </row>
    <row r="296" spans="5:8" x14ac:dyDescent="0.3">
      <c r="E296" s="11"/>
      <c r="F296" s="11"/>
      <c r="G296" s="11"/>
      <c r="H296" s="11"/>
    </row>
    <row r="297" spans="5:8" x14ac:dyDescent="0.3">
      <c r="E297" s="11"/>
      <c r="F297" s="11"/>
      <c r="G297" s="11"/>
      <c r="H297" s="11"/>
    </row>
    <row r="298" spans="5:8" x14ac:dyDescent="0.3">
      <c r="E298" s="11"/>
      <c r="F298" s="11"/>
      <c r="G298" s="11"/>
      <c r="H298" s="11"/>
    </row>
    <row r="299" spans="5:8" x14ac:dyDescent="0.3">
      <c r="E299" s="11"/>
      <c r="F299" s="11"/>
      <c r="G299" s="11"/>
      <c r="H299" s="11"/>
    </row>
    <row r="300" spans="5:8" x14ac:dyDescent="0.3">
      <c r="E300" s="11"/>
      <c r="F300" s="11"/>
      <c r="G300" s="11"/>
      <c r="H300" s="11"/>
    </row>
    <row r="301" spans="5:8" x14ac:dyDescent="0.3">
      <c r="E301" s="11"/>
      <c r="F301" s="11"/>
      <c r="G301" s="11"/>
      <c r="H301" s="11"/>
    </row>
    <row r="302" spans="5:8" x14ac:dyDescent="0.3">
      <c r="E302" s="11"/>
      <c r="F302" s="11"/>
      <c r="G302" s="11"/>
      <c r="H302" s="11"/>
    </row>
    <row r="303" spans="5:8" x14ac:dyDescent="0.3">
      <c r="E303" s="11"/>
      <c r="F303" s="11"/>
      <c r="G303" s="11"/>
      <c r="H303" s="11"/>
    </row>
  </sheetData>
  <mergeCells count="107">
    <mergeCell ref="D167:D169"/>
    <mergeCell ref="D62:D66"/>
    <mergeCell ref="D139:D144"/>
    <mergeCell ref="B73:B76"/>
    <mergeCell ref="B127:B128"/>
    <mergeCell ref="B107:B109"/>
    <mergeCell ref="D107:D109"/>
    <mergeCell ref="D96:D106"/>
    <mergeCell ref="D113:D114"/>
    <mergeCell ref="B80:B82"/>
    <mergeCell ref="B123:B124"/>
    <mergeCell ref="B110:B112"/>
    <mergeCell ref="D118:D121"/>
    <mergeCell ref="D125:D126"/>
    <mergeCell ref="D127:D130"/>
    <mergeCell ref="D134:D135"/>
    <mergeCell ref="B60:B61"/>
    <mergeCell ref="B62:B72"/>
    <mergeCell ref="B77:B79"/>
    <mergeCell ref="B136:B138"/>
    <mergeCell ref="B131:B133"/>
    <mergeCell ref="B129:B130"/>
    <mergeCell ref="D93:D95"/>
    <mergeCell ref="I5:I6"/>
    <mergeCell ref="J5:M5"/>
    <mergeCell ref="N5:N6"/>
    <mergeCell ref="M1:N1"/>
    <mergeCell ref="M2:N2"/>
    <mergeCell ref="B4:N4"/>
    <mergeCell ref="B5:B6"/>
    <mergeCell ref="C5:C6"/>
    <mergeCell ref="D5:D6"/>
    <mergeCell ref="E5:E6"/>
    <mergeCell ref="F5:F6"/>
    <mergeCell ref="G5:G6"/>
    <mergeCell ref="H5:H6"/>
    <mergeCell ref="D183:D184"/>
    <mergeCell ref="D73:D76"/>
    <mergeCell ref="B99:B104"/>
    <mergeCell ref="B258:H258"/>
    <mergeCell ref="B256:H256"/>
    <mergeCell ref="B254:H254"/>
    <mergeCell ref="B257:H257"/>
    <mergeCell ref="D215:D216"/>
    <mergeCell ref="D213:D214"/>
    <mergeCell ref="B220:B225"/>
    <mergeCell ref="D217:D218"/>
    <mergeCell ref="B213:B214"/>
    <mergeCell ref="B215:B218"/>
    <mergeCell ref="B253:H253"/>
    <mergeCell ref="B251:H251"/>
    <mergeCell ref="B252:H252"/>
    <mergeCell ref="B255:H255"/>
    <mergeCell ref="B227:B229"/>
    <mergeCell ref="D231:D232"/>
    <mergeCell ref="B239:B243"/>
    <mergeCell ref="B245:B246"/>
    <mergeCell ref="B230:B237"/>
    <mergeCell ref="D233:D237"/>
    <mergeCell ref="D185:D186"/>
    <mergeCell ref="D14:D40"/>
    <mergeCell ref="D115:D117"/>
    <mergeCell ref="B83:B87"/>
    <mergeCell ref="B14:B19"/>
    <mergeCell ref="B23:B27"/>
    <mergeCell ref="B39:B40"/>
    <mergeCell ref="B51:B53"/>
    <mergeCell ref="B20:B22"/>
    <mergeCell ref="B46:B50"/>
    <mergeCell ref="B41:B45"/>
    <mergeCell ref="B28:B33"/>
    <mergeCell ref="B115:B117"/>
    <mergeCell ref="B113:B114"/>
    <mergeCell ref="B88:B92"/>
    <mergeCell ref="B96:B97"/>
    <mergeCell ref="B56:B59"/>
    <mergeCell ref="B105:B106"/>
    <mergeCell ref="B54:B55"/>
    <mergeCell ref="D41:D61"/>
    <mergeCell ref="D77:D87"/>
    <mergeCell ref="D110:D112"/>
    <mergeCell ref="B93:B95"/>
    <mergeCell ref="D88:D92"/>
    <mergeCell ref="B203:B204"/>
    <mergeCell ref="B210:B212"/>
    <mergeCell ref="D210:D212"/>
    <mergeCell ref="B154:B158"/>
    <mergeCell ref="B148:B152"/>
    <mergeCell ref="B142:B144"/>
    <mergeCell ref="B134:B135"/>
    <mergeCell ref="D208:D209"/>
    <mergeCell ref="B167:B172"/>
    <mergeCell ref="D194:D202"/>
    <mergeCell ref="B194:B202"/>
    <mergeCell ref="B173:B175"/>
    <mergeCell ref="B205:B207"/>
    <mergeCell ref="B208:B209"/>
    <mergeCell ref="B180:B182"/>
    <mergeCell ref="B188:B190"/>
    <mergeCell ref="B139:B141"/>
    <mergeCell ref="B178:B179"/>
    <mergeCell ref="B185:B186"/>
    <mergeCell ref="B176:B177"/>
    <mergeCell ref="D145:D146"/>
    <mergeCell ref="D205:D206"/>
    <mergeCell ref="D203:D204"/>
    <mergeCell ref="B145:B146"/>
  </mergeCells>
  <pageMargins left="0.39370078740157483" right="0.39370078740157483" top="0.59055118110236227" bottom="0.59055118110236227" header="0" footer="0"/>
  <pageSetup paperSize="9" scale="75" fitToHeight="0" orientation="landscape" r:id="rId1"/>
  <rowBreaks count="14" manualBreakCount="14">
    <brk id="22" max="13" man="1"/>
    <brk id="40" max="13" man="1"/>
    <brk id="61" max="13" man="1"/>
    <brk id="72" max="13" man="1"/>
    <brk id="92" max="13" man="1"/>
    <brk id="112" max="13" man="1"/>
    <brk id="128" max="13" man="1"/>
    <brk id="146" max="13" man="1"/>
    <brk id="165" max="13" man="1"/>
    <brk id="179" max="13" man="1"/>
    <brk id="197" max="13" man="1"/>
    <brk id="209" max="13" man="1"/>
    <brk id="225" max="13" man="1"/>
    <brk id="246" max="13" man="1"/>
  </rowBreaks>
  <ignoredErrors>
    <ignoredError sqref="J203"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18E8B-1004-4D4A-B00B-0C021F301FE7}">
  <sheetPr>
    <pageSetUpPr fitToPage="1"/>
  </sheetPr>
  <dimension ref="B1:K25"/>
  <sheetViews>
    <sheetView zoomScaleNormal="100" workbookViewId="0">
      <selection activeCell="E38" sqref="E38"/>
    </sheetView>
  </sheetViews>
  <sheetFormatPr defaultColWidth="9.453125" defaultRowHeight="13" x14ac:dyDescent="0.3"/>
  <cols>
    <col min="1" max="1" width="2.54296875" style="14" customWidth="1"/>
    <col min="2" max="2" width="4.54296875" style="14" customWidth="1"/>
    <col min="3" max="3" width="44.54296875" style="15" customWidth="1"/>
    <col min="4" max="7" width="12.1796875" style="14" customWidth="1"/>
    <col min="8" max="16384" width="9.453125" style="14"/>
  </cols>
  <sheetData>
    <row r="1" spans="2:11" ht="15.75" customHeight="1" x14ac:dyDescent="0.3">
      <c r="B1" s="864" t="s">
        <v>273</v>
      </c>
      <c r="C1" s="864"/>
      <c r="D1" s="864"/>
      <c r="E1" s="864"/>
      <c r="F1" s="864"/>
      <c r="G1" s="864"/>
    </row>
    <row r="2" spans="2:11" ht="21.65" customHeight="1" x14ac:dyDescent="0.3">
      <c r="C2" s="14"/>
    </row>
    <row r="3" spans="2:11" ht="66.650000000000006" customHeight="1" x14ac:dyDescent="0.3">
      <c r="B3" s="16" t="s">
        <v>274</v>
      </c>
      <c r="C3" s="54" t="s">
        <v>275</v>
      </c>
      <c r="D3" s="53" t="s">
        <v>276</v>
      </c>
      <c r="E3" s="53" t="s">
        <v>277</v>
      </c>
      <c r="F3" s="53" t="s">
        <v>278</v>
      </c>
      <c r="G3" s="53" t="s">
        <v>279</v>
      </c>
    </row>
    <row r="4" spans="2:11" ht="12.75" customHeight="1" x14ac:dyDescent="0.3">
      <c r="B4" s="63">
        <v>1</v>
      </c>
      <c r="C4" s="64">
        <v>2</v>
      </c>
      <c r="D4" s="63">
        <v>3</v>
      </c>
      <c r="E4" s="63">
        <v>4</v>
      </c>
      <c r="F4" s="63">
        <v>5</v>
      </c>
      <c r="G4" s="63">
        <v>6</v>
      </c>
    </row>
    <row r="5" spans="2:11" ht="18.75" customHeight="1" x14ac:dyDescent="0.3">
      <c r="B5" s="865" t="s">
        <v>280</v>
      </c>
      <c r="C5" s="865"/>
      <c r="D5" s="865"/>
      <c r="E5" s="865"/>
      <c r="F5" s="865"/>
      <c r="G5" s="865"/>
    </row>
    <row r="6" spans="2:11" ht="15.75" customHeight="1" x14ac:dyDescent="0.3">
      <c r="B6" s="50" t="s">
        <v>281</v>
      </c>
      <c r="C6" s="51" t="s">
        <v>149</v>
      </c>
      <c r="D6" s="52">
        <f t="shared" ref="D6:F6" si="0">+D8+D9+D10+D11+D12+D13</f>
        <v>35924.199999999997</v>
      </c>
      <c r="E6" s="52">
        <f t="shared" si="0"/>
        <v>36332.800000000003</v>
      </c>
      <c r="F6" s="52">
        <f t="shared" si="0"/>
        <v>38232.800000000003</v>
      </c>
      <c r="G6" s="52">
        <f t="shared" ref="G6" si="1">+G8+G9+G10+G11+G12+G13</f>
        <v>43553.5</v>
      </c>
    </row>
    <row r="7" spans="2:11" ht="15" customHeight="1" x14ac:dyDescent="0.3">
      <c r="B7" s="18"/>
      <c r="C7" s="59" t="s">
        <v>282</v>
      </c>
      <c r="D7" s="27"/>
      <c r="E7" s="26"/>
      <c r="F7" s="26"/>
      <c r="G7" s="26"/>
    </row>
    <row r="8" spans="2:11" ht="27.75" customHeight="1" x14ac:dyDescent="0.3">
      <c r="B8" s="18" t="s">
        <v>283</v>
      </c>
      <c r="C8" s="60" t="s">
        <v>284</v>
      </c>
      <c r="D8" s="56">
        <f>SUMIF('006 programa 3 lentelė'!$C8:$C249,'006 programa 3 lentelė'!$C15,'006 programa 3 lentelė'!E8:E249)</f>
        <v>11192.599999999997</v>
      </c>
      <c r="E8" s="56">
        <f>SUMIF('006 programa 3 lentelė'!$C8:$C249,'006 programa 3 lentelė'!$C15,'006 programa 3 lentelė'!F8:F249)</f>
        <v>12322.300000000001</v>
      </c>
      <c r="F8" s="56">
        <f>SUMIF('006 programa 3 lentelė'!$C8:$C249,'006 programa 3 lentelė'!$C15,'006 programa 3 lentelė'!G8:G249)</f>
        <v>9878.9</v>
      </c>
      <c r="G8" s="56">
        <f>SUMIF('006 programa 3 lentelė'!$C8:$C249,'006 programa 3 lentelė'!$C15,'006 programa 3 lentelė'!H8:H249)</f>
        <v>24750.300000000003</v>
      </c>
    </row>
    <row r="9" spans="2:11" ht="16.5" customHeight="1" x14ac:dyDescent="0.3">
      <c r="B9" s="18" t="s">
        <v>285</v>
      </c>
      <c r="C9" s="65" t="s">
        <v>30</v>
      </c>
      <c r="D9" s="56">
        <f>SUMIF('006 programa 3 lentelė'!$C8:$C249,'006 programa 3 lentelė'!$C16,'006 programa 3 lentelė'!E8:E249)</f>
        <v>5595.9</v>
      </c>
      <c r="E9" s="56">
        <f>SUMIF('006 programa 3 lentelė'!$C8:$C249,'006 programa 3 lentelė'!$C16,'006 programa 3 lentelė'!F8:F249)</f>
        <v>0</v>
      </c>
      <c r="F9" s="56">
        <f>SUMIF('006 programa 3 lentelė'!$C8:$C249,'006 programa 3 lentelė'!$C16,'006 programa 3 lentelė'!G8:G249)</f>
        <v>0</v>
      </c>
      <c r="G9" s="56">
        <f>SUMIF('006 programa 3 lentelė'!$C8:$C249,'006 programa 3 lentelė'!$C16,'006 programa 3 lentelė'!H8:H249)</f>
        <v>0</v>
      </c>
      <c r="J9" s="116"/>
      <c r="K9" s="116"/>
    </row>
    <row r="10" spans="2:11" ht="15" customHeight="1" x14ac:dyDescent="0.3">
      <c r="B10" s="18" t="s">
        <v>286</v>
      </c>
      <c r="C10" s="65" t="s">
        <v>287</v>
      </c>
      <c r="D10" s="56" cm="1">
        <f t="array" ref="D10">SUMIF('006 programa 3 lentelė'!$C8:$C249,'006 programa 3 lentelė'!C00,'006 programa 3 lentelė'!E8:E249)</f>
        <v>0</v>
      </c>
      <c r="E10" s="56" cm="1">
        <f t="array" ref="E10">SUMIF('006 programa 3 lentelė'!$C8:$C249,'006 programa 3 lentelė'!C00,'006 programa 3 lentelė'!F8:F249)</f>
        <v>0</v>
      </c>
      <c r="F10" s="56" cm="1">
        <f t="array" ref="F10">SUMIF('006 programa 3 lentelė'!$C8:$C249,'006 programa 3 lentelė'!C00,'006 programa 3 lentelė'!G8:G249)</f>
        <v>0</v>
      </c>
      <c r="G10" s="56" cm="1">
        <f t="array" ref="G10">SUMIF('006 programa 3 lentelė'!$C8:$C249,'006 programa 3 lentelė'!C00,'006 programa 3 lentelė'!H8:H249)</f>
        <v>0</v>
      </c>
    </row>
    <row r="11" spans="2:11" ht="28.5" customHeight="1" x14ac:dyDescent="0.3">
      <c r="B11" s="18" t="s">
        <v>288</v>
      </c>
      <c r="C11" s="65" t="s">
        <v>259</v>
      </c>
      <c r="D11" s="56">
        <f>SUMIF('006 programa 3 lentelė'!$C8:$C249,'006 programa 3 lentelė'!$C236,'006 programa 3 lentelė'!E8:E249)</f>
        <v>0</v>
      </c>
      <c r="E11" s="56">
        <f>SUMIF('006 programa 3 lentelė'!$C8:$C249,'006 programa 3 lentelė'!$C236,'006 programa 3 lentelė'!F8:F249)</f>
        <v>5872.1</v>
      </c>
      <c r="F11" s="56">
        <f>SUMIF('006 programa 3 lentelė'!$C8:$C249,'006 programa 3 lentelė'!$C236,'006 programa 3 lentelė'!G8:G249)</f>
        <v>6317.1</v>
      </c>
      <c r="G11" s="56">
        <f>SUMIF('006 programa 3 lentelė'!$C8:$C249,'006 programa 3 lentelė'!$C236,'006 programa 3 lentelė'!H8:H249)</f>
        <v>1754.8</v>
      </c>
    </row>
    <row r="12" spans="2:11" ht="13.5" customHeight="1" x14ac:dyDescent="0.3">
      <c r="B12" s="18" t="s">
        <v>289</v>
      </c>
      <c r="C12" s="65" t="s">
        <v>290</v>
      </c>
      <c r="D12" s="56">
        <f>SUMIF('006 programa 3 lentelė'!$C8:$C249,'006 programa 3 lentelė'!$C75,'006 programa 3 lentelė'!E8:E249)</f>
        <v>0</v>
      </c>
      <c r="E12" s="56">
        <f>SUMIF('006 programa 3 lentelė'!$C8:$C249,'006 programa 3 lentelė'!$C75,'006 programa 3 lentelė'!F8:F249)</f>
        <v>1562.1</v>
      </c>
      <c r="F12" s="56">
        <f>SUMIF('006 programa 3 lentelė'!$C8:$C249,'006 programa 3 lentelė'!$C75,'006 programa 3 lentelė'!G8:G249)</f>
        <v>3034.3999999999996</v>
      </c>
      <c r="G12" s="56">
        <f>SUMIF('006 programa 3 lentelė'!$C8:$C249,'006 programa 3 lentelė'!$C75,'006 programa 3 lentelė'!H8:H249)</f>
        <v>0</v>
      </c>
    </row>
    <row r="13" spans="2:11" ht="14.25" customHeight="1" x14ac:dyDescent="0.3">
      <c r="B13" s="18" t="s">
        <v>291</v>
      </c>
      <c r="C13" s="65" t="s">
        <v>292</v>
      </c>
      <c r="D13" s="56">
        <f>SUMIF('006 programa 3 lentelė'!$C8:$C249,'006 programa 3 lentelė'!$C17,'006 programa 3 lentelė'!E8:E249)</f>
        <v>19135.7</v>
      </c>
      <c r="E13" s="56">
        <f>SUMIF('006 programa 3 lentelė'!$C8:$C249,'006 programa 3 lentelė'!$C17,'006 programa 3 lentelė'!F8:F249)</f>
        <v>16576.300000000003</v>
      </c>
      <c r="F13" s="56">
        <f>SUMIF('006 programa 3 lentelė'!$C8:$C249,'006 programa 3 lentelė'!$C17,'006 programa 3 lentelė'!G8:G249)</f>
        <v>19002.400000000001</v>
      </c>
      <c r="G13" s="56">
        <f>SUMIF('006 programa 3 lentelė'!$C8:$C249,'006 programa 3 lentelė'!$C17,'006 programa 3 lentelė'!H8:H249)</f>
        <v>17048.400000000001</v>
      </c>
    </row>
    <row r="14" spans="2:11" ht="40.5" customHeight="1" x14ac:dyDescent="0.3">
      <c r="B14" s="17" t="s">
        <v>293</v>
      </c>
      <c r="C14" s="59" t="s">
        <v>294</v>
      </c>
      <c r="D14" s="57">
        <f>+D16+D17+D18+D19+D20+D21</f>
        <v>514</v>
      </c>
      <c r="E14" s="57">
        <f t="shared" ref="E14:F14" si="2">+E16+E17+E18+E19+E20+E21</f>
        <v>7243.2</v>
      </c>
      <c r="F14" s="57">
        <f t="shared" si="2"/>
        <v>7510</v>
      </c>
      <c r="G14" s="57">
        <f t="shared" ref="G14" si="3">+G16+G17+G18+G19+G20+G21</f>
        <v>4860</v>
      </c>
    </row>
    <row r="15" spans="2:11" ht="15" customHeight="1" x14ac:dyDescent="0.3">
      <c r="B15" s="18"/>
      <c r="C15" s="59" t="s">
        <v>282</v>
      </c>
      <c r="D15" s="28"/>
      <c r="E15" s="58"/>
      <c r="F15" s="58"/>
      <c r="G15" s="58"/>
    </row>
    <row r="16" spans="2:11" ht="15" customHeight="1" x14ac:dyDescent="0.3">
      <c r="B16" s="18" t="s">
        <v>295</v>
      </c>
      <c r="C16" s="61" t="s">
        <v>296</v>
      </c>
      <c r="D16" s="56">
        <f>SUMIF('006 programa 3 lentelė'!$C8:$C249,'006 programa 3 lentelė'!$C237,'006 programa 3 lentelė'!E8:E249)</f>
        <v>0</v>
      </c>
      <c r="E16" s="56">
        <f>SUMIF('006 programa 3 lentelė'!$C8:$C249,'006 programa 3 lentelė'!$C237,'006 programa 3 lentelė'!F8:F249)</f>
        <v>0</v>
      </c>
      <c r="F16" s="56">
        <f>SUMIF('006 programa 3 lentelė'!$C8:$C249,'006 programa 3 lentelė'!$C237,'006 programa 3 lentelė'!G8:G249)</f>
        <v>0</v>
      </c>
      <c r="G16" s="56">
        <f>SUMIF('006 programa 3 lentelė'!$C8:$C249,'006 programa 3 lentelė'!$C237,'006 programa 3 lentelė'!H8:H249)</f>
        <v>0</v>
      </c>
    </row>
    <row r="17" spans="2:7" ht="16.5" customHeight="1" x14ac:dyDescent="0.3">
      <c r="B17" s="18" t="s">
        <v>297</v>
      </c>
      <c r="C17" s="61" t="s">
        <v>298</v>
      </c>
      <c r="D17" s="56" cm="1">
        <f t="array" ref="D17">SUMIF('006 programa 3 lentelė'!$C8:$C249,'006 programa 3 lentelė'!C00,'006 programa 3 lentelė'!E8:E249)</f>
        <v>0</v>
      </c>
      <c r="E17" s="56" cm="1">
        <f t="array" ref="E17">SUMIF('006 programa 3 lentelė'!$C8:$C249,'006 programa 3 lentelė'!C00,'006 programa 3 lentelė'!F8:F249)</f>
        <v>0</v>
      </c>
      <c r="F17" s="56" cm="1">
        <f t="array" ref="F17">SUMIF('006 programa 3 lentelė'!$C8:$C249,'006 programa 3 lentelė'!C00,'006 programa 3 lentelė'!G8:G249)</f>
        <v>0</v>
      </c>
      <c r="G17" s="56" cm="1">
        <f t="array" ref="G17">SUMIF('006 programa 3 lentelė'!$C8:$C249,'006 programa 3 lentelė'!C00,'006 programa 3 lentelė'!H8:H249)</f>
        <v>0</v>
      </c>
    </row>
    <row r="18" spans="2:7" ht="27" customHeight="1" x14ac:dyDescent="0.3">
      <c r="B18" s="18" t="s">
        <v>299</v>
      </c>
      <c r="C18" s="61" t="s">
        <v>300</v>
      </c>
      <c r="D18" s="56">
        <f>SUMIF('006 programa 3 lentelė'!$C8:$C249,'006 programa 3 lentelė'!$C91,'006 programa 3 lentelė'!E8:E249)</f>
        <v>370</v>
      </c>
      <c r="E18" s="56">
        <f>SUMIF('006 programa 3 lentelė'!$C8:$C249,'006 programa 3 lentelė'!$C91,'006 programa 3 lentelė'!F8:F249)</f>
        <v>1900</v>
      </c>
      <c r="F18" s="56">
        <f>SUMIF('006 programa 3 lentelė'!$C8:$C249,'006 programa 3 lentelė'!$C91,'006 programa 3 lentelė'!G8:G249)</f>
        <v>1200</v>
      </c>
      <c r="G18" s="56">
        <f>SUMIF('006 programa 3 lentelė'!$C8:$C249,'006 programa 3 lentelė'!$C91,'006 programa 3 lentelė'!H8:H249)</f>
        <v>0</v>
      </c>
    </row>
    <row r="19" spans="2:7" ht="15" customHeight="1" x14ac:dyDescent="0.3">
      <c r="B19" s="18" t="s">
        <v>301</v>
      </c>
      <c r="C19" s="61" t="s">
        <v>302</v>
      </c>
      <c r="D19" s="56">
        <f>SUMIF('006 programa 3 lentelė'!$C8:$C249,'006 programa 3 lentelė'!$C18,'006 programa 3 lentelė'!E8:E249)</f>
        <v>0</v>
      </c>
      <c r="E19" s="56">
        <f>SUMIF('006 programa 3 lentelė'!$C8:$C249,'006 programa 3 lentelė'!$C18,'006 programa 3 lentelė'!F8:F249)</f>
        <v>933.2</v>
      </c>
      <c r="F19" s="56">
        <f>SUMIF('006 programa 3 lentelė'!$C8:$C249,'006 programa 3 lentelė'!$C18,'006 programa 3 lentelė'!G8:G249)</f>
        <v>2500</v>
      </c>
      <c r="G19" s="56">
        <f>SUMIF('006 programa 3 lentelė'!$C8:$C249,'006 programa 3 lentelė'!$C18,'006 programa 3 lentelė'!H8:H249)</f>
        <v>650</v>
      </c>
    </row>
    <row r="20" spans="2:7" ht="15" customHeight="1" x14ac:dyDescent="0.3">
      <c r="B20" s="18" t="s">
        <v>303</v>
      </c>
      <c r="C20" s="61" t="s">
        <v>70</v>
      </c>
      <c r="D20" s="56">
        <f>SUMIF('006 programa 3 lentelė'!$C8:$C249,'006 programa 3 lentelė'!$C38,'006 programa 3 lentelė'!E8:E249)</f>
        <v>143.99999999999994</v>
      </c>
      <c r="E20" s="56">
        <f>SUMIF('006 programa 3 lentelė'!$C8:$C249,'006 programa 3 lentelė'!$C38,'006 programa 3 lentelė'!F8:F249)</f>
        <v>0</v>
      </c>
      <c r="F20" s="56">
        <f>SUMIF('006 programa 3 lentelė'!$C8:$C249,'006 programa 3 lentelė'!$C38,'006 programa 3 lentelė'!G8:G249)</f>
        <v>0</v>
      </c>
      <c r="G20" s="56">
        <f>SUMIF('006 programa 3 lentelė'!$C8:$C249,'006 programa 3 lentelė'!$C38,'006 programa 3 lentelė'!H8:H249)</f>
        <v>0</v>
      </c>
    </row>
    <row r="21" spans="2:7" ht="18.75" customHeight="1" x14ac:dyDescent="0.3">
      <c r="B21" s="18" t="s">
        <v>304</v>
      </c>
      <c r="C21" s="61" t="s">
        <v>305</v>
      </c>
      <c r="D21" s="56">
        <f>SUMIF('006 programa 3 lentelė'!$C8:$C249,'006 programa 3 lentelė'!$C44,'006 programa 3 lentelė'!E8:E249)</f>
        <v>0</v>
      </c>
      <c r="E21" s="56">
        <f>SUMIF('006 programa 3 lentelė'!$C8:$C249,'006 programa 3 lentelė'!$C44,'006 programa 3 lentelė'!F8:F249)</f>
        <v>4410</v>
      </c>
      <c r="F21" s="56">
        <f>SUMIF('006 programa 3 lentelė'!$C8:$C249,'006 programa 3 lentelė'!$C44,'006 programa 3 lentelė'!G8:G249)</f>
        <v>3810</v>
      </c>
      <c r="G21" s="56">
        <f>SUMIF('006 programa 3 lentelė'!$C8:$C249,'006 programa 3 lentelė'!$C44,'006 programa 3 lentelė'!H8:H249)</f>
        <v>4210</v>
      </c>
    </row>
    <row r="22" spans="2:7" ht="26" x14ac:dyDescent="0.3">
      <c r="B22" s="18"/>
      <c r="C22" s="65" t="s">
        <v>306</v>
      </c>
      <c r="D22" s="58">
        <f t="shared" ref="D22:F22" si="4">+D6+D14</f>
        <v>36438.199999999997</v>
      </c>
      <c r="E22" s="58">
        <f t="shared" si="4"/>
        <v>43576</v>
      </c>
      <c r="F22" s="58">
        <f t="shared" si="4"/>
        <v>45742.8</v>
      </c>
      <c r="G22" s="58">
        <f t="shared" ref="G22" si="5">+G6+G14</f>
        <v>48413.5</v>
      </c>
    </row>
    <row r="23" spans="2:7" ht="14.25" customHeight="1" x14ac:dyDescent="0.3">
      <c r="B23" s="18"/>
      <c r="C23" s="65" t="s">
        <v>264</v>
      </c>
      <c r="D23" s="28">
        <f>+'006 programa 3 lentelė'!E248</f>
        <v>387.90000000000003</v>
      </c>
      <c r="E23" s="28">
        <f>+'006 programa 3 lentelė'!F248</f>
        <v>7772.5</v>
      </c>
      <c r="F23" s="28">
        <f>+'006 programa 3 lentelė'!G248</f>
        <v>9351.5</v>
      </c>
      <c r="G23" s="28">
        <f>+'006 programa 3 lentelė'!H248</f>
        <v>4845.5</v>
      </c>
    </row>
    <row r="24" spans="2:7" ht="30" customHeight="1" x14ac:dyDescent="0.3">
      <c r="B24" s="18"/>
      <c r="C24" s="65" t="s">
        <v>265</v>
      </c>
      <c r="D24" s="28"/>
      <c r="E24" s="28">
        <f>+'006 programa 3 lentelė'!F249</f>
        <v>7137.8000000000029</v>
      </c>
      <c r="F24" s="28">
        <f>+'006 programa 3 lentelė'!G249</f>
        <v>2166.8000000000029</v>
      </c>
      <c r="G24" s="28">
        <f>+'006 programa 3 lentelė'!H249</f>
        <v>2670.6999999999971</v>
      </c>
    </row>
    <row r="25" spans="2:7" x14ac:dyDescent="0.3">
      <c r="B25" s="19"/>
      <c r="C25" s="20"/>
      <c r="D25" s="20"/>
      <c r="E25" s="19"/>
      <c r="F25" s="19"/>
      <c r="G25" s="19"/>
    </row>
  </sheetData>
  <mergeCells count="2">
    <mergeCell ref="B1:G1"/>
    <mergeCell ref="B5:G5"/>
  </mergeCells>
  <pageMargins left="0.7" right="0.7" top="0.75" bottom="0.75" header="0.3" footer="0.3"/>
  <pageSetup paperSize="9" scale="92"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006 programa 3 lentelė</vt:lpstr>
      <vt:lpstr>Lėšų suvestinė 2 lentelė</vt:lpstr>
      <vt:lpstr>'006 programa 3 lentelė'!Print_Area</vt:lpstr>
      <vt:lpstr>'006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Inga Mikalauskienė</cp:lastModifiedBy>
  <cp:revision/>
  <cp:lastPrinted>2025-12-18T12:02:38Z</cp:lastPrinted>
  <dcterms:created xsi:type="dcterms:W3CDTF">2023-07-11T10:34:54Z</dcterms:created>
  <dcterms:modified xsi:type="dcterms:W3CDTF">2025-12-18T12:04:11Z</dcterms:modified>
  <cp:category/>
  <cp:contentStatus/>
</cp:coreProperties>
</file>