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SVP PLANAI\2026-2028 SVP\Komitetams 2025-12-18\"/>
    </mc:Choice>
  </mc:AlternateContent>
  <xr:revisionPtr revIDLastSave="0" documentId="13_ncr:1_{D34273B0-16CE-4BD3-BADE-4FFAB2944724}" xr6:coauthVersionLast="47" xr6:coauthVersionMax="47" xr10:uidLastSave="{00000000-0000-0000-0000-000000000000}"/>
  <bookViews>
    <workbookView xWindow="0" yWindow="1160" windowWidth="22040" windowHeight="19060" xr2:uid="{FEA9E383-1DE5-4AFE-98A8-7A94D3659092}"/>
  </bookViews>
  <sheets>
    <sheet name="007 programa 3 lentelė" sheetId="1" r:id="rId1"/>
    <sheet name="Lėšų suvestinė 2 lentelė" sheetId="3" r:id="rId2"/>
  </sheets>
  <definedNames>
    <definedName name="_xlnm.Print_Area" localSheetId="0">'007 programa 3 lentelė'!$A$1:$N$296</definedName>
    <definedName name="_xlnm.Print_Titles" localSheetId="0">'007 programa 3 lentelė'!$4:$6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10" i="1" l="1"/>
  <c r="G110" i="1"/>
  <c r="H73" i="1"/>
  <c r="G73" i="1"/>
  <c r="G19" i="1"/>
  <c r="G18" i="1"/>
  <c r="H14" i="1"/>
  <c r="G15" i="1"/>
  <c r="F19" i="1"/>
  <c r="L180" i="1"/>
  <c r="K180" i="1"/>
  <c r="J180" i="1"/>
  <c r="M138" i="1"/>
  <c r="L138" i="1"/>
  <c r="K138" i="1"/>
  <c r="E16" i="3"/>
  <c r="F16" i="3"/>
  <c r="G16" i="3"/>
  <c r="D16" i="3"/>
  <c r="F106" i="1"/>
  <c r="G106" i="1"/>
  <c r="H106" i="1"/>
  <c r="E106" i="1"/>
  <c r="E107" i="1"/>
  <c r="J64" i="1"/>
  <c r="J63" i="1"/>
  <c r="J50" i="1"/>
  <c r="K46" i="1"/>
  <c r="L38" i="1"/>
  <c r="K38" i="1"/>
  <c r="E104" i="1" l="1"/>
  <c r="F136" i="1"/>
  <c r="G136" i="1"/>
  <c r="H136" i="1"/>
  <c r="E136" i="1"/>
  <c r="F133" i="1"/>
  <c r="F131" i="1" s="1"/>
  <c r="H99" i="1"/>
  <c r="G209" i="1"/>
  <c r="F209" i="1"/>
  <c r="F110" i="1"/>
  <c r="F73" i="1"/>
  <c r="H127" i="1"/>
  <c r="H133" i="1" s="1"/>
  <c r="G127" i="1"/>
  <c r="G133" i="1" s="1"/>
  <c r="E249" i="1"/>
  <c r="E243" i="1"/>
  <c r="E209" i="1"/>
  <c r="E127" i="1"/>
  <c r="E124" i="1"/>
  <c r="E88" i="1"/>
  <c r="E83" i="1"/>
  <c r="E79" i="1"/>
  <c r="E76" i="1"/>
  <c r="E73" i="1"/>
  <c r="E55" i="1"/>
  <c r="G57" i="1"/>
  <c r="F57" i="1"/>
  <c r="G179" i="1"/>
  <c r="F179" i="1"/>
  <c r="F187" i="1" s="1"/>
  <c r="G21" i="1"/>
  <c r="F21" i="1"/>
  <c r="G29" i="1"/>
  <c r="G26" i="1"/>
  <c r="F29" i="1"/>
  <c r="F26" i="1"/>
  <c r="E19" i="3"/>
  <c r="F19" i="3"/>
  <c r="G19" i="3"/>
  <c r="D19" i="3"/>
  <c r="E276" i="1"/>
  <c r="E274" i="1" s="1"/>
  <c r="F233" i="1"/>
  <c r="G233" i="1"/>
  <c r="H233" i="1"/>
  <c r="E21" i="3"/>
  <c r="F21" i="3"/>
  <c r="G21" i="3"/>
  <c r="D21" i="3"/>
  <c r="E250" i="1"/>
  <c r="E247" i="1"/>
  <c r="H283" i="1"/>
  <c r="H119" i="1"/>
  <c r="G119" i="1"/>
  <c r="F119" i="1"/>
  <c r="F107" i="1"/>
  <c r="F104" i="1" s="1"/>
  <c r="G107" i="1"/>
  <c r="G104" i="1" s="1"/>
  <c r="H107" i="1"/>
  <c r="H104" i="1" s="1"/>
  <c r="E100" i="1"/>
  <c r="G11" i="3"/>
  <c r="E232" i="1"/>
  <c r="F231" i="1"/>
  <c r="G231" i="1"/>
  <c r="H231" i="1"/>
  <c r="E10" i="3"/>
  <c r="F10" i="3"/>
  <c r="G10" i="3"/>
  <c r="D11" i="3"/>
  <c r="F278" i="1"/>
  <c r="G278" i="1"/>
  <c r="H278" i="1"/>
  <c r="E280" i="1"/>
  <c r="E278" i="1" s="1"/>
  <c r="F276" i="1"/>
  <c r="F274" i="1" s="1"/>
  <c r="G276" i="1"/>
  <c r="G274" i="1" s="1"/>
  <c r="H276" i="1"/>
  <c r="H274" i="1" s="1"/>
  <c r="F273" i="1"/>
  <c r="G273" i="1"/>
  <c r="H273" i="1"/>
  <c r="F272" i="1"/>
  <c r="G272" i="1"/>
  <c r="H272" i="1"/>
  <c r="E272" i="1"/>
  <c r="F271" i="1"/>
  <c r="G271" i="1"/>
  <c r="H271" i="1"/>
  <c r="E231" i="1"/>
  <c r="E214" i="1"/>
  <c r="E205" i="1"/>
  <c r="E233" i="1" s="1"/>
  <c r="E177" i="1"/>
  <c r="E150" i="1"/>
  <c r="E147" i="1"/>
  <c r="E115" i="1"/>
  <c r="E113" i="1"/>
  <c r="E111" i="1"/>
  <c r="H100" i="1"/>
  <c r="E93" i="1"/>
  <c r="E85" i="1"/>
  <c r="E68" i="1"/>
  <c r="E57" i="1"/>
  <c r="E52" i="1"/>
  <c r="E51" i="1"/>
  <c r="E46" i="1"/>
  <c r="E39" i="1"/>
  <c r="E37" i="1"/>
  <c r="E31" i="1"/>
  <c r="E26" i="1"/>
  <c r="E18" i="1"/>
  <c r="E16" i="1"/>
  <c r="E103" i="1" s="1"/>
  <c r="F103" i="1"/>
  <c r="H101" i="1"/>
  <c r="G101" i="1"/>
  <c r="F101" i="1"/>
  <c r="E101" i="1"/>
  <c r="G150" i="1"/>
  <c r="F102" i="1"/>
  <c r="H179" i="1"/>
  <c r="H187" i="1" s="1"/>
  <c r="E271" i="1" l="1"/>
  <c r="E11" i="3"/>
  <c r="E273" i="1"/>
  <c r="F100" i="1"/>
  <c r="G99" i="1"/>
  <c r="F11" i="3"/>
  <c r="F283" i="1"/>
  <c r="G100" i="1"/>
  <c r="E187" i="1"/>
  <c r="G283" i="1"/>
  <c r="E133" i="1"/>
  <c r="E131" i="1" s="1"/>
  <c r="F99" i="1"/>
  <c r="F97" i="1" s="1"/>
  <c r="G187" i="1"/>
  <c r="E99" i="1"/>
  <c r="E283" i="1"/>
  <c r="E20" i="3"/>
  <c r="F20" i="3"/>
  <c r="G20" i="3"/>
  <c r="D20" i="3"/>
  <c r="E12" i="3"/>
  <c r="F12" i="3"/>
  <c r="G12" i="3"/>
  <c r="D12" i="3"/>
  <c r="E9" i="3"/>
  <c r="F9" i="3"/>
  <c r="G9" i="3"/>
  <c r="D9" i="3"/>
  <c r="F236" i="1"/>
  <c r="G236" i="1"/>
  <c r="H236" i="1"/>
  <c r="E236" i="1"/>
  <c r="F232" i="1"/>
  <c r="G232" i="1"/>
  <c r="H232" i="1"/>
  <c r="E230" i="1"/>
  <c r="E194" i="1"/>
  <c r="E193" i="1"/>
  <c r="F190" i="1"/>
  <c r="G190" i="1"/>
  <c r="H190" i="1"/>
  <c r="E190" i="1"/>
  <c r="G103" i="1"/>
  <c r="H103" i="1"/>
  <c r="E191" i="1" l="1"/>
  <c r="E234" i="1" l="1"/>
  <c r="E228" i="1"/>
  <c r="E196" i="1"/>
  <c r="E189" i="1"/>
  <c r="E188" i="1"/>
  <c r="E134" i="1"/>
  <c r="E119" i="1"/>
  <c r="E110" i="1"/>
  <c r="E118" i="1" s="1"/>
  <c r="E66" i="1"/>
  <c r="H193" i="1"/>
  <c r="G194" i="1"/>
  <c r="G193" i="1"/>
  <c r="F193" i="1"/>
  <c r="F118" i="1"/>
  <c r="H230" i="1"/>
  <c r="F230" i="1"/>
  <c r="F194" i="1"/>
  <c r="F189" i="1"/>
  <c r="G188" i="1"/>
  <c r="F188" i="1"/>
  <c r="G102" i="1"/>
  <c r="G97" i="1" s="1"/>
  <c r="H102" i="1"/>
  <c r="H97" i="1" s="1"/>
  <c r="F13" i="3"/>
  <c r="G118" i="1"/>
  <c r="G230" i="1"/>
  <c r="F134" i="1"/>
  <c r="G134" i="1"/>
  <c r="H134" i="1"/>
  <c r="H194" i="1"/>
  <c r="H189" i="1"/>
  <c r="G189" i="1"/>
  <c r="H188" i="1"/>
  <c r="H118" i="1"/>
  <c r="F196" i="1"/>
  <c r="E18" i="3" a="1"/>
  <c r="E18" i="3" s="1"/>
  <c r="F18" i="3" a="1"/>
  <c r="F18" i="3" s="1"/>
  <c r="G18" i="3" a="1"/>
  <c r="G18" i="3" s="1"/>
  <c r="E17" i="3" a="1"/>
  <c r="E17" i="3" s="1"/>
  <c r="F17" i="3" a="1"/>
  <c r="F17" i="3" s="1"/>
  <c r="G17" i="3" a="1"/>
  <c r="G17" i="3" s="1"/>
  <c r="G13" i="3"/>
  <c r="E102" i="1" l="1"/>
  <c r="E97" i="1" s="1"/>
  <c r="D13" i="3"/>
  <c r="E116" i="1"/>
  <c r="H116" i="1"/>
  <c r="F185" i="1"/>
  <c r="G185" i="1"/>
  <c r="G191" i="1"/>
  <c r="E185" i="1"/>
  <c r="E269" i="1"/>
  <c r="H185" i="1"/>
  <c r="F191" i="1"/>
  <c r="H191" i="1"/>
  <c r="H269" i="1"/>
  <c r="F23" i="3"/>
  <c r="G8" i="3"/>
  <c r="G6" i="3" s="1"/>
  <c r="F116" i="1"/>
  <c r="G131" i="1"/>
  <c r="E23" i="3"/>
  <c r="F8" i="3"/>
  <c r="F6" i="3" s="1"/>
  <c r="E14" i="3"/>
  <c r="E8" i="3"/>
  <c r="G269" i="1"/>
  <c r="G116" i="1"/>
  <c r="F269" i="1"/>
  <c r="F14" i="3"/>
  <c r="E13" i="3"/>
  <c r="G23" i="3"/>
  <c r="G234" i="1"/>
  <c r="H234" i="1"/>
  <c r="G196" i="1"/>
  <c r="H196" i="1"/>
  <c r="H131" i="1"/>
  <c r="E282" i="1" l="1"/>
  <c r="E6" i="3"/>
  <c r="E22" i="3" s="1"/>
  <c r="F22" i="3"/>
  <c r="F234" i="1"/>
  <c r="G14" i="3"/>
  <c r="G22" i="3" s="1"/>
  <c r="G228" i="1"/>
  <c r="H228" i="1"/>
  <c r="F228" i="1"/>
  <c r="D18" i="3" a="1"/>
  <c r="D18" i="3" s="1"/>
  <c r="D17" i="3" a="1"/>
  <c r="D17" i="3" s="1"/>
  <c r="F282" i="1" l="1"/>
  <c r="F284" i="1" s="1"/>
  <c r="F24" i="3"/>
  <c r="G24" i="3"/>
  <c r="G282" i="1"/>
  <c r="H282" i="1"/>
  <c r="D23" i="3"/>
  <c r="H284" i="1" l="1"/>
  <c r="G284" i="1"/>
  <c r="D14" i="3"/>
  <c r="D8" i="3"/>
  <c r="D10" i="3"/>
  <c r="D6" i="3" l="1"/>
  <c r="D22" i="3" s="1"/>
  <c r="E24"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Saulina Paulauskienė</author>
    <author>Vaiva Lukošienė</author>
    <author>Rima Ališauskė</author>
    <author>Inga Mikalauskienė</author>
    <author>Snieguolė Kačerauskaitė</author>
  </authors>
  <commentList>
    <comment ref="J8" authorId="0" shapeId="0" xr:uid="{9452F77A-0762-4082-BD3C-27958960AB49}">
      <text>
        <r>
          <rPr>
            <sz val="11"/>
            <color theme="1"/>
            <rFont val="Calibri"/>
            <family val="2"/>
            <charset val="186"/>
            <scheme val="minor"/>
          </rPr>
          <t>1. Teritorija prie Santuokų rūmų.
2. Girulių – Melnragės ir Smiltynės paplūdimių prieigų ir infrastuktūros sutvarkymas.</t>
        </r>
      </text>
    </comment>
    <comment ref="K8" authorId="1" shapeId="0" xr:uid="{1B72CEB8-878B-48D6-B851-8CABB7C6C431}">
      <text>
        <r>
          <rPr>
            <sz val="11"/>
            <color theme="1"/>
            <rFont val="Calibri"/>
            <family val="2"/>
            <charset val="186"/>
            <scheme val="minor"/>
          </rPr>
          <t>1. Draugystės parko laisv. erdvė
2. Pakrantės parkas
3. K. Donelaičio aikštė
4. Pirmosios Melnragės ir Smiltynės paplūdimių prieigų ir infrastuktūros sutvarkymas.</t>
        </r>
      </text>
    </comment>
    <comment ref="L8" authorId="1" shapeId="0" xr:uid="{845E9B0F-713B-4F65-A6F7-4C9EF7985CA9}">
      <text>
        <r>
          <rPr>
            <sz val="11"/>
            <color theme="1"/>
            <rFont val="Calibri"/>
            <family val="2"/>
            <charset val="186"/>
            <scheme val="minor"/>
          </rPr>
          <t>1. Pasirinkta Smiltynės paplūdimio prieiga ir infrastuktūros sutvarkymas.
2. Atgimimo aikštė.
3. Turgaus aikštė.
4. Danės teritorija Šiauriniame rage.</t>
        </r>
      </text>
    </comment>
    <comment ref="M8" authorId="1" shapeId="0" xr:uid="{001556C1-74D4-4C98-BBBB-16BF88226A21}">
      <text>
        <r>
          <rPr>
            <sz val="11"/>
            <color theme="1"/>
            <rFont val="Calibri"/>
            <family val="2"/>
            <charset val="186"/>
            <scheme val="minor"/>
          </rPr>
          <t>1. 1. Kompleksinė laisvalaikio erdvė Tiesioji g. 33, Rimkuose</t>
        </r>
      </text>
    </comment>
    <comment ref="E29" authorId="2" shapeId="0" xr:uid="{2B08B2D3-24E1-41CA-A447-6E3AAA03A0F3}">
      <text>
        <r>
          <rPr>
            <sz val="11"/>
            <color theme="1"/>
            <rFont val="Calibri"/>
            <family val="2"/>
            <charset val="186"/>
            <scheme val="minor"/>
          </rPr>
          <t>Rima Ališauskė:
2025 m. poreikis pagal naują grafiką 583,3 tūkst. ES  lėšų</t>
        </r>
      </text>
    </comment>
    <comment ref="K36" authorId="3" shapeId="0" xr:uid="{E91CA05F-2CD0-4769-958D-22D9A3319EC3}">
      <text>
        <r>
          <rPr>
            <sz val="11"/>
            <color theme="1"/>
            <rFont val="Calibri"/>
            <family val="2"/>
            <charset val="186"/>
            <scheme val="minor"/>
          </rPr>
          <t>Teatro a. prie Taravos Anikės skulptūros (Teatro g. 5); „Laivelis“, esantis aikštėje prie burlaivio „Meridianas“ (Kurpių g. 8); Debreceno aikštėje (Taikos pr. 101); Pempininkų aikštėje (Taikos pr. 81); Vydūno paminklas (Puodžių g.); Vaidila (Paryžiaus Komunos g. 1); Danės skvere (Danės g.); Jono kalnelyje (Bangų g. 5A); ties PC „Maxima“ (Šilutės pl. 40A)</t>
        </r>
      </text>
    </comment>
    <comment ref="K38" authorId="3" shapeId="0" xr:uid="{91BEEA96-66B0-43E6-81D6-8322050EA33B}">
      <text>
        <r>
          <rPr>
            <sz val="11"/>
            <color theme="1"/>
            <rFont val="Calibri"/>
            <family val="2"/>
            <charset val="186"/>
            <scheme val="minor"/>
          </rPr>
          <t>Įsigyjamas inventorius – 192 vnt.
Įsigyjamos gėlinės – 120 vnt.</t>
        </r>
      </text>
    </comment>
    <comment ref="K39" authorId="3" shapeId="0" xr:uid="{74CEEDC2-4F69-40D8-B833-DC0EA514C9BF}">
      <text>
        <r>
          <rPr>
            <sz val="11"/>
            <color theme="1"/>
            <rFont val="Calibri"/>
            <family val="2"/>
            <charset val="186"/>
            <scheme val="minor"/>
          </rPr>
          <t>Jakai, Kalotė, Rimkai</t>
        </r>
      </text>
    </comment>
    <comment ref="I49" authorId="3" shapeId="0" xr:uid="{470A001B-F768-46C7-984A-C06E003B3725}">
      <text>
        <r>
          <rPr>
            <sz val="11"/>
            <color theme="1"/>
            <rFont val="Calibri"/>
            <family val="2"/>
            <charset val="186"/>
            <scheme val="minor"/>
          </rPr>
          <t xml:space="preserve">Rodiklis prijungtas prie P-007-01-01-19 rodiklio 
</t>
        </r>
      </text>
    </comment>
    <comment ref="J50" authorId="0" shapeId="0" xr:uid="{B7447FFD-6CCC-418B-8189-553BAA1E3D31}">
      <text>
        <r>
          <rPr>
            <sz val="11"/>
            <color theme="1"/>
            <rFont val="Calibri"/>
            <family val="2"/>
            <charset val="186"/>
            <scheme val="minor"/>
          </rPr>
          <t>1. Žardininkų parko vaikų žaidimo aikštelė.
2. Judėjimo laisvė Pajūryje: visiems prieinama pakrantė.
3. "Saulėlydžio ir laivų palydos" - suoliukai prie Klaipėdos molo.
4. Supynių alėja.
Atsikelia iš 2024 m.:
1. Žaidimų ir lauko muzikos instrumentų aikštelė Draugystės parke.
2. Sniegalaukis.</t>
        </r>
      </text>
    </comment>
    <comment ref="K50" authorId="3" shapeId="0" xr:uid="{1FA8D436-8AC5-4383-8FA4-D70D596FE0EA}">
      <text>
        <r>
          <rPr>
            <sz val="11"/>
            <color theme="1"/>
            <rFont val="Calibri"/>
            <family val="2"/>
            <charset val="186"/>
            <scheme val="minor"/>
          </rPr>
          <t xml:space="preserve">Žardininkų parko vaikų žaidimo aikštelė
</t>
        </r>
      </text>
    </comment>
    <comment ref="E51" authorId="4" shapeId="0" xr:uid="{01A43447-4C04-4D00-8AA5-98602FE34005}">
      <text>
        <r>
          <rPr>
            <sz val="11"/>
            <color theme="1"/>
            <rFont val="Calibri"/>
            <family val="2"/>
            <charset val="186"/>
            <scheme val="minor"/>
          </rPr>
          <t xml:space="preserve">1. Judėjimo laisvė Pajūryje: visiems prieinama pakrantė.
2. "Saulėlydžio ir laivų palydos" - suoliukai prie Klaipėdos molo.
3. Supynių alėja.
</t>
        </r>
      </text>
    </comment>
    <comment ref="E52" authorId="4" shapeId="0" xr:uid="{F981B04E-8CAF-4046-A20D-6057F58CC13A}">
      <text>
        <r>
          <rPr>
            <sz val="11"/>
            <color theme="1"/>
            <rFont val="Calibri"/>
            <family val="2"/>
            <charset val="186"/>
            <scheme val="minor"/>
          </rPr>
          <t>Žardininkų parko vaikų žaidimo aikštelė</t>
        </r>
      </text>
    </comment>
    <comment ref="E53" authorId="0" shapeId="0" xr:uid="{E4B3F795-B073-4B52-AD9D-0E1C11045D28}">
      <text>
        <r>
          <rPr>
            <sz val="11"/>
            <color theme="1"/>
            <rFont val="Calibri"/>
            <family val="2"/>
            <charset val="186"/>
            <scheme val="minor"/>
          </rPr>
          <t>1. Žaidimų ir lauko muzikos instrumentų aikštelė Draugystės parke.
2. Sniegalaukis</t>
        </r>
      </text>
    </comment>
    <comment ref="F53" authorId="3" shapeId="0" xr:uid="{B33F9F99-8F6A-42F0-8EB2-C48808ACF020}">
      <text>
        <r>
          <rPr>
            <sz val="11"/>
            <color theme="1"/>
            <rFont val="Calibri"/>
            <family val="2"/>
            <charset val="186"/>
            <scheme val="minor"/>
          </rPr>
          <t xml:space="preserve">Žardininkų parko vaikų žaidimo aikštelė
</t>
        </r>
      </text>
    </comment>
    <comment ref="J54" authorId="1" shapeId="0" xr:uid="{F0C466CB-5227-473B-AF87-D8E22961B01D}">
      <text>
        <r>
          <rPr>
            <sz val="11"/>
            <color theme="1"/>
            <rFont val="Calibri"/>
            <family val="2"/>
            <charset val="186"/>
            <scheme val="minor"/>
          </rPr>
          <t>1. Draugystės parko kompleksinės laisvalaikio erdvės projektas
2. Pakrantės parko projektas</t>
        </r>
      </text>
    </comment>
    <comment ref="K54" authorId="1" shapeId="0" xr:uid="{B9267994-F9B4-4691-9503-C3F88CAB659F}">
      <text>
        <r>
          <rPr>
            <sz val="11"/>
            <color theme="1"/>
            <rFont val="Calibri"/>
            <family val="2"/>
            <charset val="186"/>
            <scheme val="minor"/>
          </rPr>
          <t xml:space="preserve">1. Kompleksinė laisv. erdvės Tiesioji g. 33, Rimkuose projektas
</t>
        </r>
      </text>
    </comment>
    <comment ref="K55" authorId="1" shapeId="0" xr:uid="{831D5B00-63E0-465E-ABFF-A29F38F75A60}">
      <text>
        <r>
          <rPr>
            <sz val="11"/>
            <color theme="1"/>
            <rFont val="Calibri"/>
            <family val="2"/>
            <charset val="186"/>
            <scheme val="minor"/>
          </rPr>
          <t>1. Draugystės parko laisv. erdvė
2. Klaipėdos Pakrantės parkas</t>
        </r>
      </text>
    </comment>
    <comment ref="M55" authorId="1" shapeId="0" xr:uid="{415C4887-95EC-4C22-97CD-AF6477BD3F32}">
      <text>
        <r>
          <rPr>
            <sz val="11"/>
            <color theme="1"/>
            <rFont val="Calibri"/>
            <family val="2"/>
            <charset val="186"/>
            <scheme val="minor"/>
          </rPr>
          <t xml:space="preserve">1. Kompleksinė laisv. erdvė Tiesioji g. 33, Rimkuose
</t>
        </r>
      </text>
    </comment>
    <comment ref="J58" authorId="0" shapeId="0" xr:uid="{94FBE2BB-C39A-4E3C-A59F-06AC3504DAAC}">
      <text>
        <r>
          <rPr>
            <sz val="11"/>
            <color theme="1"/>
            <rFont val="Calibri"/>
            <family val="2"/>
            <charset val="186"/>
            <scheme val="minor"/>
          </rPr>
          <t>1.Stovyklos g. 4 –21,79 m2; 2.Kopų g. 1A (I Melnragė) – 92,62 m2; 
3-6. Melnragė-Giruliai ( 4 vnt.)
6-11. Smiltynė(5 vnt.)</t>
        </r>
      </text>
    </comment>
    <comment ref="J59" authorId="0" shapeId="0" xr:uid="{D42AFD10-D5E7-4BCC-91AF-7D53F1E8AE09}">
      <text>
        <r>
          <rPr>
            <sz val="11"/>
            <color theme="1"/>
            <rFont val="Calibri"/>
            <family val="2"/>
            <charset val="186"/>
            <scheme val="minor"/>
          </rPr>
          <t>5 Gelbėjimo postai - už 92928,00 EUR. 
31 Persirengimo kabinos (Smiltynė/Melnragė-Giruliai) - už 17182 EUR; 
33 vnt. Smiltynės paplūdimių prieigų mažoji architektūros elementų -  už 75400 EUR.</t>
        </r>
      </text>
    </comment>
    <comment ref="K59" authorId="0" shapeId="0" xr:uid="{5D326DCD-97CB-4FEC-AFE4-783DD5D9F5F8}">
      <text>
        <r>
          <rPr>
            <sz val="11"/>
            <color theme="1"/>
            <rFont val="Calibri"/>
            <family val="2"/>
            <charset val="186"/>
            <scheme val="minor"/>
          </rPr>
          <t>4 persirengimo kabinos – 11499,84 Eur.
20 paplūdimio suolų už 20231,2 Eur.
8 suolai 3 m. ilgio už 22360,8 Eur.
20 rūšiavimo konteinerių už 22627 Eur.
Informacinis lauko ekranas už 8613 Eur.</t>
        </r>
      </text>
    </comment>
    <comment ref="K60" authorId="0" shapeId="0" xr:uid="{15FA3FEE-0C33-4B5B-8D13-1221FD2344A1}">
      <text>
        <r>
          <rPr>
            <sz val="11"/>
            <color theme="1"/>
            <rFont val="Calibri"/>
            <family val="2"/>
            <charset val="186"/>
            <scheme val="minor"/>
          </rPr>
          <t>Mažųjų laivų laikymo ir saugojimo aikštelės įrengimas už 60450 Eur.</t>
        </r>
      </text>
    </comment>
    <comment ref="J61" authorId="0" shapeId="0" xr:uid="{33EFF4F6-CFB0-4D63-A9D1-A75E202E1ED4}">
      <text>
        <r>
          <rPr>
            <sz val="11"/>
            <color theme="1"/>
            <rFont val="Calibri"/>
            <family val="2"/>
            <charset val="186"/>
            <scheme val="minor"/>
          </rPr>
          <t>1. Spec. paskirties laivas upės darbams - 152318,95 Eur. 
2. Keturratis - 14202 Eur.
3. Spec. transporto priemonė -  23900 Eur.
4. Elektrinė spec. transporto priemonė – 21780 Eur.</t>
        </r>
      </text>
    </comment>
    <comment ref="K61" authorId="0" shapeId="0" xr:uid="{5450092E-0B6D-4F7C-9136-313FF39E5826}">
      <text>
        <r>
          <rPr>
            <sz val="11"/>
            <color theme="1"/>
            <rFont val="Calibri"/>
            <family val="2"/>
            <charset val="186"/>
            <scheme val="minor"/>
          </rPr>
          <t>1. Paplūdimio smėlio valymo įrenginys – 120 096,13 Eur. 
2. Keturratis gelbėjimo darbams – 31 912,1 Eur. 
3. Jūrinė baidarė gelbėjimo darbams už 1 966,8 Eur.
4. Ūkinis visureigis paplūdimių priežiūrai už 42 592,0 Eur.
5-6. Nukentėjusiojo transportavimo priekabos 2 vnt. (2*7634 Eur) už 15 268,0 Eur.
7. Smėlio ir druskos barstytuvas – 4 565,0 Eur.</t>
        </r>
      </text>
    </comment>
    <comment ref="K62" authorId="0" shapeId="0" xr:uid="{D28C32DA-B79F-48D3-99FF-2AD9D9927BB0}">
      <text>
        <r>
          <rPr>
            <sz val="11"/>
            <color theme="1"/>
            <rFont val="Calibri"/>
            <family val="2"/>
            <charset val="186"/>
            <scheme val="minor"/>
          </rPr>
          <t>Informacinė laivų švartavimo sistema 6200 Eur</t>
        </r>
      </text>
    </comment>
    <comment ref="J63" authorId="0" shapeId="0" xr:uid="{FB585510-FCFE-4E35-B050-1E7E789FDC27}">
      <text>
        <r>
          <rPr>
            <sz val="11"/>
            <color theme="1"/>
            <rFont val="Calibri"/>
            <family val="2"/>
            <charset val="186"/>
            <scheme val="minor"/>
          </rPr>
          <t xml:space="preserve">1. Administracinio pastato, Garažų g. 6, Klaipėda, kapitalinio remonto ir tvarkybos darbų projekto parengimas ir tyrimų atlikimas, projekto ekspertizė - 32732,84 EUR+12100 EUR. 
2-3 Konteinerinių wc projektų pabaigimas - 2 vnt. </t>
        </r>
      </text>
    </comment>
    <comment ref="C67" authorId="4" shapeId="0" xr:uid="{0E75C0E3-75B0-445F-B068-F08207F5C858}">
      <text>
        <r>
          <rPr>
            <sz val="11"/>
            <color theme="1"/>
            <rFont val="Calibri"/>
            <family val="2"/>
            <charset val="186"/>
            <scheme val="minor"/>
          </rPr>
          <t xml:space="preserve">Vykdytojas BĮ "Klaipėdos paplūdimiai"
</t>
        </r>
      </text>
    </comment>
    <comment ref="K68" authorId="0" shapeId="0" xr:uid="{5274568A-9767-49F2-8EA6-DD0DB3FE608A}">
      <text>
        <r>
          <rPr>
            <sz val="11"/>
            <color theme="1"/>
            <rFont val="Calibri"/>
            <family val="2"/>
            <charset val="186"/>
            <scheme val="minor"/>
          </rPr>
          <t>1.Krantinių rekonstrukcijos projektas - 130500 eur ((krantinė tarp Artojo g. tęsinio ir Artojo g.7H sklypo (4400-6435-8794; 156,90 m.); krantinė, besiribojanti su Artojo g. 7H sklypu per visą jo ilgį (4400-6435-8807; 24,96 m.); krantinė nuo sklypo Artojo g. 7H rytinės dalies iki krantinės 4400-6435-8829 vakarinės dalies (4400-6435-8818; 79,81 m.)); 
2. Paprastojo remonto darbų (150 m.) projektas - 15200 eur (Smiltynės krantinė/kranto tvirtinimas nuo Senosios perkėlos iki Smiltynės Jachtklubo (807,00 m.))</t>
        </r>
      </text>
    </comment>
    <comment ref="J69" authorId="0" shapeId="0" xr:uid="{BE7D15FD-9518-4729-B0FF-AC75D55E48E4}">
      <text>
        <r>
          <rPr>
            <sz val="11"/>
            <color theme="1"/>
            <rFont val="Calibri"/>
            <family val="2"/>
            <charset val="186"/>
            <scheme val="minor"/>
          </rPr>
          <t>Laivų švartavimo prieplaukos (~190 m.) prie Garažų g. 6, Klaipėda, įrengimas - 464640,00 EUR</t>
        </r>
      </text>
    </comment>
    <comment ref="K69" authorId="0" shapeId="0" xr:uid="{5B2CB16E-EE00-41DE-B2D9-8896909BF124}">
      <text>
        <r>
          <rPr>
            <sz val="11"/>
            <color theme="1"/>
            <rFont val="Calibri"/>
            <family val="2"/>
            <charset val="186"/>
            <scheme val="minor"/>
          </rPr>
          <t>1. Laivų švartavimo įrangos (plūduriuojančių pontonų) 100 m. atkarpoje įrengimas (Meridiano krantinė (4400-1977-6813; 325,80 m.) - 141900 eur.</t>
        </r>
      </text>
    </comment>
    <comment ref="K70" authorId="0" shapeId="0" xr:uid="{55ECFC22-4306-43A9-8E88-F52C75C80F3A}">
      <text>
        <r>
          <rPr>
            <sz val="11"/>
            <color theme="1"/>
            <rFont val="Calibri"/>
            <family val="2"/>
            <charset val="186"/>
            <scheme val="minor"/>
          </rPr>
          <t>Atrankiniai kranto tvirtinimo ruožų remonto darbai (Smiltynės krantinė/kranto tvirtinimas nuo Senosios perkėlos iki Smiltynės Jachtklubo (807,00 m.). - 375000 eur.</t>
        </r>
      </text>
    </comment>
    <comment ref="K73" authorId="0" shapeId="0" xr:uid="{323A75A8-B8CC-4A09-8EF4-1E150B9DE51B}">
      <text>
        <r>
          <rPr>
            <sz val="11"/>
            <color theme="1"/>
            <rFont val="Calibri"/>
            <family val="2"/>
            <charset val="186"/>
            <scheme val="minor"/>
          </rPr>
          <t xml:space="preserve">1.Poilsio parkas
2.Treko parkas
3.Skulptūrų parkas
4.Malūno parkas
5.Ąžuolų giraitė
6.Sąjūdžio parkas
7.Parkas tarp Statybininkų pr. ir Smiltelės g.
8.Draugystės parkas
</t>
        </r>
      </text>
    </comment>
    <comment ref="I74" authorId="3" shapeId="0" xr:uid="{155A8A7F-0D7C-49B7-8F0B-6DBDD3274D38}">
      <text>
        <r>
          <rPr>
            <sz val="11"/>
            <color theme="1"/>
            <rFont val="Calibri"/>
            <family val="2"/>
            <charset val="186"/>
            <scheme val="minor"/>
          </rPr>
          <t xml:space="preserve">Šis rodiklis nuo 2026 m. perkeliamas į 005 programą (Aplinkos ir klimato kaitos skyrius) </t>
        </r>
      </text>
    </comment>
    <comment ref="K75" authorId="1" shapeId="0" xr:uid="{AB29CD99-69E0-4C6C-B8E4-B38ABF4F5815}">
      <text>
        <r>
          <rPr>
            <sz val="11"/>
            <color theme="1"/>
            <rFont val="Calibri"/>
            <family val="2"/>
            <charset val="186"/>
            <scheme val="minor"/>
          </rPr>
          <t xml:space="preserve">1. Stacionarus viešasis tualetas Poilsio parke ( H. Manto g. 81)
2. Žvejų g. 2
3. K. Donelaičio g. 6A
4. Skulptūrų parkas
5. Sakurų parkas
6. Malūno parkas
7. Ąžuolyno giraitė
8. Mogiliovo g.
9. Vingio g. skvere
10. Liepų g. slipas
11. Danės krantinėje
Prisideda:
1. Smiltynės g. 14A ir 14B
2. Kruizinių laivų terminale (Priešpilio g.)
</t>
        </r>
      </text>
    </comment>
    <comment ref="L75" authorId="1" shapeId="0" xr:uid="{77035823-128F-4EEC-8D71-7CB5C0CCB4E1}">
      <text>
        <r>
          <rPr>
            <sz val="11"/>
            <color theme="1"/>
            <rFont val="Calibri"/>
            <family val="2"/>
            <charset val="186"/>
            <scheme val="minor"/>
          </rPr>
          <t>1. Stacionarus viešasis tualetas Poilsio parke ( H. Manto g. 81)
2. Žvejų g. 2
3. K. Donelaičio g. 6A
4. Skulptūrų parkas
5. Sakurų parkas
6. Malūno parkas
7. Ąžuolyno giraitė
8. Mogiliovo g.
9. Vingio g. skvere
10. Liepų g. slipas
11. Danės krantinėje
12. Smiltynės g. 14A ir 14B
13. Kruizinių laivų terminale (Priešpilio g.)</t>
        </r>
      </text>
    </comment>
    <comment ref="J77" authorId="1" shapeId="0" xr:uid="{81DC48CD-E9E6-40A7-B42A-910331AD5B12}">
      <text>
        <r>
          <rPr>
            <sz val="11"/>
            <color theme="1"/>
            <rFont val="Calibri"/>
            <family val="2"/>
            <charset val="186"/>
            <scheme val="minor"/>
          </rPr>
          <t xml:space="preserve">Danės krantinėje
</t>
        </r>
      </text>
    </comment>
    <comment ref="K77" authorId="1" shapeId="0" xr:uid="{A1114699-F293-4CEA-804C-73C7506F3595}">
      <text>
        <r>
          <rPr>
            <sz val="11"/>
            <color theme="1"/>
            <rFont val="Calibri"/>
            <family val="2"/>
            <charset val="186"/>
            <scheme val="minor"/>
          </rPr>
          <t>1. Smiltynės g. 14A ir 14B
2. Kruizinių laivų terminale (Priešpilio g.)</t>
        </r>
      </text>
    </comment>
    <comment ref="J82" authorId="1" shapeId="0" xr:uid="{9BE4D531-18DC-44BA-B8E5-2BCE907B6E1A}">
      <text>
        <r>
          <rPr>
            <sz val="11"/>
            <color theme="1"/>
            <rFont val="Calibri"/>
            <family val="2"/>
            <charset val="186"/>
            <scheme val="minor"/>
          </rPr>
          <t xml:space="preserve">1. Bangų g. 11
2. Mūrinio statinio esančio Molo g. 25T griovimo darbai
3. Manto g. 83 gyvenamojo namo griovimo darbai
4. Statinių, esančių Senoji Smiltelės g. 2B, Klaipėdoje griovimo darbai
5. Statinių, esančio šalia Artojo g. 7 ir 7H papildomi griovimo darbai
6. Dirbtuvių pastato, adresu K. Donelaičio a. 5A , Klaipėda, uždengimo apsauginiu tinklu darbai
7. Avarinės būklės statinio, esančio Prano Lideikio g. 1A, Klaipėda griovimo darbai
8. Klaipėdoje esančių, H. Manto g. 83 statinių (garažo ir dirbtuvių) griovimo darbai
</t>
        </r>
      </text>
    </comment>
    <comment ref="K82" authorId="1" shapeId="0" xr:uid="{D5986450-AAC7-4204-B909-4EB869AE025B}">
      <text>
        <r>
          <rPr>
            <sz val="11"/>
            <color theme="1"/>
            <rFont val="Calibri"/>
            <family val="2"/>
            <charset val="186"/>
            <scheme val="minor"/>
          </rPr>
          <t>1. Mokyklos ir katilinės pastatų, adresu Klaipėdos g. 33 griovimas
2. Paeiliui einančių garažų griovimas
3. Vingio g. požeminės perėjos griovimas</t>
        </r>
      </text>
    </comment>
    <comment ref="L82" authorId="1" shapeId="0" xr:uid="{5F8B43BF-9033-457F-956D-81026F3C2E00}">
      <text>
        <r>
          <rPr>
            <sz val="11"/>
            <color theme="1"/>
            <rFont val="Calibri"/>
            <family val="2"/>
            <charset val="186"/>
            <scheme val="minor"/>
          </rPr>
          <t>1. Dirbtuvių pastato ir tvoros K. Donelaičio a. 5A griovimo darbai
2. Kitų statinių griovimas</t>
        </r>
      </text>
    </comment>
    <comment ref="F83" authorId="0" shapeId="0" xr:uid="{79B225D9-6584-498B-93F7-BD0BEDA7A2D7}">
      <text>
        <r>
          <rPr>
            <sz val="11"/>
            <color theme="1"/>
            <rFont val="Calibri"/>
            <family val="2"/>
            <charset val="186"/>
            <scheme val="minor"/>
          </rPr>
          <t>153,0 tūkst. Eur Vingio perėja 
120,0 tūkst. Eur garažai;
70,0 tūkst. Eur mokykla (Klaipėdos g. 33);
20,0 tūkst. Eur Donelaičio 5A tvoros griovimo aprašas.</t>
        </r>
      </text>
    </comment>
    <comment ref="L89" authorId="2" shapeId="0" xr:uid="{0FD208B8-089B-45DD-BC39-03AD99B43A3D}">
      <text>
        <r>
          <rPr>
            <sz val="11"/>
            <color theme="1"/>
            <rFont val="Calibri"/>
            <family val="2"/>
            <charset val="186"/>
            <scheme val="minor"/>
          </rPr>
          <t>Slipo įrengimas Smeltalės upėje</t>
        </r>
      </text>
    </comment>
    <comment ref="F90" authorId="3" shapeId="0" xr:uid="{20AA6B8A-F61A-4D1B-9CF4-A1A344C482FE}">
      <text>
        <r>
          <rPr>
            <sz val="11"/>
            <color theme="1"/>
            <rFont val="Calibri"/>
            <family val="2"/>
            <charset val="186"/>
            <scheme val="minor"/>
          </rPr>
          <t xml:space="preserve">Slipo įrengimas Smeltalės upėje
</t>
        </r>
      </text>
    </comment>
    <comment ref="F93" authorId="3" shapeId="0" xr:uid="{1F93A992-DA6B-430E-9A8C-1D332AE120B6}">
      <text>
        <r>
          <rPr>
            <sz val="11"/>
            <color theme="1"/>
            <rFont val="Calibri"/>
            <family val="2"/>
            <charset val="186"/>
            <scheme val="minor"/>
          </rPr>
          <t>Smiltynė ir Pirmoji Melnragė</t>
        </r>
      </text>
    </comment>
    <comment ref="G93" authorId="3" shapeId="0" xr:uid="{6DBEED84-2B55-4810-BBFE-937B22C4617C}">
      <text>
        <r>
          <rPr>
            <sz val="11"/>
            <color theme="1"/>
            <rFont val="Calibri"/>
            <family val="2"/>
            <charset val="186"/>
            <scheme val="minor"/>
          </rPr>
          <t>Naujai pasirinktai paplūdimio prieigai</t>
        </r>
      </text>
    </comment>
    <comment ref="L94" authorId="3" shapeId="0" xr:uid="{6EE45080-A258-4C12-A0E0-D6AF02DFE4C7}">
      <text>
        <r>
          <rPr>
            <sz val="11"/>
            <color theme="1"/>
            <rFont val="Calibri"/>
            <family val="2"/>
            <charset val="186"/>
            <scheme val="minor"/>
          </rPr>
          <t xml:space="preserve">Naujai pasirinktai paplūdimio prieigai
</t>
        </r>
      </text>
    </comment>
    <comment ref="K114" authorId="1" shapeId="0" xr:uid="{9AC692E7-029C-46B8-848F-C20382314793}">
      <text>
        <r>
          <rPr>
            <sz val="11"/>
            <color theme="1"/>
            <rFont val="Calibri"/>
            <family val="2"/>
            <charset val="186"/>
            <scheme val="minor"/>
          </rPr>
          <t>1. Šimkaus g. 12 Manto g. 9A (250 m)
2. Šiaulių g. 13-19 (550 m)
3. J. Zauerveino g. 19–25, N. Uosto g. 20 (400 m.)
4. I. Simonaitytės g. 6, 10, 12, 14, 16 (540 m)
5. Kretingos g. 1-5, V. Berbomo g. 1-3 (800 m)
6. Poilsio g. 14, 16, 20 Rambyno g. 5, 7 (580 m)
7. Takai tarp Taikos pr. 105 ir Naujakiemio 25,27 (500 m)
8. Paryžiaus Komunos g. 24, Šilutės pl. 6, 8,10, 12 ir priėjimo takai (1050 m)
9. Puodžių g. 22-26, S. Daukanto g. 2 (200 m)
10. Reikjaviko g. 1-3, Žardininkų g. 27 (300 m)
11. Brako mokykla
12. Įsrutės g. ir žiemos žaidimų  aikštelė (500 m)
13. Užlaukio ir Dienovidžio g.(su projektu)
14. Žemynos gimnazijos stadionas (700 m)
15. Apšvietimas naujai įrengiamose ECO aikštelėse</t>
        </r>
      </text>
    </comment>
    <comment ref="K115" authorId="1" shapeId="0" xr:uid="{D85034DE-77FC-4CA1-AF39-CA9E7F3D75F3}">
      <text>
        <r>
          <rPr>
            <sz val="11"/>
            <color theme="1"/>
            <rFont val="Calibri"/>
            <family val="2"/>
            <charset val="186"/>
            <scheme val="minor"/>
          </rPr>
          <t>1. Šaulių ir Vilties g. sankryžoje
2. Agluonos g. ties Mechanizacijos g.
3. Kuosų g. ties Agluonos g.
4. Ties Baltijos pr. 53B 
5. Ties Žardininkų g. 27A
6. Mogiliovo–Markučių g. sankryžoje</t>
        </r>
      </text>
    </comment>
    <comment ref="G130" authorId="0" shapeId="0" xr:uid="{EF0637AA-5AD7-4D10-BA2B-AAF6E15773FC}">
      <text>
        <r>
          <rPr>
            <sz val="11"/>
            <color theme="1"/>
            <rFont val="Calibri"/>
            <family val="2"/>
            <charset val="186"/>
            <scheme val="minor"/>
          </rPr>
          <t>Kolumbariumo įrengimui – 501 385,07 Eur:
1) 338 413,26 Eur – elektrotechnikos ir aplinkos sutvarkymui pagal projektą;
2) 159 471,81 Eur – 1/2 konstrukcinės dalies (kolumbariumų sienelių) įgyvendinimui;
3) 3500,0 Eur vykdomų darbų priežiūrai.</t>
        </r>
      </text>
    </comment>
    <comment ref="K138" authorId="1" shapeId="0" xr:uid="{7517FBB3-0EBB-40C7-99C0-3D5E471BB0DA}">
      <text>
        <r>
          <rPr>
            <sz val="11"/>
            <color theme="1"/>
            <rFont val="Calibri"/>
            <family val="2"/>
            <charset val="186"/>
            <scheme val="minor"/>
          </rPr>
          <t>Infrastruktūriniai – 900 vnt.
EKO – 400 vnt.</t>
        </r>
      </text>
    </comment>
    <comment ref="L138" authorId="1" shapeId="0" xr:uid="{A349559D-DCA8-489F-A184-AF6C699FD174}">
      <text>
        <r>
          <rPr>
            <sz val="11"/>
            <color theme="1"/>
            <rFont val="Calibri"/>
            <family val="2"/>
            <charset val="186"/>
            <scheme val="minor"/>
          </rPr>
          <t>Infrastruktūriniai – 902 vnt.
EKO – 400 vnt.</t>
        </r>
      </text>
    </comment>
    <comment ref="M138" authorId="1" shapeId="0" xr:uid="{CB4C9C73-D045-4668-BDAE-B224027D46F2}">
      <text>
        <r>
          <rPr>
            <sz val="11"/>
            <color theme="1"/>
            <rFont val="Calibri"/>
            <family val="2"/>
            <charset val="186"/>
            <scheme val="minor"/>
          </rPr>
          <t>Infrastruktūriniai – 649 vnt.
EKO – 400 vnt.</t>
        </r>
      </text>
    </comment>
    <comment ref="I146" authorId="1" shapeId="0" xr:uid="{3326AED4-7077-4D04-A801-244665CB1DBB}">
      <text>
        <r>
          <rPr>
            <sz val="11"/>
            <color theme="1"/>
            <rFont val="Calibri"/>
            <family val="2"/>
            <charset val="186"/>
            <scheme val="minor"/>
          </rPr>
          <t>98 stovėjimo vietų</t>
        </r>
      </text>
    </comment>
    <comment ref="F147" authorId="0" shapeId="0" xr:uid="{F10EEE1B-BFDF-45CA-9A30-0B8638136805}">
      <text>
        <r>
          <rPr>
            <sz val="11"/>
            <color theme="1"/>
            <rFont val="Calibri"/>
            <family val="2"/>
            <charset val="186"/>
            <scheme val="minor"/>
          </rPr>
          <t xml:space="preserve">2778,8- 1560101 lėšos
438,5- 151 lėšos
</t>
        </r>
      </text>
    </comment>
    <comment ref="I147" authorId="1" shapeId="0" xr:uid="{226BF823-347D-43FF-97F0-1DCF210FD15B}">
      <text>
        <r>
          <rPr>
            <sz val="11"/>
            <color theme="1"/>
            <rFont val="Calibri"/>
            <family val="2"/>
            <charset val="186"/>
            <scheme val="minor"/>
          </rPr>
          <t>82 stovėjimo vietų</t>
        </r>
      </text>
    </comment>
    <comment ref="I148" authorId="1" shapeId="0" xr:uid="{AB57E0B9-43EC-4CF2-A8A2-6AD408C57161}">
      <text>
        <r>
          <rPr>
            <sz val="11"/>
            <color theme="1"/>
            <rFont val="Calibri"/>
            <family val="2"/>
            <charset val="186"/>
            <scheme val="minor"/>
          </rPr>
          <t>65 stovėjimo vietų</t>
        </r>
      </text>
    </comment>
    <comment ref="I149" authorId="1" shapeId="0" xr:uid="{AB825FD3-DAFE-43F3-B242-62A32A991C4B}">
      <text>
        <r>
          <rPr>
            <sz val="11"/>
            <color theme="1"/>
            <rFont val="Calibri"/>
            <family val="2"/>
            <charset val="186"/>
            <scheme val="minor"/>
          </rPr>
          <t>500 stovėjimo vietų</t>
        </r>
      </text>
    </comment>
    <comment ref="C150" authorId="2" shapeId="0" xr:uid="{72A9F87F-3EB8-4673-A9D1-F254E587D6A6}">
      <text>
        <r>
          <rPr>
            <sz val="11"/>
            <color theme="1"/>
            <rFont val="Calibri"/>
            <family val="2"/>
            <charset val="186"/>
            <scheme val="minor"/>
          </rPr>
          <t>Projektavimas Debreceno  g. 41, Smiltelės g. 5, 7, 9, 13</t>
        </r>
      </text>
    </comment>
    <comment ref="I150" authorId="1" shapeId="0" xr:uid="{AB7528DD-3882-4053-9B17-EDA761604DF4}">
      <text>
        <r>
          <rPr>
            <sz val="11"/>
            <color theme="1"/>
            <rFont val="Calibri"/>
            <family val="2"/>
            <charset val="186"/>
            <scheme val="minor"/>
          </rPr>
          <t>103 stovėjimo vietų</t>
        </r>
      </text>
    </comment>
    <comment ref="I151" authorId="1" shapeId="0" xr:uid="{AB3DFD8C-36EC-4B03-A0F9-FD38D7C3C1FD}">
      <text>
        <r>
          <rPr>
            <sz val="11"/>
            <color theme="1"/>
            <rFont val="Calibri"/>
            <family val="2"/>
            <charset val="186"/>
            <scheme val="minor"/>
          </rPr>
          <t>40 stovėjimo vietų</t>
        </r>
      </text>
    </comment>
    <comment ref="I152" authorId="1" shapeId="0" xr:uid="{96D9F80A-EAE2-4C55-AC2A-B8A73ED628D3}">
      <text>
        <r>
          <rPr>
            <sz val="11"/>
            <color theme="1"/>
            <rFont val="Calibri"/>
            <family val="2"/>
            <charset val="186"/>
            <scheme val="minor"/>
          </rPr>
          <t>41 stovėjimo vietų</t>
        </r>
      </text>
    </comment>
    <comment ref="I153" authorId="1" shapeId="0" xr:uid="{A10E85F4-9135-4155-83BE-FBB7B378472E}">
      <text>
        <r>
          <rPr>
            <sz val="11"/>
            <color theme="1"/>
            <rFont val="Calibri"/>
            <family val="2"/>
            <charset val="186"/>
            <scheme val="minor"/>
          </rPr>
          <t>98 stovėjimo vietų</t>
        </r>
      </text>
    </comment>
    <comment ref="I154" authorId="1" shapeId="0" xr:uid="{FE9834C9-4D94-4357-A440-C09F27ED1200}">
      <text>
        <r>
          <rPr>
            <sz val="11"/>
            <color theme="1"/>
            <rFont val="Calibri"/>
            <family val="2"/>
            <charset val="186"/>
            <scheme val="minor"/>
          </rPr>
          <t>9 stovėjimo vietos</t>
        </r>
      </text>
    </comment>
    <comment ref="I155" authorId="1" shapeId="0" xr:uid="{7B6FFE56-66F4-4E5C-B90A-0F4B6BF263D4}">
      <text>
        <r>
          <rPr>
            <sz val="11"/>
            <color theme="1"/>
            <rFont val="Calibri"/>
            <family val="2"/>
            <charset val="186"/>
            <scheme val="minor"/>
          </rPr>
          <t>43 stovėjimo vietos</t>
        </r>
      </text>
    </comment>
    <comment ref="I156" authorId="1" shapeId="0" xr:uid="{23ED32E8-9169-46E4-A6D8-E2B9076EDF4B}">
      <text>
        <r>
          <rPr>
            <sz val="11"/>
            <color theme="1"/>
            <rFont val="Calibri"/>
            <family val="2"/>
            <charset val="186"/>
            <scheme val="minor"/>
          </rPr>
          <t>10 stovėjimo vietų</t>
        </r>
      </text>
    </comment>
    <comment ref="I157" authorId="1" shapeId="0" xr:uid="{593F37B0-BBE5-43E6-BD19-CFBD2C9242C6}">
      <text>
        <r>
          <rPr>
            <sz val="11"/>
            <color theme="1"/>
            <rFont val="Calibri"/>
            <family val="2"/>
            <charset val="186"/>
            <scheme val="minor"/>
          </rPr>
          <t>500 stovėjimo vietų</t>
        </r>
      </text>
    </comment>
    <comment ref="I158" authorId="1" shapeId="0" xr:uid="{020B1115-75A6-4B12-BC2F-A94F51273DA4}">
      <text>
        <r>
          <rPr>
            <sz val="11"/>
            <color theme="1"/>
            <rFont val="Calibri"/>
            <family val="2"/>
            <charset val="186"/>
            <scheme val="minor"/>
          </rPr>
          <t>255 stovėjimo vietos</t>
        </r>
      </text>
    </comment>
    <comment ref="I159" authorId="1" shapeId="0" xr:uid="{33156DF4-7AC2-424F-9E4A-C20E5846618D}">
      <text>
        <r>
          <rPr>
            <sz val="11"/>
            <color theme="1"/>
            <rFont val="Calibri"/>
            <family val="2"/>
            <charset val="186"/>
            <scheme val="minor"/>
          </rPr>
          <t>170 stovėjimo vietų</t>
        </r>
      </text>
    </comment>
    <comment ref="I160" authorId="1" shapeId="0" xr:uid="{0C121BBB-201C-476D-B129-CF860A12E251}">
      <text>
        <r>
          <rPr>
            <sz val="11"/>
            <color theme="1"/>
            <rFont val="Calibri"/>
            <family val="2"/>
            <charset val="186"/>
            <scheme val="minor"/>
          </rPr>
          <t>170 stovėjimo vietos</t>
        </r>
      </text>
    </comment>
    <comment ref="I161" authorId="1" shapeId="0" xr:uid="{ACC65719-BE7F-4661-9AD5-7D8EE695AD48}">
      <text>
        <r>
          <rPr>
            <sz val="11"/>
            <color theme="1"/>
            <rFont val="Calibri"/>
            <family val="2"/>
            <charset val="186"/>
            <scheme val="minor"/>
          </rPr>
          <t>66 stovėjimo vietos</t>
        </r>
      </text>
    </comment>
    <comment ref="I162" authorId="1" shapeId="0" xr:uid="{3864D0CD-24A4-4D8C-8765-6DAB7C162CD4}">
      <text>
        <r>
          <rPr>
            <sz val="11"/>
            <color theme="1"/>
            <rFont val="Calibri"/>
            <family val="2"/>
            <charset val="186"/>
            <scheme val="minor"/>
          </rPr>
          <t>52 stovėjimo vietos</t>
        </r>
      </text>
    </comment>
    <comment ref="I163" authorId="1" shapeId="0" xr:uid="{A93E1A0B-F13E-4341-8B44-CD04C22E9451}">
      <text>
        <r>
          <rPr>
            <sz val="11"/>
            <color theme="1"/>
            <rFont val="Calibri"/>
            <family val="2"/>
            <charset val="186"/>
            <scheme val="minor"/>
          </rPr>
          <t>54 stovėjimo vietos</t>
        </r>
      </text>
    </comment>
    <comment ref="I164" authorId="1" shapeId="0" xr:uid="{DFCEEA19-C921-40C5-A20E-B525AE4045A4}">
      <text>
        <r>
          <rPr>
            <sz val="11"/>
            <color theme="1"/>
            <rFont val="Calibri"/>
            <family val="2"/>
            <charset val="186"/>
            <scheme val="minor"/>
          </rPr>
          <t>23 stovėjimo vietos</t>
        </r>
      </text>
    </comment>
    <comment ref="I165" authorId="1" shapeId="0" xr:uid="{E2C125D8-8622-45F8-BEFD-AEA58E7CCB6A}">
      <text>
        <r>
          <rPr>
            <sz val="11"/>
            <color theme="1"/>
            <rFont val="Calibri"/>
            <family val="2"/>
            <charset val="186"/>
            <scheme val="minor"/>
          </rPr>
          <t>22 stovėjimo vietos</t>
        </r>
      </text>
    </comment>
    <comment ref="I166" authorId="3" shapeId="0" xr:uid="{5EF4EC90-9441-43D5-B2A4-13955735353A}">
      <text>
        <r>
          <rPr>
            <sz val="11"/>
            <color theme="1"/>
            <rFont val="Calibri"/>
            <family val="2"/>
            <charset val="186"/>
            <scheme val="minor"/>
          </rPr>
          <t xml:space="preserve">50 stovėjimo vietų
</t>
        </r>
      </text>
    </comment>
    <comment ref="I167" authorId="3" shapeId="0" xr:uid="{744FB8F6-BB1B-43FC-BB14-FDB7CFDD058B}">
      <text>
        <r>
          <rPr>
            <sz val="11"/>
            <color theme="1"/>
            <rFont val="Calibri"/>
            <family val="2"/>
            <charset val="186"/>
            <scheme val="minor"/>
          </rPr>
          <t xml:space="preserve">500 stovėjimo vietų
</t>
        </r>
      </text>
    </comment>
    <comment ref="I169" authorId="3" shapeId="0" xr:uid="{EF3C9681-3219-4CE1-BF3B-9791A12D2873}">
      <text>
        <r>
          <rPr>
            <sz val="11"/>
            <color theme="1"/>
            <rFont val="Calibri"/>
            <family val="2"/>
            <charset val="186"/>
            <scheme val="minor"/>
          </rPr>
          <t xml:space="preserve">Projektavimo skyrius
</t>
        </r>
      </text>
    </comment>
    <comment ref="I170" authorId="3" shapeId="0" xr:uid="{EE8D7407-62DD-47C6-8DEA-333C0AC1BDF5}">
      <text>
        <r>
          <rPr>
            <sz val="11"/>
            <color theme="1"/>
            <rFont val="Calibri"/>
            <family val="2"/>
            <charset val="186"/>
            <scheme val="minor"/>
          </rPr>
          <t xml:space="preserve">Projektavimo skyrius
</t>
        </r>
      </text>
    </comment>
    <comment ref="I171" authorId="0" shapeId="0" xr:uid="{70CC4B76-22BF-4F0B-A910-B0DEEF56C230}">
      <text>
        <r>
          <rPr>
            <sz val="11"/>
            <color theme="1"/>
            <rFont val="Calibri"/>
            <family val="2"/>
            <charset val="186"/>
            <scheme val="minor"/>
          </rPr>
          <t>261 stovėjimo vieta (iš jų 11 su negalia)</t>
        </r>
      </text>
    </comment>
    <comment ref="I172" authorId="0" shapeId="0" xr:uid="{1D28275C-A8D8-48FC-8AB1-5DA0B2084DA5}">
      <text>
        <r>
          <rPr>
            <sz val="11"/>
            <color theme="1"/>
            <rFont val="Calibri"/>
            <family val="2"/>
            <charset val="186"/>
            <scheme val="minor"/>
          </rPr>
          <t>288 stovėjimo vietų (iš jų 9 su negalia)</t>
        </r>
      </text>
    </comment>
    <comment ref="I173" authorId="0" shapeId="0" xr:uid="{A334DE7A-55E8-4B73-A0A1-B8E460D6F6B1}">
      <text>
        <r>
          <rPr>
            <sz val="11"/>
            <color theme="1"/>
            <rFont val="Calibri"/>
            <family val="2"/>
            <charset val="186"/>
            <scheme val="minor"/>
          </rPr>
          <t>192 stovėjimo vietų (iš jų 6 su negalia)</t>
        </r>
      </text>
    </comment>
    <comment ref="I174" authorId="1" shapeId="0" xr:uid="{2CDAC012-2B38-42F7-843B-1560B261FAFC}">
      <text>
        <r>
          <rPr>
            <sz val="11"/>
            <color theme="1"/>
            <rFont val="Calibri"/>
            <family val="2"/>
            <charset val="186"/>
            <scheme val="minor"/>
          </rPr>
          <t>159 stovėjimo vietų</t>
        </r>
      </text>
    </comment>
    <comment ref="I175" authorId="1" shapeId="0" xr:uid="{7F5320EB-3865-4754-ABD8-4484F862A705}">
      <text>
        <r>
          <rPr>
            <sz val="11"/>
            <color theme="1"/>
            <rFont val="Calibri"/>
            <family val="2"/>
            <charset val="186"/>
            <scheme val="minor"/>
          </rPr>
          <t>90 stovėjimo vietų</t>
        </r>
      </text>
    </comment>
    <comment ref="K180" authorId="0" shapeId="0" xr:uid="{A0BF4DA4-AA7F-4312-95C3-1B2B22312C3F}">
      <text>
        <r>
          <rPr>
            <sz val="11"/>
            <color theme="1"/>
            <rFont val="Calibri"/>
            <family val="2"/>
            <charset val="186"/>
            <scheme val="minor"/>
          </rPr>
          <t>2 aikštelės iš 2025 m. (Mogiliovo g. 13  ir Minijos 129)
1 aikštelė nauja</t>
        </r>
      </text>
    </comment>
    <comment ref="L200" authorId="3" shapeId="0" xr:uid="{939B06D6-D4F0-4B5B-AB0C-CE23EED200BF}">
      <text>
        <r>
          <rPr>
            <sz val="11"/>
            <color theme="1"/>
            <rFont val="Calibri"/>
            <family val="2"/>
            <charset val="186"/>
            <scheme val="minor"/>
          </rPr>
          <t>Teritorija tarp Tilžės g. ir Vilniaus pl. (A1 magistralinio kelio</t>
        </r>
      </text>
    </comment>
    <comment ref="J204" authorId="0" shapeId="0" xr:uid="{17B1BA84-5AC2-4355-90D8-5E1B94D1B605}">
      <text>
        <r>
          <rPr>
            <sz val="11"/>
            <color theme="1"/>
            <rFont val="Calibri"/>
            <family val="2"/>
            <charset val="186"/>
            <scheme val="minor"/>
          </rPr>
          <t xml:space="preserve">Taikos pr. 4A-5 </t>
        </r>
      </text>
    </comment>
    <comment ref="K204" authorId="1" shapeId="0" xr:uid="{0BA0F324-76CE-4C6B-A6FC-3A2527AF6EDE}">
      <text>
        <r>
          <rPr>
            <sz val="11"/>
            <color theme="1"/>
            <rFont val="Calibri"/>
            <family val="2"/>
            <charset val="186"/>
            <scheme val="minor"/>
          </rPr>
          <t>1. Laukininkų g. 24-26 drenažas
2. Drenažas šalia Baltijos pr. 53
3. Drenažas Draugystės parke ties Gedminų g. 5
4. Drenažas šalia Debreceno g. 70</t>
        </r>
      </text>
    </comment>
    <comment ref="L204" authorId="1" shapeId="0" xr:uid="{EAFE12D6-2DFC-48D8-A438-636133036013}">
      <text>
        <r>
          <rPr>
            <sz val="11"/>
            <color theme="1"/>
            <rFont val="Calibri"/>
            <family val="2"/>
            <charset val="186"/>
            <scheme val="minor"/>
          </rPr>
          <t>Vaiva Lukošienė:
3 vnt. kietųjų dangų drenažai
1 vnt. parko drenažas</t>
        </r>
      </text>
    </comment>
    <comment ref="M204" authorId="1" shapeId="0" xr:uid="{11921E10-14F0-4B2F-B83B-2FBC19FD7B55}">
      <text>
        <r>
          <rPr>
            <sz val="11"/>
            <color theme="1"/>
            <rFont val="Calibri"/>
            <family val="2"/>
            <charset val="186"/>
            <scheme val="minor"/>
          </rPr>
          <t>Vaiva Lukošienė:
3 vnt. kietųjų dangų drenažai
1 vnt. parko drenažas</t>
        </r>
      </text>
    </comment>
    <comment ref="F246" authorId="3" shapeId="0" xr:uid="{E8470DB6-FF1D-45C1-8B9C-0DBAFEB09877}">
      <text>
        <r>
          <rPr>
            <sz val="11"/>
            <color theme="1"/>
            <rFont val="Calibri"/>
            <family val="2"/>
            <charset val="186"/>
            <scheme val="minor"/>
          </rPr>
          <t>70,0 tūkst. Eur – eksploatacinės išlaidos;
18,0 tūkst. Eur – draudimas;
45,0 tūkst. Eur – kultūros ir švietimo įstaigų pastatų draudimas.</t>
        </r>
      </text>
    </comment>
    <comment ref="F249" authorId="3" shapeId="0" xr:uid="{4DD5130A-BA53-4BF7-B7CA-81BEAF4DEA81}">
      <text>
        <r>
          <rPr>
            <sz val="11"/>
            <color theme="1"/>
            <rFont val="Calibri"/>
            <family val="2"/>
            <charset val="186"/>
            <scheme val="minor"/>
          </rPr>
          <t>S. Šimkaus g. 12 - 20 000 Eur
Danės g. 7 - 70 000 Eur</t>
        </r>
      </text>
    </comment>
    <comment ref="C265" authorId="3" shapeId="0" xr:uid="{27A6361A-7C9E-46D1-A133-A48D3A7A16D9}">
      <text>
        <r>
          <rPr>
            <sz val="11"/>
            <color theme="1"/>
            <rFont val="Calibri"/>
            <family val="2"/>
            <charset val="186"/>
            <scheme val="minor"/>
          </rPr>
          <t xml:space="preserve">PĮP turi būti pateiktas iki 2025-12-19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<sst xmlns="http://schemas.openxmlformats.org/spreadsheetml/2006/main" count="634" uniqueCount="414">
  <si>
    <t xml:space="preserve">Aiškinamojo rašto </t>
  </si>
  <si>
    <t>1 priedas</t>
  </si>
  <si>
    <t xml:space="preserve">3 lentelė. Klaipėdos miesto savivaldybės 2025–2028 metų 007 Miesto infrastruktūros objektų priežiūros ir modernizavimo programos uždaviniai, priemonės, asignavimai ir kitos lėšos (tūkst. eurų) bei priemonių stebėsenos rodikliai </t>
  </si>
  <si>
    <t>Programos uždavinio, priemonės kodas ir požymis</t>
  </si>
  <si>
    <t>Uždavinio, priemonės pavadinimas, finansavimo šaltiniai</t>
  </si>
  <si>
    <t xml:space="preserve">Vykdytojas </t>
  </si>
  <si>
    <t>2025 metų asignavimai ir kitos lėšos</t>
  </si>
  <si>
    <t>2026 metų asignavimai ir kitos lėšos</t>
  </si>
  <si>
    <t>2027 metų asignavimai ir kitos lėšos</t>
  </si>
  <si>
    <t>2028 metų asignavimai ir kitos lėšos</t>
  </si>
  <si>
    <t>Stebėsenos rodiklio pavadinimas (matavimo vnt.)</t>
  </si>
  <si>
    <t>Siektinos stebėsenos rodiklių reikšmės</t>
  </si>
  <si>
    <t>Savivaldybės strateginio plėtros plano rodiklis</t>
  </si>
  <si>
    <t>2025 m.</t>
  </si>
  <si>
    <t>2026 m.</t>
  </si>
  <si>
    <t>2027 m.</t>
  </si>
  <si>
    <t>2028 m.</t>
  </si>
  <si>
    <t>007-01 (T)</t>
  </si>
  <si>
    <t>Uždavinys: Siekti, kad miesto viešosios erdvės būtų tvarkingos, jaukios ir saugios</t>
  </si>
  <si>
    <t>Viešųjų erdvių, kurių būklė iš esmės pagerinta, skaičius</t>
  </si>
  <si>
    <t>Suvartota elektros energijos miesto gatvių apšvietimui vidutiniškai per metus, KWh vienam šviestuvui</t>
  </si>
  <si>
    <t>Apleistų ir nenaudojamų pastatų skaičius mieste, vnt.</t>
  </si>
  <si>
    <t>Vidutinis švaros mieste vertinimas balais (iš 10 galimų)</t>
  </si>
  <si>
    <t>&gt;7,38</t>
  </si>
  <si>
    <t>007-01-01 (TP)</t>
  </si>
  <si>
    <t>Priemonė: Miesto aikščių, skverų ir kitų bendro naudojimo teritorijų atnaujinimas ir priežiūra</t>
  </si>
  <si>
    <t>007-01-01-01</t>
  </si>
  <si>
    <t xml:space="preserve">Atgimimo aikštės sutvarkymas, didinant patrauklumą investicijoms, skatinant lankytojų srautus </t>
  </si>
  <si>
    <t xml:space="preserve">MVPD 
Statybos skyrius
</t>
  </si>
  <si>
    <t xml:space="preserve">Atlikta rangos darbų (požeminio garažo statyba). Užbaigtumas, proc.  </t>
  </si>
  <si>
    <t>P-3.1.1.4-3</t>
  </si>
  <si>
    <t xml:space="preserve">Savivaldybės biudžeto lėšos (nuosavos, be ankstesnių metų likučio) </t>
  </si>
  <si>
    <t>Ankstesnių metų likučiai</t>
  </si>
  <si>
    <t xml:space="preserve">Skolintos lėšos </t>
  </si>
  <si>
    <t>007-01-01-02 (RP)</t>
  </si>
  <si>
    <t>Turgaus aikštės su prieigomis atgaivinimas</t>
  </si>
  <si>
    <t xml:space="preserve">Projektų finansavimo ir administravimo skyrius, 
MVPD 
Statybos slyrius   </t>
  </si>
  <si>
    <t>Atlikta rangos darbų. Užbaigtumas, proc.</t>
  </si>
  <si>
    <t> </t>
  </si>
  <si>
    <t>Europos Sąjungos ir kitos tarptautinės finansinės paramos lėšos</t>
  </si>
  <si>
    <t>007-01-01-03</t>
  </si>
  <si>
    <t xml:space="preserve">AB „Klaipėdos energija“ teritorijos Danės g. 8, Klaipėdoje, konversija   </t>
  </si>
  <si>
    <t>Strateginio planavimo skyrius</t>
  </si>
  <si>
    <t>Įsigytos teritorijos konversijos įgyvendinimo modeliui teisinės ir ekonominės konsultavimo paslaugos, vnt.</t>
  </si>
  <si>
    <t>Parengta galimybių studija, vnt.</t>
  </si>
  <si>
    <t>Įvykdytas architektūrinis konkursas, vnt.</t>
  </si>
  <si>
    <t>P-3.2.1.2-1</t>
  </si>
  <si>
    <t>007-01-01-04 (RP)</t>
  </si>
  <si>
    <t xml:space="preserve">Danės teritorijos prieigų atgaivinimas Šiauriniame rage </t>
  </si>
  <si>
    <t>Projektų finansavimo ir administravimo skyrius, 
MVPD
 Statybos skyrius</t>
  </si>
  <si>
    <t>Teritorijos prie Santuokų rūmų atnaujinimas</t>
  </si>
  <si>
    <t>MVPD 
Miesto tvarkymo skyrius</t>
  </si>
  <si>
    <t> P-3.2.2.5-4</t>
  </si>
  <si>
    <t>007-01-01-05</t>
  </si>
  <si>
    <r>
      <t>Neringos skvero atnaujinimas</t>
    </r>
    <r>
      <rPr>
        <sz val="10"/>
        <rFont val="Times New Roman"/>
        <family val="1"/>
      </rPr>
      <t> </t>
    </r>
  </si>
  <si>
    <t>MVPD 
Projektavimo skyrius</t>
  </si>
  <si>
    <t>Parengtas techninis projektas, vnt.</t>
  </si>
  <si>
    <t>007-01-01-06</t>
  </si>
  <si>
    <t xml:space="preserve">Gėlynų atnaujinimas ir įrengimas </t>
  </si>
  <si>
    <t>Tvarkoma gėlynų ploto, tūkst. m²</t>
  </si>
  <si>
    <t xml:space="preserve">Prižiūrima tūrinių ir kitų gėlinių, vnt. </t>
  </si>
  <si>
    <t>007-01-01-07</t>
  </si>
  <si>
    <t>Fontanų priežiūra, remontas ir atnaujinimas</t>
  </si>
  <si>
    <t>Prižiūrima fontanų, vnt.</t>
  </si>
  <si>
    <t>Prižiūrima gertuvių, vnt.</t>
  </si>
  <si>
    <t>007-01-01-08</t>
  </si>
  <si>
    <t>Miesto viešųjų teritorijų inventoriaus priežiūra, įrengimas ir įsigijimas</t>
  </si>
  <si>
    <t>Įsigyta inventoriaus, vnt.</t>
  </si>
  <si>
    <t>Įrengta miesto riboženklių, vnt.</t>
  </si>
  <si>
    <t>007-01-01-09</t>
  </si>
  <si>
    <t>Šventinis miesto papuošimas (kalėdinio laikotarpio)</t>
  </si>
  <si>
    <t>Įsigyta šviečiančių kalėdinių elementų apšvietimo atramoms, vnt.</t>
  </si>
  <si>
    <t xml:space="preserve">Įsigyta šviečiančių tūrinių kalėdinių papuošimų apšvietimo atramoms, vnt. </t>
  </si>
  <si>
    <t>Įsigyta šviesos elementų (LED girliandų) fasadams ir medžiams puošti, tūkst. m</t>
  </si>
  <si>
    <t>Pakabinta ir eksploatuojama papuošimo elementų, vnt.</t>
  </si>
  <si>
    <t>Pakabinta ir eksploatuojama šviesos elementų (LED girliandų) fasadams ir medžiams puošti, tūkst. m</t>
  </si>
  <si>
    <t>007-01-01-10</t>
  </si>
  <si>
    <t>Retransliuojamo vaizdo stebėjimo kamerų viešosiose vietose įsigijimas ir eksploatacija</t>
  </si>
  <si>
    <t>AD Administracinės veiklos, kontrolės ir prevencijos  skyrius</t>
  </si>
  <si>
    <t>Eksploatuojama kamerų, vnt.</t>
  </si>
  <si>
    <t>Eksploatuojama belaidžio (Wi-Fi) ryšio stotelių, įrengtų šalia kamerų ir daugiafunkcių paslaugų stotelių, vnt.</t>
  </si>
  <si>
    <t>Duomenų saugyklos įsigijimas, vnt.</t>
  </si>
  <si>
    <t>Įsigyta kamerų, vnt.</t>
  </si>
  <si>
    <t>P-2.4.3.5-2</t>
  </si>
  <si>
    <t>Eksploatuojama viešųjų erdvių daugiafunkcių belaidžio  (Wi-Fi) ryšio stotelių, vnt.</t>
  </si>
  <si>
    <t>007-01-01-11</t>
  </si>
  <si>
    <t xml:space="preserve">Dalyvaujamojo biudžeto iniciatyvų įgyvendinimas </t>
  </si>
  <si>
    <t>Įgyvendinta iniciatyvų, vnt.</t>
  </si>
  <si>
    <t>P-2.6.4.3-1</t>
  </si>
  <si>
    <t xml:space="preserve">MVPD  
Miesto tvarkymo skyrius </t>
  </si>
  <si>
    <t xml:space="preserve">MVPD 
Statinių administravimo skyrius </t>
  </si>
  <si>
    <t>007-01-01-12</t>
  </si>
  <si>
    <t>Kompleksiškai sutvarkyta sporto ir laisvalaikio zonų seniūnaitijose, vnt.</t>
  </si>
  <si>
    <t>P-3.2.2.5-2</t>
  </si>
  <si>
    <t>007-01-01-13</t>
  </si>
  <si>
    <t>BĮ „Klaipėdos paplūdimiai“ veiklos organizavimas</t>
  </si>
  <si>
    <t>MVPD 
Miesto tvarkymo skyrius,
BĮ „Klaipėdos paplūdimiai“</t>
  </si>
  <si>
    <t>Nuolatinių darbuotojų etatų, skaičius</t>
  </si>
  <si>
    <t>Sezoninių darbuotojų etatų, skaičius</t>
  </si>
  <si>
    <t>Pajamų įmokos ir kitos pajamos</t>
  </si>
  <si>
    <t>Prižiūrima tualetų, vnt.</t>
  </si>
  <si>
    <t>Įsigyta ir įrengta inventoriaus, vnt.</t>
  </si>
  <si>
    <t>Pastatų ir infrastruktūros statinių, kuriuose atliktas remontas, skaičius, vnt.</t>
  </si>
  <si>
    <t xml:space="preserve">Įsigyta transporto priemonių ir technikos, vnt. </t>
  </si>
  <si>
    <t>Įsigyta programinės įrangos (sistemų), vnt.</t>
  </si>
  <si>
    <t>Parengta projektų, dokumentų, vnt.</t>
  </si>
  <si>
    <t>Smiltynės gelbėjimo stoties rekonstrukcija ir prieigų sutvarkymas</t>
  </si>
  <si>
    <t>Parengtas projektas, vnt.</t>
  </si>
  <si>
    <t>007-01-01-14</t>
  </si>
  <si>
    <t>Danės upės ir Smiltynės krantinių remontas</t>
  </si>
  <si>
    <t>Techninės dokumentacijos atkūrimas, parengimas. Užbaigtumas, proc.</t>
  </si>
  <si>
    <t>Įrengta laivų švartavimo prieplaukų, vnt.</t>
  </si>
  <si>
    <t>Sutvarkyta krantinių, vnt.</t>
  </si>
  <si>
    <t>Turto valdymo skyrius</t>
  </si>
  <si>
    <t>Negyvenamojo pastato Garažų g. 6A išpirkimas detaliojo plano sprendinių įgyvendinimui, vnt.</t>
  </si>
  <si>
    <t>007-01-01-15</t>
  </si>
  <si>
    <t>Savivaldybei priskirtų teritorijų sanitarinis valymas, parkų, skverų, žaliųjų plotų želdinimas ir aplinkotvarka</t>
  </si>
  <si>
    <t xml:space="preserve">MVPD 
Miesto tvarkymo skyrius, Aplinkos ir klimato kaitos skyrius </t>
  </si>
  <si>
    <t>Savivaldybei priskirtų valyti ir prižiūrėti teritorijų plotas, kv. km</t>
  </si>
  <si>
    <t>Prižiūrėta parkų, skverų, vnt.</t>
  </si>
  <si>
    <t>Kiti finansavimo šaltiniai</t>
  </si>
  <si>
    <t>Prižiūrėta bendro naudojimo atliekų surinkimo konteinerių aikštelių, vnt.</t>
  </si>
  <si>
    <t>007-01-01-16</t>
  </si>
  <si>
    <t>Miesto viešųjų tualetų įrengimas, remontas, priežiūra ir nuoma</t>
  </si>
  <si>
    <t>Prižiūrima automatinių, konteinerinių viešųjų tualetų, vnt.</t>
  </si>
  <si>
    <t>Nuomojama kilnojamųjų tualetų švenčių metu, vnt.</t>
  </si>
  <si>
    <t>Įrengta konteinerinių tualetų, vnt.</t>
  </si>
  <si>
    <t>P-1.2.1.5-3</t>
  </si>
  <si>
    <t>007-01-01-17</t>
  </si>
  <si>
    <t>Gyvūnų gerovės ir apsaugos priemonių įgyvendinimas (beglobių gyvūnų gaudymas, sterilizacija ir kt.)</t>
  </si>
  <si>
    <t xml:space="preserve">Paimta, sugauta gyvūnų, vnt. </t>
  </si>
  <si>
    <t>Atlikta beglobių kačių sterilizacijų, vnt.</t>
  </si>
  <si>
    <t>Atnaujinta šunų vedžiojimo aikštelių, vnt.</t>
  </si>
  <si>
    <t>Pastatyta kačių namelių, vnt.</t>
  </si>
  <si>
    <t>007-01-01-18</t>
  </si>
  <si>
    <t xml:space="preserve">Statinių, keliančių pavojų gyvybei ir sveikatai, griovimas </t>
  </si>
  <si>
    <t>Nugriauta statinių, vnt.</t>
  </si>
  <si>
    <t>007-01-01-19</t>
  </si>
  <si>
    <t>Automobilių nuvežimas ir saugojimas</t>
  </si>
  <si>
    <t>Nuvežta nenaudojamų automobilių, skaičius</t>
  </si>
  <si>
    <t>Saugoma nenaudojamų automobilių, skaičius</t>
  </si>
  <si>
    <t>Nuvežta už KET pažeidimus ir saugoma automobilių, skaičius</t>
  </si>
  <si>
    <t>007-01-01-20</t>
  </si>
  <si>
    <t>K. Donelaičio aikštės sutvarkymas</t>
  </si>
  <si>
    <t>007-01-01-21</t>
  </si>
  <si>
    <t>Slipų įrengimas miesto vandens telkiniuose</t>
  </si>
  <si>
    <t>Parengtas techninis darbo projektas, vnt.</t>
  </si>
  <si>
    <t xml:space="preserve">Parengti priešprojektiniai pasiūlymai, proc. </t>
  </si>
  <si>
    <t>Europos Sąjungos paramos lėšos</t>
  </si>
  <si>
    <t>Projektų finansavimo ir administravimo skyrius</t>
  </si>
  <si>
    <t>007-01-01-22</t>
  </si>
  <si>
    <t>Girulių–Melnragės ir Smiltynės paplūdimių prieigų ir infrastruktūros sutvarkymas</t>
  </si>
  <si>
    <t xml:space="preserve">Atlikta rangos darbų (Pirmojoje Melnragėje). Užbaigtumas, proc. </t>
  </si>
  <si>
    <t xml:space="preserve">Atlikta rangos darbų (Smiltynėje). Užbaigtumas, proc. </t>
  </si>
  <si>
    <t xml:space="preserve">Atlikta rangos darbų. Užbaigtumas, proc. </t>
  </si>
  <si>
    <t xml:space="preserve">Atlikta rangos darbų (Antrojoje Melnragėje). Užbaigtumas, proc. </t>
  </si>
  <si>
    <t xml:space="preserve">Atlikta rangos darbų (Giruliuose). Užbaigtumas, proc. </t>
  </si>
  <si>
    <t>Savivaldybės biudžetas (įskaitant skolintas lėšas)</t>
  </si>
  <si>
    <t>Iš jo:</t>
  </si>
  <si>
    <t xml:space="preserve">Savivaldybės biudžeto lėšos (nuosavos, be ankstesnių metų likučio)' </t>
  </si>
  <si>
    <t>Europos Sąjungos ir kitos tarptautinės finansinės paramos lėšos'</t>
  </si>
  <si>
    <t>Pajamų įmokos ir kitos pajamos'</t>
  </si>
  <si>
    <t>Ankstesnių metų likučiai'</t>
  </si>
  <si>
    <t>Skolintos lėšos'</t>
  </si>
  <si>
    <t>Kiti šaltiniai</t>
  </si>
  <si>
    <t>Iš jų:</t>
  </si>
  <si>
    <t>Europos Sąjungos paramos lėšos'</t>
  </si>
  <si>
    <t>Kiti finansavimo šaltiniai'</t>
  </si>
  <si>
    <t>007-01-02 (TP)</t>
  </si>
  <si>
    <t>Priemonė: Miesto viešųjų erdvių ir gatvių apšvietimo užtikrinimas</t>
  </si>
  <si>
    <t>007-01-02-01</t>
  </si>
  <si>
    <t>Gatvių ir viešųjų erdvių apšvietimo organizavimo funkcijos įgyvendinimas</t>
  </si>
  <si>
    <t>Eksploatuojama šviestuvų, tūkst. vnt.</t>
  </si>
  <si>
    <t>P-3.3.2.4-3</t>
  </si>
  <si>
    <t>Suvartota elektros energijos, tūkst. MWh</t>
  </si>
  <si>
    <t>P-3.3.2.4-2</t>
  </si>
  <si>
    <t>007-01-02-02</t>
  </si>
  <si>
    <t>Viešųjų erdvių (šviesoforų, fontanų, tualetų ir kt.) apšvietimo tinklų ir įrangos eksploatacija</t>
  </si>
  <si>
    <t>007-01-02-03</t>
  </si>
  <si>
    <t>Viešųjų erdvių, daugiabučių namų kiemų ir gatvių apšvietimo įrengimas</t>
  </si>
  <si>
    <t>Viešųjų erdvių, daugiabučių namų kiemų ir gatvių, kuriose įrengiamas apšvietimas, skaičius</t>
  </si>
  <si>
    <t>Pėsčiųjų perėjų, kuriose įrengtas kryptinis apšvietimas, skaičius</t>
  </si>
  <si>
    <t>6</t>
  </si>
  <si>
    <t>P-3.1.3.7-1</t>
  </si>
  <si>
    <t>007-02 (T)</t>
  </si>
  <si>
    <t>Uždavinys: Užtikrinti laidojimo paslaugų teikimą, miesto kapinių priežiūrą ir poreikius atitinkantį laidojimo vietų skaičių</t>
  </si>
  <si>
    <t>Kremuotų palaikų, laidojamų urnose, santykis su bendru laidojamų palaikų skaičiumi, proc.</t>
  </si>
  <si>
    <t>007-02-01 (TP)</t>
  </si>
  <si>
    <t>Priemonė: Laidojimo paslaugų teikimas ir kapinių priežiūros organizavimas</t>
  </si>
  <si>
    <t>007-02-01-01</t>
  </si>
  <si>
    <t xml:space="preserve">Mirusių (žuvusių) žmonių palaikų pervežimas iš įvykio vietos, laikymas (saugojimas) bei nenustatytos asmenybės palaikų laidojimas </t>
  </si>
  <si>
    <t xml:space="preserve">Išvežta mirusiųjų iš įvykio vietos,  skaičius </t>
  </si>
  <si>
    <t>Mirusiųjų palaikų laikinas laikymas (saugojimas), tūkst. val.</t>
  </si>
  <si>
    <t xml:space="preserve">Palaidota mirusiųjų, skaičius </t>
  </si>
  <si>
    <t>007-02-01-02</t>
  </si>
  <si>
    <t>Miesto kapinių priežiūra ir  infrastruktūros atnaujinimas</t>
  </si>
  <si>
    <t xml:space="preserve">Prižiūrima kapinių  (įskaitant senąsias kapinaites), vnt. </t>
  </si>
  <si>
    <t>P-3.2.2.6-3</t>
  </si>
  <si>
    <r>
      <rPr>
        <sz val="10"/>
        <color rgb="FF000000"/>
        <rFont val="Times New Roman"/>
        <family val="1"/>
        <charset val="186"/>
      </rPr>
      <t>Suremontuota takų Joniškės ir Lėbartų kapinėse, tūkst. m</t>
    </r>
    <r>
      <rPr>
        <vertAlign val="superscript"/>
        <sz val="10"/>
        <color rgb="FF000000"/>
        <rFont val="Times New Roman"/>
        <family val="1"/>
        <charset val="186"/>
      </rPr>
      <t>2</t>
    </r>
  </si>
  <si>
    <t xml:space="preserve">Atlikta viešojo tualeto remonto Lėbartų kapinių administraciniame pastate rangos darbų. Užbaigtumas, proc.  </t>
  </si>
  <si>
    <t>007-02-01-03</t>
  </si>
  <si>
    <t>Tvoros atnaujinimas ir kolumbariumo įrengimas Joniškės kapinėse</t>
  </si>
  <si>
    <t>Atlikta rangos darbų, proc.</t>
  </si>
  <si>
    <t>007-03 (T)</t>
  </si>
  <si>
    <t>Uždavinys: Užtikrinti švarą ir tvarką daugiabučių gyvenamųjų namų kvartaluose, skatinti gyventojus renovuoti, prižiūrėti ir saugoti savo turtą</t>
  </si>
  <si>
    <t>Įrengta automobilių stovėjimo vietų daugiabučių kiemuose, vnt.</t>
  </si>
  <si>
    <t>Modernizuotų, renovuotų daugiabučių namų dalis nuo visų daugiabučių namų, proc.</t>
  </si>
  <si>
    <t>14,3 </t>
  </si>
  <si>
    <t>R-3.3.2-3</t>
  </si>
  <si>
    <t>Kompleksiškai renovuotų daugiabučių namų grupių skaičius</t>
  </si>
  <si>
    <t>10 </t>
  </si>
  <si>
    <t>R-3.3.2-4</t>
  </si>
  <si>
    <t>Vidutinis apšvietimo gyvenamuosiuose kvartaluose vertinimas balais (iš 10 galimų)</t>
  </si>
  <si>
    <t>&gt;7,64</t>
  </si>
  <si>
    <t xml:space="preserve">Vidutinis vaikų žaidimų aikštelių vertinimas balais (iš 10 galimų) </t>
  </si>
  <si>
    <t>&gt;6,41</t>
  </si>
  <si>
    <t>Vidutinis būsto ir pastatų ūkio administravimo vertinimas balais (iš 10 galimų)</t>
  </si>
  <si>
    <t>&gt;6,54</t>
  </si>
  <si>
    <t>Vidutinis gyvūnų vedžiojimo aikštelių vertinimas balais (iš 10 galimų)</t>
  </si>
  <si>
    <t>&gt;5,52</t>
  </si>
  <si>
    <t>007-03-01 (TP)</t>
  </si>
  <si>
    <t>Priemonė: Daugiabučių gyvenamųjų namų kvartalų atnaujinimo ir priežiūros vykdymas</t>
  </si>
  <si>
    <t>007-03-01-01</t>
  </si>
  <si>
    <t>Daugiabučių namų kiemų automobilių stovėjimo aikštelių ir kitų kietųjų dangų projektavimas, įrengimas ir atnaujinimas</t>
  </si>
  <si>
    <t>MVPD 
Miesto tvarkymo skyrius, 
Projektavimo skyrius</t>
  </si>
  <si>
    <t>Atlikta rangos darbų (Minijos g. 126, 128, 130C ir II Minijos g. 130, 130A, 130B). Užbaigtumas, proc.</t>
  </si>
  <si>
    <t>P-3.2.2.1-3</t>
  </si>
  <si>
    <t>Atlikta rangos darbų (Laukininkų g. 33–37, 32–40). Užbaigtumas, proc.</t>
  </si>
  <si>
    <t>Lietuvos Respublikos valstybės biudžeto dotacijos</t>
  </si>
  <si>
    <t>Atlikta rangos darbų (Baltijos pr. 59, 61, 65, 67, 69). Užbaigtumas, proc.</t>
  </si>
  <si>
    <t>Kiti šaltiniai (KPP)</t>
  </si>
  <si>
    <t xml:space="preserve">Atlikta rangos darbų (Taikos pr. 41, 43, 45, 49, 51, Paryžiaus Komunos g. 6, 10). Užbaigtumas, proc. </t>
  </si>
  <si>
    <t>MVPD
Projektavimo skyrius</t>
  </si>
  <si>
    <t>Atlikta rangos darbų (Debreceno g. 35–39). Užbaigtumas, proc.</t>
  </si>
  <si>
    <t>Atlikta rangos darbų (Debreceno g. 26, 34, 36 ). Užbaigtumas, proc.</t>
  </si>
  <si>
    <t>Atlikta rangos darbų (Tilžės g. 21–37). Užbaigtumas, proc.</t>
  </si>
  <si>
    <t>Atlikta rangos darbų (I. Simonaitytės g. 5–9). Užbaigtumas, proc.</t>
  </si>
  <si>
    <t>Atlikta rangos darbų (Kooperacijos g. 7, 7A). Užbaigtumas, proc.</t>
  </si>
  <si>
    <t>Atlikta rangos darbų (Kuncų g. 14, 16). Užbaigtumas, proc.</t>
  </si>
  <si>
    <t>Atlikta rangos darbų (Pilies g. 5). Užbaigtumas, proc.</t>
  </si>
  <si>
    <t>Atlikta rangos darbų (Smiltelės g. 5, 7, 9, 13). Užbaigtumas, proc.</t>
  </si>
  <si>
    <t>Atlikta rangos darbų (Naujakiemio g. 10, 12, 14, 16, 18, 20, 22, 24). Užbaigtumas, proc.</t>
  </si>
  <si>
    <t>Atlikta rangos darbų (Statybininkų pr. 26–32, Taikos pr. 111, 113). Užbaigtumas, proc.</t>
  </si>
  <si>
    <t>Atlikta rangos darbų (Reikjaviko g. 10–14, Taikos pr. 127–137). Užbaigtumas, proc.</t>
  </si>
  <si>
    <t>Atlikta rangos darbų (Debreceno g. 70, 72, 74, 76, 78 4). Užbaigtumas, proc.</t>
  </si>
  <si>
    <t>Atlikta rangos darbų (Mogiliovo g. 3, Markučių g. 3, Budelkiemio g. 2–6). Užbaigtumas, proc.</t>
  </si>
  <si>
    <t>Atlikta rangos darbų (Vyturio g. 19–25). Užbaigtumas, proc.</t>
  </si>
  <si>
    <t>Atlikta rangos darbų (Vyturio g. 11–15). Užbaigtumas, proc.</t>
  </si>
  <si>
    <t>Atlikta rangos darbų (Varpų g. 17–27). Užbaigtumas, proc.</t>
  </si>
  <si>
    <t>Atlikta rangos darbų (Debreceno g. 41, BĮ Klaipėdos pedagoginės psichologinės tarnybos teritorija). Užbaigtumas, proc.</t>
  </si>
  <si>
    <t>Įrengta automobilių stovėjimo vietų daugiabučių kiemuose iš ekogaminių (ažūrinių trinkelių), vnt.</t>
  </si>
  <si>
    <t>Parengtas projektas (Debreceno g. 41, BĮ Klaipėdos pedagoginės psichologinės tarnybos teritorija), vnt.</t>
  </si>
  <si>
    <t>Parengtas projektas (Smiltelės g. 5, 7, 9, 13), vnt.</t>
  </si>
  <si>
    <t>Atlikta rangos darbų (Kauno g. 29, 31, 33, 35, 39, 39A). Užbaigtumas, proc.</t>
  </si>
  <si>
    <t>Atlikta rangos darbų (Kauno g. 13, 15, 17, 19, 23, 23A, 25). Užbaigtumas, proc.</t>
  </si>
  <si>
    <t>Atlikta rangos darbų (Taikos pr. 59, Kauno g. 3, 7, 9). Užbaigtumas, proc.</t>
  </si>
  <si>
    <t>Atlikta rangos darbų (Kretingos g. 27–Liepojos g. 2). Užbaigtumas, proc.</t>
  </si>
  <si>
    <t>Atlikta rangos darbų (Vilhelmo Berbomo g. 2, Kretingos g. 11–21). Užbaigtumas, proc.</t>
  </si>
  <si>
    <t>007-03-01-02</t>
  </si>
  <si>
    <t xml:space="preserve">Daugiabučių namų savininkų bendrijų (DNSB) pirmininkų mokymų organizavimas </t>
  </si>
  <si>
    <t>Organizuota mokymų, vnt.</t>
  </si>
  <si>
    <t>007-03-01-03</t>
  </si>
  <si>
    <t xml:space="preserve">Vaikų žaidimo aikštelių įrengimas, atnaujinimas ir priežiūra </t>
  </si>
  <si>
    <t>Prižiūrimos vaikų žaidimų aikštelės viešosiose erdvėse, vnt.</t>
  </si>
  <si>
    <t>Pašalinta netinkamų naudoti įrenginių, vnt.</t>
  </si>
  <si>
    <t>Įrengta vaikų žaidimų aikštelių viešosiose erdvėse, vnt.</t>
  </si>
  <si>
    <t>Atnaujinta (pagerinta), įrengta sporto aikštelių daugiabučių namų kiemuose ar viešosiose miesto erdvėse, vnt.</t>
  </si>
  <si>
    <t>Suremontuota batutų, vnt.</t>
  </si>
  <si>
    <t>007-03-01-04</t>
  </si>
  <si>
    <t>Klaipėdos miesto kvartalų energinio efektyvumo didinimo galimybių studija</t>
  </si>
  <si>
    <t xml:space="preserve">MVPD
Statinių administravimo skyrius </t>
  </si>
  <si>
    <t>Lietuvos Respublikos valstybės biudžeto dotacijos'</t>
  </si>
  <si>
    <t>Kiti šaltiniai (KPP)'</t>
  </si>
  <si>
    <t>Kiti šaltiniai (kiti finansavimo šaltiniai)'</t>
  </si>
  <si>
    <t>007-03-02 (TP)</t>
  </si>
  <si>
    <t>Priemonė: Saugios kaimynystės bendruomenėje projektų įgyvendinimas</t>
  </si>
  <si>
    <t>Vykdoma projektų, vnt.</t>
  </si>
  <si>
    <t>P-2.4.3.5-3</t>
  </si>
  <si>
    <t>007-04 (T)</t>
  </si>
  <si>
    <t>Uždavinys: Eksploatuoti, remontuoti ir plėtoti inžinerinio aprūpinimo sistemas</t>
  </si>
  <si>
    <t>Teritorijų, kuriose naujai išvystyta inžinerinė infrastruktūra, skaičius</t>
  </si>
  <si>
    <t>Vidutinis vandens tiekimo paslaugų vertinimas balais (iš 10 galimų)</t>
  </si>
  <si>
    <t>&gt;8,25</t>
  </si>
  <si>
    <t>R-3.3.3-1</t>
  </si>
  <si>
    <t>Vidutinis nuotekų valymo paslaugų vertinimas balais (iš 10 galimų)</t>
  </si>
  <si>
    <t>&gt;7,41</t>
  </si>
  <si>
    <t>R-3.3.3-2</t>
  </si>
  <si>
    <t>007-04-01 (TP)</t>
  </si>
  <si>
    <t>Priemonė: Inžinerinio aprūpinimo sistemų tobulinimas</t>
  </si>
  <si>
    <t>007-04-01-01</t>
  </si>
  <si>
    <t>Parengta projektų, vnt.</t>
  </si>
  <si>
    <t>007-04-01-02</t>
  </si>
  <si>
    <t>Dalinio finansavimo skyrimas namų ūkiams prisijungti prie centralizuotų geriamojo vandens tiekimo ir nuotekų tvarkymo infrastruktūros</t>
  </si>
  <si>
    <t xml:space="preserve">Namų ūkių, kuriems skirtas dalinis finansavimas, skaičius </t>
  </si>
  <si>
    <t>P-3.2.2.7-2</t>
  </si>
  <si>
    <t>007-04-01-03</t>
  </si>
  <si>
    <t>47,4 ha Medelyno gyvenamojo rajono infrastruktūros išvystymas. I etapas</t>
  </si>
  <si>
    <t xml:space="preserve"> MVPD Projektavimo skyrius</t>
  </si>
  <si>
    <t>P-3.2.1.4-5</t>
  </si>
  <si>
    <t>007-04-01-04</t>
  </si>
  <si>
    <t>Kompensacijų mokėjimas infrastruktūros plėtros iniciatoriams už patirtas infrastruktūros plėtros sutartyje nustatytas savivaldybės infrastruktūros plėtros išlaidas</t>
  </si>
  <si>
    <t>UAD
Infrastrukltūros plėtros skyrius</t>
  </si>
  <si>
    <t>Išmokėta kompensacijų pagal sudarytas infrastruktūros plėtros sutartis, proc.</t>
  </si>
  <si>
    <t>007-04-01-05</t>
  </si>
  <si>
    <t>Klaipėdos miesto gatvių kietųjų dangų paviršinių nuotekų priežiūra</t>
  </si>
  <si>
    <t>Tvarkoma miesto gatvių kietųjų dangų paviršinių nuotekų, ha</t>
  </si>
  <si>
    <t>007-04-01-06</t>
  </si>
  <si>
    <t xml:space="preserve">AB „Klaipėdos vanduo“ įstatinio kapitalo didinimas lietaus nuotekų tinklams įrengti teritorijoje tarp Tilžės g. ir Vilniaus pl. (A1 magistralinio kelio) 
</t>
  </si>
  <si>
    <t xml:space="preserve">Turto valdymo skyrius </t>
  </si>
  <si>
    <t xml:space="preserve">Padidintas įstatinis kapitalas, proc.
</t>
  </si>
  <si>
    <t>P-3.3.3.4-6</t>
  </si>
  <si>
    <t>007-04-01-07</t>
  </si>
  <si>
    <t>AB „Klaipėdos vanduo“ įstatinio kapitalo didinimas 
slėginei buitinių nuotekų linijai nuo NS6 iki nuotekų valyklos Dumpiuose rekonstruoti</t>
  </si>
  <si>
    <t>007-04-01-08</t>
  </si>
  <si>
    <t>AB „Klaipėdos vanduo“ įstatinio kapitalo didinimas 
pirminių radialinių sėsdintuvų atnaujinimui bei uždengimui su kvapų surinkimo sistemos įrengimu Dumpių nuotekų valykloje</t>
  </si>
  <si>
    <t>Vandentiekio ir nuotekų tinklų Klaipėdos miesto savivaldybės Kairių g. rekonstravimas ir tiesimas</t>
  </si>
  <si>
    <t>Projektų finansavimo ir administravimo skyrius,
MVPD
Statybos skyrius</t>
  </si>
  <si>
    <t>Kiti šaltiniai (valstybės biudžeto lėšos)</t>
  </si>
  <si>
    <t>Projekto ,,Lietaus nuotekų baseino su išleistuvu Nr. 20 į Trinyčių tvenkinį rekonstrukcija (teritorija nuo Vilniaus pl., Tilžės g., Šilutės pl. dalis, Mokyklos g., Technikos g., teritorija už geležinkelio) Klaipėdoje statybos projektas (projekto korektūra)“ I etapo laidos B parengimas</t>
  </si>
  <si>
    <t>MVPD 
Statybos skyrius</t>
  </si>
  <si>
    <t>Atlikta projekto korektūra, vnt.</t>
  </si>
  <si>
    <t>P-3.3.1.4-1</t>
  </si>
  <si>
    <t>Kiti šaltiniai (valstybės biudžeto lėšos)'</t>
  </si>
  <si>
    <t>007-05 (T)</t>
  </si>
  <si>
    <t>Uždavinys: Efektyviai valdyti savivaldybei priklausantį turtą</t>
  </si>
  <si>
    <t>Teisiškai neįregistruoto turto skaičius nuo viso turto skaičiaus, proc.</t>
  </si>
  <si>
    <t>Nenaudojamo veikloje nekilnojamojo turto dalis, palyginti su visu savivaldybės nekilnojamuoju turtu, proc. (skaičiuojama pagal nekilnojamojo turto objektus)</t>
  </si>
  <si>
    <t>Savivaldybės valdomų įmonių ir įstaigų, kurios pasiekė visus akcininko ar dalininko suformuotus veiklos, gerosios valdysenos, finansų valdymo ir kt. tikslus dalis, proc.</t>
  </si>
  <si>
    <t>R-2.6.2-3</t>
  </si>
  <si>
    <t>007-05-01 (TP)</t>
  </si>
  <si>
    <t>Priemonė: Savivaldybei nuosavybės teise priklausančio ir patikėjimo teise valdomo turto valdymas, naudojimas ir disponavimas</t>
  </si>
  <si>
    <t>007-05-01-01</t>
  </si>
  <si>
    <t>Nekilnojamojo turto matavimai ir teisinė registracija</t>
  </si>
  <si>
    <t>Inžinerinių tinklų, kurių atlikti matavimai, ilgis, km</t>
  </si>
  <si>
    <t>007-05-01-02</t>
  </si>
  <si>
    <t>Savivaldybei priklausančių patalpų eksploatacinių ir kitų išlaidų padengimas</t>
  </si>
  <si>
    <t xml:space="preserve">Prižiūrėta objektų, vnt. </t>
  </si>
  <si>
    <t>007-05-01-03</t>
  </si>
  <si>
    <t>Pastatų, kuriuose yra savivaldybei priklausančios negyvenamosios patalpos, bendro naudojimo objektų remonto išlaidų padengimas</t>
  </si>
  <si>
    <t xml:space="preserve">Remontuota objektų, vnt. </t>
  </si>
  <si>
    <t>007-05-01-04</t>
  </si>
  <si>
    <t>Savivaldybės kontroliuojamų įmonių įstatinio kapitalo didinimas, perduodant inžinerinius tinklus funkcijoms vykdyti, neveikiančių įmonių likvidavimas</t>
  </si>
  <si>
    <t>Perduota inžinerinių tinklų, km</t>
  </si>
  <si>
    <t>007-05-01-05</t>
  </si>
  <si>
    <t>Automobilių statymo aikštelės prie „Švyturio“ arenos apšvietimo išlaidų dengimas ir energinių išteklių išlaidų kompensavimas UAB „Klaipėdos arena“</t>
  </si>
  <si>
    <t>Eksploatuojama šviestuvų, vnt.</t>
  </si>
  <si>
    <t>+</t>
  </si>
  <si>
    <t>007-05-01-06</t>
  </si>
  <si>
    <t>Objektų rengimas privatizavimui, privatizavimo programų rengimas, objektų privatizavimo organizavimas</t>
  </si>
  <si>
    <t>Privatizuota objektų, vnt.</t>
  </si>
  <si>
    <t>007-05-01-07</t>
  </si>
  <si>
    <t>Gyvenamųjų patalpų ir jų priklausinių, taip pat pagalbinės paskirties pastatų, jų dalių privatizavimo dokumentų rengimas</t>
  </si>
  <si>
    <t>Privatizuota gyvenamųjų patalpų ir jų priklausinių, vnt.</t>
  </si>
  <si>
    <t>007-05-01-08</t>
  </si>
  <si>
    <t>Turto valdymo dokumentų rengimas (galimybių studijos, ekspertizės ir kt.)</t>
  </si>
  <si>
    <t>Pastatų pripažinimo tinkamais naudoti dokumentų rengimas, vnt.</t>
  </si>
  <si>
    <t>007-05-01-09</t>
  </si>
  <si>
    <t>Priedangų infrastruktūros plėtra</t>
  </si>
  <si>
    <t>AD
Civilinės saugos ir mobilizacijos skyrius,  
Projektų finansavimo ir administravimo skyrius,
MVPD Projektavimo skyrius</t>
  </si>
  <si>
    <t>Investicinio projekto skaičiuoklės ir projekto įgyvendinimo plano parengimas, vnt.</t>
  </si>
  <si>
    <t>Pritaikyta patalpų 3 lygio priedangoms įrengti, vnt.</t>
  </si>
  <si>
    <t>007-05-01-10</t>
  </si>
  <si>
    <t>Priedangų infrastruktūros plėtra (pagal antrą kvietimą)</t>
  </si>
  <si>
    <t>AD 
Civilinės saugos ir mobilizacijos skyrius, 
Projektų finansavimo ir administravimo skyrius,
MVPD Projektavimo skyrius</t>
  </si>
  <si>
    <t>Įrengta priedangų, vnt.</t>
  </si>
  <si>
    <t>Gyventojų, kuriems užtikrinta vieta priedangose, skaičius</t>
  </si>
  <si>
    <t>Projekto įgyvendinimo plano parengimas, vnt.</t>
  </si>
  <si>
    <t>007-05-02 (TP)</t>
  </si>
  <si>
    <t xml:space="preserve">Priemonė: Savivaldybei priklausančių statinių esamos techninės būklės įvertinimo paslaugų įsigijimas </t>
  </si>
  <si>
    <t>UAD 
Statybų leidimų ir statinių priežiūros skyrius</t>
  </si>
  <si>
    <t>Įvertinta statinių, skaičius</t>
  </si>
  <si>
    <t xml:space="preserve">IŠ VISO programai finansuoti pagal finansavimo šaltinius </t>
  </si>
  <si>
    <t>Iš jų: regioninių pažangos priemonių lėšos</t>
  </si>
  <si>
    <t>Asignavimų ir kitų lėšų pokytis, palyginti su ankstesnių metų patvirtintų asignavimų ir kitų lėšų planu</t>
  </si>
  <si>
    <t xml:space="preserve">T – tęstinės veiklos uždavinys. </t>
  </si>
  <si>
    <t>P – pažangos uždavinys.</t>
  </si>
  <si>
    <t>TP – tęstinės veiklos priemonė.</t>
  </si>
  <si>
    <t>PP – pažangos priemonė.</t>
  </si>
  <si>
    <t>RP – regioninė pažangos priemonė.</t>
  </si>
  <si>
    <t xml:space="preserve">AD – Administravimo departamentas. </t>
  </si>
  <si>
    <t>MVPD – Miesto vystymo ir priežiūros departamentas.</t>
  </si>
  <si>
    <t>UAD – Urbanistikos ir architektūros departamentas.</t>
  </si>
  <si>
    <t>2 lentelė.  2025–2028 metų asignavimų ir kitų lėšų pasiskirstymas (tūkst. Eur)</t>
  </si>
  <si>
    <t>Eil. Nr.</t>
  </si>
  <si>
    <t>Programos kodas ir pavadinimas</t>
  </si>
  <si>
    <t>2025 m. asignavimai ir kitos lėšos</t>
  </si>
  <si>
    <t>007 Miesto infrastruktūros objektų priežiūros ir modernizvimo programa</t>
  </si>
  <si>
    <t>1.</t>
  </si>
  <si>
    <r>
      <rPr>
        <sz val="10"/>
        <color rgb="FF000000"/>
        <rFont val="Times New Roman"/>
        <family val="1"/>
        <charset val="186"/>
      </rPr>
      <t xml:space="preserve">Iš jo:
</t>
    </r>
    <r>
      <rPr>
        <b/>
        <sz val="10"/>
        <color rgb="FF000000"/>
        <rFont val="Times New Roman"/>
        <family val="1"/>
        <charset val="186"/>
      </rPr>
      <t xml:space="preserve">
</t>
    </r>
  </si>
  <si>
    <t>1.1.</t>
  </si>
  <si>
    <r>
      <rPr>
        <sz val="10"/>
        <color rgb="FF000000"/>
        <rFont val="Times New Roman"/>
        <family val="1"/>
        <charset val="186"/>
      </rPr>
      <t xml:space="preserve">savivaldybės biudžeto lėšos (nuosavos, be ankstesnių metų likučio)
</t>
    </r>
    <r>
      <rPr>
        <b/>
        <sz val="10"/>
        <color rgb="FF000000"/>
        <rFont val="Times New Roman"/>
        <family val="1"/>
        <charset val="186"/>
      </rPr>
      <t xml:space="preserve">
</t>
    </r>
  </si>
  <si>
    <t>1.2.</t>
  </si>
  <si>
    <t>1.3.</t>
  </si>
  <si>
    <t xml:space="preserve">pajamų įmokos ir kitos pajamos
</t>
  </si>
  <si>
    <t>1.4.</t>
  </si>
  <si>
    <t>1.5.</t>
  </si>
  <si>
    <t>skolintos lėšos</t>
  </si>
  <si>
    <t>1.6.</t>
  </si>
  <si>
    <t>ankstesnių metų likučiai</t>
  </si>
  <si>
    <t>2.</t>
  </si>
  <si>
    <t xml:space="preserve">Kiti šaltiniai (Europos Sąjungos finansinė parama projektams įgyvendinti ir kitos teisėtai gautos lėšos, nurodant atskirus šaltinius)
</t>
  </si>
  <si>
    <t>2.1.</t>
  </si>
  <si>
    <t>2.2.</t>
  </si>
  <si>
    <t>Privalomojo sveikatos draudimo fondo lėšos</t>
  </si>
  <si>
    <t>2.3.</t>
  </si>
  <si>
    <t>Klaipėdos valstybinio jūrų uosto direkcijos lėšos (KVJUD)</t>
  </si>
  <si>
    <t>2.4.</t>
  </si>
  <si>
    <t>Valstybės biudžeto lėšos (LRVB)</t>
  </si>
  <si>
    <t>2.5.</t>
  </si>
  <si>
    <t>2.6.</t>
  </si>
  <si>
    <t>Kelių priežiūros ir plėtros programos lėšos (KPP)</t>
  </si>
  <si>
    <r>
      <rPr>
        <b/>
        <sz val="10"/>
        <color theme="1"/>
        <rFont val="Times New Roman"/>
        <family val="1"/>
        <charset val="186"/>
      </rPr>
      <t>IŠ VISO</t>
    </r>
    <r>
      <rPr>
        <sz val="10"/>
        <color theme="1"/>
        <rFont val="Times New Roman"/>
        <family val="1"/>
        <charset val="186"/>
      </rPr>
      <t xml:space="preserve"> programai finansuoti pagal finansavimo šaltinius </t>
    </r>
    <r>
      <rPr>
        <i/>
        <sz val="10"/>
        <color theme="1"/>
        <rFont val="Times New Roman"/>
        <family val="1"/>
        <charset val="186"/>
      </rPr>
      <t>(1 ir 2 punktai)</t>
    </r>
  </si>
  <si>
    <t>Kompleksinis sporto ir laisvalaikio zonų sutvarkymas</t>
  </si>
  <si>
    <t>Klaipėdos miesto paviršinių nuotekų ir drenažo tinklų įrengimas, remontas ir rekonstrukcija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</si>
</sst>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7"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i/>
      <sz val="10"/>
      <color theme="1"/>
      <name val="Times New Roman"/>
      <family val="1"/>
      <charset val="186"/>
    </font>
    <font>
      <sz val="10"/>
      <name val="Times New Roman"/>
      <family val="1"/>
      <charset val="186"/>
    </font>
    <font>
      <b/>
      <sz val="12"/>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sz val="8"/>
      <color theme="1"/>
      <name val="Times New Roman"/>
      <family val="1"/>
      <charset val="186"/>
    </font>
    <font>
      <sz val="8"/>
      <name val="Calibri"/>
      <family val="2"/>
      <charset val="186"/>
      <scheme val="minor"/>
    </font>
    <font>
      <sz val="10"/>
      <name val="Times New Roman"/>
      <family val="1"/>
    </font>
    <font>
      <b/>
      <sz val="10"/>
      <name val="Times New Roman"/>
      <family val="1"/>
    </font>
    <font>
      <b/>
      <sz val="9"/>
      <color theme="1"/>
      <name val="Times New Roman"/>
      <family val="1"/>
      <charset val="186"/>
    </font>
    <font>
      <sz val="12"/>
      <name val="Times New Roman"/>
      <family val="1"/>
    </font>
    <font>
      <b/>
      <sz val="12"/>
      <name val="Times New Roman"/>
      <family val="1"/>
    </font>
    <font>
      <sz val="8"/>
      <name val="Times New Roman"/>
      <family val="1"/>
    </font>
    <font>
      <sz val="12"/>
      <name val="Times New Roman"/>
      <family val="1"/>
      <charset val="186"/>
    </font>
    <font>
      <b/>
      <sz val="11"/>
      <name val="Times New Roman"/>
      <family val="1"/>
    </font>
    <font>
      <b/>
      <sz val="10"/>
      <name val="Times New Roman"/>
      <family val="1"/>
      <charset val="186"/>
    </font>
    <font>
      <sz val="10"/>
      <color rgb="FFFF0000"/>
      <name val="Times New Roman"/>
      <family val="1"/>
    </font>
    <font>
      <b/>
      <sz val="10"/>
      <color rgb="FF000000"/>
      <name val="Times New Roman"/>
    </font>
    <font>
      <sz val="10"/>
      <color rgb="FF000000"/>
      <name val="Times New Roman"/>
      <family val="1"/>
    </font>
    <font>
      <sz val="10"/>
      <color rgb="FFFF0000"/>
      <name val="Times New Roman"/>
      <family val="1"/>
      <charset val="186"/>
    </font>
    <font>
      <sz val="10"/>
      <color rgb="FF000000"/>
      <name val="Times New Roman"/>
    </font>
    <font>
      <b/>
      <sz val="10"/>
      <color rgb="FF000000"/>
      <name val="Times New Roman"/>
      <family val="1"/>
    </font>
    <font>
      <sz val="10"/>
      <color theme="1"/>
      <name val="Times New Roman"/>
      <family val="1"/>
    </font>
    <font>
      <sz val="10"/>
      <color theme="4"/>
      <name val="Times New Roman"/>
      <family val="1"/>
    </font>
    <font>
      <sz val="10"/>
      <color theme="0" tint="-0.14999847407452621"/>
      <name val="Times New Roman"/>
      <family val="1"/>
    </font>
    <font>
      <sz val="10"/>
      <color theme="0" tint="-0.34998626667073579"/>
      <name val="Times New Roman"/>
      <family val="1"/>
    </font>
    <font>
      <sz val="8"/>
      <color rgb="FF000000"/>
      <name val="Times New Roman"/>
      <family val="1"/>
    </font>
    <font>
      <sz val="10"/>
      <name val="Arial"/>
      <family val="2"/>
      <charset val="186"/>
    </font>
    <font>
      <strike/>
      <sz val="10"/>
      <color rgb="FFFF0000"/>
      <name val="Times New Roman"/>
      <family val="1"/>
    </font>
    <font>
      <b/>
      <sz val="10"/>
      <color theme="1"/>
      <name val="Times New Roman"/>
      <family val="1"/>
      <charset val="1"/>
    </font>
    <font>
      <b/>
      <sz val="10"/>
      <color rgb="FF000000"/>
      <name val="Times New Roman"/>
      <family val="1"/>
      <charset val="1"/>
    </font>
    <font>
      <vertAlign val="superscript"/>
      <sz val="10"/>
      <color rgb="FF000000"/>
      <name val="Times New Roman"/>
      <family val="1"/>
      <charset val="186"/>
    </font>
  </fonts>
  <fills count="12">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DDEBF7"/>
        <bgColor rgb="FF000000"/>
      </patternFill>
    </fill>
    <fill>
      <patternFill patternType="solid">
        <fgColor rgb="FFFFCCFF"/>
        <bgColor indexed="64"/>
      </patternFill>
    </fill>
    <fill>
      <patternFill patternType="solid">
        <fgColor rgb="FFFFCCFF"/>
        <bgColor rgb="FF000000"/>
      </patternFill>
    </fill>
    <fill>
      <patternFill patternType="solid">
        <fgColor rgb="FFFFFFCC"/>
        <bgColor rgb="FF000000"/>
      </patternFill>
    </fill>
  </fills>
  <borders count="1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rgb="FF000000"/>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style="thin">
        <color indexed="64"/>
      </top>
      <bottom style="thin">
        <color rgb="FF000000"/>
      </bottom>
      <diagonal/>
    </border>
    <border>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right style="thin">
        <color indexed="64"/>
      </right>
      <top style="thin">
        <color indexed="64"/>
      </top>
      <bottom style="thin">
        <color rgb="FF000000"/>
      </bottom>
      <diagonal/>
    </border>
    <border>
      <left style="thin">
        <color rgb="FF000000"/>
      </left>
      <right/>
      <top/>
      <bottom style="thin">
        <color indexed="64"/>
      </bottom>
      <diagonal/>
    </border>
    <border>
      <left style="thin">
        <color indexed="64"/>
      </left>
      <right style="thin">
        <color rgb="FF000000"/>
      </right>
      <top/>
      <bottom style="thin">
        <color indexed="64"/>
      </bottom>
      <diagonal/>
    </border>
    <border>
      <left/>
      <right/>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indexed="64"/>
      </bottom>
      <diagonal/>
    </border>
    <border>
      <left style="thin">
        <color indexed="64"/>
      </left>
      <right/>
      <top style="thin">
        <color rgb="FF000000"/>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indexed="64"/>
      </left>
      <right style="medium">
        <color indexed="64"/>
      </right>
      <top style="thin">
        <color indexed="64"/>
      </top>
      <bottom/>
      <diagonal/>
    </border>
    <border>
      <left style="medium">
        <color indexed="64"/>
      </left>
      <right style="thin">
        <color rgb="FF000000"/>
      </right>
      <top/>
      <bottom/>
      <diagonal/>
    </border>
    <border>
      <left style="thin">
        <color rgb="FF000000"/>
      </left>
      <right style="medium">
        <color indexed="64"/>
      </right>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indexed="64"/>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rgb="FF000000"/>
      </left>
      <right style="thin">
        <color rgb="FF000000"/>
      </right>
      <top style="medium">
        <color indexed="64"/>
      </top>
      <bottom style="thin">
        <color rgb="FF000000"/>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medium">
        <color indexed="64"/>
      </top>
      <bottom/>
      <diagonal/>
    </border>
    <border>
      <left style="thin">
        <color indexed="64"/>
      </left>
      <right/>
      <top/>
      <bottom style="medium">
        <color indexed="64"/>
      </bottom>
      <diagonal/>
    </border>
    <border>
      <left style="thin">
        <color rgb="FF000000"/>
      </left>
      <right style="thin">
        <color rgb="FF000000"/>
      </right>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right/>
      <top style="thin">
        <color indexed="64"/>
      </top>
      <bottom style="medium">
        <color indexed="64"/>
      </bottom>
      <diagonal/>
    </border>
    <border>
      <left style="thin">
        <color rgb="FF000000"/>
      </left>
      <right/>
      <top style="thin">
        <color indexed="64"/>
      </top>
      <bottom style="medium">
        <color indexed="64"/>
      </bottom>
      <diagonal/>
    </border>
    <border>
      <left/>
      <right style="thin">
        <color rgb="FF000000"/>
      </right>
      <top style="medium">
        <color indexed="64"/>
      </top>
      <bottom/>
      <diagonal/>
    </border>
    <border>
      <left/>
      <right style="thin">
        <color rgb="FF000000"/>
      </right>
      <top/>
      <bottom style="medium">
        <color indexed="64"/>
      </bottom>
      <diagonal/>
    </border>
    <border>
      <left/>
      <right style="thin">
        <color rgb="FF000000"/>
      </right>
      <top style="medium">
        <color indexed="64"/>
      </top>
      <bottom style="thin">
        <color rgb="FF000000"/>
      </bottom>
      <diagonal/>
    </border>
    <border>
      <left/>
      <right/>
      <top style="medium">
        <color indexed="64"/>
      </top>
      <bottom/>
      <diagonal/>
    </border>
    <border>
      <left/>
      <right/>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medium">
        <color indexed="64"/>
      </top>
      <bottom style="medium">
        <color indexed="64"/>
      </bottom>
      <diagonal/>
    </border>
    <border>
      <left/>
      <right style="thin">
        <color rgb="FF000000"/>
      </right>
      <top style="thin">
        <color rgb="FF000000"/>
      </top>
      <bottom style="medium">
        <color indexed="64"/>
      </bottom>
      <diagonal/>
    </border>
    <border>
      <left/>
      <right style="thin">
        <color indexed="64"/>
      </right>
      <top style="medium">
        <color indexed="64"/>
      </top>
      <bottom style="medium">
        <color indexed="64"/>
      </bottom>
      <diagonal/>
    </border>
    <border>
      <left style="medium">
        <color indexed="64"/>
      </left>
      <right style="thin">
        <color rgb="FF000000"/>
      </right>
      <top style="medium">
        <color indexed="64"/>
      </top>
      <bottom style="thin">
        <color indexed="64"/>
      </bottom>
      <diagonal/>
    </border>
    <border>
      <left style="thin">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indexed="64"/>
      </bottom>
      <diagonal/>
    </border>
    <border>
      <left style="thin">
        <color rgb="FF000000"/>
      </left>
      <right style="medium">
        <color indexed="64"/>
      </right>
      <top style="medium">
        <color indexed="64"/>
      </top>
      <bottom style="thin">
        <color indexed="64"/>
      </bottom>
      <diagonal/>
    </border>
    <border>
      <left style="thin">
        <color rgb="FF000000"/>
      </left>
      <right style="thin">
        <color rgb="FF000000"/>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style="thin">
        <color indexed="64"/>
      </top>
      <bottom style="medium">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rgb="FF000000"/>
      </left>
      <right/>
      <top style="medium">
        <color indexed="64"/>
      </top>
      <bottom style="thin">
        <color rgb="FF000000"/>
      </bottom>
      <diagonal/>
    </border>
    <border>
      <left style="thin">
        <color indexed="64"/>
      </left>
      <right style="thin">
        <color rgb="FF000000"/>
      </right>
      <top style="medium">
        <color indexed="64"/>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style="medium">
        <color indexed="64"/>
      </bottom>
      <diagonal/>
    </border>
    <border>
      <left style="thin">
        <color rgb="FF000000"/>
      </left>
      <right style="thin">
        <color indexed="64"/>
      </right>
      <top style="medium">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medium">
        <color indexed="64"/>
      </bottom>
      <diagonal/>
    </border>
    <border>
      <left style="thin">
        <color indexed="64"/>
      </left>
      <right style="thin">
        <color indexed="64"/>
      </right>
      <top style="thin">
        <color rgb="FF000000"/>
      </top>
      <bottom style="medium">
        <color indexed="64"/>
      </bottom>
      <diagonal/>
    </border>
    <border>
      <left style="thin">
        <color rgb="FF000000"/>
      </left>
      <right style="thin">
        <color rgb="FF000000"/>
      </right>
      <top style="thin">
        <color indexed="64"/>
      </top>
      <bottom style="thin">
        <color rgb="FF000000"/>
      </bottom>
      <diagonal/>
    </border>
    <border>
      <left/>
      <right style="medium">
        <color indexed="64"/>
      </right>
      <top style="thin">
        <color indexed="64"/>
      </top>
      <bottom style="medium">
        <color indexed="64"/>
      </bottom>
      <diagonal/>
    </border>
    <border>
      <left style="thin">
        <color indexed="64"/>
      </left>
      <right style="thin">
        <color rgb="FF000000"/>
      </right>
      <top style="thin">
        <color rgb="FF000000"/>
      </top>
      <bottom style="medium">
        <color indexed="64"/>
      </bottom>
      <diagonal/>
    </border>
    <border>
      <left style="thin">
        <color indexed="64"/>
      </left>
      <right style="thin">
        <color indexed="64"/>
      </right>
      <top style="medium">
        <color indexed="64"/>
      </top>
      <bottom style="thin">
        <color rgb="FF000000"/>
      </bottom>
      <diagonal/>
    </border>
    <border>
      <left style="thin">
        <color indexed="64"/>
      </left>
      <right/>
      <top style="medium">
        <color indexed="64"/>
      </top>
      <bottom/>
      <diagonal/>
    </border>
    <border>
      <left/>
      <right style="thin">
        <color rgb="FF000000"/>
      </right>
      <top/>
      <bottom style="thin">
        <color rgb="FF000000"/>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bottom style="medium">
        <color rgb="FF000000"/>
      </bottom>
      <diagonal/>
    </border>
  </borders>
  <cellStyleXfs count="2">
    <xf numFmtId="0" fontId="0" fillId="0" borderId="0"/>
    <xf numFmtId="0" fontId="32" fillId="0" borderId="0"/>
  </cellStyleXfs>
  <cellXfs count="803">
    <xf numFmtId="0" fontId="0" fillId="0" borderId="0" xfId="0"/>
    <xf numFmtId="0" fontId="3" fillId="0" borderId="0" xfId="0" applyFont="1"/>
    <xf numFmtId="0" fontId="3" fillId="0" borderId="0" xfId="0" applyFont="1" applyAlignment="1">
      <alignment vertical="top"/>
    </xf>
    <xf numFmtId="164" fontId="3" fillId="0" borderId="1" xfId="0" applyNumberFormat="1" applyFont="1" applyBorder="1" applyAlignment="1">
      <alignment horizontal="center" vertical="top" wrapText="1"/>
    </xf>
    <xf numFmtId="164" fontId="1" fillId="0" borderId="1" xfId="0" applyNumberFormat="1" applyFont="1" applyBorder="1" applyAlignment="1">
      <alignment horizontal="center" vertical="top" wrapText="1"/>
    </xf>
    <xf numFmtId="0" fontId="3" fillId="0" borderId="0" xfId="0" applyFont="1" applyAlignment="1">
      <alignment horizontal="left" vertical="top"/>
    </xf>
    <xf numFmtId="0" fontId="12" fillId="0" borderId="0" xfId="0" applyFont="1"/>
    <xf numFmtId="165" fontId="12" fillId="0" borderId="0" xfId="0" applyNumberFormat="1" applyFont="1"/>
    <xf numFmtId="0" fontId="5" fillId="0" borderId="11" xfId="0" applyFont="1" applyBorder="1" applyAlignment="1">
      <alignment vertical="top" wrapText="1"/>
    </xf>
    <xf numFmtId="0" fontId="12" fillId="0" borderId="11" xfId="0" applyFont="1" applyBorder="1" applyAlignment="1">
      <alignment vertical="top"/>
    </xf>
    <xf numFmtId="164" fontId="6" fillId="3" borderId="1" xfId="0" applyNumberFormat="1" applyFont="1" applyFill="1" applyBorder="1" applyAlignment="1">
      <alignment horizontal="center" vertical="center" wrapText="1"/>
    </xf>
    <xf numFmtId="0" fontId="14" fillId="0" borderId="1" xfId="0" applyFont="1" applyBorder="1" applyAlignment="1">
      <alignment horizontal="center"/>
    </xf>
    <xf numFmtId="0" fontId="1"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 fillId="0" borderId="1" xfId="0" applyFont="1" applyBorder="1" applyAlignment="1">
      <alignment horizontal="center" vertical="top"/>
    </xf>
    <xf numFmtId="0" fontId="1" fillId="0" borderId="1" xfId="0" applyFont="1" applyBorder="1" applyAlignment="1">
      <alignment horizontal="left" vertical="top" wrapText="1"/>
    </xf>
    <xf numFmtId="0" fontId="3" fillId="0" borderId="1" xfId="0" applyFont="1" applyBorder="1" applyAlignment="1">
      <alignment horizontal="center" vertical="top"/>
    </xf>
    <xf numFmtId="164" fontId="3" fillId="3" borderId="1" xfId="0" applyNumberFormat="1" applyFont="1" applyFill="1" applyBorder="1" applyAlignment="1">
      <alignment horizontal="center" vertical="top" wrapText="1"/>
    </xf>
    <xf numFmtId="0" fontId="3" fillId="0" borderId="1" xfId="0" applyFont="1" applyBorder="1" applyAlignment="1">
      <alignment horizontal="left" vertical="top" wrapText="1"/>
    </xf>
    <xf numFmtId="164" fontId="1" fillId="3" borderId="1" xfId="0" applyNumberFormat="1" applyFont="1" applyFill="1" applyBorder="1" applyAlignment="1">
      <alignment horizontal="center" vertical="top" wrapText="1"/>
    </xf>
    <xf numFmtId="0" fontId="2" fillId="0" borderId="1" xfId="0" applyFont="1" applyBorder="1" applyAlignment="1">
      <alignment horizontal="left" vertical="top" wrapText="1"/>
    </xf>
    <xf numFmtId="0" fontId="7" fillId="3" borderId="1" xfId="0" applyFont="1" applyFill="1" applyBorder="1" applyAlignment="1">
      <alignment horizontal="left" vertical="top" wrapText="1"/>
    </xf>
    <xf numFmtId="0" fontId="7" fillId="0" borderId="1" xfId="0" applyFont="1" applyBorder="1" applyAlignment="1">
      <alignment horizontal="left" vertical="top" wrapText="1"/>
    </xf>
    <xf numFmtId="164" fontId="3" fillId="0" borderId="0" xfId="0" applyNumberFormat="1" applyFont="1"/>
    <xf numFmtId="0" fontId="12" fillId="3" borderId="0" xfId="0" applyFont="1" applyFill="1"/>
    <xf numFmtId="165" fontId="12" fillId="3" borderId="3" xfId="0" applyNumberFormat="1" applyFont="1" applyFill="1" applyBorder="1" applyAlignment="1">
      <alignment horizontal="center" vertical="top" wrapText="1"/>
    </xf>
    <xf numFmtId="0" fontId="13" fillId="7" borderId="5" xfId="0" applyFont="1" applyFill="1" applyBorder="1" applyAlignment="1">
      <alignment vertical="top" wrapText="1"/>
    </xf>
    <xf numFmtId="0" fontId="13" fillId="7" borderId="24" xfId="0" applyFont="1" applyFill="1" applyBorder="1" applyAlignment="1">
      <alignment vertical="top" wrapText="1"/>
    </xf>
    <xf numFmtId="0" fontId="3" fillId="0" borderId="11" xfId="0" applyFont="1" applyBorder="1" applyAlignment="1">
      <alignment horizontal="center" vertical="top"/>
    </xf>
    <xf numFmtId="164" fontId="3" fillId="0" borderId="11" xfId="0" applyNumberFormat="1" applyFont="1" applyBorder="1" applyAlignment="1">
      <alignment horizontal="center" vertical="top" wrapText="1"/>
    </xf>
    <xf numFmtId="0" fontId="3" fillId="0" borderId="2" xfId="0" applyFont="1" applyBorder="1" applyAlignment="1">
      <alignment horizontal="center" vertical="top"/>
    </xf>
    <xf numFmtId="0" fontId="3" fillId="0" borderId="2" xfId="0" applyFont="1" applyBorder="1" applyAlignment="1">
      <alignment horizontal="left" vertical="top" wrapText="1"/>
    </xf>
    <xf numFmtId="164" fontId="3" fillId="0" borderId="2" xfId="0" applyNumberFormat="1" applyFont="1" applyBorder="1" applyAlignment="1">
      <alignment horizontal="center" vertical="top" wrapText="1"/>
    </xf>
    <xf numFmtId="0" fontId="13" fillId="0" borderId="1" xfId="0" applyFont="1" applyBorder="1" applyAlignment="1">
      <alignment vertical="top" wrapText="1"/>
    </xf>
    <xf numFmtId="0" fontId="13" fillId="3" borderId="33" xfId="0" applyFont="1" applyFill="1" applyBorder="1" applyAlignment="1">
      <alignment vertical="top" wrapText="1"/>
    </xf>
    <xf numFmtId="0" fontId="13" fillId="0" borderId="11" xfId="0" applyFont="1" applyBorder="1" applyAlignment="1">
      <alignment vertical="top"/>
    </xf>
    <xf numFmtId="0" fontId="12" fillId="0" borderId="0" xfId="0" applyFont="1" applyAlignment="1">
      <alignment vertical="top"/>
    </xf>
    <xf numFmtId="0" fontId="15" fillId="0" borderId="0" xfId="0" applyFont="1" applyAlignment="1">
      <alignment vertical="top" wrapText="1"/>
    </xf>
    <xf numFmtId="0" fontId="13" fillId="3" borderId="1" xfId="0" applyFont="1" applyFill="1" applyBorder="1" applyAlignment="1">
      <alignment vertical="top" wrapText="1"/>
    </xf>
    <xf numFmtId="164" fontId="13" fillId="3" borderId="1" xfId="0" applyNumberFormat="1" applyFont="1" applyFill="1" applyBorder="1" applyAlignment="1">
      <alignment horizontal="center" vertical="top" wrapText="1"/>
    </xf>
    <xf numFmtId="165" fontId="13" fillId="3" borderId="1" xfId="0" applyNumberFormat="1" applyFont="1" applyFill="1" applyBorder="1" applyAlignment="1">
      <alignment horizontal="center" vertical="top" wrapText="1"/>
    </xf>
    <xf numFmtId="0" fontId="12" fillId="0" borderId="1" xfId="0" applyFont="1" applyBorder="1" applyAlignment="1">
      <alignment horizontal="center" vertical="top" wrapText="1"/>
    </xf>
    <xf numFmtId="0" fontId="12" fillId="3" borderId="1" xfId="0" applyFont="1" applyFill="1" applyBorder="1" applyAlignment="1">
      <alignment vertical="top" wrapText="1"/>
    </xf>
    <xf numFmtId="164" fontId="12" fillId="3" borderId="1" xfId="0" applyNumberFormat="1" applyFont="1" applyFill="1" applyBorder="1" applyAlignment="1">
      <alignment horizontal="center" vertical="top" wrapText="1"/>
    </xf>
    <xf numFmtId="165" fontId="12" fillId="3" borderId="1" xfId="0" applyNumberFormat="1" applyFont="1" applyFill="1" applyBorder="1" applyAlignment="1">
      <alignment horizontal="center" vertical="top" wrapText="1"/>
    </xf>
    <xf numFmtId="165" fontId="12" fillId="3" borderId="6" xfId="0" applyNumberFormat="1" applyFont="1" applyFill="1" applyBorder="1" applyAlignment="1">
      <alignment horizontal="center" vertical="top" wrapText="1"/>
    </xf>
    <xf numFmtId="165" fontId="12" fillId="3" borderId="7" xfId="0" applyNumberFormat="1" applyFont="1" applyFill="1" applyBorder="1" applyAlignment="1">
      <alignment horizontal="center" vertical="top" wrapText="1"/>
    </xf>
    <xf numFmtId="165" fontId="12" fillId="3" borderId="7" xfId="0" applyNumberFormat="1" applyFont="1" applyFill="1" applyBorder="1" applyAlignment="1">
      <alignment wrapText="1"/>
    </xf>
    <xf numFmtId="0" fontId="12" fillId="3" borderId="9" xfId="0" applyFont="1" applyFill="1" applyBorder="1" applyAlignment="1">
      <alignment vertical="top" wrapText="1"/>
    </xf>
    <xf numFmtId="0" fontId="13" fillId="3" borderId="17" xfId="0" applyFont="1" applyFill="1" applyBorder="1" applyAlignment="1">
      <alignment vertical="top" wrapText="1"/>
    </xf>
    <xf numFmtId="0" fontId="12" fillId="3" borderId="3" xfId="0" applyFont="1" applyFill="1" applyBorder="1" applyAlignment="1">
      <alignment vertical="top" wrapText="1"/>
    </xf>
    <xf numFmtId="0" fontId="12" fillId="3" borderId="5" xfId="0" applyFont="1" applyFill="1" applyBorder="1" applyAlignment="1">
      <alignment vertical="top" wrapText="1"/>
    </xf>
    <xf numFmtId="0" fontId="13" fillId="3" borderId="5" xfId="0" applyFont="1" applyFill="1" applyBorder="1" applyAlignment="1">
      <alignment vertical="top" wrapText="1"/>
    </xf>
    <xf numFmtId="0" fontId="13" fillId="3" borderId="6" xfId="0" applyFont="1" applyFill="1" applyBorder="1" applyAlignment="1">
      <alignment vertical="top" wrapText="1"/>
    </xf>
    <xf numFmtId="0" fontId="12" fillId="0" borderId="1" xfId="0" applyFont="1" applyBorder="1" applyAlignment="1">
      <alignment vertical="top" wrapText="1"/>
    </xf>
    <xf numFmtId="165" fontId="12" fillId="0" borderId="3" xfId="0" applyNumberFormat="1" applyFont="1" applyBorder="1" applyAlignment="1">
      <alignment horizontal="center" vertical="top" wrapText="1"/>
    </xf>
    <xf numFmtId="164" fontId="12" fillId="3" borderId="3" xfId="0" applyNumberFormat="1" applyFont="1" applyFill="1" applyBorder="1" applyAlignment="1">
      <alignment horizontal="center" vertical="top" wrapText="1"/>
    </xf>
    <xf numFmtId="0" fontId="13" fillId="3" borderId="3" xfId="0" applyFont="1" applyFill="1" applyBorder="1" applyAlignment="1">
      <alignment vertical="top" wrapText="1"/>
    </xf>
    <xf numFmtId="165" fontId="12" fillId="3" borderId="11" xfId="0" applyNumberFormat="1" applyFont="1" applyFill="1" applyBorder="1" applyAlignment="1">
      <alignment horizontal="center" vertical="top" wrapText="1"/>
    </xf>
    <xf numFmtId="0" fontId="12" fillId="3" borderId="6" xfId="0" applyFont="1" applyFill="1" applyBorder="1" applyAlignment="1">
      <alignment vertical="top" wrapText="1"/>
    </xf>
    <xf numFmtId="0" fontId="12" fillId="3" borderId="32" xfId="0" applyFont="1" applyFill="1" applyBorder="1" applyAlignment="1">
      <alignment vertical="top" wrapText="1"/>
    </xf>
    <xf numFmtId="164" fontId="13" fillId="6" borderId="8" xfId="0" applyNumberFormat="1" applyFont="1" applyFill="1" applyBorder="1" applyAlignment="1">
      <alignment horizontal="center" vertical="top" wrapText="1"/>
    </xf>
    <xf numFmtId="0" fontId="13" fillId="3" borderId="7" xfId="0" applyFont="1" applyFill="1" applyBorder="1" applyAlignment="1">
      <alignment vertical="top" wrapText="1"/>
    </xf>
    <xf numFmtId="0" fontId="13" fillId="3" borderId="3" xfId="0" applyFont="1" applyFill="1" applyBorder="1" applyAlignment="1">
      <alignment vertical="center" wrapText="1"/>
    </xf>
    <xf numFmtId="164" fontId="13" fillId="3" borderId="3" xfId="0" applyNumberFormat="1" applyFont="1" applyFill="1" applyBorder="1" applyAlignment="1">
      <alignment horizontal="center" vertical="top" wrapText="1"/>
    </xf>
    <xf numFmtId="165" fontId="13" fillId="3" borderId="3" xfId="0" applyNumberFormat="1" applyFont="1" applyFill="1" applyBorder="1" applyAlignment="1">
      <alignment horizontal="center" vertical="top" wrapText="1"/>
    </xf>
    <xf numFmtId="0" fontId="13" fillId="0" borderId="6" xfId="0" applyFont="1" applyBorder="1" applyAlignment="1">
      <alignment vertical="top" wrapText="1"/>
    </xf>
    <xf numFmtId="0" fontId="13" fillId="0" borderId="1" xfId="0" applyFont="1" applyBorder="1" applyAlignment="1">
      <alignment vertical="center" wrapText="1"/>
    </xf>
    <xf numFmtId="164" fontId="13" fillId="0" borderId="1" xfId="0" applyNumberFormat="1" applyFont="1" applyBorder="1" applyAlignment="1">
      <alignment horizontal="center" vertical="top" wrapText="1"/>
    </xf>
    <xf numFmtId="0" fontId="13" fillId="6" borderId="10" xfId="0" applyFont="1" applyFill="1" applyBorder="1" applyAlignment="1">
      <alignment horizontal="center" vertical="top" wrapText="1"/>
    </xf>
    <xf numFmtId="164" fontId="13" fillId="6" borderId="6" xfId="0" applyNumberFormat="1" applyFont="1" applyFill="1" applyBorder="1" applyAlignment="1">
      <alignment horizontal="center" vertical="top" wrapText="1"/>
    </xf>
    <xf numFmtId="165" fontId="13" fillId="6" borderId="6" xfId="0" applyNumberFormat="1" applyFont="1" applyFill="1" applyBorder="1" applyAlignment="1">
      <alignment horizontal="center" vertical="top" wrapText="1"/>
    </xf>
    <xf numFmtId="164" fontId="13" fillId="0" borderId="6" xfId="0" applyNumberFormat="1" applyFont="1" applyBorder="1" applyAlignment="1">
      <alignment horizontal="center" vertical="top" wrapText="1"/>
    </xf>
    <xf numFmtId="0" fontId="12" fillId="6" borderId="1" xfId="0" applyFont="1" applyFill="1" applyBorder="1" applyAlignment="1">
      <alignment vertical="center" wrapText="1"/>
    </xf>
    <xf numFmtId="164" fontId="13" fillId="6" borderId="1" xfId="0" applyNumberFormat="1" applyFont="1" applyFill="1" applyBorder="1" applyAlignment="1">
      <alignment horizontal="center" vertical="top" wrapText="1"/>
    </xf>
    <xf numFmtId="0" fontId="12" fillId="3" borderId="1" xfId="0" applyFont="1" applyFill="1" applyBorder="1" applyAlignment="1">
      <alignment vertical="center" wrapText="1"/>
    </xf>
    <xf numFmtId="165" fontId="13" fillId="0" borderId="1" xfId="0" applyNumberFormat="1" applyFont="1" applyBorder="1" applyAlignment="1">
      <alignment horizontal="center" vertical="top" wrapText="1"/>
    </xf>
    <xf numFmtId="0" fontId="12" fillId="3" borderId="24" xfId="0" applyFont="1" applyFill="1" applyBorder="1" applyAlignment="1">
      <alignment vertical="top" wrapText="1"/>
    </xf>
    <xf numFmtId="0" fontId="12" fillId="3" borderId="6" xfId="0" applyFont="1" applyFill="1" applyBorder="1" applyAlignment="1">
      <alignment horizontal="center" vertical="top" wrapText="1"/>
    </xf>
    <xf numFmtId="0" fontId="13" fillId="3" borderId="23" xfId="0" applyFont="1" applyFill="1" applyBorder="1" applyAlignment="1">
      <alignment vertical="top" wrapText="1"/>
    </xf>
    <xf numFmtId="0" fontId="12" fillId="6" borderId="3" xfId="0" applyFont="1" applyFill="1" applyBorder="1" applyAlignment="1">
      <alignment vertical="top" wrapText="1"/>
    </xf>
    <xf numFmtId="165" fontId="13" fillId="0" borderId="6" xfId="0" applyNumberFormat="1" applyFont="1" applyBorder="1" applyAlignment="1">
      <alignment horizontal="center" vertical="top" wrapText="1"/>
    </xf>
    <xf numFmtId="0" fontId="13" fillId="6" borderId="1" xfId="0" applyFont="1" applyFill="1" applyBorder="1" applyAlignment="1">
      <alignment vertical="top" wrapText="1"/>
    </xf>
    <xf numFmtId="164" fontId="12" fillId="0" borderId="1" xfId="0" applyNumberFormat="1" applyFont="1" applyBorder="1" applyAlignment="1">
      <alignment horizontal="center" vertical="top" wrapText="1"/>
    </xf>
    <xf numFmtId="165" fontId="12" fillId="0" borderId="1" xfId="0" applyNumberFormat="1" applyFont="1" applyBorder="1" applyAlignment="1">
      <alignment horizontal="center" vertical="top" wrapText="1"/>
    </xf>
    <xf numFmtId="165" fontId="12" fillId="3" borderId="2" xfId="0" applyNumberFormat="1" applyFont="1" applyFill="1" applyBorder="1" applyAlignment="1">
      <alignment horizontal="center" vertical="top" wrapText="1"/>
    </xf>
    <xf numFmtId="164" fontId="12" fillId="3" borderId="6" xfId="0" applyNumberFormat="1" applyFont="1" applyFill="1" applyBorder="1" applyAlignment="1">
      <alignment horizontal="center" vertical="top" wrapText="1"/>
    </xf>
    <xf numFmtId="0" fontId="12" fillId="6" borderId="3" xfId="0" applyFont="1" applyFill="1" applyBorder="1" applyAlignment="1">
      <alignment horizontal="center" vertical="top" wrapText="1"/>
    </xf>
    <xf numFmtId="165" fontId="13" fillId="6" borderId="1" xfId="0" applyNumberFormat="1" applyFont="1" applyFill="1" applyBorder="1" applyAlignment="1">
      <alignment horizontal="center" vertical="top" wrapText="1"/>
    </xf>
    <xf numFmtId="0" fontId="13" fillId="0" borderId="3" xfId="0" applyFont="1" applyBorder="1" applyAlignment="1">
      <alignment horizontal="center" vertical="top" wrapText="1"/>
    </xf>
    <xf numFmtId="0" fontId="13" fillId="3" borderId="6" xfId="0" applyFont="1" applyFill="1" applyBorder="1" applyAlignment="1">
      <alignment horizontal="left" vertical="top" wrapText="1"/>
    </xf>
    <xf numFmtId="0" fontId="13" fillId="6" borderId="1" xfId="0" applyFont="1" applyFill="1" applyBorder="1" applyAlignment="1">
      <alignment vertical="top"/>
    </xf>
    <xf numFmtId="3" fontId="12" fillId="3" borderId="11" xfId="0" applyNumberFormat="1" applyFont="1" applyFill="1" applyBorder="1" applyAlignment="1">
      <alignment vertical="top" wrapText="1"/>
    </xf>
    <xf numFmtId="164" fontId="12" fillId="3" borderId="2" xfId="0" applyNumberFormat="1" applyFont="1" applyFill="1" applyBorder="1" applyAlignment="1">
      <alignment horizontal="center" vertical="top" wrapText="1"/>
    </xf>
    <xf numFmtId="0" fontId="12" fillId="6" borderId="1" xfId="0" applyFont="1" applyFill="1" applyBorder="1" applyAlignment="1">
      <alignment horizontal="center" vertical="top" wrapText="1"/>
    </xf>
    <xf numFmtId="164" fontId="13" fillId="0" borderId="2" xfId="0" applyNumberFormat="1" applyFont="1" applyBorder="1" applyAlignment="1">
      <alignment horizontal="center" vertical="top" wrapText="1"/>
    </xf>
    <xf numFmtId="0" fontId="13" fillId="0" borderId="16" xfId="0" applyFont="1" applyBorder="1" applyAlignment="1">
      <alignment horizontal="center" vertical="top" wrapText="1"/>
    </xf>
    <xf numFmtId="164" fontId="13" fillId="0" borderId="29" xfId="0" applyNumberFormat="1" applyFont="1" applyBorder="1" applyAlignment="1">
      <alignment horizontal="center" vertical="top" wrapText="1"/>
    </xf>
    <xf numFmtId="164" fontId="13" fillId="0" borderId="3" xfId="0" applyNumberFormat="1" applyFont="1" applyBorder="1" applyAlignment="1">
      <alignment horizontal="center" vertical="top" wrapText="1"/>
    </xf>
    <xf numFmtId="0" fontId="13" fillId="6" borderId="19" xfId="0" applyFont="1" applyFill="1" applyBorder="1" applyAlignment="1">
      <alignment vertical="top"/>
    </xf>
    <xf numFmtId="164" fontId="12" fillId="3" borderId="6" xfId="0" applyNumberFormat="1" applyFont="1" applyFill="1" applyBorder="1" applyAlignment="1">
      <alignment vertical="top" wrapText="1"/>
    </xf>
    <xf numFmtId="165" fontId="12" fillId="0" borderId="6" xfId="0" applyNumberFormat="1" applyFont="1" applyBorder="1" applyAlignment="1">
      <alignment vertical="top" wrapText="1"/>
    </xf>
    <xf numFmtId="0" fontId="13" fillId="6" borderId="31" xfId="0" applyFont="1" applyFill="1" applyBorder="1" applyAlignment="1">
      <alignment vertical="top"/>
    </xf>
    <xf numFmtId="0" fontId="13" fillId="3" borderId="1" xfId="0" applyFont="1" applyFill="1" applyBorder="1" applyAlignment="1">
      <alignment vertical="center" wrapText="1"/>
    </xf>
    <xf numFmtId="0" fontId="13" fillId="0" borderId="5" xfId="0" applyFont="1" applyBorder="1" applyAlignment="1">
      <alignment vertical="center" wrapText="1"/>
    </xf>
    <xf numFmtId="164" fontId="13" fillId="3" borderId="1" xfId="0" applyNumberFormat="1" applyFont="1" applyFill="1" applyBorder="1" applyAlignment="1">
      <alignment horizontal="center" vertical="center" wrapText="1"/>
    </xf>
    <xf numFmtId="0" fontId="13" fillId="3" borderId="5" xfId="0" applyFont="1" applyFill="1" applyBorder="1" applyAlignment="1">
      <alignment vertical="center" wrapText="1"/>
    </xf>
    <xf numFmtId="0" fontId="12" fillId="0" borderId="30" xfId="0" applyFont="1" applyBorder="1" applyAlignment="1">
      <alignment vertical="top"/>
    </xf>
    <xf numFmtId="0" fontId="12" fillId="0" borderId="23" xfId="0" applyFont="1" applyBorder="1"/>
    <xf numFmtId="165" fontId="23" fillId="3" borderId="3" xfId="0" applyNumberFormat="1" applyFont="1" applyFill="1" applyBorder="1" applyAlignment="1">
      <alignment horizontal="center" vertical="top" wrapText="1"/>
    </xf>
    <xf numFmtId="165" fontId="23" fillId="3" borderId="1" xfId="0" applyNumberFormat="1" applyFont="1" applyFill="1" applyBorder="1" applyAlignment="1">
      <alignment horizontal="center" vertical="top" wrapText="1"/>
    </xf>
    <xf numFmtId="164" fontId="23" fillId="3" borderId="1" xfId="0" applyNumberFormat="1" applyFont="1" applyFill="1" applyBorder="1" applyAlignment="1">
      <alignment horizontal="center" vertical="top" wrapText="1"/>
    </xf>
    <xf numFmtId="0" fontId="13" fillId="3" borderId="11" xfId="0" applyFont="1" applyFill="1" applyBorder="1" applyAlignment="1">
      <alignment horizontal="center" vertical="top" wrapText="1"/>
    </xf>
    <xf numFmtId="3" fontId="13" fillId="3" borderId="17" xfId="0" applyNumberFormat="1" applyFont="1" applyFill="1" applyBorder="1" applyAlignment="1">
      <alignment vertical="top" wrapText="1"/>
    </xf>
    <xf numFmtId="164" fontId="26" fillId="3" borderId="1" xfId="0" applyNumberFormat="1" applyFont="1" applyFill="1" applyBorder="1" applyAlignment="1">
      <alignment horizontal="center" vertical="center" wrapText="1"/>
    </xf>
    <xf numFmtId="165" fontId="26" fillId="3" borderId="1" xfId="0" applyNumberFormat="1" applyFont="1" applyFill="1" applyBorder="1" applyAlignment="1">
      <alignment horizontal="center" vertical="center" wrapText="1"/>
    </xf>
    <xf numFmtId="0" fontId="23" fillId="7" borderId="5" xfId="0" applyFont="1" applyFill="1" applyBorder="1" applyAlignment="1">
      <alignment vertical="top" wrapText="1"/>
    </xf>
    <xf numFmtId="164" fontId="21" fillId="3" borderId="6" xfId="0" applyNumberFormat="1" applyFont="1" applyFill="1" applyBorder="1" applyAlignment="1">
      <alignment horizontal="center" vertical="top" wrapText="1"/>
    </xf>
    <xf numFmtId="164" fontId="23" fillId="3" borderId="2" xfId="0" applyNumberFormat="1" applyFont="1" applyFill="1" applyBorder="1" applyAlignment="1">
      <alignment horizontal="center" vertical="top" wrapText="1"/>
    </xf>
    <xf numFmtId="165" fontId="23" fillId="3" borderId="2" xfId="0" applyNumberFormat="1" applyFont="1" applyFill="1" applyBorder="1" applyAlignment="1">
      <alignment horizontal="center" vertical="top" wrapText="1"/>
    </xf>
    <xf numFmtId="164" fontId="27" fillId="3" borderId="1" xfId="0" applyNumberFormat="1" applyFont="1" applyFill="1" applyBorder="1" applyAlignment="1">
      <alignment horizontal="center" vertical="top" wrapText="1"/>
    </xf>
    <xf numFmtId="164" fontId="23" fillId="3" borderId="11" xfId="0" applyNumberFormat="1" applyFont="1" applyFill="1" applyBorder="1" applyAlignment="1">
      <alignment horizontal="center" vertical="top" wrapText="1"/>
    </xf>
    <xf numFmtId="165" fontId="23" fillId="3" borderId="30" xfId="0" applyNumberFormat="1" applyFont="1" applyFill="1" applyBorder="1" applyAlignment="1">
      <alignment horizontal="center" vertical="top" wrapText="1"/>
    </xf>
    <xf numFmtId="165" fontId="23" fillId="3" borderId="11" xfId="0" applyNumberFormat="1" applyFont="1" applyFill="1" applyBorder="1" applyAlignment="1">
      <alignment horizontal="center" vertical="top" wrapText="1"/>
    </xf>
    <xf numFmtId="0" fontId="3" fillId="0" borderId="5" xfId="0" applyFont="1" applyBorder="1" applyAlignment="1">
      <alignment horizontal="left" vertical="top" wrapText="1"/>
    </xf>
    <xf numFmtId="165" fontId="12" fillId="3" borderId="6" xfId="0" applyNumberFormat="1" applyFont="1" applyFill="1" applyBorder="1" applyAlignment="1">
      <alignment vertical="top" wrapText="1"/>
    </xf>
    <xf numFmtId="164" fontId="12" fillId="3" borderId="12" xfId="0" applyNumberFormat="1" applyFont="1" applyFill="1" applyBorder="1" applyAlignment="1">
      <alignment horizontal="center" vertical="top" wrapText="1"/>
    </xf>
    <xf numFmtId="164" fontId="12" fillId="0" borderId="30" xfId="0" applyNumberFormat="1" applyFont="1" applyBorder="1" applyAlignment="1">
      <alignment horizontal="center" vertical="top"/>
    </xf>
    <xf numFmtId="164" fontId="12" fillId="3" borderId="7" xfId="0" applyNumberFormat="1" applyFont="1" applyFill="1" applyBorder="1" applyAlignment="1">
      <alignment horizontal="center" vertical="top" wrapText="1"/>
    </xf>
    <xf numFmtId="164" fontId="23" fillId="3" borderId="3" xfId="0" applyNumberFormat="1" applyFont="1" applyFill="1" applyBorder="1" applyAlignment="1">
      <alignment horizontal="center" vertical="top" wrapText="1"/>
    </xf>
    <xf numFmtId="0" fontId="29" fillId="0" borderId="0" xfId="0" applyFont="1"/>
    <xf numFmtId="0" fontId="30" fillId="0" borderId="0" xfId="0" applyFont="1"/>
    <xf numFmtId="164" fontId="23" fillId="3" borderId="11" xfId="0" applyNumberFormat="1" applyFont="1" applyFill="1" applyBorder="1" applyAlignment="1">
      <alignment horizontal="center"/>
    </xf>
    <xf numFmtId="164" fontId="23" fillId="3" borderId="11" xfId="0" applyNumberFormat="1" applyFont="1" applyFill="1" applyBorder="1" applyAlignment="1">
      <alignment horizontal="center" vertical="top"/>
    </xf>
    <xf numFmtId="0" fontId="23" fillId="3" borderId="3" xfId="0" applyFont="1" applyFill="1" applyBorder="1" applyAlignment="1">
      <alignment horizontal="center" vertical="top" wrapText="1"/>
    </xf>
    <xf numFmtId="0" fontId="18" fillId="0" borderId="0" xfId="0" applyFont="1" applyAlignment="1">
      <alignment horizontal="left"/>
    </xf>
    <xf numFmtId="3" fontId="12" fillId="3" borderId="2" xfId="0" applyNumberFormat="1" applyFont="1" applyFill="1" applyBorder="1" applyAlignment="1">
      <alignment horizontal="center" vertical="top" wrapText="1"/>
    </xf>
    <xf numFmtId="0" fontId="12" fillId="0" borderId="4" xfId="0" applyFont="1" applyBorder="1" applyAlignment="1">
      <alignment horizontal="center" vertical="top" wrapText="1"/>
    </xf>
    <xf numFmtId="0" fontId="12" fillId="0" borderId="3" xfId="0" applyFont="1" applyBorder="1" applyAlignment="1">
      <alignment horizontal="center" vertical="top" wrapText="1"/>
    </xf>
    <xf numFmtId="0" fontId="12" fillId="3" borderId="7" xfId="0" applyFont="1" applyFill="1" applyBorder="1" applyAlignment="1">
      <alignment horizontal="center" vertical="top" wrapText="1"/>
    </xf>
    <xf numFmtId="0" fontId="12" fillId="3" borderId="3" xfId="0" applyFont="1" applyFill="1" applyBorder="1" applyAlignment="1">
      <alignment horizontal="center" vertical="top" wrapText="1"/>
    </xf>
    <xf numFmtId="0" fontId="12" fillId="3" borderId="21" xfId="0" applyFont="1" applyFill="1" applyBorder="1" applyAlignment="1">
      <alignment horizontal="center" vertical="top" wrapText="1"/>
    </xf>
    <xf numFmtId="0" fontId="15" fillId="0" borderId="0" xfId="0" applyFont="1"/>
    <xf numFmtId="0" fontId="18" fillId="0" borderId="0" xfId="0" applyFont="1"/>
    <xf numFmtId="1" fontId="13" fillId="9" borderId="1" xfId="0" applyNumberFormat="1" applyFont="1" applyFill="1" applyBorder="1" applyAlignment="1">
      <alignment vertical="top" wrapText="1"/>
    </xf>
    <xf numFmtId="1" fontId="13" fillId="9" borderId="1" xfId="0" applyNumberFormat="1" applyFont="1" applyFill="1" applyBorder="1" applyAlignment="1">
      <alignment horizontal="center" vertical="top" wrapText="1"/>
    </xf>
    <xf numFmtId="1" fontId="26" fillId="9" borderId="3" xfId="0" applyNumberFormat="1" applyFont="1" applyFill="1" applyBorder="1" applyAlignment="1">
      <alignment horizontal="center" vertical="top" wrapText="1"/>
    </xf>
    <xf numFmtId="1" fontId="26" fillId="9" borderId="1" xfId="0" applyNumberFormat="1" applyFont="1" applyFill="1" applyBorder="1" applyAlignment="1">
      <alignment horizontal="center" vertical="top" wrapText="1"/>
    </xf>
    <xf numFmtId="0" fontId="13" fillId="9" borderId="1" xfId="0" applyFont="1" applyFill="1" applyBorder="1" applyAlignment="1">
      <alignment vertical="top" wrapText="1"/>
    </xf>
    <xf numFmtId="0" fontId="12" fillId="9" borderId="1" xfId="0" applyFont="1" applyFill="1" applyBorder="1" applyAlignment="1">
      <alignment vertical="center" wrapText="1"/>
    </xf>
    <xf numFmtId="0" fontId="13" fillId="9" borderId="1" xfId="0" applyFont="1" applyFill="1" applyBorder="1" applyAlignment="1">
      <alignment horizontal="center" vertical="top" wrapText="1"/>
    </xf>
    <xf numFmtId="165" fontId="13" fillId="9" borderId="1" xfId="0" applyNumberFormat="1" applyFont="1" applyFill="1" applyBorder="1" applyAlignment="1">
      <alignment horizontal="center" vertical="top" wrapText="1"/>
    </xf>
    <xf numFmtId="1" fontId="23" fillId="3" borderId="1" xfId="0" applyNumberFormat="1" applyFont="1" applyFill="1" applyBorder="1" applyAlignment="1">
      <alignment vertical="top" wrapText="1"/>
    </xf>
    <xf numFmtId="1" fontId="23" fillId="3" borderId="1" xfId="0" applyNumberFormat="1" applyFont="1" applyFill="1" applyBorder="1" applyAlignment="1">
      <alignment horizontal="center" vertical="top" wrapText="1"/>
    </xf>
    <xf numFmtId="0" fontId="12" fillId="0" borderId="1" xfId="0" applyFont="1" applyBorder="1"/>
    <xf numFmtId="0" fontId="21" fillId="0" borderId="1" xfId="0" applyFont="1" applyBorder="1" applyAlignment="1">
      <alignment vertical="top"/>
    </xf>
    <xf numFmtId="1" fontId="23" fillId="3" borderId="7" xfId="0" applyNumberFormat="1" applyFont="1" applyFill="1" applyBorder="1" applyAlignment="1">
      <alignment horizontal="center" vertical="top" wrapText="1"/>
    </xf>
    <xf numFmtId="1" fontId="23" fillId="3" borderId="3" xfId="0" applyNumberFormat="1" applyFont="1" applyFill="1" applyBorder="1" applyAlignment="1">
      <alignment vertical="top" wrapText="1"/>
    </xf>
    <xf numFmtId="1" fontId="12" fillId="3" borderId="1" xfId="0" applyNumberFormat="1" applyFont="1" applyFill="1" applyBorder="1" applyAlignment="1">
      <alignment horizontal="left" vertical="top" wrapText="1"/>
    </xf>
    <xf numFmtId="1" fontId="12" fillId="3" borderId="3" xfId="0" applyNumberFormat="1" applyFont="1" applyFill="1" applyBorder="1" applyAlignment="1">
      <alignment horizontal="left" vertical="top" wrapText="1"/>
    </xf>
    <xf numFmtId="1" fontId="23" fillId="3" borderId="3" xfId="0" applyNumberFormat="1" applyFont="1" applyFill="1" applyBorder="1" applyAlignment="1">
      <alignment horizontal="center" vertical="top" wrapText="1"/>
    </xf>
    <xf numFmtId="1" fontId="12" fillId="3" borderId="1" xfId="0" applyNumberFormat="1" applyFont="1" applyFill="1" applyBorder="1" applyAlignment="1">
      <alignment vertical="top" wrapText="1"/>
    </xf>
    <xf numFmtId="1" fontId="12" fillId="0" borderId="3" xfId="0" applyNumberFormat="1" applyFont="1" applyBorder="1" applyAlignment="1">
      <alignment vertical="top" wrapText="1"/>
    </xf>
    <xf numFmtId="1" fontId="12" fillId="3" borderId="3" xfId="0" applyNumberFormat="1" applyFont="1" applyFill="1" applyBorder="1" applyAlignment="1">
      <alignment vertical="top" wrapText="1"/>
    </xf>
    <xf numFmtId="1" fontId="12" fillId="7" borderId="3" xfId="0" applyNumberFormat="1" applyFont="1" applyFill="1" applyBorder="1" applyAlignment="1">
      <alignment vertical="top" wrapText="1"/>
    </xf>
    <xf numFmtId="0" fontId="23" fillId="3" borderId="1" xfId="0" applyFont="1" applyFill="1" applyBorder="1" applyAlignment="1">
      <alignment horizontal="center" vertical="top" wrapText="1"/>
    </xf>
    <xf numFmtId="0" fontId="23" fillId="3" borderId="7" xfId="0" applyFont="1" applyFill="1" applyBorder="1" applyAlignment="1">
      <alignment horizontal="center" vertical="top" wrapText="1"/>
    </xf>
    <xf numFmtId="0" fontId="23" fillId="7" borderId="1" xfId="0" applyFont="1" applyFill="1" applyBorder="1" applyAlignment="1">
      <alignment horizontal="center" vertical="top" wrapText="1"/>
    </xf>
    <xf numFmtId="1" fontId="23" fillId="3" borderId="1" xfId="0" applyNumberFormat="1" applyFont="1" applyFill="1" applyBorder="1" applyAlignment="1">
      <alignment horizontal="center" vertical="top"/>
    </xf>
    <xf numFmtId="1" fontId="12" fillId="3" borderId="1" xfId="1" applyNumberFormat="1" applyFont="1" applyFill="1" applyBorder="1" applyAlignment="1">
      <alignment horizontal="left" vertical="top" wrapText="1"/>
    </xf>
    <xf numFmtId="1" fontId="12" fillId="3" borderId="1" xfId="0" applyNumberFormat="1" applyFont="1" applyFill="1" applyBorder="1" applyAlignment="1">
      <alignment horizontal="center" vertical="top" wrapText="1"/>
    </xf>
    <xf numFmtId="0" fontId="12" fillId="7" borderId="3" xfId="0" applyFont="1" applyFill="1" applyBorder="1" applyAlignment="1">
      <alignment horizontal="center" vertical="top" wrapText="1"/>
    </xf>
    <xf numFmtId="0" fontId="12" fillId="7" borderId="7" xfId="0" applyFont="1" applyFill="1" applyBorder="1" applyAlignment="1">
      <alignment horizontal="center" vertical="top" wrapText="1"/>
    </xf>
    <xf numFmtId="1" fontId="12" fillId="3" borderId="1" xfId="1" applyNumberFormat="1" applyFont="1" applyFill="1" applyBorder="1" applyAlignment="1">
      <alignment vertical="top" wrapText="1"/>
    </xf>
    <xf numFmtId="1" fontId="23" fillId="3" borderId="6" xfId="0" applyNumberFormat="1" applyFont="1" applyFill="1" applyBorder="1" applyAlignment="1">
      <alignment vertical="top" wrapText="1"/>
    </xf>
    <xf numFmtId="1" fontId="12" fillId="3" borderId="6" xfId="0" applyNumberFormat="1" applyFont="1" applyFill="1" applyBorder="1" applyAlignment="1">
      <alignment horizontal="center" vertical="top" wrapText="1"/>
    </xf>
    <xf numFmtId="0" fontId="23" fillId="3" borderId="1" xfId="0" applyFont="1" applyFill="1" applyBorder="1" applyAlignment="1">
      <alignment vertical="top" wrapText="1"/>
    </xf>
    <xf numFmtId="0" fontId="23" fillId="0" borderId="1" xfId="0" applyFont="1" applyBorder="1" applyAlignment="1">
      <alignment vertical="top"/>
    </xf>
    <xf numFmtId="0" fontId="30" fillId="0" borderId="1" xfId="0" applyFont="1" applyBorder="1"/>
    <xf numFmtId="1" fontId="23" fillId="3" borderId="1" xfId="0" applyNumberFormat="1" applyFont="1" applyFill="1" applyBorder="1" applyAlignment="1">
      <alignment horizontal="left" vertical="top" wrapText="1"/>
    </xf>
    <xf numFmtId="0" fontId="12" fillId="3" borderId="36" xfId="0" applyFont="1" applyFill="1" applyBorder="1" applyAlignment="1">
      <alignment vertical="top" wrapText="1"/>
    </xf>
    <xf numFmtId="165" fontId="12" fillId="0" borderId="23" xfId="0" applyNumberFormat="1" applyFont="1" applyBorder="1"/>
    <xf numFmtId="0" fontId="12" fillId="3" borderId="1" xfId="0" applyFont="1" applyFill="1" applyBorder="1" applyAlignment="1">
      <alignment horizontal="center" vertical="top" wrapText="1"/>
    </xf>
    <xf numFmtId="1" fontId="33" fillId="3" borderId="1" xfId="0" applyNumberFormat="1" applyFont="1" applyFill="1" applyBorder="1" applyAlignment="1">
      <alignment horizontal="center" vertical="top" wrapText="1"/>
    </xf>
    <xf numFmtId="0" fontId="7" fillId="3" borderId="11" xfId="0" applyFont="1" applyFill="1" applyBorder="1" applyAlignment="1">
      <alignment vertical="top" wrapText="1"/>
    </xf>
    <xf numFmtId="0" fontId="13" fillId="6" borderId="34" xfId="0" applyFont="1" applyFill="1" applyBorder="1" applyAlignment="1">
      <alignment horizontal="center" vertical="top" wrapText="1"/>
    </xf>
    <xf numFmtId="0" fontId="13" fillId="6" borderId="37" xfId="0" applyFont="1" applyFill="1" applyBorder="1" applyAlignment="1">
      <alignment horizontal="center" vertical="top" wrapText="1"/>
    </xf>
    <xf numFmtId="0" fontId="21" fillId="0" borderId="1" xfId="0" applyFont="1" applyBorder="1"/>
    <xf numFmtId="165" fontId="12" fillId="3" borderId="10" xfId="0" applyNumberFormat="1" applyFont="1" applyFill="1" applyBorder="1" applyAlignment="1">
      <alignment horizontal="center" vertical="top" wrapText="1"/>
    </xf>
    <xf numFmtId="165" fontId="12" fillId="3" borderId="18" xfId="0" applyNumberFormat="1" applyFont="1" applyFill="1" applyBorder="1" applyAlignment="1">
      <alignment horizontal="center" vertical="top" wrapText="1"/>
    </xf>
    <xf numFmtId="165" fontId="23" fillId="3" borderId="18" xfId="0" applyNumberFormat="1" applyFont="1" applyFill="1" applyBorder="1" applyAlignment="1">
      <alignment horizontal="center" vertical="top" wrapText="1"/>
    </xf>
    <xf numFmtId="0" fontId="13" fillId="6" borderId="8" xfId="0" applyFont="1" applyFill="1" applyBorder="1" applyAlignment="1">
      <alignment vertical="top" wrapText="1"/>
    </xf>
    <xf numFmtId="0" fontId="12" fillId="6" borderId="8" xfId="0" applyFont="1" applyFill="1" applyBorder="1" applyAlignment="1">
      <alignment vertical="center" wrapText="1"/>
    </xf>
    <xf numFmtId="0" fontId="12" fillId="6" borderId="3" xfId="0" applyFont="1" applyFill="1" applyBorder="1" applyAlignment="1">
      <alignment vertical="center" wrapText="1"/>
    </xf>
    <xf numFmtId="0" fontId="7" fillId="3" borderId="10" xfId="0" applyFont="1" applyFill="1" applyBorder="1" applyAlignment="1">
      <alignment vertical="top" wrapText="1"/>
    </xf>
    <xf numFmtId="1" fontId="12" fillId="3" borderId="2" xfId="0" applyNumberFormat="1" applyFont="1" applyFill="1" applyBorder="1" applyAlignment="1">
      <alignment horizontal="center" vertical="top" wrapText="1"/>
    </xf>
    <xf numFmtId="1" fontId="23" fillId="3" borderId="2" xfId="0" applyNumberFormat="1" applyFont="1" applyFill="1" applyBorder="1" applyAlignment="1">
      <alignment horizontal="center" vertical="top" wrapText="1"/>
    </xf>
    <xf numFmtId="1" fontId="12" fillId="0" borderId="2" xfId="0" applyNumberFormat="1" applyFont="1" applyBorder="1" applyAlignment="1">
      <alignment horizontal="center" vertical="top" wrapText="1"/>
    </xf>
    <xf numFmtId="0" fontId="12" fillId="3" borderId="1" xfId="0" applyFont="1" applyFill="1" applyBorder="1"/>
    <xf numFmtId="165" fontId="23" fillId="3" borderId="3" xfId="0" applyNumberFormat="1" applyFont="1" applyFill="1" applyBorder="1" applyAlignment="1">
      <alignment horizontal="center" vertical="center" wrapText="1"/>
    </xf>
    <xf numFmtId="1" fontId="12" fillId="0" borderId="3" xfId="0" applyNumberFormat="1" applyFont="1" applyBorder="1" applyAlignment="1">
      <alignment horizontal="center" vertical="top" wrapText="1"/>
    </xf>
    <xf numFmtId="1" fontId="12" fillId="3" borderId="3" xfId="0" applyNumberFormat="1" applyFont="1" applyFill="1" applyBorder="1" applyAlignment="1">
      <alignment horizontal="center" vertical="top" wrapText="1"/>
    </xf>
    <xf numFmtId="1" fontId="7" fillId="3" borderId="3" xfId="0" applyNumberFormat="1" applyFont="1" applyFill="1" applyBorder="1" applyAlignment="1">
      <alignment vertical="top" wrapText="1"/>
    </xf>
    <xf numFmtId="0" fontId="35" fillId="9" borderId="11" xfId="0" applyFont="1" applyFill="1" applyBorder="1" applyAlignment="1">
      <alignment horizontal="center" vertical="top"/>
    </xf>
    <xf numFmtId="0" fontId="12" fillId="9" borderId="2" xfId="0" applyFont="1" applyFill="1" applyBorder="1" applyAlignment="1">
      <alignment vertical="center" wrapText="1"/>
    </xf>
    <xf numFmtId="1" fontId="23" fillId="0" borderId="3" xfId="0" applyNumberFormat="1" applyFont="1" applyBorder="1" applyAlignment="1">
      <alignment horizontal="center" vertical="top" wrapText="1"/>
    </xf>
    <xf numFmtId="1" fontId="21" fillId="0" borderId="3" xfId="0" applyNumberFormat="1" applyFont="1" applyBorder="1" applyAlignment="1">
      <alignment horizontal="center" vertical="top" wrapText="1"/>
    </xf>
    <xf numFmtId="1" fontId="26" fillId="9" borderId="4" xfId="0" applyNumberFormat="1" applyFont="1" applyFill="1" applyBorder="1" applyAlignment="1">
      <alignment horizontal="center" vertical="top" wrapText="1"/>
    </xf>
    <xf numFmtId="1" fontId="26" fillId="9" borderId="1" xfId="0" applyNumberFormat="1" applyFont="1" applyFill="1" applyBorder="1" applyAlignment="1">
      <alignment vertical="top" wrapText="1"/>
    </xf>
    <xf numFmtId="2" fontId="13" fillId="10" borderId="3" xfId="0" applyNumberFormat="1" applyFont="1" applyFill="1" applyBorder="1" applyAlignment="1">
      <alignment horizontal="center" vertical="top" wrapText="1"/>
    </xf>
    <xf numFmtId="0" fontId="12" fillId="9" borderId="1" xfId="0" applyFont="1" applyFill="1" applyBorder="1" applyAlignment="1">
      <alignment vertical="top" wrapText="1"/>
    </xf>
    <xf numFmtId="164" fontId="12" fillId="9" borderId="1" xfId="0" applyNumberFormat="1" applyFont="1" applyFill="1" applyBorder="1" applyAlignment="1">
      <alignment horizontal="center" vertical="top" wrapText="1"/>
    </xf>
    <xf numFmtId="165" fontId="12" fillId="9" borderId="1" xfId="0" applyNumberFormat="1" applyFont="1" applyFill="1" applyBorder="1" applyAlignment="1">
      <alignment horizontal="center" vertical="top" wrapText="1"/>
    </xf>
    <xf numFmtId="0" fontId="5" fillId="3" borderId="11" xfId="0" applyFont="1" applyFill="1" applyBorder="1" applyAlignment="1">
      <alignment vertical="top" wrapText="1"/>
    </xf>
    <xf numFmtId="1" fontId="7" fillId="0" borderId="3" xfId="0" applyNumberFormat="1" applyFont="1" applyBorder="1" applyAlignment="1">
      <alignment horizontal="center" vertical="top" wrapText="1"/>
    </xf>
    <xf numFmtId="0" fontId="5" fillId="3" borderId="10" xfId="0" applyFont="1" applyFill="1" applyBorder="1" applyAlignment="1">
      <alignment vertical="top" wrapText="1"/>
    </xf>
    <xf numFmtId="0" fontId="23" fillId="3" borderId="10" xfId="0" applyFont="1" applyFill="1" applyBorder="1" applyAlignment="1">
      <alignment vertical="top" wrapText="1"/>
    </xf>
    <xf numFmtId="0" fontId="23" fillId="3" borderId="11" xfId="0" applyFont="1" applyFill="1" applyBorder="1" applyAlignment="1">
      <alignment vertical="top" wrapText="1"/>
    </xf>
    <xf numFmtId="1" fontId="23" fillId="3" borderId="8" xfId="0" applyNumberFormat="1" applyFont="1" applyFill="1" applyBorder="1" applyAlignment="1">
      <alignment vertical="top" wrapText="1"/>
    </xf>
    <xf numFmtId="1" fontId="12" fillId="0" borderId="1" xfId="0" applyNumberFormat="1" applyFont="1" applyBorder="1" applyAlignment="1">
      <alignment vertical="top" wrapText="1"/>
    </xf>
    <xf numFmtId="1" fontId="12" fillId="3" borderId="4" xfId="0" applyNumberFormat="1" applyFont="1" applyFill="1" applyBorder="1" applyAlignment="1">
      <alignment vertical="top" wrapText="1"/>
    </xf>
    <xf numFmtId="1" fontId="21" fillId="3" borderId="3" xfId="0" applyNumberFormat="1" applyFont="1" applyFill="1" applyBorder="1" applyAlignment="1">
      <alignment horizontal="center" vertical="top" wrapText="1"/>
    </xf>
    <xf numFmtId="0" fontId="12" fillId="3" borderId="12" xfId="0" applyFont="1" applyFill="1" applyBorder="1" applyAlignment="1">
      <alignment vertical="top" wrapText="1"/>
    </xf>
    <xf numFmtId="1" fontId="12" fillId="3" borderId="1" xfId="0" applyNumberFormat="1" applyFont="1" applyFill="1" applyBorder="1" applyAlignment="1">
      <alignment horizontal="center" vertical="top"/>
    </xf>
    <xf numFmtId="0" fontId="13" fillId="3" borderId="16" xfId="0" applyFont="1" applyFill="1" applyBorder="1" applyAlignment="1">
      <alignment horizontal="left" vertical="top" wrapText="1"/>
    </xf>
    <xf numFmtId="1" fontId="13" fillId="9" borderId="3" xfId="0" applyNumberFormat="1" applyFont="1" applyFill="1" applyBorder="1" applyAlignment="1">
      <alignment horizontal="center" vertical="top" wrapText="1"/>
    </xf>
    <xf numFmtId="2" fontId="13" fillId="9" borderId="3" xfId="0" applyNumberFormat="1" applyFont="1" applyFill="1" applyBorder="1" applyAlignment="1">
      <alignment horizontal="center" vertical="top"/>
    </xf>
    <xf numFmtId="0" fontId="13" fillId="9" borderId="5" xfId="0" applyFont="1" applyFill="1" applyBorder="1" applyAlignment="1">
      <alignment vertical="top" wrapText="1"/>
    </xf>
    <xf numFmtId="165" fontId="12" fillId="0" borderId="5" xfId="0" applyNumberFormat="1" applyFont="1" applyBorder="1" applyAlignment="1">
      <alignment horizontal="center" vertical="top" wrapText="1"/>
    </xf>
    <xf numFmtId="165" fontId="12" fillId="3" borderId="5" xfId="0" applyNumberFormat="1" applyFont="1" applyFill="1" applyBorder="1" applyAlignment="1">
      <alignment horizontal="center" vertical="top" wrapText="1"/>
    </xf>
    <xf numFmtId="165" fontId="23" fillId="3" borderId="20" xfId="0" applyNumberFormat="1" applyFont="1" applyFill="1" applyBorder="1" applyAlignment="1">
      <alignment horizontal="center" vertical="top" wrapText="1"/>
    </xf>
    <xf numFmtId="1" fontId="23" fillId="3" borderId="2" xfId="0" applyNumberFormat="1" applyFont="1" applyFill="1" applyBorder="1" applyAlignment="1">
      <alignment horizontal="center" vertical="top"/>
    </xf>
    <xf numFmtId="0" fontId="21" fillId="0" borderId="1" xfId="0" applyFont="1" applyBorder="1" applyAlignment="1">
      <alignment horizontal="center" vertical="top"/>
    </xf>
    <xf numFmtId="0" fontId="12" fillId="7" borderId="3" xfId="0" applyFont="1" applyFill="1" applyBorder="1" applyAlignment="1">
      <alignment vertical="top" wrapText="1"/>
    </xf>
    <xf numFmtId="165" fontId="13" fillId="3" borderId="5" xfId="0" applyNumberFormat="1" applyFont="1" applyFill="1" applyBorder="1" applyAlignment="1">
      <alignment horizontal="center" vertical="top" wrapText="1"/>
    </xf>
    <xf numFmtId="165" fontId="13" fillId="0" borderId="5" xfId="0" applyNumberFormat="1" applyFont="1" applyBorder="1" applyAlignment="1">
      <alignment horizontal="center" vertical="top" wrapText="1"/>
    </xf>
    <xf numFmtId="164" fontId="13" fillId="0" borderId="14" xfId="0" applyNumberFormat="1" applyFont="1" applyBorder="1" applyAlignment="1">
      <alignment horizontal="center" vertical="top" wrapText="1"/>
    </xf>
    <xf numFmtId="164" fontId="13" fillId="0" borderId="38" xfId="0" applyNumberFormat="1" applyFont="1" applyBorder="1" applyAlignment="1">
      <alignment horizontal="center" vertical="top" wrapText="1"/>
    </xf>
    <xf numFmtId="164" fontId="13" fillId="0" borderId="16" xfId="0" applyNumberFormat="1" applyFont="1" applyBorder="1" applyAlignment="1">
      <alignment horizontal="center" vertical="top" wrapText="1"/>
    </xf>
    <xf numFmtId="165" fontId="12" fillId="9" borderId="5" xfId="0" applyNumberFormat="1" applyFont="1" applyFill="1" applyBorder="1" applyAlignment="1">
      <alignment horizontal="center" vertical="top" wrapText="1"/>
    </xf>
    <xf numFmtId="1" fontId="12" fillId="7" borderId="1" xfId="0" applyNumberFormat="1" applyFont="1" applyFill="1" applyBorder="1" applyAlignment="1">
      <alignment horizontal="center" vertical="top" wrapText="1"/>
    </xf>
    <xf numFmtId="1" fontId="12" fillId="7" borderId="2" xfId="0" applyNumberFormat="1" applyFont="1" applyFill="1" applyBorder="1" applyAlignment="1">
      <alignment horizontal="center" vertical="top" wrapText="1"/>
    </xf>
    <xf numFmtId="165" fontId="12" fillId="3" borderId="14" xfId="0" applyNumberFormat="1" applyFont="1" applyFill="1" applyBorder="1" applyAlignment="1">
      <alignment horizontal="center" vertical="top" wrapText="1"/>
    </xf>
    <xf numFmtId="165" fontId="23" fillId="3" borderId="14" xfId="0" applyNumberFormat="1" applyFont="1" applyFill="1" applyBorder="1" applyAlignment="1">
      <alignment horizontal="center" vertical="top" wrapText="1"/>
    </xf>
    <xf numFmtId="0" fontId="21" fillId="0" borderId="1" xfId="0" applyFont="1" applyBorder="1" applyAlignment="1">
      <alignment horizontal="left" vertical="top"/>
    </xf>
    <xf numFmtId="1" fontId="23" fillId="3" borderId="35" xfId="0" applyNumberFormat="1" applyFont="1" applyFill="1" applyBorder="1" applyAlignment="1">
      <alignment horizontal="left" vertical="top" wrapText="1"/>
    </xf>
    <xf numFmtId="1" fontId="23" fillId="3" borderId="10" xfId="0" applyNumberFormat="1" applyFont="1" applyFill="1" applyBorder="1" applyAlignment="1">
      <alignment horizontal="left" vertical="top" wrapText="1"/>
    </xf>
    <xf numFmtId="165" fontId="26" fillId="3" borderId="5" xfId="0" applyNumberFormat="1" applyFont="1" applyFill="1" applyBorder="1" applyAlignment="1">
      <alignment horizontal="center" vertical="center" wrapText="1"/>
    </xf>
    <xf numFmtId="0" fontId="13" fillId="9" borderId="47" xfId="0" applyFont="1" applyFill="1" applyBorder="1" applyAlignment="1">
      <alignment vertical="top" wrapText="1"/>
    </xf>
    <xf numFmtId="1" fontId="13" fillId="9" borderId="46" xfId="0" applyNumberFormat="1" applyFont="1" applyFill="1" applyBorder="1" applyAlignment="1">
      <alignment vertical="top" wrapText="1"/>
    </xf>
    <xf numFmtId="1" fontId="23" fillId="3" borderId="46" xfId="0" applyNumberFormat="1" applyFont="1" applyFill="1" applyBorder="1" applyAlignment="1">
      <alignment horizontal="center" vertical="top" wrapText="1"/>
    </xf>
    <xf numFmtId="0" fontId="12" fillId="0" borderId="46" xfId="0" applyFont="1" applyBorder="1"/>
    <xf numFmtId="0" fontId="12" fillId="3" borderId="49" xfId="0" applyFont="1" applyFill="1" applyBorder="1" applyAlignment="1">
      <alignment horizontal="left" vertical="top" wrapText="1"/>
    </xf>
    <xf numFmtId="0" fontId="12" fillId="3" borderId="49" xfId="0" applyFont="1" applyFill="1" applyBorder="1" applyAlignment="1">
      <alignment vertical="top" wrapText="1"/>
    </xf>
    <xf numFmtId="1" fontId="12" fillId="0" borderId="46" xfId="0" applyNumberFormat="1" applyFont="1" applyBorder="1" applyAlignment="1">
      <alignment horizontal="center" vertical="top" wrapText="1"/>
    </xf>
    <xf numFmtId="1" fontId="23" fillId="3" borderId="53" xfId="0" applyNumberFormat="1" applyFont="1" applyFill="1" applyBorder="1" applyAlignment="1">
      <alignment horizontal="center" vertical="top" wrapText="1"/>
    </xf>
    <xf numFmtId="0" fontId="12" fillId="0" borderId="47" xfId="0" applyFont="1" applyBorder="1" applyAlignment="1">
      <alignment horizontal="left" vertical="top" wrapText="1"/>
    </xf>
    <xf numFmtId="0" fontId="30" fillId="0" borderId="46" xfId="0" applyFont="1" applyBorder="1"/>
    <xf numFmtId="1" fontId="12" fillId="3" borderId="46" xfId="0" applyNumberFormat="1" applyFont="1" applyFill="1" applyBorder="1" applyAlignment="1">
      <alignment horizontal="center" vertical="top" wrapText="1"/>
    </xf>
    <xf numFmtId="1" fontId="12" fillId="3" borderId="56" xfId="0" applyNumberFormat="1" applyFont="1" applyFill="1" applyBorder="1" applyAlignment="1">
      <alignment horizontal="center" vertical="top" wrapText="1"/>
    </xf>
    <xf numFmtId="0" fontId="12" fillId="6" borderId="49" xfId="0" applyFont="1" applyFill="1" applyBorder="1" applyAlignment="1">
      <alignment horizontal="justify" vertical="center" wrapText="1"/>
    </xf>
    <xf numFmtId="0" fontId="12" fillId="6" borderId="53" xfId="0" applyFont="1" applyFill="1" applyBorder="1" applyAlignment="1">
      <alignment vertical="center" wrapText="1"/>
    </xf>
    <xf numFmtId="0" fontId="12" fillId="3" borderId="57" xfId="0" applyFont="1" applyFill="1" applyBorder="1" applyAlignment="1">
      <alignment horizontal="center" vertical="center" wrapText="1"/>
    </xf>
    <xf numFmtId="0" fontId="21" fillId="0" borderId="46" xfId="0" applyFont="1" applyBorder="1"/>
    <xf numFmtId="0" fontId="12" fillId="6" borderId="45" xfId="0" applyFont="1" applyFill="1" applyBorder="1" applyAlignment="1">
      <alignment horizontal="center" vertical="center" wrapText="1"/>
    </xf>
    <xf numFmtId="0" fontId="13" fillId="8" borderId="0" xfId="0" applyFont="1" applyFill="1" applyAlignment="1">
      <alignment vertical="top"/>
    </xf>
    <xf numFmtId="0" fontId="13" fillId="6" borderId="58" xfId="0" applyFont="1" applyFill="1" applyBorder="1" applyAlignment="1">
      <alignment horizontal="center" vertical="top" wrapText="1"/>
    </xf>
    <xf numFmtId="0" fontId="12" fillId="3" borderId="46" xfId="0" applyFont="1" applyFill="1" applyBorder="1"/>
    <xf numFmtId="0" fontId="12" fillId="3" borderId="49" xfId="0" applyFont="1" applyFill="1" applyBorder="1" applyAlignment="1">
      <alignment horizontal="center" vertical="center" wrapText="1"/>
    </xf>
    <xf numFmtId="1" fontId="12" fillId="0" borderId="53" xfId="0" applyNumberFormat="1" applyFont="1" applyBorder="1" applyAlignment="1">
      <alignment horizontal="center" vertical="top" wrapText="1"/>
    </xf>
    <xf numFmtId="1" fontId="12" fillId="3" borderId="53" xfId="0" applyNumberFormat="1" applyFont="1" applyFill="1" applyBorder="1" applyAlignment="1">
      <alignment horizontal="center" vertical="top" wrapText="1"/>
    </xf>
    <xf numFmtId="0" fontId="12" fillId="3" borderId="57" xfId="0" applyFont="1" applyFill="1" applyBorder="1" applyAlignment="1">
      <alignment horizontal="justify" vertical="center" wrapText="1"/>
    </xf>
    <xf numFmtId="0" fontId="12" fillId="6" borderId="46" xfId="0" applyFont="1" applyFill="1" applyBorder="1" applyAlignment="1">
      <alignment vertical="center" wrapText="1"/>
    </xf>
    <xf numFmtId="0" fontId="12" fillId="6" borderId="49" xfId="0" applyFont="1" applyFill="1" applyBorder="1" applyAlignment="1">
      <alignment horizontal="center" vertical="center" wrapText="1"/>
    </xf>
    <xf numFmtId="0" fontId="12" fillId="3" borderId="54" xfId="0" applyFont="1" applyFill="1" applyBorder="1" applyAlignment="1">
      <alignment vertical="center" wrapText="1"/>
    </xf>
    <xf numFmtId="1" fontId="12" fillId="9" borderId="53" xfId="0" applyNumberFormat="1" applyFont="1" applyFill="1" applyBorder="1" applyAlignment="1">
      <alignment horizontal="center" vertical="top" wrapText="1"/>
    </xf>
    <xf numFmtId="1" fontId="20" fillId="9" borderId="52" xfId="0" applyNumberFormat="1" applyFont="1" applyFill="1" applyBorder="1" applyAlignment="1">
      <alignment horizontal="center" vertical="top" wrapText="1"/>
    </xf>
    <xf numFmtId="1" fontId="13" fillId="9" borderId="52" xfId="0" applyNumberFormat="1" applyFont="1" applyFill="1" applyBorder="1" applyAlignment="1">
      <alignment horizontal="center" vertical="top" wrapText="1"/>
    </xf>
    <xf numFmtId="0" fontId="12" fillId="6" borderId="47" xfId="0" applyFont="1" applyFill="1" applyBorder="1" applyAlignment="1">
      <alignment horizontal="justify" vertical="center" wrapText="1"/>
    </xf>
    <xf numFmtId="1" fontId="13" fillId="9" borderId="53" xfId="0" applyNumberFormat="1" applyFont="1" applyFill="1" applyBorder="1" applyAlignment="1">
      <alignment horizontal="center" vertical="top" wrapText="1"/>
    </xf>
    <xf numFmtId="0" fontId="12" fillId="6" borderId="47" xfId="0" applyFont="1" applyFill="1" applyBorder="1" applyAlignment="1">
      <alignment horizontal="center" vertical="center" wrapText="1"/>
    </xf>
    <xf numFmtId="1" fontId="12" fillId="10" borderId="50" xfId="0" applyNumberFormat="1" applyFont="1" applyFill="1" applyBorder="1" applyAlignment="1">
      <alignment horizontal="center" vertical="top" wrapText="1"/>
    </xf>
    <xf numFmtId="1" fontId="12" fillId="0" borderId="56" xfId="0" applyNumberFormat="1" applyFont="1" applyBorder="1" applyAlignment="1">
      <alignment horizontal="center" vertical="top" wrapText="1"/>
    </xf>
    <xf numFmtId="1" fontId="23" fillId="3" borderId="0" xfId="0" applyNumberFormat="1" applyFont="1" applyFill="1" applyAlignment="1">
      <alignment horizontal="left" vertical="top" wrapText="1"/>
    </xf>
    <xf numFmtId="0" fontId="12" fillId="6" borderId="59" xfId="0" applyFont="1" applyFill="1" applyBorder="1" applyAlignment="1">
      <alignment horizontal="center" vertical="center" wrapText="1"/>
    </xf>
    <xf numFmtId="0" fontId="12" fillId="0" borderId="61" xfId="0" applyFont="1" applyBorder="1" applyAlignment="1">
      <alignment horizontal="justify" vertical="center" wrapText="1"/>
    </xf>
    <xf numFmtId="0" fontId="12" fillId="0" borderId="62" xfId="0" applyFont="1" applyBorder="1" applyAlignment="1">
      <alignment vertical="top" wrapText="1"/>
    </xf>
    <xf numFmtId="0" fontId="12" fillId="3" borderId="62" xfId="0" applyFont="1" applyFill="1" applyBorder="1" applyAlignment="1">
      <alignment vertical="center" wrapText="1"/>
    </xf>
    <xf numFmtId="164" fontId="12" fillId="3" borderId="62" xfId="0" applyNumberFormat="1" applyFont="1" applyFill="1" applyBorder="1" applyAlignment="1">
      <alignment horizontal="center" vertical="top" wrapText="1"/>
    </xf>
    <xf numFmtId="164" fontId="12" fillId="3" borderId="63" xfId="0" applyNumberFormat="1" applyFont="1" applyFill="1" applyBorder="1" applyAlignment="1">
      <alignment horizontal="center" vertical="top" wrapText="1"/>
    </xf>
    <xf numFmtId="0" fontId="12" fillId="0" borderId="64" xfId="0" applyFont="1" applyBorder="1"/>
    <xf numFmtId="0" fontId="12" fillId="0" borderId="65" xfId="0" applyFont="1" applyBorder="1"/>
    <xf numFmtId="1" fontId="13" fillId="2" borderId="64" xfId="0" applyNumberFormat="1"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69" xfId="0" applyFont="1" applyFill="1" applyBorder="1" applyAlignment="1">
      <alignment horizontal="center" vertical="center" wrapText="1"/>
    </xf>
    <xf numFmtId="1" fontId="17" fillId="2" borderId="69" xfId="0" applyNumberFormat="1" applyFont="1" applyFill="1" applyBorder="1" applyAlignment="1">
      <alignment horizontal="center" vertical="center" wrapText="1"/>
    </xf>
    <xf numFmtId="1" fontId="31" fillId="2" borderId="69" xfId="0" applyNumberFormat="1" applyFont="1" applyFill="1" applyBorder="1" applyAlignment="1">
      <alignment horizontal="center" vertical="center" wrapText="1"/>
    </xf>
    <xf numFmtId="1" fontId="17" fillId="2" borderId="70" xfId="0" applyNumberFormat="1" applyFont="1" applyFill="1" applyBorder="1" applyAlignment="1">
      <alignment horizontal="center" vertical="center" wrapText="1"/>
    </xf>
    <xf numFmtId="0" fontId="13" fillId="9" borderId="45" xfId="0" applyFont="1" applyFill="1" applyBorder="1" applyAlignment="1">
      <alignment vertical="top" wrapText="1"/>
    </xf>
    <xf numFmtId="0" fontId="13" fillId="9" borderId="3" xfId="0" applyFont="1" applyFill="1" applyBorder="1" applyAlignment="1">
      <alignment vertical="top" wrapText="1"/>
    </xf>
    <xf numFmtId="0" fontId="12" fillId="9" borderId="3" xfId="0" applyFont="1" applyFill="1" applyBorder="1" applyAlignment="1">
      <alignment vertical="center" wrapText="1"/>
    </xf>
    <xf numFmtId="0" fontId="13" fillId="9" borderId="3" xfId="0" applyFont="1" applyFill="1" applyBorder="1" applyAlignment="1">
      <alignment horizontal="center" vertical="top" wrapText="1"/>
    </xf>
    <xf numFmtId="165" fontId="13" fillId="9" borderId="3" xfId="0" applyNumberFormat="1" applyFont="1" applyFill="1" applyBorder="1" applyAlignment="1">
      <alignment horizontal="center" vertical="top" wrapText="1"/>
    </xf>
    <xf numFmtId="1" fontId="13" fillId="9" borderId="3" xfId="0" applyNumberFormat="1" applyFont="1" applyFill="1" applyBorder="1" applyAlignment="1">
      <alignment vertical="top" wrapText="1"/>
    </xf>
    <xf numFmtId="0" fontId="13" fillId="4" borderId="68" xfId="0" applyFont="1" applyFill="1" applyBorder="1" applyAlignment="1">
      <alignment vertical="top" wrapText="1"/>
    </xf>
    <xf numFmtId="0" fontId="13" fillId="4" borderId="69" xfId="0" applyFont="1" applyFill="1" applyBorder="1" applyAlignment="1">
      <alignment vertical="top" wrapText="1"/>
    </xf>
    <xf numFmtId="0" fontId="12" fillId="4" borderId="69" xfId="0" applyFont="1" applyFill="1" applyBorder="1" applyAlignment="1">
      <alignment vertical="center" wrapText="1"/>
    </xf>
    <xf numFmtId="0" fontId="13" fillId="4" borderId="69" xfId="0" applyFont="1" applyFill="1" applyBorder="1" applyAlignment="1">
      <alignment horizontal="center" vertical="top" wrapText="1"/>
    </xf>
    <xf numFmtId="165" fontId="13" fillId="4" borderId="69" xfId="0" applyNumberFormat="1" applyFont="1" applyFill="1" applyBorder="1" applyAlignment="1">
      <alignment horizontal="center" vertical="top" wrapText="1"/>
    </xf>
    <xf numFmtId="165" fontId="13" fillId="4" borderId="70" xfId="0" applyNumberFormat="1" applyFont="1" applyFill="1" applyBorder="1" applyAlignment="1">
      <alignment horizontal="center" vertical="top" wrapText="1"/>
    </xf>
    <xf numFmtId="0" fontId="13" fillId="9" borderId="48" xfId="0" applyFont="1" applyFill="1" applyBorder="1" applyAlignment="1">
      <alignment vertical="top" wrapText="1"/>
    </xf>
    <xf numFmtId="0" fontId="13" fillId="9" borderId="2" xfId="0" applyFont="1" applyFill="1" applyBorder="1" applyAlignment="1">
      <alignment horizontal="center" vertical="top" wrapText="1"/>
    </xf>
    <xf numFmtId="165" fontId="13" fillId="9" borderId="2" xfId="0" applyNumberFormat="1" applyFont="1" applyFill="1" applyBorder="1" applyAlignment="1">
      <alignment horizontal="center" vertical="top" wrapText="1"/>
    </xf>
    <xf numFmtId="1" fontId="13" fillId="9" borderId="2" xfId="0" applyNumberFormat="1" applyFont="1" applyFill="1" applyBorder="1" applyAlignment="1">
      <alignment vertical="top" wrapText="1"/>
    </xf>
    <xf numFmtId="1" fontId="13" fillId="9" borderId="2" xfId="0" applyNumberFormat="1" applyFont="1" applyFill="1" applyBorder="1" applyAlignment="1">
      <alignment horizontal="center" vertical="top" wrapText="1"/>
    </xf>
    <xf numFmtId="0" fontId="12" fillId="9" borderId="69" xfId="0" applyFont="1" applyFill="1" applyBorder="1" applyAlignment="1">
      <alignment vertical="center" wrapText="1"/>
    </xf>
    <xf numFmtId="165" fontId="13" fillId="9" borderId="69" xfId="0" applyNumberFormat="1" applyFont="1" applyFill="1" applyBorder="1" applyAlignment="1">
      <alignment horizontal="center" vertical="top" wrapText="1"/>
    </xf>
    <xf numFmtId="1" fontId="13" fillId="9" borderId="69" xfId="0" applyNumberFormat="1" applyFont="1" applyFill="1" applyBorder="1" applyAlignment="1">
      <alignment vertical="top" wrapText="1"/>
    </xf>
    <xf numFmtId="0" fontId="13" fillId="5" borderId="68" xfId="0" applyFont="1" applyFill="1" applyBorder="1" applyAlignment="1">
      <alignment horizontal="justify" vertical="top" wrapText="1"/>
    </xf>
    <xf numFmtId="0" fontId="13" fillId="5" borderId="69" xfId="0" applyFont="1" applyFill="1" applyBorder="1" applyAlignment="1">
      <alignment vertical="top" wrapText="1"/>
    </xf>
    <xf numFmtId="0" fontId="12" fillId="5" borderId="69" xfId="0" applyFont="1" applyFill="1" applyBorder="1" applyAlignment="1">
      <alignment horizontal="center" vertical="center" wrapText="1"/>
    </xf>
    <xf numFmtId="0" fontId="13" fillId="5" borderId="69" xfId="0" applyFont="1" applyFill="1" applyBorder="1" applyAlignment="1">
      <alignment horizontal="center" vertical="top" wrapText="1"/>
    </xf>
    <xf numFmtId="165" fontId="13" fillId="5" borderId="69" xfId="0" applyNumberFormat="1" applyFont="1" applyFill="1" applyBorder="1" applyAlignment="1">
      <alignment horizontal="center" vertical="top" wrapText="1"/>
    </xf>
    <xf numFmtId="165" fontId="13" fillId="5" borderId="70" xfId="0" applyNumberFormat="1" applyFont="1" applyFill="1" applyBorder="1" applyAlignment="1">
      <alignment horizontal="center" vertical="top" wrapText="1"/>
    </xf>
    <xf numFmtId="0" fontId="13" fillId="3" borderId="40" xfId="0" applyFont="1" applyFill="1" applyBorder="1" applyAlignment="1">
      <alignment vertical="top" wrapText="1"/>
    </xf>
    <xf numFmtId="0" fontId="12" fillId="3" borderId="67" xfId="0" applyFont="1" applyFill="1" applyBorder="1" applyAlignment="1">
      <alignment vertical="top" wrapText="1"/>
    </xf>
    <xf numFmtId="0" fontId="12" fillId="3" borderId="67" xfId="0" applyFont="1" applyFill="1" applyBorder="1" applyAlignment="1">
      <alignment horizontal="center" vertical="top" wrapText="1"/>
    </xf>
    <xf numFmtId="164" fontId="12" fillId="3" borderId="67" xfId="0" applyNumberFormat="1" applyFont="1" applyFill="1" applyBorder="1" applyAlignment="1">
      <alignment horizontal="center" vertical="top" wrapText="1"/>
    </xf>
    <xf numFmtId="164" fontId="23" fillId="3" borderId="67" xfId="0" applyNumberFormat="1" applyFont="1" applyFill="1" applyBorder="1" applyAlignment="1">
      <alignment horizontal="center" vertical="top" wrapText="1"/>
    </xf>
    <xf numFmtId="165" fontId="12" fillId="3" borderId="67" xfId="0" applyNumberFormat="1" applyFont="1" applyFill="1" applyBorder="1" applyAlignment="1">
      <alignment horizontal="center" vertical="top" wrapText="1"/>
    </xf>
    <xf numFmtId="0" fontId="13" fillId="3" borderId="74" xfId="0" applyFont="1" applyFill="1" applyBorder="1" applyAlignment="1">
      <alignment vertical="top" wrapText="1"/>
    </xf>
    <xf numFmtId="164" fontId="13" fillId="3" borderId="74" xfId="0" applyNumberFormat="1" applyFont="1" applyFill="1" applyBorder="1" applyAlignment="1">
      <alignment horizontal="center" vertical="top" wrapText="1"/>
    </xf>
    <xf numFmtId="165" fontId="13" fillId="3" borderId="74" xfId="0" applyNumberFormat="1" applyFont="1" applyFill="1" applyBorder="1" applyAlignment="1">
      <alignment horizontal="center" vertical="top" wrapText="1"/>
    </xf>
    <xf numFmtId="1" fontId="23" fillId="3" borderId="74" xfId="0" applyNumberFormat="1" applyFont="1" applyFill="1" applyBorder="1" applyAlignment="1">
      <alignment vertical="top" wrapText="1"/>
    </xf>
    <xf numFmtId="1" fontId="23" fillId="3" borderId="74" xfId="0" applyNumberFormat="1" applyFont="1" applyFill="1" applyBorder="1" applyAlignment="1">
      <alignment horizontal="center" vertical="top" wrapText="1"/>
    </xf>
    <xf numFmtId="1" fontId="23" fillId="3" borderId="44" xfId="0" applyNumberFormat="1" applyFont="1" applyFill="1" applyBorder="1" applyAlignment="1">
      <alignment horizontal="center" vertical="top" wrapText="1"/>
    </xf>
    <xf numFmtId="0" fontId="12" fillId="3" borderId="64" xfId="0" applyFont="1" applyFill="1" applyBorder="1" applyAlignment="1">
      <alignment vertical="top" wrapText="1"/>
    </xf>
    <xf numFmtId="164" fontId="12" fillId="3" borderId="64" xfId="0" applyNumberFormat="1" applyFont="1" applyFill="1" applyBorder="1" applyAlignment="1">
      <alignment horizontal="center" vertical="top" wrapText="1"/>
    </xf>
    <xf numFmtId="164" fontId="23" fillId="3" borderId="64" xfId="0" applyNumberFormat="1" applyFont="1" applyFill="1" applyBorder="1" applyAlignment="1">
      <alignment horizontal="center" vertical="top" wrapText="1"/>
    </xf>
    <xf numFmtId="165" fontId="12" fillId="3" borderId="64" xfId="0" applyNumberFormat="1" applyFont="1" applyFill="1" applyBorder="1" applyAlignment="1">
      <alignment horizontal="center" vertical="top" wrapText="1"/>
    </xf>
    <xf numFmtId="3" fontId="13" fillId="3" borderId="74" xfId="0" applyNumberFormat="1" applyFont="1" applyFill="1" applyBorder="1" applyAlignment="1">
      <alignment vertical="top" wrapText="1"/>
    </xf>
    <xf numFmtId="164" fontId="12" fillId="3" borderId="74" xfId="0" applyNumberFormat="1" applyFont="1" applyFill="1" applyBorder="1" applyAlignment="1">
      <alignment horizontal="center" vertical="top" wrapText="1"/>
    </xf>
    <xf numFmtId="165" fontId="12" fillId="3" borderId="74" xfId="0" applyNumberFormat="1" applyFont="1" applyFill="1" applyBorder="1" applyAlignment="1">
      <alignment horizontal="center" vertical="top" wrapText="1"/>
    </xf>
    <xf numFmtId="0" fontId="23" fillId="3" borderId="43" xfId="0" applyFont="1" applyFill="1" applyBorder="1" applyAlignment="1">
      <alignment vertical="top" wrapText="1"/>
    </xf>
    <xf numFmtId="0" fontId="23" fillId="3" borderId="43" xfId="0" applyFont="1" applyFill="1" applyBorder="1" applyAlignment="1">
      <alignment horizontal="center" vertical="top" wrapText="1"/>
    </xf>
    <xf numFmtId="0" fontId="23" fillId="3" borderId="75" xfId="0" applyFont="1" applyFill="1" applyBorder="1" applyAlignment="1">
      <alignment wrapText="1"/>
    </xf>
    <xf numFmtId="0" fontId="12" fillId="3" borderId="66" xfId="0" applyFont="1" applyFill="1" applyBorder="1" applyAlignment="1">
      <alignment horizontal="left" vertical="top" wrapText="1"/>
    </xf>
    <xf numFmtId="0" fontId="23" fillId="0" borderId="64" xfId="0" applyFont="1" applyBorder="1" applyAlignment="1">
      <alignment vertical="top" wrapText="1"/>
    </xf>
    <xf numFmtId="0" fontId="23" fillId="3" borderId="67" xfId="0" applyFont="1" applyFill="1" applyBorder="1" applyAlignment="1">
      <alignment horizontal="center" vertical="top" wrapText="1"/>
    </xf>
    <xf numFmtId="165" fontId="12" fillId="3" borderId="76" xfId="0" applyNumberFormat="1" applyFont="1" applyFill="1" applyBorder="1" applyAlignment="1">
      <alignment wrapText="1"/>
    </xf>
    <xf numFmtId="0" fontId="13" fillId="3" borderId="78" xfId="0" applyFont="1" applyFill="1" applyBorder="1" applyAlignment="1">
      <alignment vertical="top" wrapText="1"/>
    </xf>
    <xf numFmtId="165" fontId="23" fillId="3" borderId="74" xfId="0" applyNumberFormat="1" applyFont="1" applyFill="1" applyBorder="1" applyAlignment="1">
      <alignment horizontal="center" vertical="top" wrapText="1"/>
    </xf>
    <xf numFmtId="0" fontId="12" fillId="0" borderId="80" xfId="0" applyFont="1" applyBorder="1"/>
    <xf numFmtId="0" fontId="23" fillId="3" borderId="76" xfId="0" applyFont="1" applyFill="1" applyBorder="1" applyAlignment="1">
      <alignment horizontal="center" vertical="top" wrapText="1"/>
    </xf>
    <xf numFmtId="165" fontId="23" fillId="3" borderId="67" xfId="0" applyNumberFormat="1" applyFont="1" applyFill="1" applyBorder="1" applyAlignment="1">
      <alignment horizontal="center" vertical="top" wrapText="1"/>
    </xf>
    <xf numFmtId="1" fontId="23" fillId="3" borderId="64" xfId="0" applyNumberFormat="1" applyFont="1" applyFill="1" applyBorder="1" applyAlignment="1">
      <alignment vertical="top"/>
    </xf>
    <xf numFmtId="1" fontId="23" fillId="3" borderId="64" xfId="0" applyNumberFormat="1" applyFont="1" applyFill="1" applyBorder="1" applyAlignment="1">
      <alignment horizontal="center" vertical="top" wrapText="1"/>
    </xf>
    <xf numFmtId="1" fontId="23" fillId="3" borderId="65" xfId="0" applyNumberFormat="1" applyFont="1" applyFill="1" applyBorder="1" applyAlignment="1">
      <alignment horizontal="center" vertical="top" wrapText="1"/>
    </xf>
    <xf numFmtId="0" fontId="13" fillId="3" borderId="41" xfId="0" applyFont="1" applyFill="1" applyBorder="1" applyAlignment="1">
      <alignment vertical="top" wrapText="1"/>
    </xf>
    <xf numFmtId="0" fontId="12" fillId="0" borderId="64" xfId="0" applyFont="1" applyBorder="1" applyAlignment="1">
      <alignment horizontal="left" vertical="top" wrapText="1"/>
    </xf>
    <xf numFmtId="165" fontId="12" fillId="3" borderId="76" xfId="0" applyNumberFormat="1" applyFont="1" applyFill="1" applyBorder="1" applyAlignment="1">
      <alignment horizontal="center" vertical="top" wrapText="1"/>
    </xf>
    <xf numFmtId="0" fontId="13" fillId="9" borderId="82" xfId="0" applyFont="1" applyFill="1" applyBorder="1" applyAlignment="1">
      <alignment vertical="top" wrapText="1"/>
    </xf>
    <xf numFmtId="0" fontId="13" fillId="9" borderId="67" xfId="0" applyFont="1" applyFill="1" applyBorder="1" applyAlignment="1">
      <alignment vertical="top" wrapText="1"/>
    </xf>
    <xf numFmtId="0" fontId="12" fillId="9" borderId="64" xfId="0" applyFont="1" applyFill="1" applyBorder="1" applyAlignment="1">
      <alignment vertical="center" wrapText="1"/>
    </xf>
    <xf numFmtId="0" fontId="13" fillId="9" borderId="67" xfId="0" applyFont="1" applyFill="1" applyBorder="1" applyAlignment="1">
      <alignment horizontal="center" vertical="top" wrapText="1"/>
    </xf>
    <xf numFmtId="0" fontId="13" fillId="9" borderId="64" xfId="0" applyFont="1" applyFill="1" applyBorder="1" applyAlignment="1">
      <alignment horizontal="center" vertical="top" wrapText="1"/>
    </xf>
    <xf numFmtId="165" fontId="13" fillId="9" borderId="64" xfId="0" applyNumberFormat="1" applyFont="1" applyFill="1" applyBorder="1" applyAlignment="1">
      <alignment horizontal="center" vertical="top" wrapText="1"/>
    </xf>
    <xf numFmtId="1" fontId="13" fillId="9" borderId="64" xfId="0" applyNumberFormat="1" applyFont="1" applyFill="1" applyBorder="1" applyAlignment="1">
      <alignment vertical="top" wrapText="1"/>
    </xf>
    <xf numFmtId="2" fontId="13" fillId="9" borderId="67" xfId="0" applyNumberFormat="1" applyFont="1" applyFill="1" applyBorder="1" applyAlignment="1">
      <alignment horizontal="center" vertical="top" wrapText="1"/>
    </xf>
    <xf numFmtId="2" fontId="13" fillId="9" borderId="64" xfId="0" applyNumberFormat="1" applyFont="1" applyFill="1" applyBorder="1" applyAlignment="1">
      <alignment horizontal="center" vertical="top" wrapText="1"/>
    </xf>
    <xf numFmtId="1" fontId="13" fillId="9" borderId="73" xfId="0" applyNumberFormat="1" applyFont="1" applyFill="1" applyBorder="1" applyAlignment="1">
      <alignment vertical="top" wrapText="1"/>
    </xf>
    <xf numFmtId="0" fontId="12" fillId="3" borderId="39" xfId="0" applyFont="1" applyFill="1" applyBorder="1" applyAlignment="1">
      <alignment vertical="top" wrapText="1"/>
    </xf>
    <xf numFmtId="0" fontId="13" fillId="3" borderId="43" xfId="0" applyFont="1" applyFill="1" applyBorder="1" applyAlignment="1">
      <alignment vertical="top" wrapText="1"/>
    </xf>
    <xf numFmtId="1" fontId="23" fillId="3" borderId="43" xfId="0" applyNumberFormat="1" applyFont="1" applyFill="1" applyBorder="1" applyAlignment="1">
      <alignment horizontal="center" vertical="top" wrapText="1"/>
    </xf>
    <xf numFmtId="1" fontId="12" fillId="3" borderId="75" xfId="0" applyNumberFormat="1" applyFont="1" applyFill="1" applyBorder="1" applyAlignment="1">
      <alignment horizontal="center" vertical="top" wrapText="1"/>
    </xf>
    <xf numFmtId="0" fontId="12" fillId="3" borderId="66" xfId="0" applyFont="1" applyFill="1" applyBorder="1" applyAlignment="1">
      <alignment vertical="top" wrapText="1"/>
    </xf>
    <xf numFmtId="0" fontId="13" fillId="3" borderId="42" xfId="0" applyFont="1" applyFill="1" applyBorder="1" applyAlignment="1">
      <alignment vertical="top" wrapText="1"/>
    </xf>
    <xf numFmtId="165" fontId="12" fillId="3" borderId="40" xfId="0" applyNumberFormat="1" applyFont="1" applyFill="1" applyBorder="1" applyAlignment="1">
      <alignment horizontal="center" vertical="top" wrapText="1"/>
    </xf>
    <xf numFmtId="0" fontId="12" fillId="3" borderId="84" xfId="0" applyFont="1" applyFill="1" applyBorder="1" applyAlignment="1">
      <alignment vertical="top" wrapText="1"/>
    </xf>
    <xf numFmtId="0" fontId="12" fillId="0" borderId="62" xfId="0" applyFont="1" applyBorder="1" applyAlignment="1">
      <alignment horizontal="center" vertical="top"/>
    </xf>
    <xf numFmtId="0" fontId="12" fillId="3" borderId="62" xfId="0" applyFont="1" applyFill="1" applyBorder="1" applyAlignment="1">
      <alignment horizontal="center" vertical="top" indent="1"/>
    </xf>
    <xf numFmtId="165" fontId="12" fillId="0" borderId="76" xfId="0" applyNumberFormat="1" applyFont="1" applyBorder="1" applyAlignment="1">
      <alignment horizontal="center" vertical="top" wrapText="1"/>
    </xf>
    <xf numFmtId="165" fontId="12" fillId="0" borderId="67" xfId="0" applyNumberFormat="1" applyFont="1" applyBorder="1" applyAlignment="1">
      <alignment horizontal="center" vertical="top" wrapText="1"/>
    </xf>
    <xf numFmtId="0" fontId="23" fillId="3" borderId="86" xfId="0" applyFont="1" applyFill="1" applyBorder="1" applyAlignment="1">
      <alignment vertical="top" wrapText="1"/>
    </xf>
    <xf numFmtId="1" fontId="23" fillId="3" borderId="76" xfId="0" applyNumberFormat="1" applyFont="1" applyFill="1" applyBorder="1" applyAlignment="1">
      <alignment horizontal="center" vertical="top" wrapText="1"/>
    </xf>
    <xf numFmtId="1" fontId="12" fillId="3" borderId="87" xfId="0" applyNumberFormat="1" applyFont="1" applyFill="1" applyBorder="1" applyAlignment="1">
      <alignment horizontal="center" vertical="top" wrapText="1"/>
    </xf>
    <xf numFmtId="0" fontId="13" fillId="0" borderId="3" xfId="0" applyFont="1" applyBorder="1" applyAlignment="1">
      <alignment vertical="top" wrapText="1"/>
    </xf>
    <xf numFmtId="0" fontId="13" fillId="0" borderId="74" xfId="0" applyFont="1" applyBorder="1" applyAlignment="1">
      <alignment vertical="top" wrapText="1"/>
    </xf>
    <xf numFmtId="0" fontId="12" fillId="0" borderId="64" xfId="0" applyFont="1" applyBorder="1" applyAlignment="1">
      <alignment vertical="top" wrapText="1"/>
    </xf>
    <xf numFmtId="1" fontId="12" fillId="3" borderId="74" xfId="0" applyNumberFormat="1" applyFont="1" applyFill="1" applyBorder="1" applyAlignment="1">
      <alignment horizontal="left" vertical="top" wrapText="1"/>
    </xf>
    <xf numFmtId="1" fontId="12" fillId="0" borderId="74" xfId="0" applyNumberFormat="1" applyFont="1" applyBorder="1" applyAlignment="1">
      <alignment horizontal="center" vertical="top" wrapText="1"/>
    </xf>
    <xf numFmtId="165" fontId="23" fillId="3" borderId="64" xfId="0" applyNumberFormat="1" applyFont="1" applyFill="1" applyBorder="1" applyAlignment="1">
      <alignment horizontal="center" vertical="top" wrapText="1"/>
    </xf>
    <xf numFmtId="1" fontId="23" fillId="3" borderId="67" xfId="0" applyNumberFormat="1" applyFont="1" applyFill="1" applyBorder="1" applyAlignment="1">
      <alignment horizontal="center" vertical="top" wrapText="1"/>
    </xf>
    <xf numFmtId="1" fontId="12" fillId="0" borderId="64" xfId="0" applyNumberFormat="1" applyFont="1" applyBorder="1" applyAlignment="1">
      <alignment horizontal="center" vertical="top" wrapText="1"/>
    </xf>
    <xf numFmtId="1" fontId="12" fillId="3" borderId="64" xfId="0" applyNumberFormat="1" applyFont="1" applyFill="1" applyBorder="1" applyAlignment="1">
      <alignment horizontal="left" vertical="top" wrapText="1"/>
    </xf>
    <xf numFmtId="1" fontId="12" fillId="0" borderId="65" xfId="0" applyNumberFormat="1" applyFont="1" applyBorder="1" applyAlignment="1">
      <alignment horizontal="center" vertical="top" wrapText="1"/>
    </xf>
    <xf numFmtId="1" fontId="12" fillId="3" borderId="64" xfId="0" applyNumberFormat="1" applyFont="1" applyFill="1" applyBorder="1" applyAlignment="1">
      <alignment vertical="top" wrapText="1"/>
    </xf>
    <xf numFmtId="1" fontId="12" fillId="7" borderId="64" xfId="0" applyNumberFormat="1" applyFont="1" applyFill="1" applyBorder="1" applyAlignment="1">
      <alignment vertical="top" wrapText="1"/>
    </xf>
    <xf numFmtId="0" fontId="12" fillId="0" borderId="67" xfId="0" applyFont="1" applyBorder="1" applyAlignment="1">
      <alignment horizontal="center" vertical="top" wrapText="1"/>
    </xf>
    <xf numFmtId="0" fontId="12" fillId="7" borderId="64" xfId="0" applyFont="1" applyFill="1" applyBorder="1" applyAlignment="1">
      <alignment vertical="top" wrapText="1"/>
    </xf>
    <xf numFmtId="0" fontId="23" fillId="7" borderId="3" xfId="0" applyFont="1" applyFill="1" applyBorder="1" applyAlignment="1">
      <alignment horizontal="center" vertical="top" wrapText="1"/>
    </xf>
    <xf numFmtId="0" fontId="12" fillId="0" borderId="40" xfId="0" applyFont="1" applyBorder="1" applyAlignment="1">
      <alignment horizontal="center" vertical="top" wrapText="1"/>
    </xf>
    <xf numFmtId="1" fontId="12" fillId="3" borderId="74" xfId="0" applyNumberFormat="1" applyFont="1" applyFill="1" applyBorder="1" applyAlignment="1">
      <alignment vertical="top" wrapText="1"/>
    </xf>
    <xf numFmtId="1" fontId="12" fillId="3" borderId="3" xfId="1" applyNumberFormat="1" applyFont="1" applyFill="1" applyBorder="1" applyAlignment="1">
      <alignment horizontal="left" vertical="top" wrapText="1"/>
    </xf>
    <xf numFmtId="0" fontId="23" fillId="7" borderId="7" xfId="0" applyFont="1" applyFill="1" applyBorder="1" applyAlignment="1">
      <alignment horizontal="center" vertical="top" wrapText="1"/>
    </xf>
    <xf numFmtId="1" fontId="23" fillId="3" borderId="53" xfId="0" applyNumberFormat="1" applyFont="1" applyFill="1" applyBorder="1" applyAlignment="1">
      <alignment vertical="top" wrapText="1"/>
    </xf>
    <xf numFmtId="165" fontId="12" fillId="3" borderId="43" xfId="0" applyNumberFormat="1" applyFont="1" applyFill="1" applyBorder="1" applyAlignment="1">
      <alignment horizontal="center" vertical="top" wrapText="1"/>
    </xf>
    <xf numFmtId="0" fontId="23" fillId="7" borderId="74" xfId="0" applyFont="1" applyFill="1" applyBorder="1" applyAlignment="1">
      <alignment horizontal="center" vertical="top" wrapText="1"/>
    </xf>
    <xf numFmtId="1" fontId="23" fillId="3" borderId="44" xfId="0" applyNumberFormat="1" applyFont="1" applyFill="1" applyBorder="1" applyAlignment="1">
      <alignment horizontal="center" vertical="top"/>
    </xf>
    <xf numFmtId="0" fontId="12" fillId="0" borderId="91" xfId="0" applyFont="1" applyBorder="1" applyAlignment="1">
      <alignment vertical="top" wrapText="1"/>
    </xf>
    <xf numFmtId="0" fontId="12" fillId="0" borderId="82" xfId="0" applyFont="1" applyBorder="1" applyAlignment="1">
      <alignment horizontal="left" vertical="top" wrapText="1"/>
    </xf>
    <xf numFmtId="0" fontId="12" fillId="3" borderId="64" xfId="0" applyFont="1" applyFill="1" applyBorder="1" applyAlignment="1">
      <alignment horizontal="center" vertical="top" wrapText="1"/>
    </xf>
    <xf numFmtId="0" fontId="12" fillId="7" borderId="64" xfId="0" applyFont="1" applyFill="1" applyBorder="1" applyAlignment="1">
      <alignment horizontal="center" vertical="top" wrapText="1"/>
    </xf>
    <xf numFmtId="0" fontId="12" fillId="7" borderId="86" xfId="0" applyFont="1" applyFill="1" applyBorder="1" applyAlignment="1">
      <alignment horizontal="center" vertical="top" wrapText="1"/>
    </xf>
    <xf numFmtId="1" fontId="23" fillId="3" borderId="7" xfId="0" applyNumberFormat="1" applyFont="1" applyFill="1" applyBorder="1" applyAlignment="1">
      <alignment vertical="top" wrapText="1"/>
    </xf>
    <xf numFmtId="165" fontId="30" fillId="0" borderId="64" xfId="0" applyNumberFormat="1" applyFont="1" applyBorder="1"/>
    <xf numFmtId="0" fontId="30" fillId="0" borderId="65" xfId="0" applyFont="1" applyBorder="1"/>
    <xf numFmtId="3" fontId="12" fillId="3" borderId="64" xfId="0" applyNumberFormat="1" applyFont="1" applyFill="1" applyBorder="1" applyAlignment="1">
      <alignment horizontal="center" vertical="top" wrapText="1"/>
    </xf>
    <xf numFmtId="0" fontId="23" fillId="3" borderId="64" xfId="0" applyFont="1" applyFill="1" applyBorder="1" applyAlignment="1">
      <alignment horizontal="center" vertical="top" wrapText="1"/>
    </xf>
    <xf numFmtId="0" fontId="12" fillId="3" borderId="86" xfId="0" applyFont="1" applyFill="1" applyBorder="1" applyAlignment="1">
      <alignment horizontal="center" vertical="top" wrapText="1"/>
    </xf>
    <xf numFmtId="1" fontId="12" fillId="3" borderId="65" xfId="0" applyNumberFormat="1" applyFont="1" applyFill="1" applyBorder="1" applyAlignment="1">
      <alignment horizontal="center" vertical="top" wrapText="1"/>
    </xf>
    <xf numFmtId="1" fontId="12" fillId="0" borderId="44" xfId="0" applyNumberFormat="1" applyFont="1" applyBorder="1" applyAlignment="1">
      <alignment horizontal="center" vertical="top" wrapText="1"/>
    </xf>
    <xf numFmtId="1" fontId="23" fillId="3" borderId="64" xfId="0" applyNumberFormat="1" applyFont="1" applyFill="1" applyBorder="1" applyAlignment="1">
      <alignment vertical="top" wrapText="1"/>
    </xf>
    <xf numFmtId="165" fontId="23" fillId="0" borderId="67" xfId="0" applyNumberFormat="1" applyFont="1" applyBorder="1" applyAlignment="1">
      <alignment horizontal="center" vertical="top" wrapText="1"/>
    </xf>
    <xf numFmtId="0" fontId="23" fillId="7" borderId="64" xfId="0" applyFont="1" applyFill="1" applyBorder="1" applyAlignment="1">
      <alignment horizontal="center" vertical="top" wrapText="1"/>
    </xf>
    <xf numFmtId="1" fontId="21" fillId="3" borderId="64" xfId="0" applyNumberFormat="1" applyFont="1" applyFill="1" applyBorder="1" applyAlignment="1">
      <alignment horizontal="center" vertical="top" wrapText="1"/>
    </xf>
    <xf numFmtId="1" fontId="23" fillId="3" borderId="3" xfId="0" applyNumberFormat="1" applyFont="1" applyFill="1" applyBorder="1" applyAlignment="1">
      <alignment horizontal="left" vertical="top" wrapText="1"/>
    </xf>
    <xf numFmtId="0" fontId="12" fillId="0" borderId="53" xfId="0" applyFont="1" applyBorder="1"/>
    <xf numFmtId="0" fontId="12" fillId="3" borderId="92" xfId="0" applyFont="1" applyFill="1" applyBorder="1" applyAlignment="1">
      <alignment vertical="top" wrapText="1"/>
    </xf>
    <xf numFmtId="1" fontId="23" fillId="3" borderId="64" xfId="0" applyNumberFormat="1" applyFont="1" applyFill="1" applyBorder="1" applyAlignment="1">
      <alignment horizontal="left" vertical="top" wrapText="1"/>
    </xf>
    <xf numFmtId="0" fontId="13" fillId="3" borderId="93" xfId="0" applyFont="1" applyFill="1" applyBorder="1" applyAlignment="1">
      <alignment vertical="top" wrapText="1"/>
    </xf>
    <xf numFmtId="165" fontId="12" fillId="3" borderId="78" xfId="0" applyNumberFormat="1" applyFont="1" applyFill="1" applyBorder="1" applyAlignment="1">
      <alignment horizontal="center" vertical="top" wrapText="1"/>
    </xf>
    <xf numFmtId="1" fontId="23" fillId="3" borderId="74" xfId="0" applyNumberFormat="1" applyFont="1" applyFill="1" applyBorder="1" applyAlignment="1">
      <alignment horizontal="left" vertical="top" wrapText="1"/>
    </xf>
    <xf numFmtId="1" fontId="12" fillId="3" borderId="74" xfId="0" applyNumberFormat="1" applyFont="1" applyFill="1" applyBorder="1" applyAlignment="1">
      <alignment horizontal="center" vertical="top" wrapText="1"/>
    </xf>
    <xf numFmtId="1" fontId="33" fillId="3" borderId="74" xfId="0" applyNumberFormat="1" applyFont="1" applyFill="1" applyBorder="1" applyAlignment="1">
      <alignment horizontal="center" vertical="top" wrapText="1"/>
    </xf>
    <xf numFmtId="0" fontId="12" fillId="0" borderId="44" xfId="0" applyFont="1" applyBorder="1"/>
    <xf numFmtId="165" fontId="12" fillId="3" borderId="85" xfId="0" applyNumberFormat="1" applyFont="1" applyFill="1" applyBorder="1" applyAlignment="1">
      <alignment horizontal="center" vertical="top" wrapText="1"/>
    </xf>
    <xf numFmtId="165" fontId="23" fillId="3" borderId="85" xfId="0" applyNumberFormat="1" applyFont="1" applyFill="1" applyBorder="1" applyAlignment="1">
      <alignment horizontal="center" vertical="top" wrapText="1"/>
    </xf>
    <xf numFmtId="1" fontId="12" fillId="3" borderId="64" xfId="0" applyNumberFormat="1" applyFont="1" applyFill="1" applyBorder="1" applyAlignment="1">
      <alignment horizontal="center" vertical="top" wrapText="1"/>
    </xf>
    <xf numFmtId="0" fontId="13" fillId="3" borderId="95" xfId="0" applyFont="1" applyFill="1" applyBorder="1" applyAlignment="1">
      <alignment vertical="top" wrapText="1"/>
    </xf>
    <xf numFmtId="165" fontId="12" fillId="0" borderId="78" xfId="0" applyNumberFormat="1" applyFont="1" applyBorder="1" applyAlignment="1">
      <alignment horizontal="center" vertical="top" wrapText="1"/>
    </xf>
    <xf numFmtId="0" fontId="7" fillId="3" borderId="83" xfId="0" applyFont="1" applyFill="1" applyBorder="1" applyAlignment="1">
      <alignment vertical="top" wrapText="1"/>
    </xf>
    <xf numFmtId="1" fontId="12" fillId="3" borderId="44" xfId="0" applyNumberFormat="1" applyFont="1" applyFill="1" applyBorder="1" applyAlignment="1">
      <alignment horizontal="center" vertical="top" wrapText="1"/>
    </xf>
    <xf numFmtId="0" fontId="7" fillId="3" borderId="64" xfId="0" applyFont="1" applyFill="1" applyBorder="1" applyAlignment="1">
      <alignment vertical="top" wrapText="1"/>
    </xf>
    <xf numFmtId="0" fontId="12" fillId="3" borderId="66" xfId="0" applyFont="1" applyFill="1" applyBorder="1" applyAlignment="1">
      <alignment horizontal="center" vertical="center" wrapText="1"/>
    </xf>
    <xf numFmtId="0" fontId="13" fillId="3" borderId="64" xfId="0" applyFont="1" applyFill="1" applyBorder="1" applyAlignment="1">
      <alignment vertical="top" wrapText="1"/>
    </xf>
    <xf numFmtId="164" fontId="13" fillId="0" borderId="64" xfId="0" applyNumberFormat="1" applyFont="1" applyBorder="1" applyAlignment="1">
      <alignment horizontal="center" vertical="top" wrapText="1"/>
    </xf>
    <xf numFmtId="0" fontId="13" fillId="3" borderId="25" xfId="0" applyFont="1" applyFill="1" applyBorder="1" applyAlignment="1">
      <alignment horizontal="center" vertical="top" wrapText="1"/>
    </xf>
    <xf numFmtId="0" fontId="12" fillId="5" borderId="69" xfId="0" applyFont="1" applyFill="1" applyBorder="1" applyAlignment="1">
      <alignment vertical="center" wrapText="1"/>
    </xf>
    <xf numFmtId="164" fontId="13" fillId="5" borderId="69" xfId="0" applyNumberFormat="1" applyFont="1" applyFill="1" applyBorder="1" applyAlignment="1">
      <alignment horizontal="center" vertical="top" wrapText="1"/>
    </xf>
    <xf numFmtId="0" fontId="13" fillId="3" borderId="95" xfId="0" applyFont="1" applyFill="1" applyBorder="1" applyAlignment="1">
      <alignment horizontal="left" vertical="top" wrapText="1"/>
    </xf>
    <xf numFmtId="0" fontId="12" fillId="3" borderId="100" xfId="0" applyFont="1" applyFill="1" applyBorder="1" applyAlignment="1">
      <alignment vertical="top" wrapText="1"/>
    </xf>
    <xf numFmtId="0" fontId="13" fillId="3" borderId="79" xfId="0" applyFont="1" applyFill="1" applyBorder="1" applyAlignment="1">
      <alignment horizontal="left" vertical="top" wrapText="1"/>
    </xf>
    <xf numFmtId="0" fontId="12" fillId="3" borderId="86" xfId="0" applyFont="1" applyFill="1" applyBorder="1" applyAlignment="1">
      <alignment vertical="top" wrapText="1"/>
    </xf>
    <xf numFmtId="165" fontId="23" fillId="3" borderId="74" xfId="0" applyNumberFormat="1" applyFont="1" applyFill="1" applyBorder="1" applyAlignment="1">
      <alignment horizontal="center" vertical="center" wrapText="1"/>
    </xf>
    <xf numFmtId="0" fontId="12" fillId="3" borderId="74" xfId="0" applyFont="1" applyFill="1" applyBorder="1" applyAlignment="1">
      <alignment horizontal="center" vertical="top" wrapText="1"/>
    </xf>
    <xf numFmtId="2" fontId="23" fillId="3" borderId="74" xfId="0" applyNumberFormat="1" applyFont="1" applyFill="1" applyBorder="1" applyAlignment="1">
      <alignment horizontal="center" vertical="top" wrapText="1"/>
    </xf>
    <xf numFmtId="164" fontId="13" fillId="6" borderId="3" xfId="0" applyNumberFormat="1" applyFont="1" applyFill="1" applyBorder="1" applyAlignment="1">
      <alignment horizontal="center" vertical="top" wrapText="1"/>
    </xf>
    <xf numFmtId="1" fontId="7" fillId="3" borderId="74" xfId="0" applyNumberFormat="1" applyFont="1" applyFill="1" applyBorder="1" applyAlignment="1">
      <alignment vertical="top" wrapText="1"/>
    </xf>
    <xf numFmtId="164" fontId="7" fillId="3" borderId="64" xfId="0" applyNumberFormat="1" applyFont="1" applyFill="1" applyBorder="1" applyAlignment="1">
      <alignment vertical="top" wrapText="1"/>
    </xf>
    <xf numFmtId="49" fontId="24" fillId="3" borderId="64" xfId="0" applyNumberFormat="1" applyFont="1" applyFill="1" applyBorder="1" applyAlignment="1">
      <alignment horizontal="center" vertical="top" wrapText="1"/>
    </xf>
    <xf numFmtId="49" fontId="7" fillId="3" borderId="64" xfId="0" applyNumberFormat="1" applyFont="1" applyFill="1" applyBorder="1" applyAlignment="1">
      <alignment horizontal="center" vertical="top" wrapText="1"/>
    </xf>
    <xf numFmtId="0" fontId="5" fillId="0" borderId="65" xfId="0" applyFont="1" applyBorder="1" applyAlignment="1">
      <alignment horizontal="center" vertical="top" wrapText="1"/>
    </xf>
    <xf numFmtId="0" fontId="12" fillId="6" borderId="102" xfId="0" applyFont="1" applyFill="1" applyBorder="1" applyAlignment="1">
      <alignment horizontal="justify" vertical="center" wrapText="1"/>
    </xf>
    <xf numFmtId="0" fontId="13" fillId="6" borderId="43" xfId="0" applyFont="1" applyFill="1" applyBorder="1" applyAlignment="1">
      <alignment vertical="top" wrapText="1"/>
    </xf>
    <xf numFmtId="0" fontId="12" fillId="6" borderId="74" xfId="0" applyFont="1" applyFill="1" applyBorder="1" applyAlignment="1">
      <alignment vertical="center" wrapText="1"/>
    </xf>
    <xf numFmtId="164" fontId="13" fillId="6" borderId="74" xfId="0" applyNumberFormat="1" applyFont="1" applyFill="1" applyBorder="1" applyAlignment="1">
      <alignment horizontal="center" vertical="top" wrapText="1"/>
    </xf>
    <xf numFmtId="0" fontId="13" fillId="6" borderId="103" xfId="0" applyFont="1" applyFill="1" applyBorder="1" applyAlignment="1">
      <alignment horizontal="center" vertical="top" wrapText="1"/>
    </xf>
    <xf numFmtId="0" fontId="13" fillId="6" borderId="104" xfId="0" applyFont="1" applyFill="1" applyBorder="1" applyAlignment="1">
      <alignment horizontal="center" vertical="top" wrapText="1"/>
    </xf>
    <xf numFmtId="0" fontId="13" fillId="6" borderId="105" xfId="0" applyFont="1" applyFill="1" applyBorder="1" applyAlignment="1">
      <alignment horizontal="center" vertical="top" wrapText="1"/>
    </xf>
    <xf numFmtId="0" fontId="12" fillId="3" borderId="90" xfId="0" applyFont="1" applyFill="1" applyBorder="1" applyAlignment="1">
      <alignment horizontal="center" vertical="center" wrapText="1"/>
    </xf>
    <xf numFmtId="0" fontId="13" fillId="0" borderId="64" xfId="0" applyFont="1" applyBorder="1" applyAlignment="1">
      <alignment vertical="top" wrapText="1"/>
    </xf>
    <xf numFmtId="0" fontId="13" fillId="0" borderId="64" xfId="0" applyFont="1" applyBorder="1" applyAlignment="1">
      <alignment vertical="center" wrapText="1"/>
    </xf>
    <xf numFmtId="0" fontId="13" fillId="4" borderId="99" xfId="0" applyFont="1" applyFill="1" applyBorder="1" applyAlignment="1">
      <alignment vertical="top" wrapText="1"/>
    </xf>
    <xf numFmtId="0" fontId="13" fillId="4" borderId="101" xfId="0" applyFont="1" applyFill="1" applyBorder="1" applyAlignment="1">
      <alignment vertical="top" wrapText="1"/>
    </xf>
    <xf numFmtId="164" fontId="13" fillId="4" borderId="69" xfId="0" applyNumberFormat="1" applyFont="1" applyFill="1" applyBorder="1" applyAlignment="1">
      <alignment horizontal="center" vertical="top" wrapText="1"/>
    </xf>
    <xf numFmtId="0" fontId="13" fillId="9" borderId="99" xfId="0" applyFont="1" applyFill="1" applyBorder="1" applyAlignment="1">
      <alignment vertical="top" wrapText="1"/>
    </xf>
    <xf numFmtId="0" fontId="13" fillId="9" borderId="101" xfId="0" applyFont="1" applyFill="1" applyBorder="1" applyAlignment="1">
      <alignment vertical="top" wrapText="1"/>
    </xf>
    <xf numFmtId="164" fontId="13" fillId="9" borderId="69" xfId="0" applyNumberFormat="1" applyFont="1" applyFill="1" applyBorder="1" applyAlignment="1">
      <alignment horizontal="center" vertical="top" wrapText="1"/>
    </xf>
    <xf numFmtId="0" fontId="34" fillId="9" borderId="106" xfId="0" applyFont="1" applyFill="1" applyBorder="1" applyAlignment="1">
      <alignment horizontal="center" vertical="top"/>
    </xf>
    <xf numFmtId="0" fontId="35" fillId="9" borderId="106" xfId="0" applyFont="1" applyFill="1" applyBorder="1" applyAlignment="1">
      <alignment horizontal="center" vertical="top"/>
    </xf>
    <xf numFmtId="1" fontId="12" fillId="9" borderId="107" xfId="0" applyNumberFormat="1" applyFont="1" applyFill="1" applyBorder="1" applyAlignment="1">
      <alignment horizontal="center" vertical="top" wrapText="1"/>
    </xf>
    <xf numFmtId="0" fontId="13" fillId="5" borderId="99" xfId="0" applyFont="1" applyFill="1" applyBorder="1" applyAlignment="1">
      <alignment horizontal="justify" vertical="top" wrapText="1"/>
    </xf>
    <xf numFmtId="0" fontId="13" fillId="5" borderId="101" xfId="0" applyFont="1" applyFill="1" applyBorder="1" applyAlignment="1">
      <alignment vertical="top" wrapText="1"/>
    </xf>
    <xf numFmtId="0" fontId="13" fillId="3" borderId="74" xfId="0" applyFont="1" applyFill="1" applyBorder="1" applyAlignment="1">
      <alignment horizontal="left" vertical="top" wrapText="1"/>
    </xf>
    <xf numFmtId="0" fontId="12" fillId="3" borderId="89" xfId="0" applyFont="1" applyFill="1" applyBorder="1" applyAlignment="1">
      <alignment vertical="top" wrapText="1"/>
    </xf>
    <xf numFmtId="0" fontId="13" fillId="3" borderId="93" xfId="0" applyFont="1" applyFill="1" applyBorder="1" applyAlignment="1">
      <alignment horizontal="left" vertical="top" wrapText="1"/>
    </xf>
    <xf numFmtId="0" fontId="12" fillId="3" borderId="90" xfId="0" applyFont="1" applyFill="1" applyBorder="1" applyAlignment="1">
      <alignment vertical="top" wrapText="1"/>
    </xf>
    <xf numFmtId="0" fontId="12" fillId="3" borderId="108" xfId="0" applyFont="1" applyFill="1" applyBorder="1" applyAlignment="1">
      <alignment vertical="top" wrapText="1"/>
    </xf>
    <xf numFmtId="165" fontId="13" fillId="0" borderId="74" xfId="0" applyNumberFormat="1" applyFont="1" applyBorder="1" applyAlignment="1">
      <alignment horizontal="center" vertical="top" wrapText="1"/>
    </xf>
    <xf numFmtId="1" fontId="12" fillId="3" borderId="73" xfId="0" applyNumberFormat="1" applyFont="1" applyFill="1" applyBorder="1" applyAlignment="1">
      <alignment horizontal="center" vertical="top" wrapText="1"/>
    </xf>
    <xf numFmtId="1" fontId="23" fillId="0" borderId="67" xfId="0" applyNumberFormat="1" applyFont="1" applyBorder="1" applyAlignment="1">
      <alignment horizontal="center" vertical="top" wrapText="1"/>
    </xf>
    <xf numFmtId="1" fontId="21" fillId="0" borderId="67" xfId="0" applyNumberFormat="1" applyFont="1" applyBorder="1" applyAlignment="1">
      <alignment horizontal="center" vertical="top" wrapText="1"/>
    </xf>
    <xf numFmtId="1" fontId="12" fillId="0" borderId="73" xfId="0" applyNumberFormat="1" applyFont="1" applyBorder="1" applyAlignment="1">
      <alignment horizontal="center" vertical="top" wrapText="1"/>
    </xf>
    <xf numFmtId="164" fontId="13" fillId="6" borderId="7" xfId="0" applyNumberFormat="1" applyFont="1" applyFill="1" applyBorder="1" applyAlignment="1">
      <alignment horizontal="center" vertical="top" wrapText="1"/>
    </xf>
    <xf numFmtId="0" fontId="23" fillId="0" borderId="64" xfId="0" applyFont="1" applyBorder="1" applyAlignment="1">
      <alignment vertical="top"/>
    </xf>
    <xf numFmtId="165" fontId="12" fillId="0" borderId="64" xfId="0" applyNumberFormat="1" applyFont="1" applyBorder="1"/>
    <xf numFmtId="0" fontId="28" fillId="0" borderId="65" xfId="0" applyFont="1" applyBorder="1" applyAlignment="1">
      <alignment vertical="center"/>
    </xf>
    <xf numFmtId="0" fontId="12" fillId="0" borderId="3" xfId="0" applyFont="1" applyBorder="1"/>
    <xf numFmtId="0" fontId="12" fillId="6" borderId="99" xfId="0" applyFont="1" applyFill="1" applyBorder="1" applyAlignment="1">
      <alignment horizontal="justify" vertical="center" wrapText="1"/>
    </xf>
    <xf numFmtId="0" fontId="13" fillId="6" borderId="111" xfId="0" applyFont="1" applyFill="1" applyBorder="1" applyAlignment="1">
      <alignment vertical="top" wrapText="1"/>
    </xf>
    <xf numFmtId="0" fontId="12" fillId="6" borderId="69" xfId="0" applyFont="1" applyFill="1" applyBorder="1" applyAlignment="1">
      <alignment vertical="top" wrapText="1"/>
    </xf>
    <xf numFmtId="164" fontId="13" fillId="6" borderId="101" xfId="0" applyNumberFormat="1" applyFont="1" applyFill="1" applyBorder="1" applyAlignment="1">
      <alignment horizontal="center" vertical="top" wrapText="1"/>
    </xf>
    <xf numFmtId="165" fontId="13" fillId="6" borderId="101" xfId="0" applyNumberFormat="1" applyFont="1" applyFill="1" applyBorder="1" applyAlignment="1">
      <alignment horizontal="center" vertical="top" wrapText="1"/>
    </xf>
    <xf numFmtId="0" fontId="12" fillId="6" borderId="69" xfId="0" applyFont="1" applyFill="1" applyBorder="1" applyAlignment="1">
      <alignment vertical="center" wrapText="1"/>
    </xf>
    <xf numFmtId="0" fontId="12" fillId="6" borderId="70" xfId="0" applyFont="1" applyFill="1" applyBorder="1" applyAlignment="1">
      <alignment vertical="center" wrapText="1"/>
    </xf>
    <xf numFmtId="0" fontId="13" fillId="3" borderId="86" xfId="0" applyFont="1" applyFill="1" applyBorder="1" applyAlignment="1">
      <alignment vertical="top" wrapText="1"/>
    </xf>
    <xf numFmtId="164" fontId="13" fillId="0" borderId="86" xfId="0" applyNumberFormat="1" applyFont="1" applyBorder="1" applyAlignment="1">
      <alignment horizontal="center" vertical="top" wrapText="1"/>
    </xf>
    <xf numFmtId="0" fontId="12" fillId="9" borderId="3" xfId="0" applyFont="1" applyFill="1" applyBorder="1" applyAlignment="1">
      <alignment vertical="top" wrapText="1"/>
    </xf>
    <xf numFmtId="164" fontId="12" fillId="9" borderId="3" xfId="0" applyNumberFormat="1" applyFont="1" applyFill="1" applyBorder="1" applyAlignment="1">
      <alignment horizontal="center" vertical="top" wrapText="1"/>
    </xf>
    <xf numFmtId="165" fontId="12" fillId="9" borderId="3" xfId="0" applyNumberFormat="1" applyFont="1" applyFill="1" applyBorder="1" applyAlignment="1">
      <alignment horizontal="center" vertical="top" wrapText="1"/>
    </xf>
    <xf numFmtId="0" fontId="13" fillId="4" borderId="111" xfId="0" applyFont="1" applyFill="1" applyBorder="1" applyAlignment="1">
      <alignment vertical="top" wrapText="1"/>
    </xf>
    <xf numFmtId="0" fontId="12" fillId="4" borderId="69" xfId="0" applyFont="1" applyFill="1" applyBorder="1" applyAlignment="1">
      <alignment vertical="top" wrapText="1"/>
    </xf>
    <xf numFmtId="164" fontId="12" fillId="4" borderId="69" xfId="0" applyNumberFormat="1" applyFont="1" applyFill="1" applyBorder="1" applyAlignment="1">
      <alignment horizontal="center" vertical="top" wrapText="1"/>
    </xf>
    <xf numFmtId="165" fontId="12" fillId="4" borderId="69" xfId="0" applyNumberFormat="1" applyFont="1" applyFill="1" applyBorder="1" applyAlignment="1">
      <alignment horizontal="center" vertical="top" wrapText="1"/>
    </xf>
    <xf numFmtId="165" fontId="12" fillId="4" borderId="70" xfId="0" applyNumberFormat="1" applyFont="1" applyFill="1" applyBorder="1" applyAlignment="1">
      <alignment horizontal="center" vertical="top" wrapText="1"/>
    </xf>
    <xf numFmtId="0" fontId="13" fillId="9" borderId="64" xfId="0" applyFont="1" applyFill="1" applyBorder="1" applyAlignment="1">
      <alignment vertical="top" wrapText="1"/>
    </xf>
    <xf numFmtId="0" fontId="12" fillId="9" borderId="64" xfId="0" applyFont="1" applyFill="1" applyBorder="1" applyAlignment="1">
      <alignment vertical="top" wrapText="1"/>
    </xf>
    <xf numFmtId="164" fontId="12" fillId="9" borderId="64" xfId="0" applyNumberFormat="1" applyFont="1" applyFill="1" applyBorder="1" applyAlignment="1">
      <alignment horizontal="center" vertical="top" wrapText="1"/>
    </xf>
    <xf numFmtId="165" fontId="12" fillId="9" borderId="64" xfId="0" applyNumberFormat="1" applyFont="1" applyFill="1" applyBorder="1" applyAlignment="1">
      <alignment horizontal="center" vertical="top" wrapText="1"/>
    </xf>
    <xf numFmtId="2" fontId="13" fillId="10" borderId="64" xfId="0" applyNumberFormat="1" applyFont="1" applyFill="1" applyBorder="1" applyAlignment="1">
      <alignment horizontal="center" vertical="top" wrapText="1"/>
    </xf>
    <xf numFmtId="1" fontId="12" fillId="9" borderId="65" xfId="0" applyNumberFormat="1" applyFont="1" applyFill="1" applyBorder="1" applyAlignment="1">
      <alignment horizontal="center" vertical="top" wrapText="1"/>
    </xf>
    <xf numFmtId="164" fontId="12" fillId="0" borderId="7" xfId="0" applyNumberFormat="1" applyFont="1" applyBorder="1" applyAlignment="1">
      <alignment horizontal="center" vertical="top" wrapText="1"/>
    </xf>
    <xf numFmtId="164" fontId="12" fillId="0" borderId="3" xfId="0" applyNumberFormat="1" applyFont="1" applyBorder="1" applyAlignment="1">
      <alignment horizontal="center" vertical="top" wrapText="1"/>
    </xf>
    <xf numFmtId="0" fontId="5" fillId="3" borderId="17" xfId="0" applyFont="1" applyFill="1" applyBorder="1" applyAlignment="1">
      <alignment vertical="top" wrapText="1"/>
    </xf>
    <xf numFmtId="3" fontId="13" fillId="3" borderId="79" xfId="0" applyNumberFormat="1" applyFont="1" applyFill="1" applyBorder="1" applyAlignment="1">
      <alignment vertical="top" wrapText="1"/>
    </xf>
    <xf numFmtId="164" fontId="12" fillId="3" borderId="76" xfId="0" applyNumberFormat="1" applyFont="1" applyFill="1" applyBorder="1" applyAlignment="1">
      <alignment horizontal="center" vertical="top" wrapText="1"/>
    </xf>
    <xf numFmtId="0" fontId="5" fillId="3" borderId="62" xfId="0" applyFont="1" applyFill="1" applyBorder="1" applyAlignment="1">
      <alignment vertical="top" wrapText="1"/>
    </xf>
    <xf numFmtId="1" fontId="7" fillId="3" borderId="67" xfId="0" applyNumberFormat="1" applyFont="1" applyFill="1" applyBorder="1" applyAlignment="1">
      <alignment horizontal="center" vertical="top" wrapText="1"/>
    </xf>
    <xf numFmtId="0" fontId="13" fillId="0" borderId="74" xfId="0" applyFont="1" applyBorder="1" applyAlignment="1">
      <alignment horizontal="left" vertical="top" wrapText="1"/>
    </xf>
    <xf numFmtId="0" fontId="12" fillId="6" borderId="45" xfId="0" applyFont="1" applyFill="1" applyBorder="1" applyAlignment="1">
      <alignment horizontal="justify" vertical="center" wrapText="1"/>
    </xf>
    <xf numFmtId="0" fontId="13" fillId="6" borderId="3" xfId="0" applyFont="1" applyFill="1" applyBorder="1" applyAlignment="1">
      <alignment vertical="top" wrapText="1"/>
    </xf>
    <xf numFmtId="1" fontId="12" fillId="3" borderId="3" xfId="0" applyNumberFormat="1" applyFont="1" applyFill="1" applyBorder="1" applyAlignment="1">
      <alignment horizontal="center" vertical="top"/>
    </xf>
    <xf numFmtId="0" fontId="12" fillId="0" borderId="64" xfId="0" applyFont="1" applyBorder="1" applyAlignment="1">
      <alignment vertical="center"/>
    </xf>
    <xf numFmtId="1" fontId="12" fillId="0" borderId="74" xfId="0" applyNumberFormat="1" applyFont="1" applyBorder="1" applyAlignment="1">
      <alignment vertical="top" wrapText="1"/>
    </xf>
    <xf numFmtId="1" fontId="12" fillId="3" borderId="74" xfId="0" applyNumberFormat="1" applyFont="1" applyFill="1" applyBorder="1" applyAlignment="1">
      <alignment horizontal="center" vertical="top"/>
    </xf>
    <xf numFmtId="1" fontId="23" fillId="3" borderId="112" xfId="0" applyNumberFormat="1" applyFont="1" applyFill="1" applyBorder="1" applyAlignment="1">
      <alignment vertical="top" wrapText="1"/>
    </xf>
    <xf numFmtId="1" fontId="12" fillId="3" borderId="64" xfId="0" applyNumberFormat="1" applyFont="1" applyFill="1" applyBorder="1" applyAlignment="1">
      <alignment horizontal="center" vertical="top"/>
    </xf>
    <xf numFmtId="0" fontId="13" fillId="3" borderId="64" xfId="0" applyFont="1" applyFill="1" applyBorder="1" applyAlignment="1">
      <alignment vertical="top"/>
    </xf>
    <xf numFmtId="0" fontId="12" fillId="3" borderId="64" xfId="0" applyFont="1" applyFill="1" applyBorder="1" applyAlignment="1">
      <alignment vertical="center" wrapText="1"/>
    </xf>
    <xf numFmtId="165" fontId="13" fillId="0" borderId="64" xfId="0" applyNumberFormat="1" applyFont="1" applyBorder="1" applyAlignment="1">
      <alignment horizontal="center" vertical="top" wrapText="1"/>
    </xf>
    <xf numFmtId="0" fontId="13" fillId="5" borderId="88" xfId="0" applyFont="1" applyFill="1" applyBorder="1" applyAlignment="1">
      <alignment horizontal="justify" vertical="top" wrapText="1"/>
    </xf>
    <xf numFmtId="0" fontId="13" fillId="5" borderId="74" xfId="0" applyFont="1" applyFill="1" applyBorder="1" applyAlignment="1">
      <alignment vertical="top" wrapText="1"/>
    </xf>
    <xf numFmtId="0" fontId="12" fillId="5" borderId="74" xfId="0" applyFont="1" applyFill="1" applyBorder="1" applyAlignment="1">
      <alignment horizontal="center" vertical="top" wrapText="1"/>
    </xf>
    <xf numFmtId="164" fontId="13" fillId="5" borderId="74" xfId="0" applyNumberFormat="1" applyFont="1" applyFill="1" applyBorder="1" applyAlignment="1">
      <alignment horizontal="center" vertical="top" wrapText="1"/>
    </xf>
    <xf numFmtId="165" fontId="13" fillId="5" borderId="74" xfId="0" applyNumberFormat="1" applyFont="1" applyFill="1" applyBorder="1" applyAlignment="1">
      <alignment horizontal="center" vertical="top" wrapText="1"/>
    </xf>
    <xf numFmtId="1" fontId="12" fillId="5" borderId="74" xfId="0" applyNumberFormat="1" applyFont="1" applyFill="1" applyBorder="1" applyAlignment="1">
      <alignment horizontal="left" vertical="top" wrapText="1"/>
    </xf>
    <xf numFmtId="1" fontId="12" fillId="5" borderId="74" xfId="0" applyNumberFormat="1" applyFont="1" applyFill="1" applyBorder="1" applyAlignment="1">
      <alignment horizontal="center" vertical="top"/>
    </xf>
    <xf numFmtId="1" fontId="12" fillId="5" borderId="44" xfId="0" applyNumberFormat="1" applyFont="1" applyFill="1" applyBorder="1" applyAlignment="1">
      <alignment horizontal="center" vertical="top" wrapText="1"/>
    </xf>
    <xf numFmtId="0" fontId="13" fillId="0" borderId="67" xfId="0" applyFont="1" applyBorder="1" applyAlignment="1">
      <alignment horizontal="center" vertical="top" wrapText="1"/>
    </xf>
    <xf numFmtId="164" fontId="13" fillId="3" borderId="64" xfId="0" applyNumberFormat="1" applyFont="1" applyFill="1" applyBorder="1" applyAlignment="1">
      <alignment horizontal="center" vertical="top" wrapText="1"/>
    </xf>
    <xf numFmtId="165" fontId="13" fillId="3" borderId="64" xfId="0" applyNumberFormat="1" applyFont="1" applyFill="1" applyBorder="1" applyAlignment="1">
      <alignment horizontal="center" vertical="top" wrapText="1"/>
    </xf>
    <xf numFmtId="0" fontId="13" fillId="9" borderId="16" xfId="0" applyFont="1" applyFill="1" applyBorder="1" applyAlignment="1">
      <alignment vertical="top" wrapText="1"/>
    </xf>
    <xf numFmtId="0" fontId="13" fillId="4" borderId="113" xfId="0" applyFont="1" applyFill="1" applyBorder="1" applyAlignment="1">
      <alignment vertical="top" wrapText="1"/>
    </xf>
    <xf numFmtId="0" fontId="13" fillId="9" borderId="112" xfId="0" applyFont="1" applyFill="1" applyBorder="1" applyAlignment="1">
      <alignment vertical="top" wrapText="1"/>
    </xf>
    <xf numFmtId="1" fontId="13" fillId="9" borderId="65" xfId="0" applyNumberFormat="1" applyFont="1" applyFill="1" applyBorder="1" applyAlignment="1">
      <alignment horizontal="center" vertical="top" wrapText="1"/>
    </xf>
    <xf numFmtId="1" fontId="23" fillId="3" borderId="3" xfId="0" applyNumberFormat="1" applyFont="1" applyFill="1" applyBorder="1" applyAlignment="1">
      <alignment horizontal="center" vertical="top"/>
    </xf>
    <xf numFmtId="164" fontId="12" fillId="0" borderId="74" xfId="0" applyNumberFormat="1" applyFont="1" applyBorder="1" applyAlignment="1">
      <alignment horizontal="center" vertical="top" wrapText="1"/>
    </xf>
    <xf numFmtId="165" fontId="12" fillId="0" borderId="74" xfId="0" applyNumberFormat="1" applyFont="1" applyBorder="1" applyAlignment="1">
      <alignment horizontal="center" vertical="top" wrapText="1"/>
    </xf>
    <xf numFmtId="1" fontId="12" fillId="3" borderId="41" xfId="0" applyNumberFormat="1" applyFont="1" applyFill="1" applyBorder="1" applyAlignment="1">
      <alignment vertical="top" wrapText="1"/>
    </xf>
    <xf numFmtId="1" fontId="23" fillId="3" borderId="74" xfId="0" applyNumberFormat="1" applyFont="1" applyFill="1" applyBorder="1" applyAlignment="1">
      <alignment horizontal="center" vertical="top"/>
    </xf>
    <xf numFmtId="165" fontId="23" fillId="3" borderId="112" xfId="0" applyNumberFormat="1" applyFont="1" applyFill="1" applyBorder="1" applyAlignment="1">
      <alignment horizontal="center" vertical="top" wrapText="1"/>
    </xf>
    <xf numFmtId="0" fontId="21" fillId="0" borderId="64" xfId="0" applyFont="1" applyBorder="1"/>
    <xf numFmtId="0" fontId="13" fillId="3" borderId="41" xfId="0" applyFont="1" applyFill="1" applyBorder="1" applyAlignment="1">
      <alignment horizontal="left" vertical="top" wrapText="1"/>
    </xf>
    <xf numFmtId="165" fontId="12" fillId="0" borderId="41" xfId="0" applyNumberFormat="1" applyFont="1" applyBorder="1" applyAlignment="1">
      <alignment horizontal="center" vertical="top" wrapText="1"/>
    </xf>
    <xf numFmtId="165" fontId="12" fillId="3" borderId="112" xfId="0" applyNumberFormat="1" applyFont="1" applyFill="1" applyBorder="1" applyAlignment="1">
      <alignment horizontal="center" vertical="top" wrapText="1"/>
    </xf>
    <xf numFmtId="0" fontId="13" fillId="3" borderId="96" xfId="0" applyFont="1" applyFill="1" applyBorder="1" applyAlignment="1">
      <alignment vertical="top" wrapText="1"/>
    </xf>
    <xf numFmtId="165" fontId="12" fillId="3" borderId="41" xfId="0" applyNumberFormat="1" applyFont="1" applyFill="1" applyBorder="1" applyAlignment="1">
      <alignment horizontal="center" vertical="top" wrapText="1"/>
    </xf>
    <xf numFmtId="1" fontId="12" fillId="0" borderId="74" xfId="0" applyNumberFormat="1" applyFont="1" applyBorder="1" applyAlignment="1">
      <alignment horizontal="center" vertical="top"/>
    </xf>
    <xf numFmtId="0" fontId="23" fillId="7" borderId="64" xfId="0" applyFont="1" applyFill="1" applyBorder="1" applyAlignment="1">
      <alignment vertical="top" wrapText="1"/>
    </xf>
    <xf numFmtId="0" fontId="12" fillId="3" borderId="64" xfId="0" applyFont="1" applyFill="1" applyBorder="1" applyAlignment="1">
      <alignment horizontal="center" vertical="top"/>
    </xf>
    <xf numFmtId="3" fontId="13" fillId="3" borderId="40" xfId="0" applyNumberFormat="1" applyFont="1" applyFill="1" applyBorder="1" applyAlignment="1">
      <alignment vertical="top" wrapText="1"/>
    </xf>
    <xf numFmtId="49" fontId="12" fillId="3" borderId="67" xfId="0" applyNumberFormat="1" applyFont="1" applyFill="1" applyBorder="1" applyAlignment="1">
      <alignment horizontal="center" vertical="top" wrapText="1"/>
    </xf>
    <xf numFmtId="164" fontId="12" fillId="0" borderId="64" xfId="0" applyNumberFormat="1" applyFont="1" applyBorder="1" applyAlignment="1">
      <alignment horizontal="center" vertical="top" wrapText="1"/>
    </xf>
    <xf numFmtId="165" fontId="12" fillId="0" borderId="64" xfId="0" applyNumberFormat="1" applyFont="1" applyBorder="1" applyAlignment="1">
      <alignment horizontal="center" vertical="top" wrapText="1"/>
    </xf>
    <xf numFmtId="165" fontId="12" fillId="0" borderId="112" xfId="0" applyNumberFormat="1" applyFont="1" applyBorder="1" applyAlignment="1">
      <alignment horizontal="center" vertical="top" wrapText="1"/>
    </xf>
    <xf numFmtId="164" fontId="12" fillId="3" borderId="41" xfId="0" applyNumberFormat="1" applyFont="1" applyFill="1" applyBorder="1" applyAlignment="1">
      <alignment horizontal="center" vertical="top" wrapText="1"/>
    </xf>
    <xf numFmtId="164" fontId="12" fillId="3" borderId="78" xfId="0" applyNumberFormat="1" applyFont="1" applyFill="1" applyBorder="1" applyAlignment="1">
      <alignment horizontal="center" vertical="top" wrapText="1"/>
    </xf>
    <xf numFmtId="164" fontId="12" fillId="3" borderId="114" xfId="0" applyNumberFormat="1" applyFont="1" applyFill="1" applyBorder="1" applyAlignment="1">
      <alignment horizontal="center" vertical="top" wrapText="1"/>
    </xf>
    <xf numFmtId="164" fontId="12" fillId="3" borderId="97" xfId="0" applyNumberFormat="1" applyFont="1" applyFill="1" applyBorder="1" applyAlignment="1">
      <alignment horizontal="center" vertical="top" wrapText="1"/>
    </xf>
    <xf numFmtId="0" fontId="13" fillId="3" borderId="115" xfId="0" applyFont="1" applyFill="1" applyBorder="1" applyAlignment="1">
      <alignment vertical="top" wrapText="1"/>
    </xf>
    <xf numFmtId="0" fontId="12" fillId="3" borderId="116" xfId="0" applyFont="1" applyFill="1" applyBorder="1" applyAlignment="1">
      <alignment vertical="top" wrapText="1"/>
    </xf>
    <xf numFmtId="0" fontId="12" fillId="3" borderId="117" xfId="0" applyFont="1" applyFill="1" applyBorder="1" applyAlignment="1">
      <alignment vertical="top" wrapText="1"/>
    </xf>
    <xf numFmtId="0" fontId="12" fillId="3" borderId="62" xfId="0" applyFont="1" applyFill="1" applyBorder="1" applyAlignment="1">
      <alignment vertical="top" wrapText="1"/>
    </xf>
    <xf numFmtId="164" fontId="12" fillId="3" borderId="118" xfId="0" applyNumberFormat="1" applyFont="1" applyFill="1" applyBorder="1" applyAlignment="1">
      <alignment horizontal="center" vertical="top" wrapText="1"/>
    </xf>
    <xf numFmtId="164" fontId="23" fillId="3" borderId="40" xfId="0" applyNumberFormat="1" applyFont="1" applyFill="1" applyBorder="1" applyAlignment="1">
      <alignment horizontal="center" vertical="top" wrapText="1"/>
    </xf>
    <xf numFmtId="165" fontId="23" fillId="3" borderId="40" xfId="0" applyNumberFormat="1" applyFont="1" applyFill="1" applyBorder="1" applyAlignment="1">
      <alignment horizontal="center" vertical="top" wrapText="1"/>
    </xf>
    <xf numFmtId="1" fontId="12" fillId="3" borderId="40" xfId="0" applyNumberFormat="1" applyFont="1" applyFill="1" applyBorder="1" applyAlignment="1">
      <alignment vertical="top" wrapText="1"/>
    </xf>
    <xf numFmtId="1" fontId="12" fillId="3" borderId="40" xfId="0" applyNumberFormat="1" applyFont="1" applyFill="1" applyBorder="1" applyAlignment="1">
      <alignment horizontal="center" vertical="top"/>
    </xf>
    <xf numFmtId="1" fontId="23" fillId="3" borderId="40" xfId="0" applyNumberFormat="1" applyFont="1" applyFill="1" applyBorder="1" applyAlignment="1">
      <alignment horizontal="center" vertical="top"/>
    </xf>
    <xf numFmtId="1" fontId="12" fillId="3" borderId="71" xfId="0" applyNumberFormat="1" applyFont="1" applyFill="1" applyBorder="1" applyAlignment="1">
      <alignment horizontal="center" vertical="top" wrapText="1"/>
    </xf>
    <xf numFmtId="164" fontId="12" fillId="3" borderId="119" xfId="0" applyNumberFormat="1" applyFont="1" applyFill="1" applyBorder="1" applyAlignment="1">
      <alignment horizontal="center" vertical="top" wrapText="1"/>
    </xf>
    <xf numFmtId="164" fontId="12" fillId="3" borderId="120" xfId="0" applyNumberFormat="1" applyFont="1" applyFill="1" applyBorder="1" applyAlignment="1">
      <alignment horizontal="center" vertical="top" wrapText="1"/>
    </xf>
    <xf numFmtId="0" fontId="23" fillId="3" borderId="85" xfId="0" applyFont="1" applyFill="1" applyBorder="1" applyAlignment="1">
      <alignment horizontal="center" vertical="top" wrapText="1"/>
    </xf>
    <xf numFmtId="165" fontId="23" fillId="3" borderId="62" xfId="0" applyNumberFormat="1" applyFont="1" applyFill="1" applyBorder="1" applyAlignment="1">
      <alignment horizontal="center" vertical="top" wrapText="1"/>
    </xf>
    <xf numFmtId="165" fontId="23" fillId="3" borderId="63" xfId="0" applyNumberFormat="1" applyFont="1" applyFill="1" applyBorder="1" applyAlignment="1">
      <alignment horizontal="center" vertical="top" wrapText="1"/>
    </xf>
    <xf numFmtId="164" fontId="23" fillId="3" borderId="74" xfId="0" applyNumberFormat="1" applyFont="1" applyFill="1" applyBorder="1" applyAlignment="1">
      <alignment horizontal="center" vertical="top" wrapText="1"/>
    </xf>
    <xf numFmtId="164" fontId="23" fillId="3" borderId="62" xfId="0" applyNumberFormat="1" applyFont="1" applyFill="1" applyBorder="1" applyAlignment="1">
      <alignment horizontal="center" vertical="top" wrapText="1"/>
    </xf>
    <xf numFmtId="164" fontId="23" fillId="3" borderId="63" xfId="0" applyNumberFormat="1" applyFont="1" applyFill="1" applyBorder="1" applyAlignment="1">
      <alignment horizontal="center" vertical="top" wrapText="1"/>
    </xf>
    <xf numFmtId="165" fontId="23" fillId="3" borderId="41" xfId="0" applyNumberFormat="1" applyFont="1" applyFill="1" applyBorder="1" applyAlignment="1">
      <alignment horizontal="center" vertical="top" wrapText="1"/>
    </xf>
    <xf numFmtId="0" fontId="5" fillId="3" borderId="121" xfId="0" applyFont="1" applyFill="1" applyBorder="1" applyAlignment="1">
      <alignment vertical="top" wrapText="1"/>
    </xf>
    <xf numFmtId="165" fontId="13" fillId="6" borderId="3" xfId="0" applyNumberFormat="1" applyFont="1" applyFill="1" applyBorder="1" applyAlignment="1">
      <alignment horizontal="center" vertical="top" wrapText="1"/>
    </xf>
    <xf numFmtId="0" fontId="19" fillId="3" borderId="78" xfId="0" applyFont="1" applyFill="1" applyBorder="1" applyAlignment="1">
      <alignment vertical="top" wrapText="1"/>
    </xf>
    <xf numFmtId="0" fontId="12" fillId="3" borderId="121" xfId="0" applyFont="1" applyFill="1" applyBorder="1" applyAlignment="1">
      <alignment vertical="top" wrapText="1"/>
    </xf>
    <xf numFmtId="164" fontId="13" fillId="6" borderId="122" xfId="0" applyNumberFormat="1" applyFont="1" applyFill="1" applyBorder="1" applyAlignment="1">
      <alignment horizontal="center" vertical="top" wrapText="1"/>
    </xf>
    <xf numFmtId="165" fontId="13" fillId="6" borderId="122" xfId="0" applyNumberFormat="1" applyFont="1" applyFill="1" applyBorder="1" applyAlignment="1">
      <alignment horizontal="center" vertical="top" wrapText="1"/>
    </xf>
    <xf numFmtId="165" fontId="13" fillId="6" borderId="26" xfId="0" applyNumberFormat="1" applyFont="1" applyFill="1" applyBorder="1" applyAlignment="1">
      <alignment horizontal="center" vertical="top" wrapText="1"/>
    </xf>
    <xf numFmtId="0" fontId="13" fillId="0" borderId="63" xfId="0" applyFont="1" applyBorder="1" applyAlignment="1">
      <alignment vertical="top"/>
    </xf>
    <xf numFmtId="0" fontId="12" fillId="0" borderId="64" xfId="0" applyFont="1" applyBorder="1" applyAlignment="1">
      <alignment horizontal="center" vertical="top" wrapText="1"/>
    </xf>
    <xf numFmtId="164" fontId="13" fillId="0" borderId="63" xfId="0" applyNumberFormat="1" applyFont="1" applyBorder="1" applyAlignment="1">
      <alignment horizontal="center" vertical="top" wrapText="1"/>
    </xf>
    <xf numFmtId="165" fontId="12" fillId="4" borderId="113" xfId="0" applyNumberFormat="1" applyFont="1" applyFill="1" applyBorder="1" applyAlignment="1">
      <alignment horizontal="center" vertical="top" wrapText="1"/>
    </xf>
    <xf numFmtId="0" fontId="13" fillId="9" borderId="88" xfId="0" applyFont="1" applyFill="1" applyBorder="1" applyAlignment="1">
      <alignment vertical="top" wrapText="1"/>
    </xf>
    <xf numFmtId="0" fontId="13" fillId="9" borderId="41" xfId="0" applyFont="1" applyFill="1" applyBorder="1" applyAlignment="1">
      <alignment vertical="top" wrapText="1"/>
    </xf>
    <xf numFmtId="0" fontId="12" fillId="9" borderId="74" xfId="0" applyFont="1" applyFill="1" applyBorder="1" applyAlignment="1">
      <alignment vertical="top" wrapText="1"/>
    </xf>
    <xf numFmtId="164" fontId="12" fillId="9" borderId="74" xfId="0" applyNumberFormat="1" applyFont="1" applyFill="1" applyBorder="1" applyAlignment="1">
      <alignment horizontal="center" vertical="top" wrapText="1"/>
    </xf>
    <xf numFmtId="165" fontId="12" fillId="9" borderId="74" xfId="0" applyNumberFormat="1" applyFont="1" applyFill="1" applyBorder="1" applyAlignment="1">
      <alignment horizontal="center" vertical="top" wrapText="1"/>
    </xf>
    <xf numFmtId="165" fontId="12" fillId="9" borderId="41" xfId="0" applyNumberFormat="1" applyFont="1" applyFill="1" applyBorder="1" applyAlignment="1">
      <alignment horizontal="center" vertical="top" wrapText="1"/>
    </xf>
    <xf numFmtId="1" fontId="13" fillId="9" borderId="74" xfId="0" applyNumberFormat="1" applyFont="1" applyFill="1" applyBorder="1" applyAlignment="1">
      <alignment vertical="top" wrapText="1"/>
    </xf>
    <xf numFmtId="0" fontId="35" fillId="9" borderId="78" xfId="0" applyFont="1" applyFill="1" applyBorder="1" applyAlignment="1">
      <alignment horizontal="center" vertical="top"/>
    </xf>
    <xf numFmtId="1" fontId="12" fillId="10" borderId="75" xfId="0" applyNumberFormat="1" applyFont="1" applyFill="1" applyBorder="1" applyAlignment="1">
      <alignment horizontal="center" vertical="top" wrapText="1"/>
    </xf>
    <xf numFmtId="165" fontId="12" fillId="9" borderId="112" xfId="0" applyNumberFormat="1" applyFont="1" applyFill="1" applyBorder="1" applyAlignment="1">
      <alignment horizontal="center" vertical="top" wrapText="1"/>
    </xf>
    <xf numFmtId="0" fontId="35" fillId="9" borderId="62" xfId="0" applyFont="1" applyFill="1" applyBorder="1" applyAlignment="1">
      <alignment horizontal="center" vertical="top"/>
    </xf>
    <xf numFmtId="1" fontId="13" fillId="9" borderId="123" xfId="0" applyNumberFormat="1" applyFont="1" applyFill="1" applyBorder="1" applyAlignment="1">
      <alignment horizontal="center" vertical="top" wrapText="1"/>
    </xf>
    <xf numFmtId="0" fontId="12" fillId="5" borderId="69" xfId="0" applyFont="1" applyFill="1" applyBorder="1" applyAlignment="1">
      <alignment horizontal="center" vertical="top" wrapText="1"/>
    </xf>
    <xf numFmtId="165" fontId="13" fillId="5" borderId="113" xfId="0" applyNumberFormat="1" applyFont="1" applyFill="1" applyBorder="1" applyAlignment="1">
      <alignment horizontal="center" vertical="top" wrapText="1"/>
    </xf>
    <xf numFmtId="1" fontId="12" fillId="7" borderId="74" xfId="0" applyNumberFormat="1" applyFont="1" applyFill="1" applyBorder="1" applyAlignment="1">
      <alignment vertical="top" wrapText="1"/>
    </xf>
    <xf numFmtId="1" fontId="12" fillId="7" borderId="74" xfId="0" applyNumberFormat="1" applyFont="1" applyFill="1" applyBorder="1" applyAlignment="1">
      <alignment horizontal="center" vertical="top" wrapText="1"/>
    </xf>
    <xf numFmtId="165" fontId="12" fillId="0" borderId="124" xfId="0" applyNumberFormat="1" applyFont="1" applyBorder="1" applyAlignment="1">
      <alignment horizontal="center" vertical="top"/>
    </xf>
    <xf numFmtId="2" fontId="12" fillId="3" borderId="62" xfId="0" applyNumberFormat="1" applyFont="1" applyFill="1" applyBorder="1" applyAlignment="1">
      <alignment horizontal="center"/>
    </xf>
    <xf numFmtId="2" fontId="12" fillId="3" borderId="63" xfId="0" applyNumberFormat="1" applyFont="1" applyFill="1" applyBorder="1" applyAlignment="1">
      <alignment horizontal="center"/>
    </xf>
    <xf numFmtId="164" fontId="12" fillId="3" borderId="112" xfId="0" applyNumberFormat="1" applyFont="1" applyFill="1" applyBorder="1" applyAlignment="1">
      <alignment horizontal="center" vertical="top" wrapText="1"/>
    </xf>
    <xf numFmtId="0" fontId="23" fillId="3" borderId="62" xfId="0" applyFont="1" applyFill="1" applyBorder="1"/>
    <xf numFmtId="0" fontId="23" fillId="3" borderId="63" xfId="0" applyFont="1" applyFill="1" applyBorder="1"/>
    <xf numFmtId="1" fontId="12" fillId="7" borderId="4" xfId="0" applyNumberFormat="1" applyFont="1" applyFill="1" applyBorder="1" applyAlignment="1">
      <alignment horizontal="center" vertical="top" wrapText="1"/>
    </xf>
    <xf numFmtId="1" fontId="12" fillId="0" borderId="72" xfId="0" applyNumberFormat="1" applyFont="1" applyBorder="1" applyAlignment="1">
      <alignment horizontal="center" vertical="top" wrapText="1"/>
    </xf>
    <xf numFmtId="164" fontId="27" fillId="3" borderId="64" xfId="0" applyNumberFormat="1" applyFont="1" applyFill="1" applyBorder="1" applyAlignment="1">
      <alignment horizontal="center" vertical="top" wrapText="1"/>
    </xf>
    <xf numFmtId="165" fontId="27" fillId="3" borderId="64" xfId="0" applyNumberFormat="1" applyFont="1" applyFill="1" applyBorder="1" applyAlignment="1">
      <alignment horizontal="center" vertical="top" wrapText="1"/>
    </xf>
    <xf numFmtId="0" fontId="21" fillId="0" borderId="64" xfId="0" applyFont="1" applyBorder="1" applyAlignment="1">
      <alignment horizontal="left" vertical="top"/>
    </xf>
    <xf numFmtId="1" fontId="12" fillId="7" borderId="40" xfId="0" applyNumberFormat="1" applyFont="1" applyFill="1" applyBorder="1" applyAlignment="1">
      <alignment vertical="top" wrapText="1"/>
    </xf>
    <xf numFmtId="1" fontId="12" fillId="7" borderId="40" xfId="0" applyNumberFormat="1" applyFont="1" applyFill="1" applyBorder="1" applyAlignment="1">
      <alignment horizontal="center" vertical="top" wrapText="1"/>
    </xf>
    <xf numFmtId="1" fontId="12" fillId="0" borderId="71" xfId="0" applyNumberFormat="1" applyFont="1" applyBorder="1" applyAlignment="1">
      <alignment horizontal="center" vertical="top" wrapText="1"/>
    </xf>
    <xf numFmtId="0" fontId="21" fillId="0" borderId="64" xfId="0" applyFont="1" applyBorder="1" applyAlignment="1">
      <alignment vertical="top"/>
    </xf>
    <xf numFmtId="164" fontId="12" fillId="3" borderId="7" xfId="0" applyNumberFormat="1" applyFont="1" applyFill="1" applyBorder="1" applyAlignment="1">
      <alignment vertical="top" wrapText="1"/>
    </xf>
    <xf numFmtId="165" fontId="12" fillId="0" borderId="7" xfId="0" applyNumberFormat="1" applyFont="1" applyBorder="1" applyAlignment="1">
      <alignment vertical="top" wrapText="1"/>
    </xf>
    <xf numFmtId="164" fontId="12" fillId="3" borderId="86" xfId="0" applyNumberFormat="1" applyFont="1" applyFill="1" applyBorder="1" applyAlignment="1">
      <alignment horizontal="center" vertical="top" wrapText="1"/>
    </xf>
    <xf numFmtId="164" fontId="12" fillId="3" borderId="74" xfId="0" applyNumberFormat="1" applyFont="1" applyFill="1" applyBorder="1" applyAlignment="1">
      <alignment vertical="top" wrapText="1"/>
    </xf>
    <xf numFmtId="164" fontId="12" fillId="3" borderId="43" xfId="0" applyNumberFormat="1" applyFont="1" applyFill="1" applyBorder="1" applyAlignment="1">
      <alignment vertical="top" wrapText="1"/>
    </xf>
    <xf numFmtId="165" fontId="12" fillId="0" borderId="43" xfId="0" applyNumberFormat="1" applyFont="1" applyBorder="1" applyAlignment="1">
      <alignment vertical="top" wrapText="1"/>
    </xf>
    <xf numFmtId="164" fontId="12" fillId="3" borderId="64" xfId="0" applyNumberFormat="1" applyFont="1" applyFill="1" applyBorder="1" applyAlignment="1">
      <alignment vertical="top" wrapText="1"/>
    </xf>
    <xf numFmtId="165" fontId="12" fillId="0" borderId="86" xfId="0" applyNumberFormat="1" applyFont="1" applyBorder="1" applyAlignment="1">
      <alignment vertical="top" wrapText="1"/>
    </xf>
    <xf numFmtId="0" fontId="13" fillId="6" borderId="16" xfId="0" applyFont="1" applyFill="1" applyBorder="1" applyAlignment="1">
      <alignment vertical="top" wrapText="1"/>
    </xf>
    <xf numFmtId="0" fontId="12" fillId="3" borderId="97" xfId="0" applyFont="1" applyFill="1" applyBorder="1" applyAlignment="1">
      <alignment vertical="top"/>
    </xf>
    <xf numFmtId="164" fontId="12" fillId="3" borderId="86" xfId="0" applyNumberFormat="1" applyFont="1" applyFill="1" applyBorder="1" applyAlignment="1">
      <alignment vertical="top" wrapText="1"/>
    </xf>
    <xf numFmtId="165" fontId="12" fillId="3" borderId="86" xfId="0" applyNumberFormat="1" applyFont="1" applyFill="1" applyBorder="1" applyAlignment="1">
      <alignment vertical="top" wrapText="1"/>
    </xf>
    <xf numFmtId="0" fontId="20" fillId="3" borderId="97" xfId="0" applyFont="1" applyFill="1" applyBorder="1" applyAlignment="1">
      <alignment vertical="top"/>
    </xf>
    <xf numFmtId="1" fontId="12" fillId="11" borderId="69" xfId="0" applyNumberFormat="1" applyFont="1" applyFill="1" applyBorder="1" applyAlignment="1">
      <alignment vertical="top" wrapText="1"/>
    </xf>
    <xf numFmtId="1" fontId="12" fillId="5" borderId="69" xfId="0" applyNumberFormat="1" applyFont="1" applyFill="1" applyBorder="1" applyAlignment="1">
      <alignment horizontal="center" vertical="top" wrapText="1"/>
    </xf>
    <xf numFmtId="1" fontId="23" fillId="5" borderId="69" xfId="0" applyNumberFormat="1" applyFont="1" applyFill="1" applyBorder="1" applyAlignment="1">
      <alignment horizontal="center" vertical="top" wrapText="1"/>
    </xf>
    <xf numFmtId="1" fontId="12" fillId="5" borderId="70" xfId="0" applyNumberFormat="1" applyFont="1" applyFill="1" applyBorder="1" applyAlignment="1">
      <alignment horizontal="center" vertical="top" wrapText="1"/>
    </xf>
    <xf numFmtId="0" fontId="12" fillId="0" borderId="49" xfId="0" applyFont="1" applyBorder="1" applyAlignment="1">
      <alignment horizontal="justify" vertical="center" wrapText="1"/>
    </xf>
    <xf numFmtId="0" fontId="13" fillId="3" borderId="4" xfId="0" applyFont="1" applyFill="1" applyBorder="1" applyAlignment="1">
      <alignment vertical="top" wrapText="1"/>
    </xf>
    <xf numFmtId="0" fontId="12" fillId="3" borderId="4" xfId="0" applyFont="1" applyFill="1" applyBorder="1" applyAlignment="1">
      <alignment vertical="center" wrapText="1"/>
    </xf>
    <xf numFmtId="164" fontId="13" fillId="3" borderId="4" xfId="0" applyNumberFormat="1" applyFont="1" applyFill="1" applyBorder="1" applyAlignment="1">
      <alignment horizontal="center" vertical="top" wrapText="1"/>
    </xf>
    <xf numFmtId="164" fontId="13" fillId="3" borderId="15" xfId="0" applyNumberFormat="1" applyFont="1" applyFill="1" applyBorder="1" applyAlignment="1">
      <alignment horizontal="center" vertical="top" wrapText="1"/>
    </xf>
    <xf numFmtId="0" fontId="12" fillId="6" borderId="82" xfId="0" applyFont="1" applyFill="1" applyBorder="1" applyAlignment="1">
      <alignment horizontal="center" vertical="center" wrapText="1"/>
    </xf>
    <xf numFmtId="0" fontId="13" fillId="6" borderId="64" xfId="0" applyFont="1" applyFill="1" applyBorder="1" applyAlignment="1">
      <alignment vertical="top" wrapText="1"/>
    </xf>
    <xf numFmtId="0" fontId="12" fillId="6" borderId="64" xfId="0" applyFont="1" applyFill="1" applyBorder="1" applyAlignment="1">
      <alignment vertical="center" wrapText="1"/>
    </xf>
    <xf numFmtId="164" fontId="13" fillId="6" borderId="64" xfId="0" applyNumberFormat="1" applyFont="1" applyFill="1" applyBorder="1" applyAlignment="1">
      <alignment horizontal="center" vertical="top" wrapText="1"/>
    </xf>
    <xf numFmtId="164" fontId="13" fillId="6" borderId="112" xfId="0" applyNumberFormat="1" applyFont="1" applyFill="1" applyBorder="1" applyAlignment="1">
      <alignment horizontal="center" vertical="top" wrapText="1"/>
    </xf>
    <xf numFmtId="0" fontId="12" fillId="6" borderId="65" xfId="0" applyFont="1" applyFill="1" applyBorder="1" applyAlignment="1">
      <alignment vertical="center" wrapText="1"/>
    </xf>
    <xf numFmtId="0" fontId="25" fillId="3" borderId="94" xfId="0" applyFont="1" applyFill="1" applyBorder="1" applyAlignment="1">
      <alignment horizontal="center" vertical="top" wrapText="1"/>
    </xf>
    <xf numFmtId="0" fontId="25" fillId="3" borderId="127" xfId="0" applyFont="1" applyFill="1" applyBorder="1" applyAlignment="1">
      <alignment horizontal="center" vertical="top" wrapText="1"/>
    </xf>
    <xf numFmtId="0" fontId="25" fillId="3" borderId="95" xfId="0" applyFont="1" applyFill="1" applyBorder="1" applyAlignment="1">
      <alignment vertical="top" wrapText="1"/>
    </xf>
    <xf numFmtId="0" fontId="2" fillId="3" borderId="6" xfId="0" applyFont="1" applyFill="1" applyBorder="1" applyAlignment="1">
      <alignment horizontal="left" vertical="top" wrapText="1"/>
    </xf>
    <xf numFmtId="164" fontId="12" fillId="0" borderId="0" xfId="0" applyNumberFormat="1" applyFont="1"/>
    <xf numFmtId="1" fontId="7" fillId="3" borderId="1" xfId="0" applyNumberFormat="1" applyFont="1" applyFill="1" applyBorder="1" applyAlignment="1">
      <alignment horizontal="left" vertical="top" wrapText="1"/>
    </xf>
    <xf numFmtId="0" fontId="7" fillId="3" borderId="64" xfId="0" applyFont="1" applyFill="1" applyBorder="1" applyAlignment="1">
      <alignment horizontal="left" vertical="top" wrapText="1"/>
    </xf>
    <xf numFmtId="0" fontId="21" fillId="0" borderId="0" xfId="0" applyFont="1"/>
    <xf numFmtId="164" fontId="21" fillId="0" borderId="0" xfId="0" applyNumberFormat="1" applyFont="1"/>
    <xf numFmtId="165" fontId="21" fillId="3" borderId="1" xfId="0" applyNumberFormat="1" applyFont="1" applyFill="1" applyBorder="1" applyAlignment="1">
      <alignment horizontal="center" vertical="top" wrapText="1"/>
    </xf>
    <xf numFmtId="164" fontId="21" fillId="3" borderId="1" xfId="0" applyNumberFormat="1" applyFont="1" applyFill="1" applyBorder="1" applyAlignment="1">
      <alignment horizontal="center" vertical="top" wrapText="1"/>
    </xf>
    <xf numFmtId="0" fontId="26" fillId="3" borderId="35" xfId="0" applyFont="1" applyFill="1" applyBorder="1" applyAlignment="1">
      <alignment vertical="top" wrapText="1"/>
    </xf>
    <xf numFmtId="3" fontId="22" fillId="3" borderId="42" xfId="0" applyNumberFormat="1" applyFont="1" applyFill="1" applyBorder="1" applyAlignment="1">
      <alignment vertical="top" wrapText="1"/>
    </xf>
    <xf numFmtId="0" fontId="20" fillId="3" borderId="74" xfId="0" applyFont="1" applyFill="1" applyBorder="1" applyAlignment="1">
      <alignment horizontal="left" vertical="top" wrapText="1"/>
    </xf>
    <xf numFmtId="1" fontId="13" fillId="2" borderId="44" xfId="0" applyNumberFormat="1" applyFont="1" applyFill="1" applyBorder="1" applyAlignment="1">
      <alignment horizontal="center" vertical="center" wrapText="1"/>
    </xf>
    <xf numFmtId="1" fontId="13" fillId="2" borderId="65" xfId="0" applyNumberFormat="1" applyFont="1" applyFill="1" applyBorder="1" applyAlignment="1">
      <alignment horizontal="center" vertical="center" wrapText="1"/>
    </xf>
    <xf numFmtId="0" fontId="18" fillId="0" borderId="0" xfId="0" applyFont="1" applyAlignment="1">
      <alignment horizontal="left"/>
    </xf>
    <xf numFmtId="0" fontId="12" fillId="3" borderId="39" xfId="0" applyFont="1" applyFill="1" applyBorder="1" applyAlignment="1">
      <alignment horizontal="left" vertical="top" wrapText="1"/>
    </xf>
    <xf numFmtId="0" fontId="12" fillId="3" borderId="49" xfId="0" applyFont="1" applyFill="1" applyBorder="1" applyAlignment="1">
      <alignment horizontal="left" vertical="top" wrapText="1"/>
    </xf>
    <xf numFmtId="0" fontId="12" fillId="3" borderId="66" xfId="0" applyFont="1" applyFill="1" applyBorder="1" applyAlignment="1">
      <alignment horizontal="left" vertical="top" wrapText="1"/>
    </xf>
    <xf numFmtId="0" fontId="12" fillId="3" borderId="40" xfId="0" applyFont="1" applyFill="1" applyBorder="1" applyAlignment="1">
      <alignment horizontal="center" vertical="top" wrapText="1"/>
    </xf>
    <xf numFmtId="0" fontId="12" fillId="3" borderId="4" xfId="0" applyFont="1" applyFill="1" applyBorder="1" applyAlignment="1">
      <alignment horizontal="center" vertical="top" wrapText="1"/>
    </xf>
    <xf numFmtId="0" fontId="12" fillId="3" borderId="67" xfId="0" applyFont="1" applyFill="1" applyBorder="1" applyAlignment="1">
      <alignment horizontal="center" vertical="top" wrapText="1"/>
    </xf>
    <xf numFmtId="0" fontId="12" fillId="0" borderId="4" xfId="0" applyFont="1" applyBorder="1" applyAlignment="1">
      <alignment horizontal="center" vertical="top" wrapText="1"/>
    </xf>
    <xf numFmtId="0" fontId="12" fillId="0" borderId="67" xfId="0" applyFont="1" applyBorder="1" applyAlignment="1">
      <alignment horizontal="center" vertical="top" wrapText="1"/>
    </xf>
    <xf numFmtId="0" fontId="12" fillId="0" borderId="39" xfId="0" applyFont="1" applyBorder="1" applyAlignment="1">
      <alignment horizontal="left" vertical="top" wrapText="1"/>
    </xf>
    <xf numFmtId="0" fontId="12" fillId="0" borderId="49" xfId="0" applyFont="1" applyBorder="1" applyAlignment="1">
      <alignment horizontal="left" vertical="top" wrapText="1"/>
    </xf>
    <xf numFmtId="0" fontId="12" fillId="0" borderId="66" xfId="0" applyFont="1" applyBorder="1" applyAlignment="1">
      <alignment horizontal="left" vertical="top" wrapText="1"/>
    </xf>
    <xf numFmtId="3" fontId="12" fillId="3" borderId="4" xfId="0" applyNumberFormat="1" applyFont="1" applyFill="1" applyBorder="1" applyAlignment="1">
      <alignment horizontal="center" vertical="top" wrapText="1"/>
    </xf>
    <xf numFmtId="3" fontId="12" fillId="3" borderId="129" xfId="0" applyNumberFormat="1" applyFont="1" applyFill="1" applyBorder="1" applyAlignment="1">
      <alignment horizontal="center" vertical="top" wrapText="1"/>
    </xf>
    <xf numFmtId="0" fontId="13" fillId="2" borderId="39" xfId="0" applyFont="1" applyFill="1" applyBorder="1" applyAlignment="1">
      <alignment horizontal="center" vertical="center" wrapText="1"/>
    </xf>
    <xf numFmtId="0" fontId="13" fillId="2" borderId="66" xfId="0" applyFont="1" applyFill="1" applyBorder="1" applyAlignment="1">
      <alignment horizontal="center" vertical="center" wrapText="1"/>
    </xf>
    <xf numFmtId="0" fontId="13" fillId="2" borderId="40" xfId="0" applyFont="1" applyFill="1" applyBorder="1" applyAlignment="1">
      <alignment horizontal="center" vertical="center" wrapText="1"/>
    </xf>
    <xf numFmtId="0" fontId="13" fillId="2" borderId="67" xfId="0" applyFont="1" applyFill="1" applyBorder="1" applyAlignment="1">
      <alignment horizontal="center" vertical="center" wrapText="1"/>
    </xf>
    <xf numFmtId="164" fontId="13" fillId="2" borderId="40" xfId="0" applyNumberFormat="1" applyFont="1" applyFill="1" applyBorder="1" applyAlignment="1">
      <alignment horizontal="center" vertical="center" wrapText="1"/>
    </xf>
    <xf numFmtId="164" fontId="13" fillId="2" borderId="67" xfId="0" applyNumberFormat="1" applyFont="1" applyFill="1" applyBorder="1" applyAlignment="1">
      <alignment horizontal="center" vertical="center" wrapText="1"/>
    </xf>
    <xf numFmtId="165" fontId="13" fillId="2" borderId="40" xfId="0" applyNumberFormat="1" applyFont="1" applyFill="1" applyBorder="1" applyAlignment="1">
      <alignment horizontal="center" vertical="center" wrapText="1"/>
    </xf>
    <xf numFmtId="165" fontId="13" fillId="2" borderId="67" xfId="0" applyNumberFormat="1" applyFont="1" applyFill="1" applyBorder="1" applyAlignment="1">
      <alignment horizontal="center" vertical="center" wrapText="1"/>
    </xf>
    <xf numFmtId="1" fontId="13" fillId="2" borderId="40" xfId="0" applyNumberFormat="1" applyFont="1" applyFill="1" applyBorder="1" applyAlignment="1">
      <alignment horizontal="center" vertical="center" wrapText="1"/>
    </xf>
    <xf numFmtId="1" fontId="13" fillId="2" borderId="67" xfId="0" applyNumberFormat="1" applyFont="1" applyFill="1" applyBorder="1" applyAlignment="1">
      <alignment horizontal="center" vertical="center" wrapText="1"/>
    </xf>
    <xf numFmtId="1" fontId="13" fillId="2" borderId="41" xfId="0" applyNumberFormat="1" applyFont="1" applyFill="1" applyBorder="1" applyAlignment="1">
      <alignment horizontal="center" vertical="center" wrapText="1"/>
    </xf>
    <xf numFmtId="1" fontId="13" fillId="2" borderId="42" xfId="0" applyNumberFormat="1" applyFont="1" applyFill="1" applyBorder="1" applyAlignment="1">
      <alignment horizontal="center" vertical="center" wrapText="1"/>
    </xf>
    <xf numFmtId="1" fontId="13" fillId="2" borderId="43" xfId="0" applyNumberFormat="1" applyFont="1" applyFill="1" applyBorder="1" applyAlignment="1">
      <alignment horizontal="center" vertical="center" wrapText="1"/>
    </xf>
    <xf numFmtId="0" fontId="12" fillId="0" borderId="83" xfId="0" applyFont="1" applyBorder="1" applyAlignment="1">
      <alignment horizontal="center" vertical="top" wrapText="1"/>
    </xf>
    <xf numFmtId="0" fontId="12" fillId="0" borderId="85" xfId="0" applyFont="1" applyBorder="1" applyAlignment="1">
      <alignment horizontal="center" vertical="top" wrapText="1"/>
    </xf>
    <xf numFmtId="3" fontId="12" fillId="3" borderId="40" xfId="0" applyNumberFormat="1" applyFont="1" applyFill="1" applyBorder="1" applyAlignment="1">
      <alignment horizontal="center" vertical="top" wrapText="1"/>
    </xf>
    <xf numFmtId="3" fontId="12" fillId="3" borderId="67" xfId="0" applyNumberFormat="1" applyFont="1" applyFill="1" applyBorder="1" applyAlignment="1">
      <alignment horizontal="center" vertical="top" wrapText="1"/>
    </xf>
    <xf numFmtId="0" fontId="12" fillId="3" borderId="81" xfId="0" applyFont="1" applyFill="1" applyBorder="1" applyAlignment="1">
      <alignment horizontal="left" vertical="top" wrapText="1"/>
    </xf>
    <xf numFmtId="3" fontId="12" fillId="3" borderId="12" xfId="0" applyNumberFormat="1" applyFont="1" applyFill="1" applyBorder="1" applyAlignment="1">
      <alignment horizontal="center" vertical="top" wrapText="1"/>
    </xf>
    <xf numFmtId="3" fontId="12" fillId="3" borderId="76" xfId="0" applyNumberFormat="1" applyFont="1" applyFill="1" applyBorder="1" applyAlignment="1">
      <alignment horizontal="center" vertical="top" wrapText="1"/>
    </xf>
    <xf numFmtId="0" fontId="12" fillId="3" borderId="89" xfId="0" applyFont="1" applyFill="1" applyBorder="1" applyAlignment="1">
      <alignment horizontal="left" vertical="top" wrapText="1"/>
    </xf>
    <xf numFmtId="0" fontId="12" fillId="3" borderId="90" xfId="0" applyFont="1" applyFill="1" applyBorder="1" applyAlignment="1">
      <alignment horizontal="left" vertical="top" wrapText="1"/>
    </xf>
    <xf numFmtId="0" fontId="12" fillId="0" borderId="88" xfId="0" applyFont="1" applyBorder="1" applyAlignment="1">
      <alignment horizontal="left" vertical="top" wrapText="1"/>
    </xf>
    <xf numFmtId="0" fontId="12" fillId="0" borderId="47" xfId="0" applyFont="1" applyBorder="1" applyAlignment="1">
      <alignment horizontal="left" vertical="top" wrapText="1"/>
    </xf>
    <xf numFmtId="0" fontId="12" fillId="0" borderId="82" xfId="0" applyFont="1" applyBorder="1" applyAlignment="1">
      <alignment horizontal="left" vertical="top" wrapText="1"/>
    </xf>
    <xf numFmtId="0" fontId="12" fillId="0" borderId="45" xfId="0" applyFont="1" applyBorder="1" applyAlignment="1">
      <alignment horizontal="left" vertical="top" wrapText="1"/>
    </xf>
    <xf numFmtId="3" fontId="12" fillId="3" borderId="3" xfId="0" applyNumberFormat="1" applyFont="1" applyFill="1" applyBorder="1" applyAlignment="1">
      <alignment horizontal="center" vertical="top" wrapText="1"/>
    </xf>
    <xf numFmtId="3" fontId="12" fillId="3" borderId="1" xfId="0" applyNumberFormat="1" applyFont="1" applyFill="1" applyBorder="1" applyAlignment="1">
      <alignment horizontal="center" vertical="top" wrapText="1"/>
    </xf>
    <xf numFmtId="3" fontId="12" fillId="3" borderId="128" xfId="0" applyNumberFormat="1" applyFont="1" applyFill="1" applyBorder="1" applyAlignment="1">
      <alignment horizontal="center" vertical="top" wrapText="1"/>
    </xf>
    <xf numFmtId="0" fontId="25" fillId="3" borderId="40" xfId="0" applyFont="1" applyFill="1" applyBorder="1" applyAlignment="1">
      <alignment horizontal="center" vertical="top" wrapText="1"/>
    </xf>
    <xf numFmtId="0" fontId="23" fillId="3" borderId="4" xfId="0" applyFont="1" applyFill="1" applyBorder="1" applyAlignment="1">
      <alignment horizontal="center" vertical="top" wrapText="1"/>
    </xf>
    <xf numFmtId="0" fontId="23" fillId="3" borderId="67" xfId="0" applyFont="1" applyFill="1" applyBorder="1" applyAlignment="1">
      <alignment horizontal="center" vertical="top" wrapText="1"/>
    </xf>
    <xf numFmtId="0" fontId="12" fillId="0" borderId="77" xfId="0" applyFont="1" applyBorder="1" applyAlignment="1">
      <alignment horizontal="left" vertical="top" wrapText="1"/>
    </xf>
    <xf numFmtId="0" fontId="12" fillId="0" borderId="51" xfId="0" applyFont="1" applyBorder="1" applyAlignment="1">
      <alignment horizontal="left" vertical="top" wrapText="1"/>
    </xf>
    <xf numFmtId="0" fontId="12" fillId="0" borderId="81" xfId="0" applyFont="1" applyBorder="1" applyAlignment="1">
      <alignment horizontal="left" vertical="top" wrapText="1"/>
    </xf>
    <xf numFmtId="0" fontId="25" fillId="3" borderId="79" xfId="0" applyFont="1" applyFill="1" applyBorder="1" applyAlignment="1">
      <alignment horizontal="center" vertical="top" wrapText="1"/>
    </xf>
    <xf numFmtId="0" fontId="23" fillId="3" borderId="22" xfId="0" applyFont="1" applyFill="1" applyBorder="1" applyAlignment="1">
      <alignment horizontal="center" vertical="top" wrapText="1"/>
    </xf>
    <xf numFmtId="0" fontId="23" fillId="3" borderId="76" xfId="0" applyFont="1" applyFill="1" applyBorder="1" applyAlignment="1">
      <alignment horizontal="center" vertical="top" wrapText="1"/>
    </xf>
    <xf numFmtId="0" fontId="12" fillId="3" borderId="83" xfId="0" applyFont="1" applyFill="1" applyBorder="1" applyAlignment="1">
      <alignment horizontal="center" vertical="top" wrapText="1"/>
    </xf>
    <xf numFmtId="0" fontId="12" fillId="3" borderId="85" xfId="0" applyFont="1" applyFill="1" applyBorder="1" applyAlignment="1">
      <alignment horizontal="center" vertical="top" wrapText="1"/>
    </xf>
    <xf numFmtId="0" fontId="12" fillId="3" borderId="48" xfId="0" applyFont="1" applyFill="1" applyBorder="1" applyAlignment="1">
      <alignment horizontal="center" vertical="center" wrapText="1"/>
    </xf>
    <xf numFmtId="0" fontId="12" fillId="3" borderId="49" xfId="0" applyFont="1" applyFill="1" applyBorder="1" applyAlignment="1">
      <alignment horizontal="center" vertical="center" wrapText="1"/>
    </xf>
    <xf numFmtId="0" fontId="12" fillId="3" borderId="109" xfId="0" applyFont="1" applyFill="1" applyBorder="1" applyAlignment="1">
      <alignment horizontal="center" vertical="top" wrapText="1"/>
    </xf>
    <xf numFmtId="0" fontId="12" fillId="3" borderId="13" xfId="0" applyFont="1" applyFill="1" applyBorder="1" applyAlignment="1">
      <alignment horizontal="center" vertical="top" wrapText="1"/>
    </xf>
    <xf numFmtId="0" fontId="12" fillId="3" borderId="22" xfId="0" applyFont="1" applyFill="1" applyBorder="1" applyAlignment="1">
      <alignment horizontal="center" vertical="top" wrapText="1"/>
    </xf>
    <xf numFmtId="0" fontId="12" fillId="3" borderId="110" xfId="0" applyFont="1" applyFill="1" applyBorder="1" applyAlignment="1">
      <alignment horizontal="center" vertical="top" wrapText="1"/>
    </xf>
    <xf numFmtId="0" fontId="12" fillId="3" borderId="88" xfId="0" applyFont="1" applyFill="1" applyBorder="1" applyAlignment="1">
      <alignment horizontal="left" vertical="top" wrapText="1"/>
    </xf>
    <xf numFmtId="0" fontId="12" fillId="3" borderId="47" xfId="0" applyFont="1" applyFill="1" applyBorder="1" applyAlignment="1">
      <alignment horizontal="left" vertical="top" wrapText="1"/>
    </xf>
    <xf numFmtId="0" fontId="12" fillId="3" borderId="82" xfId="0" applyFont="1" applyFill="1" applyBorder="1" applyAlignment="1">
      <alignment horizontal="left" vertical="top" wrapText="1"/>
    </xf>
    <xf numFmtId="0" fontId="12" fillId="3" borderId="74" xfId="0" applyFont="1" applyFill="1" applyBorder="1" applyAlignment="1">
      <alignment horizontal="center" vertical="top" wrapText="1"/>
    </xf>
    <xf numFmtId="0" fontId="12" fillId="3" borderId="1" xfId="0" applyFont="1" applyFill="1" applyBorder="1" applyAlignment="1">
      <alignment horizontal="center" vertical="top" wrapText="1"/>
    </xf>
    <xf numFmtId="0" fontId="12" fillId="3" borderId="64" xfId="0" applyFont="1" applyFill="1" applyBorder="1" applyAlignment="1">
      <alignment horizontal="center" vertical="top" wrapText="1"/>
    </xf>
    <xf numFmtId="0" fontId="12" fillId="3" borderId="126" xfId="0" applyFont="1" applyFill="1" applyBorder="1" applyAlignment="1">
      <alignment horizontal="center" vertical="top" wrapText="1"/>
    </xf>
    <xf numFmtId="0" fontId="12" fillId="3" borderId="15" xfId="0" applyFont="1" applyFill="1" applyBorder="1" applyAlignment="1">
      <alignment horizontal="center" vertical="top" wrapText="1"/>
    </xf>
    <xf numFmtId="0" fontId="12" fillId="0" borderId="22" xfId="0" applyFont="1" applyBorder="1" applyAlignment="1">
      <alignment horizontal="center" vertical="top" wrapText="1"/>
    </xf>
    <xf numFmtId="0" fontId="12" fillId="0" borderId="27" xfId="0" applyFont="1" applyBorder="1" applyAlignment="1">
      <alignment horizontal="center" vertical="top" wrapText="1"/>
    </xf>
    <xf numFmtId="0" fontId="12" fillId="3" borderId="66" xfId="0" applyFont="1" applyFill="1" applyBorder="1" applyAlignment="1">
      <alignment horizontal="center" vertical="center" wrapText="1"/>
    </xf>
    <xf numFmtId="0" fontId="12" fillId="3" borderId="77" xfId="0" applyFont="1" applyFill="1" applyBorder="1" applyAlignment="1">
      <alignment horizontal="left" vertical="top" wrapText="1"/>
    </xf>
    <xf numFmtId="0" fontId="12" fillId="3" borderId="17" xfId="0" applyFont="1" applyFill="1" applyBorder="1" applyAlignment="1">
      <alignment horizontal="center" vertical="top" wrapText="1"/>
    </xf>
    <xf numFmtId="0" fontId="12" fillId="3" borderId="11" xfId="0" applyFont="1" applyFill="1" applyBorder="1" applyAlignment="1">
      <alignment horizontal="center" vertical="top" wrapText="1"/>
    </xf>
    <xf numFmtId="0" fontId="12" fillId="0" borderId="17" xfId="0" applyFont="1" applyBorder="1" applyAlignment="1">
      <alignment horizontal="center" vertical="top" wrapText="1"/>
    </xf>
    <xf numFmtId="0" fontId="12" fillId="0" borderId="11" xfId="0" applyFont="1" applyBorder="1" applyAlignment="1">
      <alignment horizontal="center" vertical="top" wrapText="1"/>
    </xf>
    <xf numFmtId="0" fontId="12" fillId="0" borderId="62" xfId="0" applyFont="1" applyBorder="1" applyAlignment="1">
      <alignment horizontal="center" vertical="top" wrapText="1"/>
    </xf>
    <xf numFmtId="0" fontId="12" fillId="3" borderId="18" xfId="0" applyFont="1" applyFill="1" applyBorder="1" applyAlignment="1">
      <alignment horizontal="center" vertical="top" wrapText="1"/>
    </xf>
    <xf numFmtId="0" fontId="12" fillId="3" borderId="54" xfId="0" applyFont="1" applyFill="1" applyBorder="1" applyAlignment="1">
      <alignment horizontal="center" vertical="center" wrapText="1"/>
    </xf>
    <xf numFmtId="0" fontId="12" fillId="3" borderId="57" xfId="0" applyFont="1" applyFill="1" applyBorder="1" applyAlignment="1">
      <alignment horizontal="center" vertical="center" wrapText="1"/>
    </xf>
    <xf numFmtId="0" fontId="12" fillId="3" borderId="55" xfId="0" applyFont="1" applyFill="1" applyBorder="1" applyAlignment="1">
      <alignment horizontal="center" vertical="center" wrapText="1"/>
    </xf>
    <xf numFmtId="0" fontId="12" fillId="3" borderId="96" xfId="0" applyFont="1" applyFill="1" applyBorder="1" applyAlignment="1">
      <alignment horizontal="center" vertical="top" wrapText="1"/>
    </xf>
    <xf numFmtId="0" fontId="12" fillId="3" borderId="0" xfId="0" applyFont="1" applyFill="1" applyAlignment="1">
      <alignment horizontal="center" vertical="top" wrapText="1"/>
    </xf>
    <xf numFmtId="0" fontId="12" fillId="3" borderId="97" xfId="0" applyFont="1" applyFill="1" applyBorder="1" applyAlignment="1">
      <alignment horizontal="center" vertical="top" wrapText="1"/>
    </xf>
    <xf numFmtId="0" fontId="12" fillId="3" borderId="51" xfId="0" applyFont="1" applyFill="1" applyBorder="1" applyAlignment="1">
      <alignment horizontal="left" vertical="top" wrapText="1"/>
    </xf>
    <xf numFmtId="0" fontId="12" fillId="3" borderId="76" xfId="0" applyFont="1" applyFill="1" applyBorder="1" applyAlignment="1">
      <alignment horizontal="center" vertical="top" wrapText="1"/>
    </xf>
    <xf numFmtId="0" fontId="12" fillId="3" borderId="125" xfId="0" applyFont="1" applyFill="1" applyBorder="1" applyAlignment="1">
      <alignment horizontal="center" vertical="top" wrapText="1"/>
    </xf>
    <xf numFmtId="0" fontId="12" fillId="3" borderId="28" xfId="0" applyFont="1" applyFill="1" applyBorder="1" applyAlignment="1">
      <alignment horizontal="center" vertical="top" wrapText="1"/>
    </xf>
    <xf numFmtId="0" fontId="12" fillId="3" borderId="121" xfId="0" applyFont="1" applyFill="1" applyBorder="1" applyAlignment="1">
      <alignment horizontal="center" vertical="top" wrapText="1"/>
    </xf>
    <xf numFmtId="0" fontId="12" fillId="3" borderId="40" xfId="0" applyFont="1" applyFill="1" applyBorder="1" applyAlignment="1">
      <alignment horizontal="left" vertical="top" wrapText="1"/>
    </xf>
    <xf numFmtId="0" fontId="12" fillId="3" borderId="4" xfId="0" applyFont="1" applyFill="1" applyBorder="1" applyAlignment="1">
      <alignment horizontal="left" vertical="top" wrapText="1"/>
    </xf>
    <xf numFmtId="0" fontId="12" fillId="3" borderId="67" xfId="0" applyFont="1" applyFill="1" applyBorder="1" applyAlignment="1">
      <alignment horizontal="left" vertical="top" wrapText="1"/>
    </xf>
    <xf numFmtId="0" fontId="12" fillId="0" borderId="0" xfId="0" applyFont="1" applyAlignment="1">
      <alignment horizontal="left" vertical="top" wrapText="1"/>
    </xf>
    <xf numFmtId="0" fontId="12" fillId="0" borderId="48" xfId="0" applyFont="1" applyBorder="1" applyAlignment="1">
      <alignment horizontal="center" vertical="center" wrapText="1"/>
    </xf>
    <xf numFmtId="0" fontId="12" fillId="0" borderId="49" xfId="0" applyFont="1" applyBorder="1" applyAlignment="1">
      <alignment horizontal="center" vertical="center" wrapText="1"/>
    </xf>
    <xf numFmtId="49" fontId="12" fillId="3" borderId="40" xfId="0" applyNumberFormat="1" applyFont="1" applyFill="1" applyBorder="1" applyAlignment="1">
      <alignment horizontal="center" vertical="top" wrapText="1"/>
    </xf>
    <xf numFmtId="49" fontId="12" fillId="3" borderId="4" xfId="0" applyNumberFormat="1" applyFont="1" applyFill="1" applyBorder="1" applyAlignment="1">
      <alignment horizontal="center" vertical="top" wrapText="1"/>
    </xf>
    <xf numFmtId="0" fontId="12" fillId="0" borderId="40" xfId="0" applyFont="1" applyBorder="1" applyAlignment="1">
      <alignment horizontal="center" vertical="top" wrapText="1"/>
    </xf>
    <xf numFmtId="0" fontId="12" fillId="3" borderId="79" xfId="0" applyFont="1" applyFill="1" applyBorder="1" applyAlignment="1">
      <alignment horizontal="center" vertical="top" wrapText="1"/>
    </xf>
    <xf numFmtId="0" fontId="16" fillId="0" borderId="97" xfId="0" applyFont="1" applyBorder="1" applyAlignment="1">
      <alignment horizontal="center" vertical="center" wrapText="1"/>
    </xf>
    <xf numFmtId="0" fontId="3" fillId="0" borderId="0" xfId="0" applyFont="1" applyAlignment="1">
      <alignment horizontal="left" vertical="top"/>
    </xf>
    <xf numFmtId="0" fontId="12" fillId="0" borderId="98" xfId="0" applyFont="1" applyBorder="1" applyAlignment="1">
      <alignment horizontal="left" vertical="top" wrapText="1"/>
    </xf>
    <xf numFmtId="0" fontId="12" fillId="0" borderId="59" xfId="0" applyFont="1" applyBorder="1" applyAlignment="1">
      <alignment horizontal="left" vertical="top" wrapText="1"/>
    </xf>
    <xf numFmtId="0" fontId="12" fillId="0" borderId="61" xfId="0" applyFont="1" applyBorder="1" applyAlignment="1">
      <alignment horizontal="left" vertical="top" wrapText="1"/>
    </xf>
    <xf numFmtId="0" fontId="12" fillId="0" borderId="60" xfId="0" applyFont="1" applyBorder="1" applyAlignment="1">
      <alignment horizontal="center" vertical="center" wrapText="1"/>
    </xf>
    <xf numFmtId="0" fontId="12" fillId="0" borderId="90" xfId="0" applyFont="1" applyBorder="1" applyAlignment="1">
      <alignment horizontal="center" vertical="center" wrapText="1"/>
    </xf>
    <xf numFmtId="0" fontId="12" fillId="0" borderId="0" xfId="0" applyFont="1" applyAlignment="1">
      <alignment vertical="top" wrapText="1"/>
    </xf>
    <xf numFmtId="0" fontId="12" fillId="3" borderId="98" xfId="0" applyFont="1" applyFill="1" applyBorder="1" applyAlignment="1">
      <alignment horizontal="left" vertical="top" wrapText="1"/>
    </xf>
    <xf numFmtId="0" fontId="12" fillId="3" borderId="61" xfId="0" applyFont="1" applyFill="1" applyBorder="1" applyAlignment="1">
      <alignment horizontal="left" vertical="top" wrapText="1"/>
    </xf>
    <xf numFmtId="0" fontId="13" fillId="3" borderId="48" xfId="0" applyFont="1" applyFill="1" applyBorder="1" applyAlignment="1">
      <alignment horizontal="center" vertical="top" wrapText="1"/>
    </xf>
    <xf numFmtId="0" fontId="13" fillId="3" borderId="49" xfId="0" applyFont="1" applyFill="1" applyBorder="1" applyAlignment="1">
      <alignment horizontal="center" vertical="top" wrapText="1"/>
    </xf>
    <xf numFmtId="0" fontId="13" fillId="3" borderId="45" xfId="0" applyFont="1" applyFill="1" applyBorder="1" applyAlignment="1">
      <alignment horizontal="center" vertical="top" wrapText="1"/>
    </xf>
    <xf numFmtId="0" fontId="9" fillId="5" borderId="1" xfId="0" applyFont="1" applyFill="1" applyBorder="1" applyAlignment="1">
      <alignment horizontal="left" vertical="center" wrapText="1"/>
    </xf>
    <xf numFmtId="0" fontId="8" fillId="0" borderId="0" xfId="0" applyFont="1" applyAlignment="1">
      <alignment horizontal="center" vertical="center"/>
    </xf>
  </cellXfs>
  <cellStyles count="2">
    <cellStyle name="Įprastas" xfId="0" builtinId="0"/>
    <cellStyle name="Įprastas 2" xfId="1" xr:uid="{A262D888-C416-4565-A973-DC4E855E8DFD}"/>
  </cellStyles>
  <dxfs count="0"/>
  <tableStyles count="0" defaultTableStyle="TableStyleMedium2" defaultPivotStyle="PivotStyleLight16"/>
  <colors>
    <mruColors>
      <color rgb="FFFFFFCC"/>
      <color rgb="FFFFCCFF"/>
      <color rgb="FFCCFFCC"/>
      <color rgb="FF8E47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A1:T295"/>
  <sheetViews>
    <sheetView tabSelected="1" zoomScaleNormal="100" workbookViewId="0">
      <selection activeCell="B3" sqref="B3:N3"/>
    </sheetView>
  </sheetViews>
  <sheetFormatPr defaultColWidth="9.26953125" defaultRowHeight="13" x14ac:dyDescent="0.3"/>
  <cols>
    <col min="1" max="1" width="2.54296875" style="6" customWidth="1"/>
    <col min="2" max="2" width="11.26953125" style="6" customWidth="1"/>
    <col min="3" max="3" width="39.26953125" style="39" customWidth="1"/>
    <col min="4" max="4" width="13.453125" style="6" customWidth="1"/>
    <col min="5" max="6" width="10.26953125" style="6" customWidth="1"/>
    <col min="7" max="8" width="10.26953125" style="7" customWidth="1"/>
    <col min="9" max="9" width="35.26953125" style="6" customWidth="1"/>
    <col min="10" max="12" width="9.7265625" style="6" customWidth="1"/>
    <col min="13" max="13" width="12.1796875" style="6" customWidth="1"/>
    <col min="14" max="14" width="11.7265625" style="6" customWidth="1"/>
    <col min="15" max="18" width="9.26953125" style="6" customWidth="1"/>
    <col min="19" max="19" width="7.26953125" style="6" customWidth="1"/>
    <col min="20" max="20" width="6.7265625" style="6" customWidth="1"/>
    <col min="21" max="21" width="7.1796875" style="6" customWidth="1"/>
    <col min="22" max="16384" width="9.26953125" style="6"/>
  </cols>
  <sheetData>
    <row r="1" spans="2:18" ht="15.65" customHeight="1" x14ac:dyDescent="0.35">
      <c r="D1" s="40"/>
      <c r="E1" s="40"/>
      <c r="F1" s="40"/>
      <c r="G1" s="40"/>
      <c r="H1" s="138"/>
      <c r="I1" s="145"/>
      <c r="J1" s="146"/>
      <c r="K1" s="146"/>
      <c r="L1" s="146"/>
      <c r="M1" s="145" t="s">
        <v>0</v>
      </c>
    </row>
    <row r="2" spans="2:18" ht="15.4" customHeight="1" x14ac:dyDescent="0.35">
      <c r="H2" s="138"/>
      <c r="I2" s="146"/>
      <c r="J2" s="146"/>
      <c r="L2" s="146"/>
      <c r="M2" s="689" t="s">
        <v>1</v>
      </c>
      <c r="N2" s="689"/>
    </row>
    <row r="3" spans="2:18" ht="39.65" customHeight="1" thickBot="1" x14ac:dyDescent="0.35">
      <c r="B3" s="788" t="s">
        <v>2</v>
      </c>
      <c r="C3" s="788"/>
      <c r="D3" s="788"/>
      <c r="E3" s="788"/>
      <c r="F3" s="788"/>
      <c r="G3" s="788"/>
      <c r="H3" s="788"/>
      <c r="I3" s="788"/>
      <c r="J3" s="788"/>
      <c r="K3" s="788"/>
      <c r="L3" s="788"/>
      <c r="M3" s="788"/>
      <c r="N3" s="788"/>
    </row>
    <row r="4" spans="2:18" ht="39.65" customHeight="1" x14ac:dyDescent="0.3">
      <c r="B4" s="703" t="s">
        <v>3</v>
      </c>
      <c r="C4" s="705" t="s">
        <v>4</v>
      </c>
      <c r="D4" s="705" t="s">
        <v>5</v>
      </c>
      <c r="E4" s="707" t="s">
        <v>6</v>
      </c>
      <c r="F4" s="707" t="s">
        <v>7</v>
      </c>
      <c r="G4" s="709" t="s">
        <v>8</v>
      </c>
      <c r="H4" s="709" t="s">
        <v>9</v>
      </c>
      <c r="I4" s="711" t="s">
        <v>10</v>
      </c>
      <c r="J4" s="713" t="s">
        <v>11</v>
      </c>
      <c r="K4" s="714"/>
      <c r="L4" s="714"/>
      <c r="M4" s="715"/>
      <c r="N4" s="687" t="s">
        <v>12</v>
      </c>
    </row>
    <row r="5" spans="2:18" ht="27.65" customHeight="1" thickBot="1" x14ac:dyDescent="0.35">
      <c r="B5" s="704"/>
      <c r="C5" s="706"/>
      <c r="D5" s="706"/>
      <c r="E5" s="708"/>
      <c r="F5" s="708"/>
      <c r="G5" s="710"/>
      <c r="H5" s="710"/>
      <c r="I5" s="712"/>
      <c r="J5" s="295" t="s">
        <v>13</v>
      </c>
      <c r="K5" s="295" t="s">
        <v>14</v>
      </c>
      <c r="L5" s="295" t="s">
        <v>15</v>
      </c>
      <c r="M5" s="295" t="s">
        <v>16</v>
      </c>
      <c r="N5" s="688"/>
    </row>
    <row r="6" spans="2:18" ht="14.5" customHeight="1" thickBot="1" x14ac:dyDescent="0.35">
      <c r="B6" s="296">
        <v>1</v>
      </c>
      <c r="C6" s="297">
        <v>2</v>
      </c>
      <c r="D6" s="297">
        <v>3</v>
      </c>
      <c r="E6" s="297">
        <v>4</v>
      </c>
      <c r="F6" s="297">
        <v>5</v>
      </c>
      <c r="G6" s="297">
        <v>6</v>
      </c>
      <c r="H6" s="297">
        <v>7</v>
      </c>
      <c r="I6" s="298">
        <v>8</v>
      </c>
      <c r="J6" s="299">
        <v>9</v>
      </c>
      <c r="K6" s="299">
        <v>10</v>
      </c>
      <c r="L6" s="299">
        <v>11</v>
      </c>
      <c r="M6" s="299">
        <v>12</v>
      </c>
      <c r="N6" s="300">
        <v>13</v>
      </c>
    </row>
    <row r="7" spans="2:18" ht="31.9" customHeight="1" thickBot="1" x14ac:dyDescent="0.35">
      <c r="B7" s="307" t="s">
        <v>17</v>
      </c>
      <c r="C7" s="308" t="s">
        <v>18</v>
      </c>
      <c r="D7" s="309"/>
      <c r="E7" s="310"/>
      <c r="F7" s="310"/>
      <c r="G7" s="311"/>
      <c r="H7" s="311"/>
      <c r="I7" s="310"/>
      <c r="J7" s="311"/>
      <c r="K7" s="311"/>
      <c r="L7" s="310"/>
      <c r="M7" s="311"/>
      <c r="N7" s="312"/>
    </row>
    <row r="8" spans="2:18" ht="31.9" customHeight="1" x14ac:dyDescent="0.3">
      <c r="B8" s="301"/>
      <c r="C8" s="302"/>
      <c r="D8" s="303"/>
      <c r="E8" s="304"/>
      <c r="F8" s="304"/>
      <c r="G8" s="305"/>
      <c r="H8" s="305"/>
      <c r="I8" s="306" t="s">
        <v>19</v>
      </c>
      <c r="J8" s="228">
        <v>2</v>
      </c>
      <c r="K8" s="149">
        <v>4</v>
      </c>
      <c r="L8" s="149">
        <v>4</v>
      </c>
      <c r="M8" s="149">
        <v>1</v>
      </c>
      <c r="N8" s="282"/>
    </row>
    <row r="9" spans="2:18" ht="43.5" customHeight="1" x14ac:dyDescent="0.3">
      <c r="B9" s="251"/>
      <c r="C9" s="151"/>
      <c r="D9" s="152"/>
      <c r="E9" s="153"/>
      <c r="F9" s="153"/>
      <c r="G9" s="154"/>
      <c r="H9" s="154"/>
      <c r="I9" s="147" t="s">
        <v>20</v>
      </c>
      <c r="J9" s="150">
        <v>420</v>
      </c>
      <c r="K9" s="150">
        <v>370</v>
      </c>
      <c r="L9" s="150">
        <v>340</v>
      </c>
      <c r="M9" s="150">
        <v>300</v>
      </c>
      <c r="N9" s="252"/>
    </row>
    <row r="10" spans="2:18" ht="31.9" customHeight="1" x14ac:dyDescent="0.3">
      <c r="B10" s="313"/>
      <c r="C10" s="151"/>
      <c r="D10" s="207"/>
      <c r="E10" s="153"/>
      <c r="F10" s="314"/>
      <c r="G10" s="315"/>
      <c r="H10" s="315"/>
      <c r="I10" s="316" t="s">
        <v>21</v>
      </c>
      <c r="J10" s="148">
        <v>100</v>
      </c>
      <c r="K10" s="148">
        <v>80</v>
      </c>
      <c r="L10" s="317">
        <v>75</v>
      </c>
      <c r="M10" s="317">
        <v>70</v>
      </c>
      <c r="N10" s="252"/>
    </row>
    <row r="11" spans="2:18" ht="31.9" customHeight="1" thickBot="1" x14ac:dyDescent="0.35">
      <c r="B11" s="364"/>
      <c r="C11" s="365"/>
      <c r="D11" s="366"/>
      <c r="E11" s="367"/>
      <c r="F11" s="368"/>
      <c r="G11" s="369"/>
      <c r="H11" s="369"/>
      <c r="I11" s="370" t="s">
        <v>22</v>
      </c>
      <c r="J11" s="371">
        <v>7.38</v>
      </c>
      <c r="K11" s="371" t="s">
        <v>23</v>
      </c>
      <c r="L11" s="372" t="s">
        <v>23</v>
      </c>
      <c r="M11" s="372" t="s">
        <v>23</v>
      </c>
      <c r="N11" s="373"/>
    </row>
    <row r="12" spans="2:18" ht="45" customHeight="1" thickBot="1" x14ac:dyDescent="0.35">
      <c r="B12" s="321" t="s">
        <v>24</v>
      </c>
      <c r="C12" s="322" t="s">
        <v>25</v>
      </c>
      <c r="D12" s="323"/>
      <c r="E12" s="324"/>
      <c r="F12" s="324"/>
      <c r="G12" s="325"/>
      <c r="H12" s="325"/>
      <c r="I12" s="324"/>
      <c r="J12" s="325"/>
      <c r="K12" s="325"/>
      <c r="L12" s="324"/>
      <c r="M12" s="325"/>
      <c r="N12" s="326"/>
    </row>
    <row r="13" spans="2:18" ht="42" customHeight="1" x14ac:dyDescent="0.3">
      <c r="B13" s="698" t="s">
        <v>26</v>
      </c>
      <c r="C13" s="333" t="s">
        <v>27</v>
      </c>
      <c r="D13" s="693" t="s">
        <v>28</v>
      </c>
      <c r="E13" s="334"/>
      <c r="F13" s="334"/>
      <c r="G13" s="335"/>
      <c r="H13" s="335"/>
      <c r="I13" s="336" t="s">
        <v>29</v>
      </c>
      <c r="J13" s="337">
        <v>8</v>
      </c>
      <c r="K13" s="337">
        <v>17</v>
      </c>
      <c r="L13" s="337">
        <v>52</v>
      </c>
      <c r="M13" s="337">
        <v>100</v>
      </c>
      <c r="N13" s="338" t="s">
        <v>30</v>
      </c>
      <c r="Q13" s="680"/>
    </row>
    <row r="14" spans="2:18" ht="31.5" customHeight="1" x14ac:dyDescent="0.3">
      <c r="B14" s="699"/>
      <c r="C14" s="45" t="s">
        <v>31</v>
      </c>
      <c r="D14" s="694"/>
      <c r="E14" s="46">
        <v>701.1</v>
      </c>
      <c r="F14" s="46"/>
      <c r="G14" s="683"/>
      <c r="H14" s="114">
        <f>8368.6+2200-4799.8</f>
        <v>5768.8</v>
      </c>
      <c r="I14" s="157"/>
      <c r="J14" s="157"/>
      <c r="K14" s="158"/>
      <c r="L14" s="157"/>
      <c r="M14" s="157"/>
      <c r="N14" s="254"/>
      <c r="Q14" s="7"/>
      <c r="R14" s="681"/>
    </row>
    <row r="15" spans="2:18" ht="16.5" customHeight="1" x14ac:dyDescent="0.3">
      <c r="B15" s="699"/>
      <c r="C15" s="45" t="s">
        <v>32</v>
      </c>
      <c r="D15" s="694"/>
      <c r="E15" s="46">
        <v>739.3</v>
      </c>
      <c r="F15" s="46"/>
      <c r="G15" s="47">
        <f>2140.1+5259.9</f>
        <v>7400</v>
      </c>
      <c r="H15" s="47">
        <v>4799.8</v>
      </c>
      <c r="I15" s="157"/>
      <c r="J15" s="157"/>
      <c r="K15" s="157"/>
      <c r="L15" s="157"/>
      <c r="M15" s="157"/>
      <c r="N15" s="254"/>
    </row>
    <row r="16" spans="2:18" ht="16.5" customHeight="1" x14ac:dyDescent="0.3">
      <c r="B16" s="700"/>
      <c r="C16" s="339" t="s">
        <v>33</v>
      </c>
      <c r="D16" s="695"/>
      <c r="E16" s="340">
        <f>4500-4440.3</f>
        <v>59.699999999999818</v>
      </c>
      <c r="F16" s="341">
        <v>3000</v>
      </c>
      <c r="G16" s="341"/>
      <c r="H16" s="342"/>
      <c r="I16" s="293"/>
      <c r="J16" s="293"/>
      <c r="K16" s="293"/>
      <c r="L16" s="293"/>
      <c r="M16" s="293"/>
      <c r="N16" s="294"/>
    </row>
    <row r="17" spans="2:17" ht="18.649999999999999" customHeight="1" x14ac:dyDescent="0.3">
      <c r="B17" s="690" t="s">
        <v>34</v>
      </c>
      <c r="C17" s="343" t="s">
        <v>35</v>
      </c>
      <c r="D17" s="732" t="s">
        <v>36</v>
      </c>
      <c r="E17" s="344"/>
      <c r="F17" s="344"/>
      <c r="G17" s="345"/>
      <c r="H17" s="345"/>
      <c r="I17" s="346" t="s">
        <v>37</v>
      </c>
      <c r="J17" s="347"/>
      <c r="K17" s="347">
        <v>35</v>
      </c>
      <c r="L17" s="347">
        <v>100</v>
      </c>
      <c r="M17" s="347"/>
      <c r="N17" s="348" t="s">
        <v>38</v>
      </c>
    </row>
    <row r="18" spans="2:17" ht="29.25" customHeight="1" x14ac:dyDescent="0.3">
      <c r="B18" s="691"/>
      <c r="C18" s="45" t="s">
        <v>31</v>
      </c>
      <c r="D18" s="733"/>
      <c r="E18" s="47">
        <f>361.5-169.5-105.9</f>
        <v>86.1</v>
      </c>
      <c r="F18" s="682"/>
      <c r="G18" s="114">
        <f>276.3+921.3-1197.6+234.4</f>
        <v>234.4</v>
      </c>
      <c r="H18" s="48"/>
      <c r="I18" s="157"/>
      <c r="J18" s="157"/>
      <c r="K18" s="157"/>
      <c r="L18" s="157"/>
      <c r="M18" s="157"/>
      <c r="N18" s="254"/>
    </row>
    <row r="19" spans="2:17" ht="20.25" customHeight="1" x14ac:dyDescent="0.3">
      <c r="B19" s="691"/>
      <c r="C19" s="45" t="s">
        <v>32</v>
      </c>
      <c r="D19" s="733"/>
      <c r="E19" s="143"/>
      <c r="F19" s="47">
        <f>921.3-256.4</f>
        <v>664.9</v>
      </c>
      <c r="G19" s="114">
        <f>276.3+921.3-234.4</f>
        <v>963.19999999999993</v>
      </c>
      <c r="H19" s="50"/>
      <c r="I19" s="157"/>
      <c r="J19" s="157"/>
      <c r="K19" s="157"/>
      <c r="L19" s="157"/>
      <c r="M19" s="157"/>
      <c r="N19" s="254"/>
    </row>
    <row r="20" spans="2:17" ht="20.25" customHeight="1" x14ac:dyDescent="0.3">
      <c r="B20" s="691"/>
      <c r="C20" s="51" t="s">
        <v>33</v>
      </c>
      <c r="D20" s="733"/>
      <c r="E20" s="143"/>
      <c r="F20" s="143"/>
      <c r="G20" s="49"/>
      <c r="H20" s="50"/>
      <c r="I20" s="157"/>
      <c r="J20" s="157"/>
      <c r="K20" s="157"/>
      <c r="L20" s="157"/>
      <c r="M20" s="157"/>
      <c r="N20" s="254"/>
      <c r="Q20" s="677"/>
    </row>
    <row r="21" spans="2:17" ht="32.25" customHeight="1" thickBot="1" x14ac:dyDescent="0.35">
      <c r="B21" s="692"/>
      <c r="C21" s="350" t="s">
        <v>39</v>
      </c>
      <c r="D21" s="734"/>
      <c r="E21" s="329"/>
      <c r="F21" s="329">
        <f>1409.1-422.7</f>
        <v>986.39999999999986</v>
      </c>
      <c r="G21" s="341">
        <f>1409.1+422.8</f>
        <v>1831.8999999999999</v>
      </c>
      <c r="H21" s="352"/>
      <c r="I21" s="293"/>
      <c r="J21" s="293"/>
      <c r="K21" s="293"/>
      <c r="L21" s="293"/>
      <c r="M21" s="293"/>
      <c r="N21" s="294"/>
    </row>
    <row r="22" spans="2:17" ht="46.15" customHeight="1" x14ac:dyDescent="0.3">
      <c r="B22" s="735" t="s">
        <v>40</v>
      </c>
      <c r="C22" s="353" t="s">
        <v>41</v>
      </c>
      <c r="D22" s="738" t="s">
        <v>42</v>
      </c>
      <c r="E22" s="354"/>
      <c r="F22" s="354"/>
      <c r="G22" s="345"/>
      <c r="H22" s="345"/>
      <c r="I22" s="336" t="s">
        <v>43</v>
      </c>
      <c r="J22" s="337"/>
      <c r="K22" s="337">
        <v>1</v>
      </c>
      <c r="L22" s="337"/>
      <c r="M22" s="337"/>
      <c r="N22" s="355"/>
    </row>
    <row r="23" spans="2:17" ht="32.5" customHeight="1" x14ac:dyDescent="0.3">
      <c r="B23" s="736"/>
      <c r="C23" s="53" t="s">
        <v>31</v>
      </c>
      <c r="D23" s="739"/>
      <c r="E23" s="112"/>
      <c r="F23" s="112">
        <v>50</v>
      </c>
      <c r="G23" s="28"/>
      <c r="H23" s="28"/>
      <c r="I23" s="155" t="s">
        <v>44</v>
      </c>
      <c r="J23" s="156">
        <v>1</v>
      </c>
      <c r="K23" s="156"/>
      <c r="L23" s="156"/>
      <c r="M23" s="156"/>
      <c r="N23" s="253"/>
    </row>
    <row r="24" spans="2:17" ht="22.5" customHeight="1" thickBot="1" x14ac:dyDescent="0.35">
      <c r="B24" s="737"/>
      <c r="C24" s="339" t="s">
        <v>32</v>
      </c>
      <c r="D24" s="740"/>
      <c r="E24" s="357">
        <v>18.2</v>
      </c>
      <c r="F24" s="357"/>
      <c r="G24" s="332"/>
      <c r="H24" s="332"/>
      <c r="I24" s="358" t="s">
        <v>45</v>
      </c>
      <c r="J24" s="359">
        <v>1</v>
      </c>
      <c r="K24" s="359"/>
      <c r="L24" s="359"/>
      <c r="M24" s="359"/>
      <c r="N24" s="360" t="s">
        <v>46</v>
      </c>
    </row>
    <row r="25" spans="2:17" ht="31.15" customHeight="1" x14ac:dyDescent="0.3">
      <c r="B25" s="690" t="s">
        <v>47</v>
      </c>
      <c r="C25" s="361" t="s">
        <v>48</v>
      </c>
      <c r="D25" s="732" t="s">
        <v>49</v>
      </c>
      <c r="E25" s="345"/>
      <c r="F25" s="345"/>
      <c r="G25" s="345"/>
      <c r="H25" s="345"/>
      <c r="I25" s="346" t="s">
        <v>37</v>
      </c>
      <c r="J25" s="347">
        <v>10</v>
      </c>
      <c r="K25" s="347">
        <v>65</v>
      </c>
      <c r="L25" s="347">
        <v>100</v>
      </c>
      <c r="M25" s="347"/>
      <c r="N25" s="348" t="s">
        <v>38</v>
      </c>
    </row>
    <row r="26" spans="2:17" ht="28.5" customHeight="1" x14ac:dyDescent="0.3">
      <c r="B26" s="691"/>
      <c r="C26" s="54" t="s">
        <v>31</v>
      </c>
      <c r="D26" s="694"/>
      <c r="E26" s="143">
        <f>912.4-311.9-186.2</f>
        <v>414.3</v>
      </c>
      <c r="F26" s="114">
        <f>1119.1+61.5</f>
        <v>1180.5999999999999</v>
      </c>
      <c r="G26" s="49">
        <f>401.3-61.5</f>
        <v>339.8</v>
      </c>
      <c r="H26" s="49"/>
      <c r="I26" s="158"/>
      <c r="J26" s="157"/>
      <c r="K26" s="157"/>
      <c r="L26" s="157"/>
      <c r="M26" s="157"/>
      <c r="N26" s="254"/>
    </row>
    <row r="27" spans="2:17" ht="22.5" customHeight="1" x14ac:dyDescent="0.3">
      <c r="B27" s="691"/>
      <c r="C27" s="45" t="s">
        <v>32</v>
      </c>
      <c r="D27" s="694"/>
      <c r="E27" s="143"/>
      <c r="F27" s="143">
        <v>90.2</v>
      </c>
      <c r="G27" s="49"/>
      <c r="H27" s="49"/>
      <c r="I27" s="158"/>
      <c r="J27" s="157"/>
      <c r="K27" s="157"/>
      <c r="L27" s="157"/>
      <c r="M27" s="157"/>
      <c r="N27" s="254"/>
    </row>
    <row r="28" spans="2:17" ht="19.5" customHeight="1" x14ac:dyDescent="0.3">
      <c r="B28" s="691"/>
      <c r="C28" s="51" t="s">
        <v>33</v>
      </c>
      <c r="D28" s="694"/>
      <c r="E28" s="143"/>
      <c r="F28" s="143"/>
      <c r="G28" s="49"/>
      <c r="H28" s="49"/>
      <c r="I28" s="157"/>
      <c r="J28" s="157"/>
      <c r="K28" s="157"/>
      <c r="L28" s="157"/>
      <c r="M28" s="157"/>
      <c r="N28" s="254"/>
    </row>
    <row r="29" spans="2:17" ht="31.5" customHeight="1" thickBot="1" x14ac:dyDescent="0.35">
      <c r="B29" s="692"/>
      <c r="C29" s="362" t="s">
        <v>39</v>
      </c>
      <c r="D29" s="695"/>
      <c r="E29" s="329">
        <v>878.3</v>
      </c>
      <c r="F29" s="341">
        <f>3548.5+608.8</f>
        <v>4157.3</v>
      </c>
      <c r="G29" s="363">
        <f>1047.5-313.9</f>
        <v>733.6</v>
      </c>
      <c r="H29" s="363"/>
      <c r="I29" s="293"/>
      <c r="J29" s="293"/>
      <c r="K29" s="293"/>
      <c r="L29" s="293"/>
      <c r="M29" s="293"/>
      <c r="N29" s="294"/>
    </row>
    <row r="30" spans="2:17" ht="25.5" customHeight="1" x14ac:dyDescent="0.3">
      <c r="B30" s="374"/>
      <c r="C30" s="375" t="s">
        <v>50</v>
      </c>
      <c r="D30" s="693" t="s">
        <v>51</v>
      </c>
      <c r="E30" s="345"/>
      <c r="F30" s="345"/>
      <c r="G30" s="345"/>
      <c r="H30" s="345"/>
      <c r="I30" s="336" t="s">
        <v>37</v>
      </c>
      <c r="J30" s="376">
        <v>100</v>
      </c>
      <c r="K30" s="376"/>
      <c r="L30" s="376"/>
      <c r="M30" s="376"/>
      <c r="N30" s="377" t="s">
        <v>52</v>
      </c>
    </row>
    <row r="31" spans="2:17" ht="33.5" customHeight="1" thickBot="1" x14ac:dyDescent="0.35">
      <c r="B31" s="378"/>
      <c r="C31" s="339" t="s">
        <v>32</v>
      </c>
      <c r="D31" s="695"/>
      <c r="E31" s="332">
        <f>823.9-54.8</f>
        <v>769.1</v>
      </c>
      <c r="F31" s="332"/>
      <c r="G31" s="332"/>
      <c r="H31" s="332"/>
      <c r="I31" s="293"/>
      <c r="J31" s="293"/>
      <c r="K31" s="293"/>
      <c r="L31" s="293"/>
      <c r="M31" s="293"/>
      <c r="N31" s="294"/>
    </row>
    <row r="32" spans="2:17" ht="17.5" customHeight="1" x14ac:dyDescent="0.3">
      <c r="B32" s="690" t="s">
        <v>53</v>
      </c>
      <c r="C32" s="379" t="s">
        <v>54</v>
      </c>
      <c r="D32" s="741" t="s">
        <v>55</v>
      </c>
      <c r="E32" s="380"/>
      <c r="F32" s="380"/>
      <c r="G32" s="345"/>
      <c r="H32" s="345"/>
      <c r="I32" s="336" t="s">
        <v>56</v>
      </c>
      <c r="J32" s="376"/>
      <c r="K32" s="376">
        <v>1</v>
      </c>
      <c r="L32" s="376"/>
      <c r="M32" s="376"/>
      <c r="N32" s="377"/>
    </row>
    <row r="33" spans="2:14" ht="32.25" customHeight="1" thickBot="1" x14ac:dyDescent="0.35">
      <c r="B33" s="692"/>
      <c r="C33" s="381" t="s">
        <v>31</v>
      </c>
      <c r="D33" s="742"/>
      <c r="E33" s="382">
        <v>5.5</v>
      </c>
      <c r="F33" s="383">
        <v>69.5</v>
      </c>
      <c r="G33" s="384"/>
      <c r="H33" s="385"/>
      <c r="I33" s="386" t="s">
        <v>37</v>
      </c>
      <c r="J33" s="387"/>
      <c r="K33" s="387"/>
      <c r="L33" s="387"/>
      <c r="M33" s="387"/>
      <c r="N33" s="388"/>
    </row>
    <row r="34" spans="2:14" ht="18.75" customHeight="1" x14ac:dyDescent="0.3">
      <c r="B34" s="690" t="s">
        <v>57</v>
      </c>
      <c r="C34" s="333" t="s">
        <v>58</v>
      </c>
      <c r="D34" s="693" t="s">
        <v>51</v>
      </c>
      <c r="E34" s="28"/>
      <c r="F34" s="28"/>
      <c r="G34" s="28"/>
      <c r="H34" s="28"/>
      <c r="I34" s="162" t="s">
        <v>59</v>
      </c>
      <c r="J34" s="163">
        <v>15.273</v>
      </c>
      <c r="K34" s="112">
        <v>15.273</v>
      </c>
      <c r="L34" s="112">
        <v>15.273</v>
      </c>
      <c r="M34" s="112">
        <v>15.273</v>
      </c>
      <c r="N34" s="272"/>
    </row>
    <row r="35" spans="2:14" ht="40.5" customHeight="1" thickBot="1" x14ac:dyDescent="0.35">
      <c r="B35" s="692"/>
      <c r="C35" s="339" t="s">
        <v>31</v>
      </c>
      <c r="D35" s="694"/>
      <c r="E35" s="342">
        <v>200</v>
      </c>
      <c r="F35" s="394">
        <v>200</v>
      </c>
      <c r="G35" s="394">
        <v>200</v>
      </c>
      <c r="H35" s="394">
        <v>200</v>
      </c>
      <c r="I35" s="397" t="s">
        <v>60</v>
      </c>
      <c r="J35" s="359">
        <v>408</v>
      </c>
      <c r="K35" s="359">
        <v>408</v>
      </c>
      <c r="L35" s="359">
        <v>408</v>
      </c>
      <c r="M35" s="359">
        <v>408</v>
      </c>
      <c r="N35" s="398"/>
    </row>
    <row r="36" spans="2:14" ht="15.75" customHeight="1" x14ac:dyDescent="0.3">
      <c r="B36" s="690" t="s">
        <v>61</v>
      </c>
      <c r="C36" s="390" t="s">
        <v>62</v>
      </c>
      <c r="D36" s="694"/>
      <c r="E36" s="28"/>
      <c r="F36" s="28"/>
      <c r="G36" s="28"/>
      <c r="H36" s="28"/>
      <c r="I36" s="162" t="s">
        <v>63</v>
      </c>
      <c r="J36" s="163">
        <v>9</v>
      </c>
      <c r="K36" s="163">
        <v>9</v>
      </c>
      <c r="L36" s="163">
        <v>9</v>
      </c>
      <c r="M36" s="163">
        <v>9</v>
      </c>
      <c r="N36" s="258"/>
    </row>
    <row r="37" spans="2:14" ht="28.5" customHeight="1" thickBot="1" x14ac:dyDescent="0.35">
      <c r="B37" s="692"/>
      <c r="C37" s="391" t="s">
        <v>31</v>
      </c>
      <c r="D37" s="694"/>
      <c r="E37" s="342">
        <f>501.5-150-240</f>
        <v>111.5</v>
      </c>
      <c r="F37" s="342">
        <v>356.5</v>
      </c>
      <c r="G37" s="342">
        <v>106.5</v>
      </c>
      <c r="H37" s="342">
        <v>106.5</v>
      </c>
      <c r="I37" s="397" t="s">
        <v>64</v>
      </c>
      <c r="J37" s="359">
        <v>27</v>
      </c>
      <c r="K37" s="359">
        <v>35</v>
      </c>
      <c r="L37" s="359">
        <v>38</v>
      </c>
      <c r="M37" s="359">
        <v>41</v>
      </c>
      <c r="N37" s="360"/>
    </row>
    <row r="38" spans="2:14" ht="30.75" customHeight="1" x14ac:dyDescent="0.3">
      <c r="B38" s="690" t="s">
        <v>65</v>
      </c>
      <c r="C38" s="333" t="s">
        <v>66</v>
      </c>
      <c r="D38" s="694"/>
      <c r="E38" s="28"/>
      <c r="F38" s="28"/>
      <c r="G38" s="28"/>
      <c r="H38" s="28"/>
      <c r="I38" s="166" t="s">
        <v>67</v>
      </c>
      <c r="J38" s="163">
        <v>284</v>
      </c>
      <c r="K38" s="163">
        <f>192+120</f>
        <v>312</v>
      </c>
      <c r="L38" s="163">
        <f>90+60</f>
        <v>150</v>
      </c>
      <c r="M38" s="163">
        <v>150</v>
      </c>
      <c r="N38" s="258"/>
    </row>
    <row r="39" spans="2:14" ht="29.5" customHeight="1" thickBot="1" x14ac:dyDescent="0.35">
      <c r="B39" s="692"/>
      <c r="C39" s="339" t="s">
        <v>31</v>
      </c>
      <c r="D39" s="694"/>
      <c r="E39" s="342">
        <f>232.6+25+100+50+54.4</f>
        <v>462</v>
      </c>
      <c r="F39" s="394">
        <v>633.1</v>
      </c>
      <c r="G39" s="394">
        <v>296.45</v>
      </c>
      <c r="H39" s="394">
        <v>296.64999999999998</v>
      </c>
      <c r="I39" s="399" t="s">
        <v>68</v>
      </c>
      <c r="J39" s="359"/>
      <c r="K39" s="359">
        <v>3</v>
      </c>
      <c r="L39" s="359"/>
      <c r="M39" s="359"/>
      <c r="N39" s="360"/>
    </row>
    <row r="40" spans="2:14" ht="31.9" customHeight="1" x14ac:dyDescent="0.3">
      <c r="B40" s="690" t="s">
        <v>69</v>
      </c>
      <c r="C40" s="333" t="s">
        <v>70</v>
      </c>
      <c r="D40" s="694"/>
      <c r="E40" s="28"/>
      <c r="F40" s="28"/>
      <c r="G40" s="28"/>
      <c r="H40" s="28"/>
      <c r="I40" s="165" t="s">
        <v>71</v>
      </c>
      <c r="J40" s="159">
        <v>70</v>
      </c>
      <c r="K40" s="159">
        <v>50</v>
      </c>
      <c r="L40" s="159">
        <v>70</v>
      </c>
      <c r="M40" s="159">
        <v>70</v>
      </c>
      <c r="N40" s="258"/>
    </row>
    <row r="41" spans="2:14" ht="34.15" customHeight="1" x14ac:dyDescent="0.3">
      <c r="B41" s="691"/>
      <c r="C41" s="53" t="s">
        <v>31</v>
      </c>
      <c r="D41" s="694"/>
      <c r="E41" s="28">
        <v>248.2</v>
      </c>
      <c r="F41" s="28">
        <v>255.7</v>
      </c>
      <c r="G41" s="28">
        <v>260.39999999999998</v>
      </c>
      <c r="H41" s="28">
        <v>269.60000000000002</v>
      </c>
      <c r="I41" s="165" t="s">
        <v>72</v>
      </c>
      <c r="J41" s="159">
        <v>80</v>
      </c>
      <c r="K41" s="159">
        <v>50</v>
      </c>
      <c r="L41" s="159">
        <v>50</v>
      </c>
      <c r="M41" s="159">
        <v>50</v>
      </c>
      <c r="N41" s="253"/>
    </row>
    <row r="42" spans="2:14" ht="32.5" customHeight="1" x14ac:dyDescent="0.3">
      <c r="B42" s="691"/>
      <c r="C42" s="53"/>
      <c r="D42" s="694"/>
      <c r="E42" s="28"/>
      <c r="F42" s="28"/>
      <c r="G42" s="28"/>
      <c r="H42" s="28"/>
      <c r="I42" s="166" t="s">
        <v>73</v>
      </c>
      <c r="J42" s="159"/>
      <c r="K42" s="159">
        <v>10</v>
      </c>
      <c r="L42" s="159">
        <v>5</v>
      </c>
      <c r="M42" s="159">
        <v>5</v>
      </c>
      <c r="N42" s="253"/>
    </row>
    <row r="43" spans="2:14" ht="29.25" customHeight="1" x14ac:dyDescent="0.3">
      <c r="B43" s="691"/>
      <c r="C43" s="53"/>
      <c r="D43" s="694"/>
      <c r="E43" s="28"/>
      <c r="F43" s="28"/>
      <c r="G43" s="28"/>
      <c r="H43" s="28"/>
      <c r="I43" s="167" t="s">
        <v>74</v>
      </c>
      <c r="J43" s="159">
        <v>1100</v>
      </c>
      <c r="K43" s="159">
        <v>1180</v>
      </c>
      <c r="L43" s="159">
        <v>1260</v>
      </c>
      <c r="M43" s="159">
        <v>1340</v>
      </c>
      <c r="N43" s="253"/>
    </row>
    <row r="44" spans="2:14" ht="43.9" customHeight="1" thickBot="1" x14ac:dyDescent="0.35">
      <c r="B44" s="692"/>
      <c r="C44" s="328"/>
      <c r="D44" s="695"/>
      <c r="E44" s="342"/>
      <c r="F44" s="342"/>
      <c r="G44" s="342"/>
      <c r="H44" s="342"/>
      <c r="I44" s="400" t="s">
        <v>75</v>
      </c>
      <c r="J44" s="394">
        <v>21.244</v>
      </c>
      <c r="K44" s="394">
        <v>21.3</v>
      </c>
      <c r="L44" s="394">
        <v>21.4</v>
      </c>
      <c r="M44" s="394">
        <v>21.5</v>
      </c>
      <c r="N44" s="360"/>
    </row>
    <row r="45" spans="2:14" ht="31.5" customHeight="1" x14ac:dyDescent="0.3">
      <c r="B45" s="690" t="s">
        <v>76</v>
      </c>
      <c r="C45" s="333" t="s">
        <v>77</v>
      </c>
      <c r="D45" s="696" t="s">
        <v>78</v>
      </c>
      <c r="E45" s="58"/>
      <c r="F45" s="58"/>
      <c r="G45" s="58"/>
      <c r="H45" s="58"/>
      <c r="I45" s="162" t="s">
        <v>79</v>
      </c>
      <c r="J45" s="137">
        <v>297</v>
      </c>
      <c r="K45" s="137">
        <v>346</v>
      </c>
      <c r="L45" s="137">
        <v>352</v>
      </c>
      <c r="M45" s="137">
        <v>352</v>
      </c>
      <c r="N45" s="258"/>
    </row>
    <row r="46" spans="2:14" ht="46.9" customHeight="1" x14ac:dyDescent="0.3">
      <c r="B46" s="691"/>
      <c r="C46" s="45" t="s">
        <v>31</v>
      </c>
      <c r="D46" s="696"/>
      <c r="E46" s="28">
        <f>1419.7-105.3+8.8+0.9-525+100.2-58.1</f>
        <v>841.20000000000016</v>
      </c>
      <c r="F46" s="28">
        <v>505.8</v>
      </c>
      <c r="G46" s="28">
        <v>481.7</v>
      </c>
      <c r="H46" s="28">
        <v>439.5</v>
      </c>
      <c r="I46" s="678" t="s">
        <v>80</v>
      </c>
      <c r="J46" s="137">
        <v>20</v>
      </c>
      <c r="K46" s="137">
        <f>20+8</f>
        <v>28</v>
      </c>
      <c r="L46" s="169">
        <v>28</v>
      </c>
      <c r="M46" s="169">
        <v>28</v>
      </c>
      <c r="N46" s="253"/>
    </row>
    <row r="47" spans="2:14" ht="22.15" customHeight="1" x14ac:dyDescent="0.3">
      <c r="B47" s="691"/>
      <c r="C47" s="45"/>
      <c r="D47" s="696"/>
      <c r="E47" s="28"/>
      <c r="F47" s="28"/>
      <c r="G47" s="28"/>
      <c r="H47" s="28"/>
      <c r="I47" s="161" t="s">
        <v>81</v>
      </c>
      <c r="J47" s="137">
        <v>1</v>
      </c>
      <c r="K47" s="137">
        <v>1</v>
      </c>
      <c r="L47" s="169">
        <v>1</v>
      </c>
      <c r="M47" s="169">
        <v>1</v>
      </c>
      <c r="N47" s="253"/>
    </row>
    <row r="48" spans="2:14" ht="19.149999999999999" customHeight="1" x14ac:dyDescent="0.3">
      <c r="B48" s="691"/>
      <c r="C48" s="45"/>
      <c r="D48" s="696"/>
      <c r="E48" s="28"/>
      <c r="F48" s="28"/>
      <c r="G48" s="28"/>
      <c r="H48" s="28"/>
      <c r="I48" s="164" t="s">
        <v>82</v>
      </c>
      <c r="J48" s="137">
        <v>58</v>
      </c>
      <c r="K48" s="137">
        <v>15</v>
      </c>
      <c r="L48" s="169">
        <v>20</v>
      </c>
      <c r="M48" s="169"/>
      <c r="N48" s="253" t="s">
        <v>83</v>
      </c>
    </row>
    <row r="49" spans="2:16" ht="41.25" customHeight="1" thickBot="1" x14ac:dyDescent="0.35">
      <c r="B49" s="692"/>
      <c r="C49" s="339"/>
      <c r="D49" s="697"/>
      <c r="E49" s="332"/>
      <c r="F49" s="332"/>
      <c r="G49" s="332"/>
      <c r="H49" s="332"/>
      <c r="I49" s="402" t="s">
        <v>84</v>
      </c>
      <c r="J49" s="351">
        <v>5</v>
      </c>
      <c r="K49" s="351"/>
      <c r="L49" s="356"/>
      <c r="M49" s="356"/>
      <c r="N49" s="360"/>
    </row>
    <row r="50" spans="2:16" ht="29.25" customHeight="1" x14ac:dyDescent="0.3">
      <c r="B50" s="690" t="s">
        <v>85</v>
      </c>
      <c r="C50" s="390" t="s">
        <v>86</v>
      </c>
      <c r="D50" s="404"/>
      <c r="E50" s="345"/>
      <c r="F50" s="345"/>
      <c r="G50" s="345"/>
      <c r="H50" s="345"/>
      <c r="I50" s="405" t="s">
        <v>87</v>
      </c>
      <c r="J50" s="337">
        <f>4+2</f>
        <v>6</v>
      </c>
      <c r="K50" s="337">
        <v>1</v>
      </c>
      <c r="L50" s="337"/>
      <c r="M50" s="337"/>
      <c r="N50" s="338" t="s">
        <v>88</v>
      </c>
    </row>
    <row r="51" spans="2:16" ht="54" customHeight="1" x14ac:dyDescent="0.3">
      <c r="B51" s="691"/>
      <c r="C51" s="45" t="s">
        <v>31</v>
      </c>
      <c r="D51" s="139" t="s">
        <v>89</v>
      </c>
      <c r="E51" s="28">
        <f>100-16.5</f>
        <v>83.5</v>
      </c>
      <c r="F51" s="112">
        <v>200</v>
      </c>
      <c r="G51" s="58"/>
      <c r="H51" s="58"/>
      <c r="I51" s="157"/>
      <c r="J51" s="157"/>
      <c r="K51" s="157"/>
      <c r="L51" s="157"/>
      <c r="M51" s="157"/>
      <c r="N51" s="254"/>
    </row>
    <row r="52" spans="2:16" ht="30" customHeight="1" x14ac:dyDescent="0.3">
      <c r="B52" s="691"/>
      <c r="C52" s="57" t="s">
        <v>31</v>
      </c>
      <c r="D52" s="721" t="s">
        <v>90</v>
      </c>
      <c r="E52" s="28">
        <f>100-7.1</f>
        <v>92.9</v>
      </c>
      <c r="F52" s="58"/>
      <c r="G52" s="58"/>
      <c r="H52" s="58"/>
      <c r="I52" s="157"/>
      <c r="J52" s="157"/>
      <c r="K52" s="157"/>
      <c r="L52" s="157"/>
      <c r="M52" s="157"/>
      <c r="N52" s="254"/>
    </row>
    <row r="53" spans="2:16" ht="28.15" customHeight="1" thickBot="1" x14ac:dyDescent="0.35">
      <c r="B53" s="720"/>
      <c r="C53" s="339" t="s">
        <v>32</v>
      </c>
      <c r="D53" s="722"/>
      <c r="E53" s="332">
        <v>21.3</v>
      </c>
      <c r="F53" s="332">
        <v>21.6</v>
      </c>
      <c r="G53" s="385"/>
      <c r="H53" s="385"/>
      <c r="I53" s="293"/>
      <c r="J53" s="293"/>
      <c r="K53" s="293"/>
      <c r="L53" s="293"/>
      <c r="M53" s="293"/>
      <c r="N53" s="294"/>
    </row>
    <row r="54" spans="2:16" ht="29.25" customHeight="1" x14ac:dyDescent="0.3">
      <c r="B54" s="723" t="s">
        <v>91</v>
      </c>
      <c r="C54" s="685" t="s">
        <v>412</v>
      </c>
      <c r="D54" s="716" t="s">
        <v>89</v>
      </c>
      <c r="E54" s="409"/>
      <c r="F54" s="344"/>
      <c r="G54" s="345"/>
      <c r="H54" s="345"/>
      <c r="I54" s="405" t="s">
        <v>56</v>
      </c>
      <c r="J54" s="410">
        <v>2</v>
      </c>
      <c r="K54" s="337">
        <v>1</v>
      </c>
      <c r="L54" s="337"/>
      <c r="M54" s="337"/>
      <c r="N54" s="411"/>
    </row>
    <row r="55" spans="2:16" ht="30.65" customHeight="1" thickBot="1" x14ac:dyDescent="0.35">
      <c r="B55" s="724"/>
      <c r="C55" s="412" t="s">
        <v>31</v>
      </c>
      <c r="D55" s="717"/>
      <c r="E55" s="363">
        <f>934.5-286.5+20.4-340.5-70.2-126.8</f>
        <v>130.89999999999998</v>
      </c>
      <c r="F55" s="331">
        <v>746.1</v>
      </c>
      <c r="G55" s="357">
        <v>301.5</v>
      </c>
      <c r="H55" s="357">
        <v>301.5</v>
      </c>
      <c r="I55" s="399" t="s">
        <v>92</v>
      </c>
      <c r="J55" s="395"/>
      <c r="K55" s="395">
        <v>2</v>
      </c>
      <c r="L55" s="395"/>
      <c r="M55" s="395">
        <v>1</v>
      </c>
      <c r="N55" s="360" t="s">
        <v>93</v>
      </c>
    </row>
    <row r="56" spans="2:16" ht="27" customHeight="1" x14ac:dyDescent="0.3">
      <c r="B56" s="698" t="s">
        <v>94</v>
      </c>
      <c r="C56" s="333" t="s">
        <v>95</v>
      </c>
      <c r="D56" s="718" t="s">
        <v>96</v>
      </c>
      <c r="E56" s="28"/>
      <c r="F56" s="28"/>
      <c r="G56" s="28"/>
      <c r="H56" s="28"/>
      <c r="I56" s="406" t="s">
        <v>97</v>
      </c>
      <c r="J56" s="163">
        <v>25</v>
      </c>
      <c r="K56" s="403">
        <v>25</v>
      </c>
      <c r="L56" s="407">
        <v>25</v>
      </c>
      <c r="M56" s="407">
        <v>25</v>
      </c>
      <c r="N56" s="408"/>
      <c r="O56" s="134"/>
      <c r="P56" s="134"/>
    </row>
    <row r="57" spans="2:16" ht="29.25" customHeight="1" x14ac:dyDescent="0.3">
      <c r="B57" s="699"/>
      <c r="C57" s="45" t="s">
        <v>31</v>
      </c>
      <c r="D57" s="701"/>
      <c r="E57" s="59">
        <f>2110+3.7-91.6-74</f>
        <v>1948.1</v>
      </c>
      <c r="F57" s="59">
        <f>2339.3-200</f>
        <v>2139.3000000000002</v>
      </c>
      <c r="G57" s="59">
        <f>2372.4-180</f>
        <v>2192.4</v>
      </c>
      <c r="H57" s="59">
        <v>2500.1999999999998</v>
      </c>
      <c r="I57" s="172" t="s">
        <v>98</v>
      </c>
      <c r="J57" s="173">
        <v>103</v>
      </c>
      <c r="K57" s="174">
        <v>103</v>
      </c>
      <c r="L57" s="175">
        <v>103</v>
      </c>
      <c r="M57" s="175">
        <v>103</v>
      </c>
      <c r="N57" s="257"/>
      <c r="O57" s="134"/>
      <c r="P57" s="134"/>
    </row>
    <row r="58" spans="2:16" ht="27" customHeight="1" x14ac:dyDescent="0.3">
      <c r="B58" s="699"/>
      <c r="C58" s="45" t="s">
        <v>99</v>
      </c>
      <c r="D58" s="701"/>
      <c r="E58" s="143">
        <v>19.8</v>
      </c>
      <c r="F58" s="59">
        <v>21.2</v>
      </c>
      <c r="G58" s="59">
        <v>21.2</v>
      </c>
      <c r="H58" s="143">
        <v>21.2</v>
      </c>
      <c r="I58" s="176" t="s">
        <v>100</v>
      </c>
      <c r="J58" s="173">
        <v>11</v>
      </c>
      <c r="K58" s="174">
        <v>11</v>
      </c>
      <c r="L58" s="175">
        <v>11</v>
      </c>
      <c r="M58" s="175">
        <v>11</v>
      </c>
      <c r="N58" s="257"/>
      <c r="O58" s="134"/>
      <c r="P58" s="134"/>
    </row>
    <row r="59" spans="2:16" ht="25.9" customHeight="1" x14ac:dyDescent="0.3">
      <c r="B59" s="728"/>
      <c r="C59" s="45" t="s">
        <v>32</v>
      </c>
      <c r="D59" s="701"/>
      <c r="E59" s="28">
        <v>18.3</v>
      </c>
      <c r="F59" s="28"/>
      <c r="G59" s="28"/>
      <c r="H59" s="28"/>
      <c r="I59" s="161" t="s">
        <v>101</v>
      </c>
      <c r="J59" s="173">
        <v>69</v>
      </c>
      <c r="K59" s="174">
        <v>53</v>
      </c>
      <c r="L59" s="175">
        <v>53</v>
      </c>
      <c r="M59" s="175">
        <v>53</v>
      </c>
      <c r="N59" s="257"/>
      <c r="O59" s="134"/>
      <c r="P59" s="134"/>
    </row>
    <row r="60" spans="2:16" ht="31.9" customHeight="1" x14ac:dyDescent="0.3">
      <c r="B60" s="259"/>
      <c r="C60" s="45"/>
      <c r="D60" s="701"/>
      <c r="E60" s="28"/>
      <c r="F60" s="28"/>
      <c r="G60" s="28"/>
      <c r="H60" s="28"/>
      <c r="I60" s="161" t="s">
        <v>102</v>
      </c>
      <c r="J60" s="173"/>
      <c r="K60" s="143">
        <v>1</v>
      </c>
      <c r="L60" s="175">
        <v>2</v>
      </c>
      <c r="M60" s="175">
        <v>2</v>
      </c>
      <c r="N60" s="257"/>
      <c r="O60" s="134"/>
      <c r="P60" s="134"/>
    </row>
    <row r="61" spans="2:16" ht="25.9" customHeight="1" x14ac:dyDescent="0.3">
      <c r="B61" s="259"/>
      <c r="C61" s="45"/>
      <c r="D61" s="701"/>
      <c r="E61" s="28"/>
      <c r="F61" s="28"/>
      <c r="G61" s="28"/>
      <c r="H61" s="28"/>
      <c r="I61" s="161" t="s">
        <v>103</v>
      </c>
      <c r="J61" s="170">
        <v>4</v>
      </c>
      <c r="K61" s="174">
        <v>7</v>
      </c>
      <c r="L61" s="175">
        <v>2</v>
      </c>
      <c r="M61" s="175">
        <v>2</v>
      </c>
      <c r="N61" s="257"/>
      <c r="O61" s="134"/>
      <c r="P61" s="134"/>
    </row>
    <row r="62" spans="2:16" ht="25.9" customHeight="1" x14ac:dyDescent="0.3">
      <c r="B62" s="259"/>
      <c r="C62" s="45"/>
      <c r="D62" s="701"/>
      <c r="E62" s="28"/>
      <c r="F62" s="28"/>
      <c r="G62" s="28"/>
      <c r="H62" s="28"/>
      <c r="I62" s="161" t="s">
        <v>104</v>
      </c>
      <c r="J62" s="173"/>
      <c r="K62" s="174">
        <v>1</v>
      </c>
      <c r="L62" s="175" t="s">
        <v>38</v>
      </c>
      <c r="M62" s="175" t="s">
        <v>38</v>
      </c>
      <c r="N62" s="257"/>
      <c r="O62" s="134"/>
      <c r="P62" s="134"/>
    </row>
    <row r="63" spans="2:16" ht="25.9" customHeight="1" thickBot="1" x14ac:dyDescent="0.35">
      <c r="B63" s="413"/>
      <c r="C63" s="339"/>
      <c r="D63" s="701"/>
      <c r="E63" s="342"/>
      <c r="F63" s="342"/>
      <c r="G63" s="342"/>
      <c r="H63" s="342"/>
      <c r="I63" s="399" t="s">
        <v>105</v>
      </c>
      <c r="J63" s="414">
        <f>1+2</f>
        <v>3</v>
      </c>
      <c r="K63" s="415" t="s">
        <v>38</v>
      </c>
      <c r="L63" s="416" t="s">
        <v>38</v>
      </c>
      <c r="M63" s="416" t="s">
        <v>38</v>
      </c>
      <c r="N63" s="398"/>
      <c r="O63" s="134"/>
      <c r="P63" s="134"/>
    </row>
    <row r="64" spans="2:16" ht="28.5" customHeight="1" x14ac:dyDescent="0.3">
      <c r="B64" s="698"/>
      <c r="C64" s="333" t="s">
        <v>106</v>
      </c>
      <c r="D64" s="701"/>
      <c r="E64" s="28"/>
      <c r="F64" s="28"/>
      <c r="G64" s="28"/>
      <c r="H64" s="28"/>
      <c r="I64" s="160" t="s">
        <v>107</v>
      </c>
      <c r="J64" s="163">
        <f>0+1</f>
        <v>1</v>
      </c>
      <c r="K64" s="163"/>
      <c r="L64" s="204"/>
      <c r="M64" s="204"/>
      <c r="N64" s="272"/>
      <c r="O64" s="134"/>
      <c r="P64" s="134"/>
    </row>
    <row r="65" spans="2:17" ht="29.15" customHeight="1" x14ac:dyDescent="0.3">
      <c r="B65" s="699"/>
      <c r="C65" s="57" t="s">
        <v>31</v>
      </c>
      <c r="D65" s="701"/>
      <c r="E65" s="28"/>
      <c r="F65" s="28"/>
      <c r="G65" s="28"/>
      <c r="H65" s="28"/>
      <c r="I65" s="157"/>
      <c r="J65" s="157"/>
      <c r="K65" s="157"/>
      <c r="L65" s="181"/>
      <c r="M65" s="181"/>
      <c r="N65" s="260"/>
      <c r="O65" s="134"/>
      <c r="P65" s="134"/>
    </row>
    <row r="66" spans="2:17" ht="20.25" customHeight="1" thickBot="1" x14ac:dyDescent="0.35">
      <c r="B66" s="700"/>
      <c r="C66" s="339" t="s">
        <v>32</v>
      </c>
      <c r="D66" s="701"/>
      <c r="E66" s="342">
        <f>7.3+3.5</f>
        <v>10.8</v>
      </c>
      <c r="F66" s="342"/>
      <c r="G66" s="342"/>
      <c r="H66" s="342"/>
      <c r="I66" s="293"/>
      <c r="J66" s="293"/>
      <c r="K66" s="293"/>
      <c r="L66" s="418"/>
      <c r="M66" s="418"/>
      <c r="N66" s="419"/>
      <c r="O66" s="134"/>
      <c r="P66" s="134"/>
    </row>
    <row r="67" spans="2:17" ht="33" customHeight="1" x14ac:dyDescent="0.3">
      <c r="B67" s="690" t="s">
        <v>108</v>
      </c>
      <c r="C67" s="333" t="s">
        <v>109</v>
      </c>
      <c r="D67" s="701"/>
      <c r="E67" s="28"/>
      <c r="F67" s="28"/>
      <c r="G67" s="28"/>
      <c r="H67" s="28"/>
      <c r="I67" s="417" t="s">
        <v>110</v>
      </c>
      <c r="J67" s="163">
        <v>35</v>
      </c>
      <c r="K67" s="163">
        <v>100</v>
      </c>
      <c r="L67" s="204"/>
      <c r="M67" s="204"/>
      <c r="N67" s="273"/>
    </row>
    <row r="68" spans="2:17" ht="29.15" customHeight="1" x14ac:dyDescent="0.3">
      <c r="B68" s="691"/>
      <c r="C68" s="45" t="s">
        <v>31</v>
      </c>
      <c r="D68" s="701"/>
      <c r="E68" s="59">
        <f>1128.8-242-41.5-288.1</f>
        <v>557.19999999999993</v>
      </c>
      <c r="F68" s="59">
        <v>882.6</v>
      </c>
      <c r="G68" s="59">
        <v>1849</v>
      </c>
      <c r="H68" s="59">
        <v>4978</v>
      </c>
      <c r="I68" s="177" t="s">
        <v>105</v>
      </c>
      <c r="J68" s="156"/>
      <c r="K68" s="156">
        <v>2</v>
      </c>
      <c r="L68" s="178">
        <v>6</v>
      </c>
      <c r="M68" s="178">
        <v>1</v>
      </c>
      <c r="N68" s="261"/>
    </row>
    <row r="69" spans="2:17" ht="29.15" customHeight="1" x14ac:dyDescent="0.3">
      <c r="B69" s="255"/>
      <c r="C69" s="45"/>
      <c r="D69" s="701"/>
      <c r="E69" s="59"/>
      <c r="F69" s="59"/>
      <c r="G69" s="59"/>
      <c r="H69" s="59"/>
      <c r="I69" s="179" t="s">
        <v>111</v>
      </c>
      <c r="J69" s="168">
        <v>1</v>
      </c>
      <c r="K69" s="168">
        <v>1</v>
      </c>
      <c r="L69" s="81">
        <v>1</v>
      </c>
      <c r="M69" s="81">
        <v>1</v>
      </c>
      <c r="N69" s="261"/>
    </row>
    <row r="70" spans="2:17" ht="29.15" customHeight="1" x14ac:dyDescent="0.3">
      <c r="B70" s="255"/>
      <c r="C70" s="45"/>
      <c r="D70" s="701"/>
      <c r="E70" s="59"/>
      <c r="F70" s="59"/>
      <c r="G70" s="59"/>
      <c r="H70" s="59"/>
      <c r="I70" s="180" t="s">
        <v>112</v>
      </c>
      <c r="J70" s="168"/>
      <c r="K70" s="168">
        <v>1</v>
      </c>
      <c r="L70" s="81"/>
      <c r="M70" s="81">
        <v>5</v>
      </c>
      <c r="N70" s="261"/>
    </row>
    <row r="71" spans="2:17" ht="41.25" customHeight="1" thickBot="1" x14ac:dyDescent="0.35">
      <c r="B71" s="349"/>
      <c r="C71" s="339" t="s">
        <v>31</v>
      </c>
      <c r="D71" s="420" t="s">
        <v>113</v>
      </c>
      <c r="E71" s="340">
        <v>43.2</v>
      </c>
      <c r="F71" s="340"/>
      <c r="G71" s="340"/>
      <c r="H71" s="340"/>
      <c r="I71" s="339" t="s">
        <v>114</v>
      </c>
      <c r="J71" s="421">
        <v>1</v>
      </c>
      <c r="K71" s="421"/>
      <c r="L71" s="422"/>
      <c r="M71" s="422"/>
      <c r="N71" s="423"/>
    </row>
    <row r="72" spans="2:17" ht="43.9" customHeight="1" x14ac:dyDescent="0.3">
      <c r="B72" s="690" t="s">
        <v>115</v>
      </c>
      <c r="C72" s="333" t="s">
        <v>116</v>
      </c>
      <c r="D72" s="718" t="s">
        <v>117</v>
      </c>
      <c r="E72" s="345"/>
      <c r="F72" s="345"/>
      <c r="G72" s="345"/>
      <c r="H72" s="345"/>
      <c r="I72" s="336" t="s">
        <v>118</v>
      </c>
      <c r="J72" s="354">
        <v>8.9</v>
      </c>
      <c r="K72" s="354">
        <v>8.9</v>
      </c>
      <c r="L72" s="345">
        <v>8.9</v>
      </c>
      <c r="M72" s="345">
        <v>8.9</v>
      </c>
      <c r="N72" s="424"/>
    </row>
    <row r="73" spans="2:17" ht="28.5" customHeight="1" x14ac:dyDescent="0.3">
      <c r="B73" s="691"/>
      <c r="C73" s="45" t="s">
        <v>31</v>
      </c>
      <c r="D73" s="701"/>
      <c r="E73" s="59">
        <f>6197.4+305.2</f>
        <v>6502.5999999999995</v>
      </c>
      <c r="F73" s="59">
        <f>6525-200</f>
        <v>6325</v>
      </c>
      <c r="G73" s="59">
        <f>7104.5-779.5</f>
        <v>6325</v>
      </c>
      <c r="H73" s="59">
        <f>8147.7-1822.7</f>
        <v>6325</v>
      </c>
      <c r="I73" s="155" t="s">
        <v>119</v>
      </c>
      <c r="J73" s="156">
        <v>8</v>
      </c>
      <c r="K73" s="156">
        <v>8</v>
      </c>
      <c r="L73" s="173">
        <v>8</v>
      </c>
      <c r="M73" s="173">
        <v>8</v>
      </c>
      <c r="N73" s="257"/>
      <c r="P73" s="677"/>
      <c r="Q73" s="677"/>
    </row>
    <row r="74" spans="2:17" ht="31.9" customHeight="1" x14ac:dyDescent="0.3">
      <c r="B74" s="692"/>
      <c r="C74" s="339" t="s">
        <v>120</v>
      </c>
      <c r="D74" s="719"/>
      <c r="E74" s="332">
        <v>46.8</v>
      </c>
      <c r="F74" s="332">
        <v>18.399999999999999</v>
      </c>
      <c r="G74" s="332"/>
      <c r="H74" s="332"/>
      <c r="I74" s="425" t="s">
        <v>121</v>
      </c>
      <c r="J74" s="359">
        <v>730</v>
      </c>
      <c r="K74" s="359"/>
      <c r="L74" s="359"/>
      <c r="M74" s="359"/>
      <c r="N74" s="398"/>
    </row>
    <row r="75" spans="2:17" ht="28.5" customHeight="1" x14ac:dyDescent="0.3">
      <c r="B75" s="690" t="s">
        <v>122</v>
      </c>
      <c r="C75" s="333" t="s">
        <v>123</v>
      </c>
      <c r="D75" s="701" t="s">
        <v>51</v>
      </c>
      <c r="E75" s="345"/>
      <c r="F75" s="345"/>
      <c r="G75" s="345"/>
      <c r="H75" s="345"/>
      <c r="I75" s="392" t="s">
        <v>124</v>
      </c>
      <c r="J75" s="337">
        <v>10</v>
      </c>
      <c r="K75" s="337">
        <v>13</v>
      </c>
      <c r="L75" s="337">
        <v>13</v>
      </c>
      <c r="M75" s="337">
        <v>13</v>
      </c>
      <c r="N75" s="424"/>
    </row>
    <row r="76" spans="2:17" ht="27.75" customHeight="1" x14ac:dyDescent="0.3">
      <c r="B76" s="691"/>
      <c r="C76" s="45" t="s">
        <v>31</v>
      </c>
      <c r="D76" s="701"/>
      <c r="E76" s="28">
        <f>998.5-132-72-132</f>
        <v>662.5</v>
      </c>
      <c r="F76" s="112">
        <v>409.5</v>
      </c>
      <c r="G76" s="112">
        <v>218.4</v>
      </c>
      <c r="H76" s="112">
        <v>221.4</v>
      </c>
      <c r="I76" s="161" t="s">
        <v>125</v>
      </c>
      <c r="J76" s="163">
        <v>790</v>
      </c>
      <c r="K76" s="163">
        <v>850</v>
      </c>
      <c r="L76" s="163">
        <v>850</v>
      </c>
      <c r="M76" s="163">
        <v>850</v>
      </c>
      <c r="N76" s="257"/>
    </row>
    <row r="77" spans="2:17" ht="18" customHeight="1" x14ac:dyDescent="0.3">
      <c r="B77" s="692"/>
      <c r="C77" s="339" t="s">
        <v>99</v>
      </c>
      <c r="D77" s="701"/>
      <c r="E77" s="385">
        <v>2.5</v>
      </c>
      <c r="F77" s="426">
        <v>2.5</v>
      </c>
      <c r="G77" s="426">
        <v>2.6</v>
      </c>
      <c r="H77" s="426">
        <v>2.7</v>
      </c>
      <c r="I77" s="397" t="s">
        <v>126</v>
      </c>
      <c r="J77" s="427">
        <v>1</v>
      </c>
      <c r="K77" s="359">
        <v>2</v>
      </c>
      <c r="L77" s="428"/>
      <c r="M77" s="359"/>
      <c r="N77" s="398" t="s">
        <v>127</v>
      </c>
    </row>
    <row r="78" spans="2:17" ht="45" customHeight="1" x14ac:dyDescent="0.3">
      <c r="B78" s="698" t="s">
        <v>128</v>
      </c>
      <c r="C78" s="333" t="s">
        <v>129</v>
      </c>
      <c r="D78" s="701"/>
      <c r="E78" s="28"/>
      <c r="F78" s="28"/>
      <c r="G78" s="28"/>
      <c r="H78" s="28"/>
      <c r="I78" s="166" t="s">
        <v>130</v>
      </c>
      <c r="J78" s="163">
        <v>970</v>
      </c>
      <c r="K78" s="163">
        <v>970</v>
      </c>
      <c r="L78" s="163">
        <v>970</v>
      </c>
      <c r="M78" s="163">
        <v>970</v>
      </c>
      <c r="N78" s="272"/>
    </row>
    <row r="79" spans="2:17" ht="29.25" customHeight="1" x14ac:dyDescent="0.3">
      <c r="B79" s="699"/>
      <c r="C79" s="45" t="s">
        <v>31</v>
      </c>
      <c r="D79" s="701"/>
      <c r="E79" s="28">
        <f>175+68-17.3</f>
        <v>225.7</v>
      </c>
      <c r="F79" s="112">
        <v>208.5</v>
      </c>
      <c r="G79" s="112">
        <v>196.5</v>
      </c>
      <c r="H79" s="112">
        <v>190</v>
      </c>
      <c r="I79" s="164" t="s">
        <v>131</v>
      </c>
      <c r="J79" s="163">
        <v>550</v>
      </c>
      <c r="K79" s="163">
        <v>550</v>
      </c>
      <c r="L79" s="163">
        <v>550</v>
      </c>
      <c r="M79" s="163">
        <v>550</v>
      </c>
      <c r="N79" s="257"/>
    </row>
    <row r="80" spans="2:17" ht="29.25" customHeight="1" x14ac:dyDescent="0.3">
      <c r="B80" s="699"/>
      <c r="C80" s="45"/>
      <c r="D80" s="701"/>
      <c r="E80" s="28"/>
      <c r="F80" s="112"/>
      <c r="G80" s="112"/>
      <c r="H80" s="112"/>
      <c r="I80" s="164" t="s">
        <v>132</v>
      </c>
      <c r="J80" s="163">
        <v>2</v>
      </c>
      <c r="K80" s="163">
        <v>2</v>
      </c>
      <c r="L80" s="163"/>
      <c r="M80" s="163"/>
      <c r="N80" s="257"/>
    </row>
    <row r="81" spans="2:14" ht="29.25" customHeight="1" x14ac:dyDescent="0.3">
      <c r="B81" s="700"/>
      <c r="C81" s="339"/>
      <c r="D81" s="701"/>
      <c r="E81" s="342"/>
      <c r="F81" s="394"/>
      <c r="G81" s="394"/>
      <c r="H81" s="394"/>
      <c r="I81" s="399" t="s">
        <v>133</v>
      </c>
      <c r="J81" s="359">
        <v>16</v>
      </c>
      <c r="K81" s="359">
        <v>16</v>
      </c>
      <c r="L81" s="359">
        <v>16</v>
      </c>
      <c r="M81" s="359"/>
      <c r="N81" s="398"/>
    </row>
    <row r="82" spans="2:14" ht="30" customHeight="1" x14ac:dyDescent="0.3">
      <c r="B82" s="698" t="s">
        <v>134</v>
      </c>
      <c r="C82" s="333" t="s">
        <v>135</v>
      </c>
      <c r="D82" s="701"/>
      <c r="E82" s="345"/>
      <c r="F82" s="345"/>
      <c r="G82" s="345"/>
      <c r="H82" s="345"/>
      <c r="I82" s="405" t="s">
        <v>136</v>
      </c>
      <c r="J82" s="337">
        <v>8</v>
      </c>
      <c r="K82" s="337">
        <v>3</v>
      </c>
      <c r="L82" s="337">
        <v>2</v>
      </c>
      <c r="M82" s="337">
        <v>2</v>
      </c>
      <c r="N82" s="424"/>
    </row>
    <row r="83" spans="2:14" ht="29.25" customHeight="1" x14ac:dyDescent="0.3">
      <c r="B83" s="700"/>
      <c r="C83" s="339" t="s">
        <v>31</v>
      </c>
      <c r="D83" s="702"/>
      <c r="E83" s="332">
        <f>193-52+19-16.1</f>
        <v>143.9</v>
      </c>
      <c r="F83" s="332">
        <v>363</v>
      </c>
      <c r="G83" s="332">
        <v>210</v>
      </c>
      <c r="H83" s="332">
        <v>210</v>
      </c>
      <c r="I83" s="293"/>
      <c r="J83" s="293"/>
      <c r="K83" s="293"/>
      <c r="L83" s="293"/>
      <c r="M83" s="293"/>
      <c r="N83" s="294"/>
    </row>
    <row r="84" spans="2:14" ht="24" customHeight="1" x14ac:dyDescent="0.3">
      <c r="B84" s="725" t="s">
        <v>137</v>
      </c>
      <c r="C84" s="333" t="s">
        <v>138</v>
      </c>
      <c r="D84" s="729" t="s">
        <v>78</v>
      </c>
      <c r="E84" s="28"/>
      <c r="F84" s="28"/>
      <c r="G84" s="28"/>
      <c r="H84" s="28"/>
      <c r="I84" s="160" t="s">
        <v>139</v>
      </c>
      <c r="J84" s="137">
        <v>10</v>
      </c>
      <c r="K84" s="137">
        <v>10</v>
      </c>
      <c r="L84" s="143">
        <v>10</v>
      </c>
      <c r="M84" s="143">
        <v>10</v>
      </c>
      <c r="N84" s="272"/>
    </row>
    <row r="85" spans="2:14" ht="61.15" customHeight="1" x14ac:dyDescent="0.3">
      <c r="B85" s="726"/>
      <c r="C85" s="57" t="s">
        <v>31</v>
      </c>
      <c r="D85" s="730"/>
      <c r="E85" s="47">
        <f>48.9-8</f>
        <v>40.9</v>
      </c>
      <c r="F85" s="47">
        <v>46.2</v>
      </c>
      <c r="G85" s="47">
        <v>50.1</v>
      </c>
      <c r="H85" s="47">
        <v>50.8</v>
      </c>
      <c r="I85" s="155" t="s">
        <v>140</v>
      </c>
      <c r="J85" s="137">
        <v>50</v>
      </c>
      <c r="K85" s="137">
        <v>50</v>
      </c>
      <c r="L85" s="142">
        <v>50</v>
      </c>
      <c r="M85" s="142">
        <v>50</v>
      </c>
      <c r="N85" s="257"/>
    </row>
    <row r="86" spans="2:14" ht="29.25" customHeight="1" x14ac:dyDescent="0.3">
      <c r="B86" s="727"/>
      <c r="C86" s="391"/>
      <c r="D86" s="731"/>
      <c r="E86" s="342"/>
      <c r="F86" s="342"/>
      <c r="G86" s="342"/>
      <c r="H86" s="342"/>
      <c r="I86" s="425" t="s">
        <v>141</v>
      </c>
      <c r="J86" s="421">
        <v>2</v>
      </c>
      <c r="K86" s="421">
        <v>10</v>
      </c>
      <c r="L86" s="422">
        <v>10</v>
      </c>
      <c r="M86" s="422">
        <v>10</v>
      </c>
      <c r="N86" s="398"/>
    </row>
    <row r="87" spans="2:14" ht="18" customHeight="1" x14ac:dyDescent="0.3">
      <c r="B87" s="773" t="s">
        <v>142</v>
      </c>
      <c r="C87" s="37" t="s">
        <v>143</v>
      </c>
      <c r="D87" s="766" t="s">
        <v>51</v>
      </c>
      <c r="E87" s="28"/>
      <c r="F87" s="28"/>
      <c r="G87" s="28"/>
      <c r="H87" s="28"/>
      <c r="I87" s="429" t="s">
        <v>56</v>
      </c>
      <c r="J87" s="163"/>
      <c r="K87" s="163">
        <v>1</v>
      </c>
      <c r="L87" s="203"/>
      <c r="M87" s="203"/>
      <c r="N87" s="273"/>
    </row>
    <row r="88" spans="2:14" ht="29.25" customHeight="1" x14ac:dyDescent="0.3">
      <c r="B88" s="720"/>
      <c r="C88" s="431" t="s">
        <v>31</v>
      </c>
      <c r="D88" s="742"/>
      <c r="E88" s="332">
        <f>43-13</f>
        <v>30</v>
      </c>
      <c r="F88" s="332">
        <v>822.5</v>
      </c>
      <c r="G88" s="385"/>
      <c r="H88" s="385"/>
      <c r="I88" s="432" t="s">
        <v>37</v>
      </c>
      <c r="J88" s="359"/>
      <c r="K88" s="359">
        <v>100</v>
      </c>
      <c r="L88" s="396"/>
      <c r="M88" s="396"/>
      <c r="N88" s="423"/>
    </row>
    <row r="89" spans="2:14" ht="18" customHeight="1" x14ac:dyDescent="0.3">
      <c r="B89" s="690" t="s">
        <v>144</v>
      </c>
      <c r="C89" s="433" t="s">
        <v>145</v>
      </c>
      <c r="D89" s="675"/>
      <c r="E89" s="434"/>
      <c r="F89" s="434"/>
      <c r="G89" s="434"/>
      <c r="H89" s="434"/>
      <c r="I89" s="435" t="s">
        <v>146</v>
      </c>
      <c r="J89" s="436"/>
      <c r="K89" s="437"/>
      <c r="L89" s="337">
        <v>1</v>
      </c>
      <c r="M89" s="436"/>
      <c r="N89" s="438"/>
    </row>
    <row r="90" spans="2:14" ht="45.75" customHeight="1" x14ac:dyDescent="0.3">
      <c r="B90" s="691"/>
      <c r="C90" s="45" t="s">
        <v>31</v>
      </c>
      <c r="D90" s="674" t="s">
        <v>55</v>
      </c>
      <c r="E90" s="61">
        <v>10</v>
      </c>
      <c r="F90" s="126">
        <v>20</v>
      </c>
      <c r="G90" s="126">
        <v>5</v>
      </c>
      <c r="H90" s="126">
        <v>70</v>
      </c>
      <c r="I90" s="429" t="s">
        <v>147</v>
      </c>
      <c r="J90" s="204">
        <v>100</v>
      </c>
      <c r="K90" s="186"/>
      <c r="L90" s="156"/>
      <c r="M90" s="173"/>
      <c r="N90" s="254"/>
    </row>
    <row r="91" spans="2:14" ht="51" customHeight="1" x14ac:dyDescent="0.3">
      <c r="B91" s="692"/>
      <c r="C91" s="679" t="s">
        <v>148</v>
      </c>
      <c r="D91" s="673" t="s">
        <v>149</v>
      </c>
      <c r="E91" s="439"/>
      <c r="F91" s="440"/>
      <c r="G91" s="440">
        <v>135</v>
      </c>
      <c r="H91" s="440"/>
      <c r="I91" s="182" t="s">
        <v>37</v>
      </c>
      <c r="J91" s="173"/>
      <c r="K91" s="186"/>
      <c r="L91" s="156"/>
      <c r="M91" s="173">
        <v>100</v>
      </c>
      <c r="N91" s="423"/>
    </row>
    <row r="92" spans="2:14" ht="30" customHeight="1" x14ac:dyDescent="0.3">
      <c r="B92" s="690" t="s">
        <v>150</v>
      </c>
      <c r="C92" s="442" t="s">
        <v>151</v>
      </c>
      <c r="D92" s="770" t="s">
        <v>51</v>
      </c>
      <c r="E92" s="434"/>
      <c r="F92" s="434"/>
      <c r="G92" s="434"/>
      <c r="H92" s="443"/>
      <c r="I92" s="444" t="s">
        <v>152</v>
      </c>
      <c r="J92" s="436"/>
      <c r="K92" s="436">
        <v>100</v>
      </c>
      <c r="L92" s="337"/>
      <c r="M92" s="393"/>
      <c r="N92" s="445"/>
    </row>
    <row r="93" spans="2:14" ht="30" customHeight="1" x14ac:dyDescent="0.3">
      <c r="B93" s="691"/>
      <c r="C93" s="183" t="s">
        <v>31</v>
      </c>
      <c r="D93" s="771"/>
      <c r="E93" s="191">
        <f>0+449.8+113-13.3</f>
        <v>549.5</v>
      </c>
      <c r="F93" s="192">
        <v>347</v>
      </c>
      <c r="G93" s="193">
        <v>347</v>
      </c>
      <c r="H93" s="191"/>
      <c r="I93" s="197" t="s">
        <v>153</v>
      </c>
      <c r="J93" s="198"/>
      <c r="K93" s="198">
        <v>100</v>
      </c>
      <c r="L93" s="199"/>
      <c r="M93" s="200"/>
      <c r="N93" s="262"/>
    </row>
    <row r="94" spans="2:14" ht="30" customHeight="1" x14ac:dyDescent="0.3">
      <c r="B94" s="691"/>
      <c r="C94" s="45"/>
      <c r="D94" s="771"/>
      <c r="E94" s="47"/>
      <c r="F94" s="47"/>
      <c r="G94" s="113"/>
      <c r="H94" s="47"/>
      <c r="I94" s="197" t="s">
        <v>154</v>
      </c>
      <c r="J94" s="198"/>
      <c r="K94" s="198"/>
      <c r="L94" s="199">
        <v>100</v>
      </c>
      <c r="M94" s="198"/>
      <c r="N94" s="262"/>
    </row>
    <row r="95" spans="2:14" ht="30" customHeight="1" x14ac:dyDescent="0.3">
      <c r="B95" s="691"/>
      <c r="C95" s="45"/>
      <c r="D95" s="771"/>
      <c r="E95" s="47"/>
      <c r="F95" s="47"/>
      <c r="G95" s="113"/>
      <c r="H95" s="47"/>
      <c r="I95" s="197" t="s">
        <v>155</v>
      </c>
      <c r="J95" s="198">
        <v>100</v>
      </c>
      <c r="K95" s="198"/>
      <c r="L95" s="199"/>
      <c r="M95" s="200"/>
      <c r="N95" s="262"/>
    </row>
    <row r="96" spans="2:14" ht="30" customHeight="1" thickBot="1" x14ac:dyDescent="0.35">
      <c r="B96" s="692"/>
      <c r="C96" s="339"/>
      <c r="D96" s="772"/>
      <c r="E96" s="342"/>
      <c r="F96" s="342"/>
      <c r="G96" s="394"/>
      <c r="H96" s="342"/>
      <c r="I96" s="446" t="s">
        <v>156</v>
      </c>
      <c r="J96" s="441">
        <v>100</v>
      </c>
      <c r="K96" s="441"/>
      <c r="L96" s="359"/>
      <c r="M96" s="396"/>
      <c r="N96" s="423"/>
    </row>
    <row r="97" spans="2:20" ht="27" customHeight="1" x14ac:dyDescent="0.3">
      <c r="B97" s="263"/>
      <c r="C97" s="194" t="s">
        <v>157</v>
      </c>
      <c r="D97" s="195"/>
      <c r="E97" s="64">
        <f>+E99+E101+E102+E103+E100</f>
        <v>16628.099999999999</v>
      </c>
      <c r="F97" s="64">
        <f t="shared" ref="F97:H97" si="0">+F99+F101+F102+F103+F100</f>
        <v>24705.000000000004</v>
      </c>
      <c r="G97" s="64">
        <f t="shared" si="0"/>
        <v>24566.65</v>
      </c>
      <c r="H97" s="64">
        <f t="shared" si="0"/>
        <v>26751.65</v>
      </c>
      <c r="I97" s="196"/>
      <c r="J97" s="196"/>
      <c r="K97" s="196"/>
      <c r="L97" s="196"/>
      <c r="M97" s="196"/>
      <c r="N97" s="264"/>
    </row>
    <row r="98" spans="2:20" ht="17.25" customHeight="1" x14ac:dyDescent="0.3">
      <c r="B98" s="767"/>
      <c r="C98" s="65" t="s">
        <v>158</v>
      </c>
      <c r="D98" s="66"/>
      <c r="E98" s="67"/>
      <c r="F98" s="67"/>
      <c r="G98" s="68"/>
      <c r="H98" s="68"/>
      <c r="I98" s="157"/>
      <c r="J98" s="157"/>
      <c r="K98" s="157"/>
      <c r="L98" s="157"/>
      <c r="M98" s="157"/>
      <c r="N98" s="254"/>
    </row>
    <row r="99" spans="2:20" ht="27.75" customHeight="1" x14ac:dyDescent="0.3">
      <c r="B99" s="768"/>
      <c r="C99" s="69" t="s">
        <v>159</v>
      </c>
      <c r="D99" s="70"/>
      <c r="E99" s="71">
        <f>SUMIF($C13:$C93,$C18,E13:E93)</f>
        <v>14090.8</v>
      </c>
      <c r="F99" s="71">
        <f>SUMIF($C13:$C93,$C18,F13:F93)</f>
        <v>15760.900000000001</v>
      </c>
      <c r="G99" s="71">
        <f>SUMIF($C13:$C93,$C18,G13:G93)</f>
        <v>13614.15</v>
      </c>
      <c r="H99" s="71">
        <f>SUMIF($C13:$C93,$C18,H13:H93)</f>
        <v>21927.95</v>
      </c>
      <c r="I99" s="157"/>
      <c r="J99" s="157"/>
      <c r="K99" s="157"/>
      <c r="L99" s="157"/>
      <c r="M99" s="157"/>
      <c r="N99" s="254"/>
    </row>
    <row r="100" spans="2:20" ht="27.75" customHeight="1" x14ac:dyDescent="0.3">
      <c r="B100" s="768"/>
      <c r="C100" s="69" t="s">
        <v>160</v>
      </c>
      <c r="D100" s="70"/>
      <c r="E100" s="71">
        <f>SUMIF($C13:$C93,$C21,E13:E93)</f>
        <v>878.3</v>
      </c>
      <c r="F100" s="71">
        <f>SUMIF($C13:$C93,$C21,F13:F93)</f>
        <v>5143.7</v>
      </c>
      <c r="G100" s="71">
        <f>SUMIF($C13:$C93,$C21,G13:G93)</f>
        <v>2565.5</v>
      </c>
      <c r="H100" s="71">
        <f>SUMIF($C13:$C93,$C21,H13:H93)</f>
        <v>0</v>
      </c>
      <c r="I100" s="157"/>
      <c r="J100" s="157"/>
      <c r="K100" s="157"/>
      <c r="L100" s="157"/>
      <c r="M100" s="157"/>
      <c r="N100" s="254"/>
    </row>
    <row r="101" spans="2:20" ht="15" customHeight="1" x14ac:dyDescent="0.3">
      <c r="B101" s="768"/>
      <c r="C101" s="56" t="s">
        <v>161</v>
      </c>
      <c r="D101" s="70"/>
      <c r="E101" s="71">
        <f>SUMIF($C13:$C93,$C58,E13:E93)</f>
        <v>22.3</v>
      </c>
      <c r="F101" s="71">
        <f>SUMIF($C13:$C93,$C58,F13:F93)</f>
        <v>23.7</v>
      </c>
      <c r="G101" s="71">
        <f>SUMIF($C13:$C93,$C58,G13:G93)</f>
        <v>23.8</v>
      </c>
      <c r="H101" s="71">
        <f>SUMIF($C13:$C93,$C58,H13:H93)</f>
        <v>23.9</v>
      </c>
      <c r="I101" s="157"/>
      <c r="J101" s="157"/>
      <c r="K101" s="157"/>
      <c r="L101" s="157"/>
      <c r="M101" s="157"/>
      <c r="N101" s="254"/>
    </row>
    <row r="102" spans="2:20" ht="16.5" customHeight="1" x14ac:dyDescent="0.3">
      <c r="B102" s="768"/>
      <c r="C102" s="69" t="s">
        <v>162</v>
      </c>
      <c r="D102" s="70"/>
      <c r="E102" s="71">
        <f>SUMIF($C13:$C93,$C15,E13:E93)</f>
        <v>1576.9999999999998</v>
      </c>
      <c r="F102" s="71">
        <f>SUMIF($C13:$C93,$C15,F13:F93)</f>
        <v>776.7</v>
      </c>
      <c r="G102" s="71">
        <f>SUMIF($C13:$C93,$C15,G13:G93)</f>
        <v>8363.2000000000007</v>
      </c>
      <c r="H102" s="71">
        <f>SUMIF($C13:$C93,$C15,H13:H93)</f>
        <v>4799.8</v>
      </c>
      <c r="I102" s="157"/>
      <c r="J102" s="157"/>
      <c r="K102" s="157"/>
      <c r="L102" s="157"/>
      <c r="M102" s="157"/>
      <c r="N102" s="266"/>
    </row>
    <row r="103" spans="2:20" ht="15.75" customHeight="1" x14ac:dyDescent="0.3">
      <c r="B103" s="769"/>
      <c r="C103" s="69" t="s">
        <v>163</v>
      </c>
      <c r="D103" s="140"/>
      <c r="E103" s="71">
        <f>SUMIF($C13:$C93,$C16,E13:E93)</f>
        <v>59.699999999999818</v>
      </c>
      <c r="F103" s="71">
        <f>SUMIF($C13:$C93,$C16,F13:F93)</f>
        <v>3000</v>
      </c>
      <c r="G103" s="71">
        <f>SUMIF($C13:$C93,$C16,G13:G93)</f>
        <v>0</v>
      </c>
      <c r="H103" s="71">
        <f>SUMIF($C13:$C93,$C16,H13:H93)</f>
        <v>0</v>
      </c>
      <c r="I103" s="157"/>
      <c r="J103" s="157"/>
      <c r="K103" s="157"/>
      <c r="L103" s="157"/>
      <c r="M103" s="157"/>
      <c r="N103" s="266"/>
    </row>
    <row r="104" spans="2:20" ht="17.25" customHeight="1" x14ac:dyDescent="0.3">
      <c r="B104" s="267"/>
      <c r="C104" s="268" t="s">
        <v>164</v>
      </c>
      <c r="D104" s="72"/>
      <c r="E104" s="73">
        <f>+E107+E106</f>
        <v>46.8</v>
      </c>
      <c r="F104" s="73">
        <f t="shared" ref="F104:H104" si="1">+F107+F106</f>
        <v>18.399999999999999</v>
      </c>
      <c r="G104" s="73">
        <f t="shared" si="1"/>
        <v>135</v>
      </c>
      <c r="H104" s="73">
        <f t="shared" si="1"/>
        <v>0</v>
      </c>
      <c r="I104" s="188"/>
      <c r="J104" s="189"/>
      <c r="K104" s="189"/>
      <c r="L104" s="189"/>
      <c r="M104" s="189"/>
      <c r="N104" s="269"/>
    </row>
    <row r="105" spans="2:20" s="27" customFormat="1" ht="17.25" customHeight="1" x14ac:dyDescent="0.3">
      <c r="B105" s="743"/>
      <c r="C105" s="29" t="s">
        <v>165</v>
      </c>
      <c r="D105" s="115"/>
      <c r="E105" s="42"/>
      <c r="F105" s="42"/>
      <c r="G105" s="43"/>
      <c r="H105" s="43"/>
      <c r="I105" s="201"/>
      <c r="J105" s="201"/>
      <c r="K105" s="201"/>
      <c r="L105" s="201"/>
      <c r="M105" s="201"/>
      <c r="N105" s="270"/>
      <c r="O105" s="6"/>
      <c r="P105" s="6"/>
      <c r="Q105" s="6"/>
      <c r="R105" s="6"/>
      <c r="S105" s="6"/>
      <c r="T105" s="6"/>
    </row>
    <row r="106" spans="2:20" s="27" customFormat="1" ht="17.25" customHeight="1" x14ac:dyDescent="0.3">
      <c r="B106" s="744"/>
      <c r="C106" s="676" t="s">
        <v>166</v>
      </c>
      <c r="D106" s="450"/>
      <c r="E106" s="71">
        <f>SUMIF($C14:$C93,$C91,E14:E93)</f>
        <v>0</v>
      </c>
      <c r="F106" s="71">
        <f>SUMIF($C14:$C93,$C91,F14:F93)</f>
        <v>0</v>
      </c>
      <c r="G106" s="71">
        <f>SUMIF($C14:$C93,$C91,G14:G93)</f>
        <v>135</v>
      </c>
      <c r="H106" s="71">
        <f>SUMIF($C14:$C93,$C91,H14:H93)</f>
        <v>0</v>
      </c>
      <c r="I106" s="201"/>
      <c r="J106" s="201"/>
      <c r="K106" s="201"/>
      <c r="L106" s="201"/>
      <c r="M106" s="201"/>
      <c r="N106" s="270"/>
      <c r="O106" s="6"/>
      <c r="P106" s="6"/>
      <c r="Q106" s="6"/>
      <c r="R106" s="6"/>
      <c r="S106" s="6"/>
      <c r="T106" s="6"/>
    </row>
    <row r="107" spans="2:20" ht="15.75" customHeight="1" thickBot="1" x14ac:dyDescent="0.35">
      <c r="B107" s="759"/>
      <c r="C107" s="448" t="s">
        <v>167</v>
      </c>
      <c r="D107" s="401"/>
      <c r="E107" s="449">
        <f>SUMIF($C14:$C93,$C74,E14:E93)</f>
        <v>46.8</v>
      </c>
      <c r="F107" s="449">
        <f>SUMIF($C14:$C93,$C74,F14:F93)</f>
        <v>18.399999999999999</v>
      </c>
      <c r="G107" s="449">
        <f>SUMIF($C14:$C93,$C74,G14:G93)</f>
        <v>0</v>
      </c>
      <c r="H107" s="449">
        <f>SUMIF($C14:$C93,$C74,H14:H93)</f>
        <v>0</v>
      </c>
      <c r="I107" s="293"/>
      <c r="J107" s="293"/>
      <c r="K107" s="293"/>
      <c r="L107" s="293"/>
      <c r="M107" s="293"/>
      <c r="N107" s="294"/>
    </row>
    <row r="108" spans="2:20" ht="30.65" customHeight="1" thickBot="1" x14ac:dyDescent="0.35">
      <c r="B108" s="321" t="s">
        <v>168</v>
      </c>
      <c r="C108" s="322" t="s">
        <v>169</v>
      </c>
      <c r="D108" s="451"/>
      <c r="E108" s="452"/>
      <c r="F108" s="452"/>
      <c r="G108" s="325"/>
      <c r="H108" s="325"/>
      <c r="I108" s="452"/>
      <c r="J108" s="325"/>
      <c r="K108" s="325"/>
      <c r="L108" s="452"/>
      <c r="M108" s="325"/>
      <c r="N108" s="326"/>
    </row>
    <row r="109" spans="2:20" ht="31.15" customHeight="1" x14ac:dyDescent="0.3">
      <c r="B109" s="790" t="s">
        <v>170</v>
      </c>
      <c r="C109" s="375" t="s">
        <v>171</v>
      </c>
      <c r="D109" s="693" t="s">
        <v>51</v>
      </c>
      <c r="E109" s="334"/>
      <c r="F109" s="334"/>
      <c r="G109" s="335"/>
      <c r="H109" s="335"/>
      <c r="I109" s="392" t="s">
        <v>172</v>
      </c>
      <c r="J109" s="457">
        <v>22.4</v>
      </c>
      <c r="K109" s="457">
        <v>23.1</v>
      </c>
      <c r="L109" s="457">
        <v>23.5</v>
      </c>
      <c r="M109" s="457">
        <v>24</v>
      </c>
      <c r="N109" s="424" t="s">
        <v>173</v>
      </c>
    </row>
    <row r="110" spans="2:20" ht="28.5" customHeight="1" x14ac:dyDescent="0.3">
      <c r="B110" s="791"/>
      <c r="C110" s="63" t="s">
        <v>31</v>
      </c>
      <c r="D110" s="694"/>
      <c r="E110" s="46">
        <f>4034.3-1786.9</f>
        <v>2247.4</v>
      </c>
      <c r="F110" s="46">
        <f>4040.9-300</f>
        <v>3740.9</v>
      </c>
      <c r="G110" s="46">
        <f>4196.9-2983.6-456</f>
        <v>757.29999999999973</v>
      </c>
      <c r="H110" s="46">
        <f>4411.2-670.3</f>
        <v>3740.8999999999996</v>
      </c>
      <c r="I110" s="164" t="s">
        <v>174</v>
      </c>
      <c r="J110" s="202">
        <v>7.4</v>
      </c>
      <c r="K110" s="202">
        <v>7.2</v>
      </c>
      <c r="L110" s="202">
        <v>7</v>
      </c>
      <c r="M110" s="202">
        <v>6.8</v>
      </c>
      <c r="N110" s="272" t="s">
        <v>175</v>
      </c>
      <c r="P110" s="677"/>
      <c r="Q110" s="677"/>
      <c r="R110" s="7"/>
    </row>
    <row r="111" spans="2:20" ht="18" customHeight="1" thickBot="1" x14ac:dyDescent="0.35">
      <c r="B111" s="792"/>
      <c r="C111" s="339" t="s">
        <v>32</v>
      </c>
      <c r="D111" s="747"/>
      <c r="E111" s="330">
        <f>1786.9-238.3</f>
        <v>1548.6000000000001</v>
      </c>
      <c r="F111" s="330"/>
      <c r="G111" s="46">
        <v>2983.6</v>
      </c>
      <c r="H111" s="332"/>
      <c r="I111" s="293"/>
      <c r="J111" s="293"/>
      <c r="K111" s="293"/>
      <c r="L111" s="293"/>
      <c r="M111" s="293"/>
      <c r="N111" s="294"/>
    </row>
    <row r="112" spans="2:20" ht="30.65" customHeight="1" x14ac:dyDescent="0.3">
      <c r="B112" s="796" t="s">
        <v>176</v>
      </c>
      <c r="C112" s="453" t="s">
        <v>177</v>
      </c>
      <c r="D112" s="747"/>
      <c r="E112" s="344"/>
      <c r="F112" s="458"/>
      <c r="G112" s="345"/>
      <c r="H112" s="345"/>
      <c r="I112" s="435" t="s">
        <v>174</v>
      </c>
      <c r="J112" s="459">
        <v>0.51</v>
      </c>
      <c r="K112" s="459">
        <v>0.52</v>
      </c>
      <c r="L112" s="459">
        <v>0.54</v>
      </c>
      <c r="M112" s="459">
        <v>0.55000000000000004</v>
      </c>
      <c r="N112" s="424" t="s">
        <v>175</v>
      </c>
    </row>
    <row r="113" spans="2:14" ht="30.75" customHeight="1" thickBot="1" x14ac:dyDescent="0.35">
      <c r="B113" s="797"/>
      <c r="C113" s="454" t="s">
        <v>31</v>
      </c>
      <c r="D113" s="747"/>
      <c r="E113" s="332">
        <f>294.5-65.5</f>
        <v>229</v>
      </c>
      <c r="F113" s="332">
        <v>235.7</v>
      </c>
      <c r="G113" s="332">
        <v>245.2</v>
      </c>
      <c r="H113" s="332">
        <v>255</v>
      </c>
      <c r="I113" s="293"/>
      <c r="J113" s="293"/>
      <c r="K113" s="293"/>
      <c r="L113" s="293"/>
      <c r="M113" s="293"/>
      <c r="N113" s="294"/>
    </row>
    <row r="114" spans="2:14" ht="36.75" customHeight="1" x14ac:dyDescent="0.3">
      <c r="B114" s="723" t="s">
        <v>178</v>
      </c>
      <c r="C114" s="455" t="s">
        <v>179</v>
      </c>
      <c r="D114" s="694"/>
      <c r="E114" s="458"/>
      <c r="F114" s="458"/>
      <c r="G114" s="345"/>
      <c r="H114" s="345"/>
      <c r="I114" s="461" t="s">
        <v>180</v>
      </c>
      <c r="J114" s="337">
        <v>28</v>
      </c>
      <c r="K114" s="337">
        <v>15</v>
      </c>
      <c r="L114" s="337">
        <v>20</v>
      </c>
      <c r="M114" s="337">
        <v>25</v>
      </c>
      <c r="N114" s="445" t="s">
        <v>173</v>
      </c>
    </row>
    <row r="115" spans="2:14" ht="29.25" customHeight="1" thickBot="1" x14ac:dyDescent="0.35">
      <c r="B115" s="724"/>
      <c r="C115" s="456" t="s">
        <v>31</v>
      </c>
      <c r="D115" s="695"/>
      <c r="E115" s="329">
        <f>799.6+150</f>
        <v>949.6</v>
      </c>
      <c r="F115" s="329">
        <v>731.6</v>
      </c>
      <c r="G115" s="332">
        <v>530</v>
      </c>
      <c r="H115" s="332">
        <v>685</v>
      </c>
      <c r="I115" s="462" t="s">
        <v>181</v>
      </c>
      <c r="J115" s="463"/>
      <c r="K115" s="464" t="s">
        <v>182</v>
      </c>
      <c r="L115" s="464" t="s">
        <v>182</v>
      </c>
      <c r="M115" s="464" t="s">
        <v>182</v>
      </c>
      <c r="N115" s="465" t="s">
        <v>183</v>
      </c>
    </row>
    <row r="116" spans="2:14" ht="19.5" customHeight="1" x14ac:dyDescent="0.3">
      <c r="B116" s="466"/>
      <c r="C116" s="467" t="s">
        <v>157</v>
      </c>
      <c r="D116" s="468"/>
      <c r="E116" s="469">
        <f>+E118+E119</f>
        <v>4974.6000000000004</v>
      </c>
      <c r="F116" s="469">
        <f>+F118+F119</f>
        <v>4708.2</v>
      </c>
      <c r="G116" s="469">
        <f t="shared" ref="G116:H116" si="2">+G118+G119</f>
        <v>4516.0999999999995</v>
      </c>
      <c r="H116" s="469">
        <f t="shared" si="2"/>
        <v>4680.8999999999996</v>
      </c>
      <c r="I116" s="470"/>
      <c r="J116" s="471"/>
      <c r="K116" s="471"/>
      <c r="L116" s="471"/>
      <c r="M116" s="471"/>
      <c r="N116" s="472"/>
    </row>
    <row r="117" spans="2:14" ht="19.5" customHeight="1" x14ac:dyDescent="0.3">
      <c r="B117" s="274"/>
      <c r="C117" s="60" t="s">
        <v>158</v>
      </c>
      <c r="D117" s="78"/>
      <c r="E117" s="42"/>
      <c r="F117" s="42"/>
      <c r="G117" s="42"/>
      <c r="H117" s="42"/>
      <c r="I117" s="157"/>
      <c r="J117" s="157"/>
      <c r="K117" s="157"/>
      <c r="L117" s="157"/>
      <c r="M117" s="157"/>
      <c r="N117" s="254"/>
    </row>
    <row r="118" spans="2:14" ht="27.75" customHeight="1" x14ac:dyDescent="0.3">
      <c r="B118" s="265"/>
      <c r="C118" s="69" t="s">
        <v>159</v>
      </c>
      <c r="D118" s="70"/>
      <c r="E118" s="71">
        <f>SUMIF($C109:$C115,$C110,E109:E115)</f>
        <v>3426</v>
      </c>
      <c r="F118" s="71">
        <f>SUMIF($C109:$C115,$C110,F109:F115)</f>
        <v>4708.2</v>
      </c>
      <c r="G118" s="79">
        <f>SUMIF($C109:$C115,$C110,G109:G115)</f>
        <v>1532.4999999999998</v>
      </c>
      <c r="H118" s="79">
        <f>SUMIF($C109:$C115,$C110,H109:H115)</f>
        <v>4680.8999999999996</v>
      </c>
      <c r="I118" s="157"/>
      <c r="J118" s="157"/>
      <c r="K118" s="157"/>
      <c r="L118" s="157"/>
      <c r="M118" s="157"/>
      <c r="N118" s="254"/>
    </row>
    <row r="119" spans="2:14" ht="20.25" customHeight="1" thickBot="1" x14ac:dyDescent="0.35">
      <c r="B119" s="473"/>
      <c r="C119" s="474" t="s">
        <v>162</v>
      </c>
      <c r="D119" s="475"/>
      <c r="E119" s="449">
        <f t="shared" ref="E119" si="3">SUMIF($C110:$C115,$C111,E110:E115)</f>
        <v>1548.6000000000001</v>
      </c>
      <c r="F119" s="449">
        <f>SUMIF($C110:$C115,$C111,F110:F115)</f>
        <v>0</v>
      </c>
      <c r="G119" s="449">
        <f>SUMIF($C110:$C115,$C111,G110:G115)</f>
        <v>2983.6</v>
      </c>
      <c r="H119" s="449">
        <f>SUMIF($C110:$C115,$C111,H110:H115)</f>
        <v>0</v>
      </c>
      <c r="I119" s="293"/>
      <c r="J119" s="293"/>
      <c r="K119" s="293"/>
      <c r="L119" s="293"/>
      <c r="M119" s="293"/>
      <c r="N119" s="294"/>
    </row>
    <row r="120" spans="2:14" ht="40.5" customHeight="1" thickBot="1" x14ac:dyDescent="0.35">
      <c r="B120" s="476" t="s">
        <v>184</v>
      </c>
      <c r="C120" s="477" t="s">
        <v>185</v>
      </c>
      <c r="D120" s="309"/>
      <c r="E120" s="478"/>
      <c r="F120" s="478"/>
      <c r="G120" s="311"/>
      <c r="H120" s="311"/>
      <c r="I120" s="478"/>
      <c r="J120" s="311"/>
      <c r="K120" s="311"/>
      <c r="L120" s="478"/>
      <c r="M120" s="311"/>
      <c r="N120" s="312"/>
    </row>
    <row r="121" spans="2:14" ht="45" customHeight="1" thickBot="1" x14ac:dyDescent="0.35">
      <c r="B121" s="479"/>
      <c r="C121" s="480"/>
      <c r="D121" s="318"/>
      <c r="E121" s="481"/>
      <c r="F121" s="481"/>
      <c r="G121" s="319"/>
      <c r="H121" s="319"/>
      <c r="I121" s="320" t="s">
        <v>186</v>
      </c>
      <c r="J121" s="482">
        <v>53</v>
      </c>
      <c r="K121" s="482">
        <v>55</v>
      </c>
      <c r="L121" s="483">
        <v>56</v>
      </c>
      <c r="M121" s="483">
        <v>57</v>
      </c>
      <c r="N121" s="484"/>
    </row>
    <row r="122" spans="2:14" ht="30.75" customHeight="1" thickBot="1" x14ac:dyDescent="0.35">
      <c r="B122" s="485" t="s">
        <v>187</v>
      </c>
      <c r="C122" s="486" t="s">
        <v>188</v>
      </c>
      <c r="D122" s="451"/>
      <c r="E122" s="452"/>
      <c r="F122" s="452"/>
      <c r="G122" s="325"/>
      <c r="H122" s="325"/>
      <c r="I122" s="452"/>
      <c r="J122" s="325"/>
      <c r="K122" s="325"/>
      <c r="L122" s="452"/>
      <c r="M122" s="325"/>
      <c r="N122" s="326"/>
    </row>
    <row r="123" spans="2:14" ht="45" customHeight="1" x14ac:dyDescent="0.3">
      <c r="B123" s="725" t="s">
        <v>189</v>
      </c>
      <c r="C123" s="379" t="s">
        <v>190</v>
      </c>
      <c r="D123" s="745" t="s">
        <v>51</v>
      </c>
      <c r="E123" s="334"/>
      <c r="F123" s="334"/>
      <c r="G123" s="335"/>
      <c r="H123" s="492"/>
      <c r="I123" s="405" t="s">
        <v>191</v>
      </c>
      <c r="J123" s="337">
        <v>368</v>
      </c>
      <c r="K123" s="337">
        <v>368</v>
      </c>
      <c r="L123" s="337">
        <v>368</v>
      </c>
      <c r="M123" s="337">
        <v>368</v>
      </c>
      <c r="N123" s="445"/>
    </row>
    <row r="124" spans="2:14" ht="28.5" customHeight="1" x14ac:dyDescent="0.3">
      <c r="B124" s="726"/>
      <c r="C124" s="80" t="s">
        <v>31</v>
      </c>
      <c r="D124" s="746"/>
      <c r="E124" s="47">
        <f>0.7+8.5+1.8+3.2-1.8</f>
        <v>12.399999999999999</v>
      </c>
      <c r="F124" s="113">
        <v>16.100000000000001</v>
      </c>
      <c r="G124" s="113">
        <v>16.100000000000001</v>
      </c>
      <c r="H124" s="113">
        <v>16.100000000000001</v>
      </c>
      <c r="I124" s="164" t="s">
        <v>192</v>
      </c>
      <c r="J124" s="163">
        <v>22</v>
      </c>
      <c r="K124" s="163">
        <v>24</v>
      </c>
      <c r="L124" s="163">
        <v>24</v>
      </c>
      <c r="M124" s="163">
        <v>24</v>
      </c>
      <c r="N124" s="273"/>
    </row>
    <row r="125" spans="2:14" ht="28.5" customHeight="1" thickBot="1" x14ac:dyDescent="0.35">
      <c r="B125" s="727"/>
      <c r="C125" s="456"/>
      <c r="D125" s="747"/>
      <c r="E125" s="332"/>
      <c r="F125" s="357"/>
      <c r="G125" s="357"/>
      <c r="H125" s="357"/>
      <c r="I125" s="399" t="s">
        <v>193</v>
      </c>
      <c r="J125" s="395">
        <v>2</v>
      </c>
      <c r="K125" s="395">
        <v>2</v>
      </c>
      <c r="L125" s="395">
        <v>2</v>
      </c>
      <c r="M125" s="395">
        <v>2</v>
      </c>
      <c r="N125" s="493"/>
    </row>
    <row r="126" spans="2:14" ht="32.5" customHeight="1" x14ac:dyDescent="0.3">
      <c r="B126" s="749" t="s">
        <v>194</v>
      </c>
      <c r="C126" s="487" t="s">
        <v>195</v>
      </c>
      <c r="D126" s="747"/>
      <c r="E126" s="458"/>
      <c r="F126" s="458"/>
      <c r="G126" s="345"/>
      <c r="H126" s="345"/>
      <c r="I126" s="392" t="s">
        <v>196</v>
      </c>
      <c r="J126" s="337">
        <v>18</v>
      </c>
      <c r="K126" s="337">
        <v>18</v>
      </c>
      <c r="L126" s="337">
        <v>18</v>
      </c>
      <c r="M126" s="337">
        <v>18</v>
      </c>
      <c r="N126" s="445" t="s">
        <v>197</v>
      </c>
    </row>
    <row r="127" spans="2:14" ht="30.75" customHeight="1" x14ac:dyDescent="0.3">
      <c r="B127" s="750"/>
      <c r="C127" s="45" t="s">
        <v>31</v>
      </c>
      <c r="D127" s="747"/>
      <c r="E127" s="143">
        <f>950.5-100-183.2+1.8</f>
        <v>669.09999999999991</v>
      </c>
      <c r="F127" s="137">
        <v>536.70000000000005</v>
      </c>
      <c r="G127" s="112">
        <f>970.9-501.4</f>
        <v>469.5</v>
      </c>
      <c r="H127" s="112">
        <f>510-160.5</f>
        <v>349.5</v>
      </c>
      <c r="I127" s="205" t="s">
        <v>198</v>
      </c>
      <c r="J127" s="163">
        <v>3</v>
      </c>
      <c r="K127" s="112">
        <v>3.3</v>
      </c>
      <c r="L127" s="112">
        <v>3.3</v>
      </c>
      <c r="M127" s="208"/>
      <c r="N127" s="273" t="s">
        <v>197</v>
      </c>
    </row>
    <row r="128" spans="2:14" ht="49" customHeight="1" thickBot="1" x14ac:dyDescent="0.35">
      <c r="B128" s="751"/>
      <c r="C128" s="339"/>
      <c r="D128" s="747"/>
      <c r="E128" s="329"/>
      <c r="F128" s="351"/>
      <c r="G128" s="357"/>
      <c r="H128" s="357"/>
      <c r="I128" s="399" t="s">
        <v>199</v>
      </c>
      <c r="J128" s="395">
        <v>100</v>
      </c>
      <c r="K128" s="494"/>
      <c r="L128" s="495"/>
      <c r="M128" s="495"/>
      <c r="N128" s="496" t="s">
        <v>197</v>
      </c>
    </row>
    <row r="129" spans="2:14" ht="30" customHeight="1" x14ac:dyDescent="0.3">
      <c r="B129" s="488" t="s">
        <v>200</v>
      </c>
      <c r="C129" s="489" t="s">
        <v>201</v>
      </c>
      <c r="D129" s="746"/>
      <c r="E129" s="458"/>
      <c r="F129" s="458"/>
      <c r="G129" s="345"/>
      <c r="H129" s="345"/>
      <c r="I129" s="336" t="s">
        <v>202</v>
      </c>
      <c r="J129" s="337"/>
      <c r="K129" s="337"/>
      <c r="L129" s="337">
        <v>75</v>
      </c>
      <c r="M129" s="337">
        <v>100</v>
      </c>
      <c r="N129" s="338" t="s">
        <v>197</v>
      </c>
    </row>
    <row r="130" spans="2:14" ht="30.75" customHeight="1" thickBot="1" x14ac:dyDescent="0.35">
      <c r="B130" s="490"/>
      <c r="C130" s="491" t="s">
        <v>31</v>
      </c>
      <c r="D130" s="748"/>
      <c r="E130" s="329"/>
      <c r="F130" s="351"/>
      <c r="G130" s="357">
        <v>501.4</v>
      </c>
      <c r="H130" s="357">
        <v>160.5</v>
      </c>
      <c r="I130" s="498"/>
      <c r="J130" s="499"/>
      <c r="K130" s="499"/>
      <c r="L130" s="293"/>
      <c r="M130" s="293"/>
      <c r="N130" s="500"/>
    </row>
    <row r="131" spans="2:14" ht="25.5" customHeight="1" thickBot="1" x14ac:dyDescent="0.35">
      <c r="B131" s="502"/>
      <c r="C131" s="503" t="s">
        <v>157</v>
      </c>
      <c r="D131" s="504"/>
      <c r="E131" s="505">
        <f>+E133</f>
        <v>681.49999999999989</v>
      </c>
      <c r="F131" s="505">
        <f>+F133</f>
        <v>552.80000000000007</v>
      </c>
      <c r="G131" s="506">
        <f t="shared" ref="G131:H131" si="4">+G133</f>
        <v>987</v>
      </c>
      <c r="H131" s="506">
        <f t="shared" si="4"/>
        <v>526.1</v>
      </c>
      <c r="I131" s="507"/>
      <c r="J131" s="507"/>
      <c r="K131" s="507"/>
      <c r="L131" s="507"/>
      <c r="M131" s="507"/>
      <c r="N131" s="508"/>
    </row>
    <row r="132" spans="2:14" ht="17.25" customHeight="1" x14ac:dyDescent="0.3">
      <c r="B132" s="768"/>
      <c r="C132" s="82" t="s">
        <v>158</v>
      </c>
      <c r="D132" s="389"/>
      <c r="E132" s="67"/>
      <c r="F132" s="67"/>
      <c r="G132" s="68"/>
      <c r="H132" s="68"/>
      <c r="I132" s="501"/>
      <c r="J132" s="501"/>
      <c r="K132" s="501"/>
      <c r="L132" s="501"/>
      <c r="M132" s="501"/>
      <c r="N132" s="430"/>
    </row>
    <row r="133" spans="2:14" ht="27.75" customHeight="1" x14ac:dyDescent="0.3">
      <c r="B133" s="769"/>
      <c r="C133" s="69" t="s">
        <v>159</v>
      </c>
      <c r="D133" s="36"/>
      <c r="E133" s="75">
        <f>SUMIF($C123:$C130,$C124,E123:E130)</f>
        <v>681.49999999999989</v>
      </c>
      <c r="F133" s="75">
        <f t="shared" ref="F133:H133" si="5">SUMIF($C123:$C130,$C124,F123:F130)</f>
        <v>552.80000000000007</v>
      </c>
      <c r="G133" s="75">
        <f t="shared" si="5"/>
        <v>987</v>
      </c>
      <c r="H133" s="75">
        <f t="shared" si="5"/>
        <v>526.1</v>
      </c>
      <c r="I133" s="157"/>
      <c r="J133" s="157"/>
      <c r="K133" s="157"/>
      <c r="L133" s="157"/>
      <c r="M133" s="157"/>
      <c r="N133" s="254"/>
    </row>
    <row r="134" spans="2:14" ht="18" customHeight="1" x14ac:dyDescent="0.3">
      <c r="B134" s="276"/>
      <c r="C134" s="268" t="s">
        <v>164</v>
      </c>
      <c r="D134" s="85"/>
      <c r="E134" s="73">
        <f>SUM(E136)</f>
        <v>0</v>
      </c>
      <c r="F134" s="73">
        <f t="shared" ref="F134:H134" si="6">SUM(F136)</f>
        <v>0</v>
      </c>
      <c r="G134" s="74">
        <f t="shared" si="6"/>
        <v>0</v>
      </c>
      <c r="H134" s="74">
        <f t="shared" si="6"/>
        <v>0</v>
      </c>
      <c r="I134" s="76"/>
      <c r="J134" s="76"/>
      <c r="K134" s="76"/>
      <c r="L134" s="76"/>
      <c r="M134" s="76"/>
      <c r="N134" s="275"/>
    </row>
    <row r="135" spans="2:14" ht="18" customHeight="1" x14ac:dyDescent="0.3">
      <c r="B135" s="277"/>
      <c r="C135" s="30" t="s">
        <v>165</v>
      </c>
      <c r="D135" s="36"/>
      <c r="E135" s="75"/>
      <c r="F135" s="75"/>
      <c r="G135" s="84"/>
      <c r="H135" s="84"/>
      <c r="I135" s="157"/>
      <c r="J135" s="157"/>
      <c r="K135" s="157"/>
      <c r="L135" s="157"/>
      <c r="M135" s="157"/>
      <c r="N135" s="254"/>
    </row>
    <row r="136" spans="2:14" ht="18" customHeight="1" thickBot="1" x14ac:dyDescent="0.35">
      <c r="B136" s="473"/>
      <c r="C136" s="509" t="s">
        <v>167</v>
      </c>
      <c r="D136" s="474"/>
      <c r="E136" s="510">
        <f>SUMIF($C123:$C130,#REF!,E123:E130)</f>
        <v>0</v>
      </c>
      <c r="F136" s="510">
        <f>SUMIF($C123:$C130,#REF!,F123:F130)</f>
        <v>0</v>
      </c>
      <c r="G136" s="510">
        <f>SUMIF($C123:$C130,#REF!,G123:G130)</f>
        <v>0</v>
      </c>
      <c r="H136" s="510">
        <f>SUMIF($C123:$C130,#REF!,H123:H130)</f>
        <v>0</v>
      </c>
      <c r="I136" s="293"/>
      <c r="J136" s="293"/>
      <c r="K136" s="293"/>
      <c r="L136" s="293"/>
      <c r="M136" s="293"/>
      <c r="N136" s="294"/>
    </row>
    <row r="137" spans="2:14" ht="50.25" customHeight="1" thickBot="1" x14ac:dyDescent="0.35">
      <c r="B137" s="476" t="s">
        <v>203</v>
      </c>
      <c r="C137" s="514" t="s">
        <v>204</v>
      </c>
      <c r="D137" s="515"/>
      <c r="E137" s="516"/>
      <c r="F137" s="516"/>
      <c r="G137" s="517"/>
      <c r="H137" s="517"/>
      <c r="I137" s="516"/>
      <c r="J137" s="517"/>
      <c r="K137" s="517"/>
      <c r="L137" s="516"/>
      <c r="M137" s="517"/>
      <c r="N137" s="518"/>
    </row>
    <row r="138" spans="2:14" ht="33" customHeight="1" x14ac:dyDescent="0.3">
      <c r="B138" s="301"/>
      <c r="C138" s="302"/>
      <c r="D138" s="511"/>
      <c r="E138" s="512"/>
      <c r="F138" s="512"/>
      <c r="G138" s="513"/>
      <c r="H138" s="513"/>
      <c r="I138" s="306" t="s">
        <v>205</v>
      </c>
      <c r="J138" s="210">
        <v>1141</v>
      </c>
      <c r="K138" s="210">
        <f>900+400</f>
        <v>1300</v>
      </c>
      <c r="L138" s="210">
        <f>902+400</f>
        <v>1302</v>
      </c>
      <c r="M138" s="210">
        <f>649+400</f>
        <v>1049</v>
      </c>
      <c r="N138" s="278"/>
    </row>
    <row r="139" spans="2:14" ht="30.65" customHeight="1" x14ac:dyDescent="0.3">
      <c r="B139" s="251"/>
      <c r="C139" s="151"/>
      <c r="D139" s="213"/>
      <c r="E139" s="214"/>
      <c r="F139" s="214"/>
      <c r="G139" s="215"/>
      <c r="H139" s="215"/>
      <c r="I139" s="211" t="s">
        <v>206</v>
      </c>
      <c r="J139" s="206" t="s">
        <v>207</v>
      </c>
      <c r="K139" s="206">
        <v>15.5</v>
      </c>
      <c r="L139" s="206">
        <v>16</v>
      </c>
      <c r="M139" s="206">
        <v>16.5</v>
      </c>
      <c r="N139" s="279" t="s">
        <v>208</v>
      </c>
    </row>
    <row r="140" spans="2:14" ht="35.5" customHeight="1" x14ac:dyDescent="0.3">
      <c r="B140" s="251"/>
      <c r="C140" s="151"/>
      <c r="D140" s="213"/>
      <c r="E140" s="214"/>
      <c r="F140" s="214"/>
      <c r="G140" s="215"/>
      <c r="H140" s="215"/>
      <c r="I140" s="211" t="s">
        <v>209</v>
      </c>
      <c r="J140" s="206" t="s">
        <v>210</v>
      </c>
      <c r="K140" s="206">
        <v>10</v>
      </c>
      <c r="L140" s="206">
        <v>11</v>
      </c>
      <c r="M140" s="206">
        <v>12</v>
      </c>
      <c r="N140" s="280" t="s">
        <v>211</v>
      </c>
    </row>
    <row r="141" spans="2:14" ht="45" customHeight="1" x14ac:dyDescent="0.3">
      <c r="B141" s="251"/>
      <c r="C141" s="151"/>
      <c r="D141" s="213"/>
      <c r="E141" s="214"/>
      <c r="F141" s="214"/>
      <c r="G141" s="215"/>
      <c r="H141" s="215"/>
      <c r="I141" s="147" t="s">
        <v>212</v>
      </c>
      <c r="J141" s="212">
        <v>7.64</v>
      </c>
      <c r="K141" s="212" t="s">
        <v>213</v>
      </c>
      <c r="L141" s="212" t="s">
        <v>213</v>
      </c>
      <c r="M141" s="212" t="s">
        <v>213</v>
      </c>
      <c r="N141" s="278"/>
    </row>
    <row r="142" spans="2:14" ht="35.5" customHeight="1" x14ac:dyDescent="0.3">
      <c r="B142" s="251"/>
      <c r="C142" s="151"/>
      <c r="D142" s="213"/>
      <c r="E142" s="214"/>
      <c r="F142" s="214"/>
      <c r="G142" s="215"/>
      <c r="H142" s="215"/>
      <c r="I142" s="147" t="s">
        <v>214</v>
      </c>
      <c r="J142" s="212">
        <v>6.41</v>
      </c>
      <c r="K142" s="212" t="s">
        <v>215</v>
      </c>
      <c r="L142" s="212" t="s">
        <v>215</v>
      </c>
      <c r="M142" s="212" t="s">
        <v>215</v>
      </c>
      <c r="N142" s="278"/>
    </row>
    <row r="143" spans="2:14" ht="41.65" customHeight="1" x14ac:dyDescent="0.3">
      <c r="B143" s="251"/>
      <c r="C143" s="151"/>
      <c r="D143" s="213"/>
      <c r="E143" s="214"/>
      <c r="F143" s="214"/>
      <c r="G143" s="215"/>
      <c r="H143" s="215"/>
      <c r="I143" s="147" t="s">
        <v>216</v>
      </c>
      <c r="J143" s="212">
        <v>6.54</v>
      </c>
      <c r="K143" s="212" t="s">
        <v>217</v>
      </c>
      <c r="L143" s="212" t="s">
        <v>217</v>
      </c>
      <c r="M143" s="212" t="s">
        <v>217</v>
      </c>
      <c r="N143" s="278"/>
    </row>
    <row r="144" spans="2:14" ht="35.5" customHeight="1" thickBot="1" x14ac:dyDescent="0.35">
      <c r="B144" s="364"/>
      <c r="C144" s="519"/>
      <c r="D144" s="520"/>
      <c r="E144" s="521"/>
      <c r="F144" s="521"/>
      <c r="G144" s="522"/>
      <c r="H144" s="522"/>
      <c r="I144" s="370" t="s">
        <v>218</v>
      </c>
      <c r="J144" s="523">
        <v>5.52</v>
      </c>
      <c r="K144" s="523" t="s">
        <v>219</v>
      </c>
      <c r="L144" s="523" t="s">
        <v>219</v>
      </c>
      <c r="M144" s="523" t="s">
        <v>219</v>
      </c>
      <c r="N144" s="524"/>
    </row>
    <row r="145" spans="2:15" ht="30" customHeight="1" thickBot="1" x14ac:dyDescent="0.35">
      <c r="B145" s="321" t="s">
        <v>220</v>
      </c>
      <c r="C145" s="322" t="s">
        <v>221</v>
      </c>
      <c r="D145" s="451"/>
      <c r="E145" s="452"/>
      <c r="F145" s="452"/>
      <c r="G145" s="325"/>
      <c r="H145" s="325"/>
      <c r="I145" s="452"/>
      <c r="J145" s="325"/>
      <c r="K145" s="325"/>
      <c r="L145" s="452"/>
      <c r="M145" s="325"/>
      <c r="N145" s="326"/>
    </row>
    <row r="146" spans="2:15" ht="42" customHeight="1" x14ac:dyDescent="0.3">
      <c r="B146" s="698" t="s">
        <v>222</v>
      </c>
      <c r="C146" s="528" t="s">
        <v>223</v>
      </c>
      <c r="D146" s="757" t="s">
        <v>224</v>
      </c>
      <c r="E146" s="525"/>
      <c r="F146" s="526"/>
      <c r="G146" s="58"/>
      <c r="H146" s="58"/>
      <c r="I146" s="527" t="s">
        <v>225</v>
      </c>
      <c r="J146" s="217">
        <v>60</v>
      </c>
      <c r="K146" s="163">
        <v>100</v>
      </c>
      <c r="L146" s="163"/>
      <c r="M146" s="163"/>
      <c r="N146" s="272" t="s">
        <v>226</v>
      </c>
    </row>
    <row r="147" spans="2:15" ht="33.65" customHeight="1" x14ac:dyDescent="0.3">
      <c r="B147" s="699"/>
      <c r="C147" s="62" t="s">
        <v>31</v>
      </c>
      <c r="D147" s="757"/>
      <c r="E147" s="129">
        <f>1794.4+935</f>
        <v>2729.4</v>
      </c>
      <c r="F147" s="121">
        <v>3217.3</v>
      </c>
      <c r="G147" s="121">
        <v>2957</v>
      </c>
      <c r="H147" s="121">
        <v>2221</v>
      </c>
      <c r="I147" s="216" t="s">
        <v>227</v>
      </c>
      <c r="J147" s="163">
        <v>25</v>
      </c>
      <c r="K147" s="163">
        <v>100</v>
      </c>
      <c r="L147" s="163"/>
      <c r="M147" s="163"/>
      <c r="N147" s="257" t="s">
        <v>226</v>
      </c>
      <c r="O147" s="133"/>
    </row>
    <row r="148" spans="2:15" ht="28.9" customHeight="1" x14ac:dyDescent="0.3">
      <c r="B148" s="699"/>
      <c r="C148" s="62" t="s">
        <v>228</v>
      </c>
      <c r="D148" s="757"/>
      <c r="E148" s="130">
        <v>2900</v>
      </c>
      <c r="F148" s="135"/>
      <c r="G148" s="135"/>
      <c r="H148" s="135"/>
      <c r="I148" s="216" t="s">
        <v>229</v>
      </c>
      <c r="J148" s="209"/>
      <c r="K148" s="163">
        <v>100</v>
      </c>
      <c r="L148" s="163"/>
      <c r="M148" s="163"/>
      <c r="N148" s="257" t="s">
        <v>226</v>
      </c>
      <c r="O148" s="133"/>
    </row>
    <row r="149" spans="2:15" ht="43.15" customHeight="1" x14ac:dyDescent="0.3">
      <c r="B149" s="699"/>
      <c r="C149" s="110" t="s">
        <v>230</v>
      </c>
      <c r="D149" s="758"/>
      <c r="E149" s="131"/>
      <c r="F149" s="136">
        <v>3250</v>
      </c>
      <c r="G149" s="136">
        <v>3000</v>
      </c>
      <c r="H149" s="136">
        <v>2300</v>
      </c>
      <c r="I149" s="187" t="s">
        <v>231</v>
      </c>
      <c r="J149" s="163"/>
      <c r="K149" s="163">
        <v>25</v>
      </c>
      <c r="L149" s="163">
        <v>100</v>
      </c>
      <c r="M149" s="163"/>
      <c r="N149" s="257" t="s">
        <v>226</v>
      </c>
    </row>
    <row r="150" spans="2:15" ht="48" customHeight="1" x14ac:dyDescent="0.3">
      <c r="B150" s="699"/>
      <c r="C150" s="225" t="s">
        <v>31</v>
      </c>
      <c r="D150" s="144" t="s">
        <v>232</v>
      </c>
      <c r="E150" s="131">
        <f>35-28.7</f>
        <v>6.3000000000000007</v>
      </c>
      <c r="F150" s="131">
        <v>67.900000000000006</v>
      </c>
      <c r="G150" s="132">
        <f>8.5+75</f>
        <v>83.5</v>
      </c>
      <c r="H150" s="59"/>
      <c r="I150" s="216" t="s">
        <v>233</v>
      </c>
      <c r="J150" s="163"/>
      <c r="K150" s="163">
        <v>100</v>
      </c>
      <c r="L150" s="163"/>
      <c r="M150" s="163"/>
      <c r="N150" s="257" t="s">
        <v>226</v>
      </c>
    </row>
    <row r="151" spans="2:15" ht="35.5" customHeight="1" x14ac:dyDescent="0.3">
      <c r="B151" s="699"/>
      <c r="C151" s="45"/>
      <c r="D151" s="185"/>
      <c r="E151" s="131"/>
      <c r="F151" s="131"/>
      <c r="G151" s="132"/>
      <c r="H151" s="59"/>
      <c r="I151" s="216" t="s">
        <v>234</v>
      </c>
      <c r="J151" s="163"/>
      <c r="K151" s="163">
        <v>100</v>
      </c>
      <c r="L151" s="163"/>
      <c r="M151" s="163"/>
      <c r="N151" s="257" t="s">
        <v>226</v>
      </c>
    </row>
    <row r="152" spans="2:15" ht="35.5" customHeight="1" x14ac:dyDescent="0.3">
      <c r="B152" s="699"/>
      <c r="C152" s="45"/>
      <c r="D152" s="185"/>
      <c r="E152" s="131"/>
      <c r="F152" s="131"/>
      <c r="G152" s="132"/>
      <c r="H152" s="59"/>
      <c r="I152" s="216" t="s">
        <v>235</v>
      </c>
      <c r="J152" s="163"/>
      <c r="K152" s="163">
        <v>100</v>
      </c>
      <c r="L152" s="163"/>
      <c r="M152" s="163"/>
      <c r="N152" s="257" t="s">
        <v>226</v>
      </c>
    </row>
    <row r="153" spans="2:15" ht="35.5" customHeight="1" x14ac:dyDescent="0.3">
      <c r="B153" s="699"/>
      <c r="C153" s="45"/>
      <c r="D153" s="185"/>
      <c r="E153" s="131"/>
      <c r="F153" s="131"/>
      <c r="G153" s="132"/>
      <c r="H153" s="59"/>
      <c r="I153" s="218" t="s">
        <v>236</v>
      </c>
      <c r="J153" s="163"/>
      <c r="K153" s="163">
        <v>100</v>
      </c>
      <c r="L153" s="163"/>
      <c r="M153" s="163"/>
      <c r="N153" s="257" t="s">
        <v>226</v>
      </c>
    </row>
    <row r="154" spans="2:15" ht="35.5" customHeight="1" x14ac:dyDescent="0.3">
      <c r="B154" s="699"/>
      <c r="C154" s="45"/>
      <c r="D154" s="185"/>
      <c r="E154" s="131"/>
      <c r="F154" s="131"/>
      <c r="G154" s="132"/>
      <c r="H154" s="59"/>
      <c r="I154" s="218" t="s">
        <v>237</v>
      </c>
      <c r="J154" s="163"/>
      <c r="K154" s="163">
        <v>100</v>
      </c>
      <c r="L154" s="163"/>
      <c r="M154" s="163"/>
      <c r="N154" s="257" t="s">
        <v>226</v>
      </c>
    </row>
    <row r="155" spans="2:15" ht="35.5" customHeight="1" x14ac:dyDescent="0.3">
      <c r="B155" s="699"/>
      <c r="C155" s="45"/>
      <c r="D155" s="185"/>
      <c r="E155" s="131"/>
      <c r="F155" s="131"/>
      <c r="G155" s="132"/>
      <c r="H155" s="59"/>
      <c r="I155" s="218" t="s">
        <v>238</v>
      </c>
      <c r="J155" s="163"/>
      <c r="K155" s="163">
        <v>100</v>
      </c>
      <c r="L155" s="163"/>
      <c r="M155" s="163"/>
      <c r="N155" s="257" t="s">
        <v>226</v>
      </c>
    </row>
    <row r="156" spans="2:15" ht="30.65" customHeight="1" x14ac:dyDescent="0.3">
      <c r="B156" s="699"/>
      <c r="C156" s="45"/>
      <c r="D156" s="185"/>
      <c r="E156" s="131"/>
      <c r="F156" s="131"/>
      <c r="G156" s="132"/>
      <c r="H156" s="59"/>
      <c r="I156" s="218" t="s">
        <v>239</v>
      </c>
      <c r="J156" s="163"/>
      <c r="K156" s="163">
        <v>100</v>
      </c>
      <c r="L156" s="163"/>
      <c r="M156" s="163"/>
      <c r="N156" s="257" t="s">
        <v>226</v>
      </c>
    </row>
    <row r="157" spans="2:15" ht="35.5" customHeight="1" x14ac:dyDescent="0.3">
      <c r="B157" s="699"/>
      <c r="C157" s="45"/>
      <c r="D157" s="185"/>
      <c r="E157" s="131"/>
      <c r="F157" s="131"/>
      <c r="G157" s="132"/>
      <c r="H157" s="59"/>
      <c r="I157" s="187" t="s">
        <v>240</v>
      </c>
      <c r="J157" s="163"/>
      <c r="K157" s="163"/>
      <c r="L157" s="163">
        <v>50</v>
      </c>
      <c r="M157" s="163">
        <v>100</v>
      </c>
      <c r="N157" s="257" t="s">
        <v>226</v>
      </c>
    </row>
    <row r="158" spans="2:15" ht="35.5" customHeight="1" x14ac:dyDescent="0.3">
      <c r="B158" s="699"/>
      <c r="C158" s="45"/>
      <c r="D158" s="185"/>
      <c r="E158" s="131"/>
      <c r="F158" s="131"/>
      <c r="G158" s="132"/>
      <c r="H158" s="59"/>
      <c r="I158" s="218" t="s">
        <v>241</v>
      </c>
      <c r="J158" s="163"/>
      <c r="K158" s="163">
        <v>60</v>
      </c>
      <c r="L158" s="163">
        <v>100</v>
      </c>
      <c r="M158" s="163"/>
      <c r="N158" s="257" t="s">
        <v>226</v>
      </c>
    </row>
    <row r="159" spans="2:15" ht="35.5" customHeight="1" x14ac:dyDescent="0.3">
      <c r="B159" s="699"/>
      <c r="C159" s="45"/>
      <c r="D159" s="185"/>
      <c r="E159" s="131"/>
      <c r="F159" s="131"/>
      <c r="G159" s="132"/>
      <c r="H159" s="59"/>
      <c r="I159" s="218" t="s">
        <v>242</v>
      </c>
      <c r="J159" s="163"/>
      <c r="K159" s="163"/>
      <c r="L159" s="163">
        <v>100</v>
      </c>
      <c r="M159" s="163"/>
      <c r="N159" s="257" t="s">
        <v>226</v>
      </c>
    </row>
    <row r="160" spans="2:15" ht="35.5" customHeight="1" x14ac:dyDescent="0.3">
      <c r="B160" s="699"/>
      <c r="C160" s="45"/>
      <c r="D160" s="185"/>
      <c r="E160" s="131"/>
      <c r="F160" s="131"/>
      <c r="G160" s="132"/>
      <c r="H160" s="59"/>
      <c r="I160" s="218" t="s">
        <v>243</v>
      </c>
      <c r="J160" s="163"/>
      <c r="K160" s="163"/>
      <c r="L160" s="163">
        <v>100</v>
      </c>
      <c r="M160" s="163"/>
      <c r="N160" s="257" t="s">
        <v>226</v>
      </c>
    </row>
    <row r="161" spans="2:14" ht="35.5" customHeight="1" x14ac:dyDescent="0.3">
      <c r="B161" s="699"/>
      <c r="C161" s="45"/>
      <c r="D161" s="185"/>
      <c r="E161" s="131"/>
      <c r="F161" s="131"/>
      <c r="G161" s="132"/>
      <c r="H161" s="59"/>
      <c r="I161" s="197" t="s">
        <v>244</v>
      </c>
      <c r="J161" s="163"/>
      <c r="K161" s="163"/>
      <c r="L161" s="163">
        <v>100</v>
      </c>
      <c r="M161" s="163"/>
      <c r="N161" s="257" t="s">
        <v>226</v>
      </c>
    </row>
    <row r="162" spans="2:14" ht="48" customHeight="1" x14ac:dyDescent="0.3">
      <c r="B162" s="699"/>
      <c r="C162" s="45"/>
      <c r="D162" s="185"/>
      <c r="E162" s="131"/>
      <c r="F162" s="131"/>
      <c r="G162" s="132"/>
      <c r="H162" s="59"/>
      <c r="I162" s="197" t="s">
        <v>245</v>
      </c>
      <c r="J162" s="163"/>
      <c r="K162" s="163"/>
      <c r="L162" s="163">
        <v>100</v>
      </c>
      <c r="M162" s="163"/>
      <c r="N162" s="257" t="s">
        <v>226</v>
      </c>
    </row>
    <row r="163" spans="2:14" ht="37.15" customHeight="1" x14ac:dyDescent="0.3">
      <c r="B163" s="699"/>
      <c r="C163" s="45"/>
      <c r="D163" s="185"/>
      <c r="E163" s="131"/>
      <c r="F163" s="131"/>
      <c r="G163" s="132"/>
      <c r="H163" s="59"/>
      <c r="I163" s="219" t="s">
        <v>246</v>
      </c>
      <c r="J163" s="163"/>
      <c r="K163" s="163"/>
      <c r="L163" s="163"/>
      <c r="M163" s="163">
        <v>100</v>
      </c>
      <c r="N163" s="257" t="s">
        <v>226</v>
      </c>
    </row>
    <row r="164" spans="2:14" ht="37.15" customHeight="1" x14ac:dyDescent="0.3">
      <c r="B164" s="699"/>
      <c r="C164" s="45"/>
      <c r="D164" s="185"/>
      <c r="E164" s="131"/>
      <c r="F164" s="131"/>
      <c r="G164" s="132"/>
      <c r="H164" s="59"/>
      <c r="I164" s="219" t="s">
        <v>247</v>
      </c>
      <c r="J164" s="163"/>
      <c r="K164" s="163"/>
      <c r="L164" s="163"/>
      <c r="M164" s="163">
        <v>100</v>
      </c>
      <c r="N164" s="257" t="s">
        <v>226</v>
      </c>
    </row>
    <row r="165" spans="2:14" ht="37.15" customHeight="1" x14ac:dyDescent="0.3">
      <c r="B165" s="699"/>
      <c r="C165" s="45"/>
      <c r="D165" s="185"/>
      <c r="E165" s="131"/>
      <c r="F165" s="131"/>
      <c r="G165" s="132"/>
      <c r="H165" s="59"/>
      <c r="I165" s="219" t="s">
        <v>248</v>
      </c>
      <c r="J165" s="163"/>
      <c r="K165" s="163"/>
      <c r="L165" s="163"/>
      <c r="M165" s="163">
        <v>100</v>
      </c>
      <c r="N165" s="257" t="s">
        <v>226</v>
      </c>
    </row>
    <row r="166" spans="2:14" ht="48" customHeight="1" x14ac:dyDescent="0.3">
      <c r="B166" s="699"/>
      <c r="C166" s="45"/>
      <c r="D166" s="185"/>
      <c r="E166" s="131"/>
      <c r="F166" s="131"/>
      <c r="G166" s="132"/>
      <c r="H166" s="59"/>
      <c r="I166" s="187" t="s">
        <v>249</v>
      </c>
      <c r="J166" s="163"/>
      <c r="K166" s="163"/>
      <c r="L166" s="163">
        <v>50</v>
      </c>
      <c r="M166" s="163">
        <v>100</v>
      </c>
      <c r="N166" s="257" t="s">
        <v>226</v>
      </c>
    </row>
    <row r="167" spans="2:14" ht="32.5" customHeight="1" x14ac:dyDescent="0.3">
      <c r="B167" s="699"/>
      <c r="C167" s="45"/>
      <c r="D167" s="185"/>
      <c r="E167" s="131"/>
      <c r="F167" s="131"/>
      <c r="G167" s="132"/>
      <c r="H167" s="59"/>
      <c r="I167" s="220" t="s">
        <v>240</v>
      </c>
      <c r="J167" s="163"/>
      <c r="K167" s="163"/>
      <c r="L167" s="163">
        <v>50</v>
      </c>
      <c r="M167" s="163">
        <v>100</v>
      </c>
      <c r="N167" s="257" t="s">
        <v>226</v>
      </c>
    </row>
    <row r="168" spans="2:14" ht="48" customHeight="1" x14ac:dyDescent="0.3">
      <c r="B168" s="699"/>
      <c r="C168" s="45"/>
      <c r="D168" s="185"/>
      <c r="E168" s="131"/>
      <c r="F168" s="131"/>
      <c r="G168" s="132"/>
      <c r="H168" s="59"/>
      <c r="I168" s="221" t="s">
        <v>250</v>
      </c>
      <c r="J168" s="163">
        <v>400</v>
      </c>
      <c r="K168" s="163">
        <v>400</v>
      </c>
      <c r="L168" s="163">
        <v>400</v>
      </c>
      <c r="M168" s="163">
        <v>400</v>
      </c>
      <c r="N168" s="257" t="s">
        <v>226</v>
      </c>
    </row>
    <row r="169" spans="2:14" ht="48" customHeight="1" x14ac:dyDescent="0.3">
      <c r="B169" s="699"/>
      <c r="C169" s="45"/>
      <c r="D169" s="185"/>
      <c r="E169" s="131"/>
      <c r="F169" s="131"/>
      <c r="G169" s="132"/>
      <c r="H169" s="59"/>
      <c r="I169" s="220" t="s">
        <v>251</v>
      </c>
      <c r="J169" s="163"/>
      <c r="K169" s="163"/>
      <c r="L169" s="163">
        <v>1</v>
      </c>
      <c r="M169" s="163"/>
      <c r="N169" s="257" t="s">
        <v>226</v>
      </c>
    </row>
    <row r="170" spans="2:14" ht="30.65" customHeight="1" x14ac:dyDescent="0.3">
      <c r="B170" s="699"/>
      <c r="C170" s="45"/>
      <c r="D170" s="185"/>
      <c r="E170" s="131"/>
      <c r="F170" s="131"/>
      <c r="G170" s="132"/>
      <c r="H170" s="59"/>
      <c r="I170" s="220" t="s">
        <v>252</v>
      </c>
      <c r="J170" s="163"/>
      <c r="K170" s="163"/>
      <c r="L170" s="163">
        <v>1</v>
      </c>
      <c r="M170" s="163"/>
      <c r="N170" s="257" t="s">
        <v>226</v>
      </c>
    </row>
    <row r="171" spans="2:14" ht="30.65" customHeight="1" x14ac:dyDescent="0.3">
      <c r="B171" s="699"/>
      <c r="C171" s="45"/>
      <c r="D171" s="185"/>
      <c r="E171" s="131"/>
      <c r="F171" s="131"/>
      <c r="G171" s="132"/>
      <c r="H171" s="59"/>
      <c r="I171" s="161" t="s">
        <v>253</v>
      </c>
      <c r="J171" s="163">
        <v>100</v>
      </c>
      <c r="K171" s="163"/>
      <c r="L171" s="163"/>
      <c r="M171" s="163"/>
      <c r="N171" s="257" t="s">
        <v>226</v>
      </c>
    </row>
    <row r="172" spans="2:14" ht="30.65" customHeight="1" x14ac:dyDescent="0.3">
      <c r="B172" s="699"/>
      <c r="C172" s="45"/>
      <c r="D172" s="185"/>
      <c r="E172" s="131"/>
      <c r="F172" s="131"/>
      <c r="G172" s="132"/>
      <c r="H172" s="59"/>
      <c r="I172" s="222" t="s">
        <v>254</v>
      </c>
      <c r="J172" s="163">
        <v>100</v>
      </c>
      <c r="K172" s="163"/>
      <c r="L172" s="163"/>
      <c r="M172" s="163"/>
      <c r="N172" s="257" t="s">
        <v>226</v>
      </c>
    </row>
    <row r="173" spans="2:14" ht="30.65" customHeight="1" x14ac:dyDescent="0.3">
      <c r="B173" s="699"/>
      <c r="C173" s="45"/>
      <c r="D173" s="185"/>
      <c r="E173" s="131"/>
      <c r="F173" s="131"/>
      <c r="G173" s="132"/>
      <c r="H173" s="59"/>
      <c r="I173" s="223" t="s">
        <v>255</v>
      </c>
      <c r="J173" s="163">
        <v>100</v>
      </c>
      <c r="K173" s="163"/>
      <c r="L173" s="163"/>
      <c r="M173" s="163"/>
      <c r="N173" s="257" t="s">
        <v>226</v>
      </c>
    </row>
    <row r="174" spans="2:14" ht="30.65" customHeight="1" x14ac:dyDescent="0.3">
      <c r="B174" s="699"/>
      <c r="C174" s="45"/>
      <c r="D174" s="185"/>
      <c r="E174" s="131"/>
      <c r="F174" s="131"/>
      <c r="G174" s="132"/>
      <c r="H174" s="59"/>
      <c r="I174" s="216" t="s">
        <v>256</v>
      </c>
      <c r="J174" s="163">
        <v>100</v>
      </c>
      <c r="K174" s="224"/>
      <c r="L174" s="163"/>
      <c r="M174" s="163"/>
      <c r="N174" s="257" t="s">
        <v>226</v>
      </c>
    </row>
    <row r="175" spans="2:14" ht="30.65" customHeight="1" thickBot="1" x14ac:dyDescent="0.35">
      <c r="B175" s="700"/>
      <c r="C175" s="339"/>
      <c r="D175" s="414"/>
      <c r="E175" s="529"/>
      <c r="F175" s="529"/>
      <c r="G175" s="331"/>
      <c r="H175" s="330"/>
      <c r="I175" s="530" t="s">
        <v>257</v>
      </c>
      <c r="J175" s="531">
        <v>100</v>
      </c>
      <c r="K175" s="395"/>
      <c r="L175" s="395"/>
      <c r="M175" s="395"/>
      <c r="N175" s="398" t="s">
        <v>226</v>
      </c>
    </row>
    <row r="176" spans="2:14" ht="29.25" customHeight="1" x14ac:dyDescent="0.3">
      <c r="B176" s="698" t="s">
        <v>258</v>
      </c>
      <c r="C176" s="532" t="s">
        <v>259</v>
      </c>
      <c r="D176" s="752" t="s">
        <v>90</v>
      </c>
      <c r="E176" s="344"/>
      <c r="F176" s="344"/>
      <c r="G176" s="344"/>
      <c r="H176" s="344"/>
      <c r="I176" s="392" t="s">
        <v>260</v>
      </c>
      <c r="J176" s="436">
        <v>1</v>
      </c>
      <c r="K176" s="436">
        <v>1</v>
      </c>
      <c r="L176" s="436">
        <v>1</v>
      </c>
      <c r="M176" s="436">
        <v>1</v>
      </c>
      <c r="N176" s="424"/>
    </row>
    <row r="177" spans="2:17" ht="27.75" customHeight="1" thickBot="1" x14ac:dyDescent="0.35">
      <c r="B177" s="700"/>
      <c r="C177" s="391" t="s">
        <v>31</v>
      </c>
      <c r="D177" s="753"/>
      <c r="E177" s="340">
        <f>2-0.4</f>
        <v>1.6</v>
      </c>
      <c r="F177" s="340">
        <v>2</v>
      </c>
      <c r="G177" s="340">
        <v>2</v>
      </c>
      <c r="H177" s="340">
        <v>2</v>
      </c>
      <c r="I177" s="536"/>
      <c r="J177" s="293"/>
      <c r="K177" s="293"/>
      <c r="L177" s="293"/>
      <c r="M177" s="293"/>
      <c r="N177" s="294"/>
    </row>
    <row r="178" spans="2:17" ht="28.5" customHeight="1" x14ac:dyDescent="0.3">
      <c r="B178" s="698" t="s">
        <v>261</v>
      </c>
      <c r="C178" s="487" t="s">
        <v>262</v>
      </c>
      <c r="D178" s="753"/>
      <c r="E178" s="344"/>
      <c r="F178" s="344"/>
      <c r="G178" s="344"/>
      <c r="H178" s="344"/>
      <c r="I178" s="537" t="s">
        <v>263</v>
      </c>
      <c r="J178" s="538">
        <v>63</v>
      </c>
      <c r="K178" s="538">
        <v>68</v>
      </c>
      <c r="L178" s="538">
        <v>71</v>
      </c>
      <c r="M178" s="538">
        <v>74</v>
      </c>
      <c r="N178" s="424"/>
    </row>
    <row r="179" spans="2:17" ht="28.5" customHeight="1" x14ac:dyDescent="0.3">
      <c r="B179" s="699"/>
      <c r="C179" s="57" t="s">
        <v>31</v>
      </c>
      <c r="D179" s="753"/>
      <c r="E179" s="46">
        <v>421.5</v>
      </c>
      <c r="F179" s="46">
        <f>339+8+15+140+31-70</f>
        <v>463</v>
      </c>
      <c r="G179" s="46">
        <f>353.5+10+15+140+70</f>
        <v>588.5</v>
      </c>
      <c r="H179" s="46">
        <f>369+10+15+140</f>
        <v>534</v>
      </c>
      <c r="I179" s="161" t="s">
        <v>264</v>
      </c>
      <c r="J179" s="226">
        <v>100</v>
      </c>
      <c r="K179" s="226">
        <v>100</v>
      </c>
      <c r="L179" s="226">
        <v>100</v>
      </c>
      <c r="M179" s="226">
        <v>100</v>
      </c>
      <c r="N179" s="257"/>
      <c r="P179" s="677"/>
      <c r="Q179" s="677"/>
    </row>
    <row r="180" spans="2:17" ht="29.25" customHeight="1" x14ac:dyDescent="0.3">
      <c r="B180" s="699"/>
      <c r="C180" s="45" t="s">
        <v>32</v>
      </c>
      <c r="D180" s="753"/>
      <c r="E180" s="46">
        <v>19.399999999999999</v>
      </c>
      <c r="F180" s="46">
        <v>12.2</v>
      </c>
      <c r="G180" s="46"/>
      <c r="H180" s="46"/>
      <c r="I180" s="164" t="s">
        <v>265</v>
      </c>
      <c r="J180" s="226">
        <f>2+2</f>
        <v>4</v>
      </c>
      <c r="K180" s="226">
        <f>2-1+2</f>
        <v>3</v>
      </c>
      <c r="L180" s="226">
        <f>2+1</f>
        <v>3</v>
      </c>
      <c r="M180" s="226">
        <v>2</v>
      </c>
      <c r="N180" s="257" t="s">
        <v>93</v>
      </c>
    </row>
    <row r="181" spans="2:17" ht="38.25" customHeight="1" x14ac:dyDescent="0.3">
      <c r="B181" s="699"/>
      <c r="C181" s="45"/>
      <c r="D181" s="753"/>
      <c r="E181" s="46"/>
      <c r="F181" s="46"/>
      <c r="G181" s="46"/>
      <c r="H181" s="46"/>
      <c r="I181" s="164" t="s">
        <v>266</v>
      </c>
      <c r="J181" s="226">
        <v>2</v>
      </c>
      <c r="K181" s="226">
        <v>2</v>
      </c>
      <c r="L181" s="226">
        <v>2</v>
      </c>
      <c r="M181" s="226">
        <v>2</v>
      </c>
      <c r="N181" s="257"/>
    </row>
    <row r="182" spans="2:17" ht="18.75" customHeight="1" thickBot="1" x14ac:dyDescent="0.35">
      <c r="B182" s="700"/>
      <c r="C182" s="339"/>
      <c r="D182" s="754"/>
      <c r="E182" s="340"/>
      <c r="F182" s="340"/>
      <c r="G182" s="340"/>
      <c r="H182" s="340"/>
      <c r="I182" s="539" t="s">
        <v>267</v>
      </c>
      <c r="J182" s="540"/>
      <c r="K182" s="540">
        <v>4</v>
      </c>
      <c r="L182" s="540"/>
      <c r="M182" s="540"/>
      <c r="N182" s="398"/>
    </row>
    <row r="183" spans="2:17" ht="29.25" customHeight="1" x14ac:dyDescent="0.3">
      <c r="B183" s="699" t="s">
        <v>268</v>
      </c>
      <c r="C183" s="227" t="s">
        <v>269</v>
      </c>
      <c r="D183" s="696" t="s">
        <v>270</v>
      </c>
      <c r="E183" s="59"/>
      <c r="F183" s="59"/>
      <c r="G183" s="59"/>
      <c r="H183" s="59"/>
      <c r="I183" s="167" t="s">
        <v>44</v>
      </c>
      <c r="J183" s="535"/>
      <c r="K183" s="535">
        <v>1</v>
      </c>
      <c r="L183" s="535"/>
      <c r="M183" s="535"/>
      <c r="N183" s="272"/>
    </row>
    <row r="184" spans="2:17" ht="27" customHeight="1" thickBot="1" x14ac:dyDescent="0.35">
      <c r="B184" s="700"/>
      <c r="C184" s="391" t="s">
        <v>31</v>
      </c>
      <c r="D184" s="697"/>
      <c r="E184" s="340"/>
      <c r="F184" s="340">
        <v>57</v>
      </c>
      <c r="G184" s="340"/>
      <c r="H184" s="340"/>
      <c r="I184" s="293"/>
      <c r="J184" s="293"/>
      <c r="K184" s="293"/>
      <c r="L184" s="293"/>
      <c r="M184" s="293"/>
      <c r="N184" s="294"/>
    </row>
    <row r="185" spans="2:17" ht="27.5" customHeight="1" x14ac:dyDescent="0.3">
      <c r="B185" s="533"/>
      <c r="C185" s="534" t="s">
        <v>157</v>
      </c>
      <c r="D185" s="90"/>
      <c r="E185" s="460">
        <f>+E187+E188+E189+E190</f>
        <v>6078.2</v>
      </c>
      <c r="F185" s="460">
        <f t="shared" ref="F185:H185" si="7">+F187+F188+F189+F190</f>
        <v>3819.4</v>
      </c>
      <c r="G185" s="460">
        <f t="shared" si="7"/>
        <v>3631</v>
      </c>
      <c r="H185" s="460">
        <f t="shared" si="7"/>
        <v>2757</v>
      </c>
      <c r="I185" s="196"/>
      <c r="J185" s="196"/>
      <c r="K185" s="196"/>
      <c r="L185" s="196"/>
      <c r="M185" s="196"/>
      <c r="N185" s="264"/>
    </row>
    <row r="186" spans="2:17" ht="17.25" customHeight="1" x14ac:dyDescent="0.3">
      <c r="B186" s="743"/>
      <c r="C186" s="41" t="s">
        <v>158</v>
      </c>
      <c r="D186" s="92"/>
      <c r="E186" s="42"/>
      <c r="F186" s="42"/>
      <c r="G186" s="43"/>
      <c r="H186" s="43"/>
      <c r="I186" s="157"/>
      <c r="J186" s="157"/>
      <c r="K186" s="157"/>
      <c r="L186" s="157"/>
      <c r="M186" s="157"/>
      <c r="N186" s="254"/>
    </row>
    <row r="187" spans="2:17" ht="27" customHeight="1" x14ac:dyDescent="0.3">
      <c r="B187" s="744"/>
      <c r="C187" s="36" t="s">
        <v>159</v>
      </c>
      <c r="D187" s="92"/>
      <c r="E187" s="71">
        <f>SUMIF($C146:$C184,$C147,E146:E184)</f>
        <v>3158.8</v>
      </c>
      <c r="F187" s="71">
        <f>SUMIF($C146:$C184,$C147,F146:F184)</f>
        <v>3807.2000000000003</v>
      </c>
      <c r="G187" s="71">
        <f>SUMIF($C146:$C184,$C147,G146:G184)</f>
        <v>3631</v>
      </c>
      <c r="H187" s="71">
        <f>SUMIF($C146:$C184,$C147,H146:H184)</f>
        <v>2757</v>
      </c>
      <c r="I187" s="157"/>
      <c r="J187" s="157"/>
      <c r="K187" s="157"/>
      <c r="L187" s="157"/>
      <c r="M187" s="157"/>
      <c r="N187" s="254"/>
    </row>
    <row r="188" spans="2:17" ht="35.5" customHeight="1" x14ac:dyDescent="0.3">
      <c r="B188" s="744"/>
      <c r="C188" s="41" t="s">
        <v>271</v>
      </c>
      <c r="D188" s="92"/>
      <c r="E188" s="71">
        <f>SUMIF($C146:$C184,$C148,E146:E184)</f>
        <v>2900</v>
      </c>
      <c r="F188" s="71">
        <f>SUMIF($C146:$C184,$C148,F146:F184)</f>
        <v>0</v>
      </c>
      <c r="G188" s="79">
        <f>SUMIF($C146:$C184,$C148,G146:G184)</f>
        <v>0</v>
      </c>
      <c r="H188" s="79">
        <f>SUMIF($C146:$C184,$C148,H146:H184)</f>
        <v>0</v>
      </c>
      <c r="I188" s="157"/>
      <c r="J188" s="157"/>
      <c r="K188" s="157"/>
      <c r="L188" s="157"/>
      <c r="M188" s="157"/>
      <c r="N188" s="254"/>
    </row>
    <row r="189" spans="2:17" ht="28.9" customHeight="1" x14ac:dyDescent="0.3">
      <c r="B189" s="744"/>
      <c r="C189" s="93" t="s">
        <v>160</v>
      </c>
      <c r="D189" s="92"/>
      <c r="E189" s="71">
        <f>SUMIF($C146:$C184,#REF!,E146:E184)</f>
        <v>0</v>
      </c>
      <c r="F189" s="71">
        <f>SUMIF($C146:$C184,#REF!,F146:F184)</f>
        <v>0</v>
      </c>
      <c r="G189" s="79">
        <f>SUMIF($C146:$C184,#REF!,G146:G184)</f>
        <v>0</v>
      </c>
      <c r="H189" s="79">
        <f>SUMIF($C146:$C184,#REF!,H146:H184)</f>
        <v>0</v>
      </c>
      <c r="I189" s="157"/>
      <c r="J189" s="157"/>
      <c r="K189" s="157"/>
      <c r="L189" s="157"/>
      <c r="M189" s="157"/>
      <c r="N189" s="254"/>
    </row>
    <row r="190" spans="2:17" ht="16.5" customHeight="1" x14ac:dyDescent="0.3">
      <c r="B190" s="744"/>
      <c r="C190" s="36" t="s">
        <v>162</v>
      </c>
      <c r="D190" s="92"/>
      <c r="E190" s="71">
        <f>SUMIF($C146:$C184,$C180,E146:E184)</f>
        <v>19.399999999999999</v>
      </c>
      <c r="F190" s="71">
        <f>SUMIF($C146:$C184,$C180,F146:F184)</f>
        <v>12.2</v>
      </c>
      <c r="G190" s="71">
        <f>SUMIF($C146:$C184,$C180,G146:G184)</f>
        <v>0</v>
      </c>
      <c r="H190" s="71">
        <f>SUMIF($C146:$C184,$C180,H146:H184)</f>
        <v>0</v>
      </c>
      <c r="I190" s="157"/>
      <c r="J190" s="157"/>
      <c r="K190" s="157"/>
      <c r="L190" s="157"/>
      <c r="M190" s="157"/>
      <c r="N190" s="254"/>
    </row>
    <row r="191" spans="2:17" ht="17.25" customHeight="1" x14ac:dyDescent="0.3">
      <c r="B191" s="281"/>
      <c r="C191" s="94" t="s">
        <v>164</v>
      </c>
      <c r="D191" s="76"/>
      <c r="E191" s="77">
        <f>+E194+E193</f>
        <v>0</v>
      </c>
      <c r="F191" s="77">
        <f t="shared" ref="F191:G191" si="8">+F194+F193</f>
        <v>3250</v>
      </c>
      <c r="G191" s="77">
        <f t="shared" si="8"/>
        <v>3000</v>
      </c>
      <c r="H191" s="77">
        <f>+H194+H193</f>
        <v>2300</v>
      </c>
      <c r="I191" s="76"/>
      <c r="J191" s="76"/>
      <c r="K191" s="76"/>
      <c r="L191" s="76"/>
      <c r="M191" s="76"/>
      <c r="N191" s="275"/>
    </row>
    <row r="192" spans="2:17" ht="15" customHeight="1" x14ac:dyDescent="0.3">
      <c r="B192" s="743"/>
      <c r="C192" s="41" t="s">
        <v>165</v>
      </c>
      <c r="D192" s="78"/>
      <c r="E192" s="42"/>
      <c r="F192" s="42"/>
      <c r="G192" s="43"/>
      <c r="H192" s="43"/>
      <c r="I192" s="157"/>
      <c r="J192" s="157"/>
      <c r="K192" s="157"/>
      <c r="L192" s="157"/>
      <c r="M192" s="157"/>
      <c r="N192" s="254"/>
    </row>
    <row r="193" spans="2:14" ht="15" customHeight="1" x14ac:dyDescent="0.3">
      <c r="B193" s="744"/>
      <c r="C193" s="38" t="s">
        <v>272</v>
      </c>
      <c r="D193" s="78"/>
      <c r="E193" s="71">
        <f>SUMIF($C146:$C184,$C149,E146:E184)</f>
        <v>0</v>
      </c>
      <c r="F193" s="71">
        <f>SUMIF($C146:$C184,$C149,F146:F184)</f>
        <v>3250</v>
      </c>
      <c r="G193" s="71">
        <f>SUMIF($C146:$C184,$C149,G146:G184)</f>
        <v>3000</v>
      </c>
      <c r="H193" s="71">
        <f>SUMIF($C146:$C184,$C149,H146:H184)</f>
        <v>2300</v>
      </c>
      <c r="I193" s="157"/>
      <c r="J193" s="157"/>
      <c r="K193" s="157"/>
      <c r="L193" s="157"/>
      <c r="M193" s="157"/>
      <c r="N193" s="254"/>
    </row>
    <row r="194" spans="2:14" ht="15" customHeight="1" thickBot="1" x14ac:dyDescent="0.35">
      <c r="B194" s="759"/>
      <c r="C194" s="541" t="s">
        <v>273</v>
      </c>
      <c r="D194" s="542"/>
      <c r="E194" s="449">
        <f>SUMIF($C146:$C184,#REF!,E146:E184)</f>
        <v>0</v>
      </c>
      <c r="F194" s="449">
        <f>SUMIF($C146:$C184,#REF!,F146:F184)</f>
        <v>0</v>
      </c>
      <c r="G194" s="543">
        <f>SUMIF($C146:$C184,#REF!,G146:G184)</f>
        <v>0</v>
      </c>
      <c r="H194" s="543">
        <f>SUMIF($C146:$C184,#REF!,H146:H184)</f>
        <v>0</v>
      </c>
      <c r="I194" s="293"/>
      <c r="J194" s="293"/>
      <c r="K194" s="293"/>
      <c r="L194" s="293"/>
      <c r="M194" s="293"/>
      <c r="N194" s="294"/>
    </row>
    <row r="195" spans="2:14" ht="87.65" customHeight="1" x14ac:dyDescent="0.3">
      <c r="B195" s="544" t="s">
        <v>274</v>
      </c>
      <c r="C195" s="545" t="s">
        <v>275</v>
      </c>
      <c r="D195" s="546" t="s">
        <v>78</v>
      </c>
      <c r="E195" s="547"/>
      <c r="F195" s="547"/>
      <c r="G195" s="548"/>
      <c r="H195" s="548"/>
      <c r="I195" s="549" t="s">
        <v>276</v>
      </c>
      <c r="J195" s="550">
        <v>9</v>
      </c>
      <c r="K195" s="550">
        <v>9</v>
      </c>
      <c r="L195" s="550">
        <v>8</v>
      </c>
      <c r="M195" s="550">
        <v>8</v>
      </c>
      <c r="N195" s="551" t="s">
        <v>277</v>
      </c>
    </row>
    <row r="196" spans="2:14" ht="17.25" customHeight="1" x14ac:dyDescent="0.3">
      <c r="B196" s="281"/>
      <c r="C196" s="85" t="s">
        <v>157</v>
      </c>
      <c r="D196" s="90"/>
      <c r="E196" s="77">
        <f>+E198</f>
        <v>95.3</v>
      </c>
      <c r="F196" s="77">
        <f>+F198</f>
        <v>101.8</v>
      </c>
      <c r="G196" s="91">
        <f t="shared" ref="G196:H196" si="9">+G198</f>
        <v>80.8</v>
      </c>
      <c r="H196" s="91">
        <f t="shared" si="9"/>
        <v>80.8</v>
      </c>
      <c r="I196" s="76"/>
      <c r="J196" s="76"/>
      <c r="K196" s="76"/>
      <c r="L196" s="76"/>
      <c r="M196" s="76"/>
      <c r="N196" s="275"/>
    </row>
    <row r="197" spans="2:14" ht="17.25" customHeight="1" x14ac:dyDescent="0.3">
      <c r="B197" s="743"/>
      <c r="C197" s="41" t="s">
        <v>158</v>
      </c>
      <c r="D197" s="92"/>
      <c r="E197" s="42"/>
      <c r="F197" s="42"/>
      <c r="G197" s="43"/>
      <c r="H197" s="43"/>
      <c r="I197" s="157"/>
      <c r="J197" s="157"/>
      <c r="K197" s="157"/>
      <c r="L197" s="157"/>
      <c r="M197" s="157"/>
      <c r="N197" s="254"/>
    </row>
    <row r="198" spans="2:14" ht="27" customHeight="1" thickBot="1" x14ac:dyDescent="0.35">
      <c r="B198" s="759"/>
      <c r="C198" s="474" t="s">
        <v>31</v>
      </c>
      <c r="D198" s="552"/>
      <c r="E198" s="553">
        <v>95.3</v>
      </c>
      <c r="F198" s="553">
        <v>101.8</v>
      </c>
      <c r="G198" s="554">
        <v>80.8</v>
      </c>
      <c r="H198" s="554">
        <v>80.8</v>
      </c>
      <c r="I198" s="293"/>
      <c r="J198" s="293"/>
      <c r="K198" s="293"/>
      <c r="L198" s="293"/>
      <c r="M198" s="293"/>
      <c r="N198" s="294"/>
    </row>
    <row r="199" spans="2:14" ht="30" customHeight="1" thickBot="1" x14ac:dyDescent="0.35">
      <c r="B199" s="307" t="s">
        <v>278</v>
      </c>
      <c r="C199" s="556" t="s">
        <v>279</v>
      </c>
      <c r="D199" s="515"/>
      <c r="E199" s="516"/>
      <c r="F199" s="516"/>
      <c r="G199" s="517"/>
      <c r="H199" s="517"/>
      <c r="I199" s="516"/>
      <c r="J199" s="517"/>
      <c r="K199" s="517"/>
      <c r="L199" s="516"/>
      <c r="M199" s="517"/>
      <c r="N199" s="518"/>
    </row>
    <row r="200" spans="2:14" ht="30" customHeight="1" x14ac:dyDescent="0.3">
      <c r="B200" s="301"/>
      <c r="C200" s="555"/>
      <c r="D200" s="511"/>
      <c r="E200" s="512"/>
      <c r="F200" s="512"/>
      <c r="G200" s="513"/>
      <c r="H200" s="513"/>
      <c r="I200" s="306" t="s">
        <v>280</v>
      </c>
      <c r="J200" s="228"/>
      <c r="K200" s="228"/>
      <c r="L200" s="228">
        <v>1</v>
      </c>
      <c r="M200" s="228"/>
      <c r="N200" s="278"/>
    </row>
    <row r="201" spans="2:14" ht="30" customHeight="1" x14ac:dyDescent="0.3">
      <c r="B201" s="251"/>
      <c r="C201" s="230"/>
      <c r="D201" s="213"/>
      <c r="E201" s="214"/>
      <c r="F201" s="214"/>
      <c r="G201" s="215"/>
      <c r="H201" s="215"/>
      <c r="I201" s="147" t="s">
        <v>281</v>
      </c>
      <c r="J201" s="229">
        <v>8.25</v>
      </c>
      <c r="K201" s="229" t="s">
        <v>282</v>
      </c>
      <c r="L201" s="229" t="s">
        <v>282</v>
      </c>
      <c r="M201" s="229" t="s">
        <v>282</v>
      </c>
      <c r="N201" s="282" t="s">
        <v>283</v>
      </c>
    </row>
    <row r="202" spans="2:14" ht="30" customHeight="1" thickBot="1" x14ac:dyDescent="0.35">
      <c r="B202" s="364"/>
      <c r="C202" s="557"/>
      <c r="D202" s="520"/>
      <c r="E202" s="521"/>
      <c r="F202" s="521"/>
      <c r="G202" s="522"/>
      <c r="H202" s="522"/>
      <c r="I202" s="370" t="s">
        <v>284</v>
      </c>
      <c r="J202" s="372">
        <v>7.41</v>
      </c>
      <c r="K202" s="372" t="s">
        <v>285</v>
      </c>
      <c r="L202" s="372" t="s">
        <v>285</v>
      </c>
      <c r="M202" s="372" t="s">
        <v>285</v>
      </c>
      <c r="N202" s="558" t="s">
        <v>286</v>
      </c>
    </row>
    <row r="203" spans="2:14" ht="31.15" customHeight="1" thickBot="1" x14ac:dyDescent="0.35">
      <c r="B203" s="321" t="s">
        <v>287</v>
      </c>
      <c r="C203" s="322" t="s">
        <v>288</v>
      </c>
      <c r="D203" s="451"/>
      <c r="E203" s="452"/>
      <c r="F203" s="452"/>
      <c r="G203" s="325"/>
      <c r="H203" s="325"/>
      <c r="I203" s="452"/>
      <c r="J203" s="325"/>
      <c r="K203" s="325"/>
      <c r="L203" s="452"/>
      <c r="M203" s="325"/>
      <c r="N203" s="326"/>
    </row>
    <row r="204" spans="2:14" ht="31.5" customHeight="1" x14ac:dyDescent="0.3">
      <c r="B204" s="698" t="s">
        <v>289</v>
      </c>
      <c r="C204" s="686" t="s">
        <v>413</v>
      </c>
      <c r="D204" s="786" t="s">
        <v>51</v>
      </c>
      <c r="E204" s="560"/>
      <c r="F204" s="560"/>
      <c r="G204" s="561"/>
      <c r="H204" s="561"/>
      <c r="I204" s="562" t="s">
        <v>290</v>
      </c>
      <c r="J204" s="563">
        <v>1</v>
      </c>
      <c r="K204" s="563">
        <v>4</v>
      </c>
      <c r="L204" s="538">
        <v>4</v>
      </c>
      <c r="M204" s="538">
        <v>4</v>
      </c>
      <c r="N204" s="424"/>
    </row>
    <row r="205" spans="2:14" ht="17.5" customHeight="1" thickBot="1" x14ac:dyDescent="0.35">
      <c r="B205" s="700"/>
      <c r="C205" s="391" t="s">
        <v>32</v>
      </c>
      <c r="D205" s="697"/>
      <c r="E205" s="340">
        <f>180-169.3-2.5</f>
        <v>8.1999999999999886</v>
      </c>
      <c r="F205" s="341">
        <v>162</v>
      </c>
      <c r="G205" s="394">
        <v>120</v>
      </c>
      <c r="H205" s="564">
        <v>120</v>
      </c>
      <c r="I205" s="565"/>
      <c r="J205" s="293"/>
      <c r="K205" s="293"/>
      <c r="L205" s="293"/>
      <c r="M205" s="293"/>
      <c r="N205" s="294"/>
    </row>
    <row r="206" spans="2:14" ht="43.15" customHeight="1" x14ac:dyDescent="0.3">
      <c r="B206" s="698" t="s">
        <v>291</v>
      </c>
      <c r="C206" s="566" t="s">
        <v>292</v>
      </c>
      <c r="D206" s="786" t="s">
        <v>90</v>
      </c>
      <c r="E206" s="344"/>
      <c r="F206" s="344"/>
      <c r="G206" s="345"/>
      <c r="H206" s="567"/>
      <c r="I206" s="392" t="s">
        <v>293</v>
      </c>
      <c r="J206" s="538">
        <v>3</v>
      </c>
      <c r="K206" s="538">
        <v>2</v>
      </c>
      <c r="L206" s="538">
        <v>2</v>
      </c>
      <c r="M206" s="538">
        <v>2</v>
      </c>
      <c r="N206" s="424" t="s">
        <v>294</v>
      </c>
    </row>
    <row r="207" spans="2:14" ht="33" customHeight="1" thickBot="1" x14ac:dyDescent="0.35">
      <c r="B207" s="700"/>
      <c r="C207" s="391" t="s">
        <v>31</v>
      </c>
      <c r="D207" s="697"/>
      <c r="E207" s="340">
        <v>3</v>
      </c>
      <c r="F207" s="340">
        <v>2</v>
      </c>
      <c r="G207" s="342">
        <v>2</v>
      </c>
      <c r="H207" s="568">
        <v>2</v>
      </c>
      <c r="I207" s="293"/>
      <c r="J207" s="293"/>
      <c r="K207" s="293"/>
      <c r="L207" s="293"/>
      <c r="M207" s="293"/>
      <c r="N207" s="294"/>
    </row>
    <row r="208" spans="2:14" ht="33" customHeight="1" x14ac:dyDescent="0.3">
      <c r="B208" s="698" t="s">
        <v>295</v>
      </c>
      <c r="C208" s="569" t="s">
        <v>296</v>
      </c>
      <c r="D208" s="693" t="s">
        <v>297</v>
      </c>
      <c r="E208" s="344"/>
      <c r="F208" s="344"/>
      <c r="G208" s="345"/>
      <c r="H208" s="570"/>
      <c r="I208" s="405" t="s">
        <v>56</v>
      </c>
      <c r="J208" s="571"/>
      <c r="K208" s="538">
        <v>1</v>
      </c>
      <c r="L208" s="538"/>
      <c r="M208" s="538"/>
      <c r="N208" s="424" t="s">
        <v>298</v>
      </c>
    </row>
    <row r="209" spans="2:14" ht="27.75" customHeight="1" thickBot="1" x14ac:dyDescent="0.35">
      <c r="B209" s="700"/>
      <c r="C209" s="339" t="s">
        <v>31</v>
      </c>
      <c r="D209" s="695"/>
      <c r="E209" s="340">
        <f>148.8+31.2-8.5</f>
        <v>171.5</v>
      </c>
      <c r="F209" s="341">
        <f>600-200</f>
        <v>400</v>
      </c>
      <c r="G209" s="394">
        <f>790.1+200</f>
        <v>990.1</v>
      </c>
      <c r="H209" s="568"/>
      <c r="I209" s="572" t="s">
        <v>37</v>
      </c>
      <c r="J209" s="293" t="s">
        <v>38</v>
      </c>
      <c r="K209" s="573">
        <v>25</v>
      </c>
      <c r="L209" s="573">
        <v>100</v>
      </c>
      <c r="M209" s="573"/>
      <c r="N209" s="398"/>
    </row>
    <row r="210" spans="2:14" ht="56.5" customHeight="1" x14ac:dyDescent="0.3">
      <c r="B210" s="698" t="s">
        <v>299</v>
      </c>
      <c r="C210" s="574" t="s">
        <v>300</v>
      </c>
      <c r="D210" s="784" t="s">
        <v>301</v>
      </c>
      <c r="E210" s="560"/>
      <c r="F210" s="560"/>
      <c r="G210" s="561"/>
      <c r="H210" s="567"/>
      <c r="I210" s="405" t="s">
        <v>302</v>
      </c>
      <c r="J210" s="571">
        <v>100</v>
      </c>
      <c r="K210" s="571">
        <v>100</v>
      </c>
      <c r="L210" s="571">
        <v>100</v>
      </c>
      <c r="M210" s="571">
        <v>100</v>
      </c>
      <c r="N210" s="424"/>
    </row>
    <row r="211" spans="2:14" ht="19.5" customHeight="1" x14ac:dyDescent="0.3">
      <c r="B211" s="699"/>
      <c r="C211" s="57" t="s">
        <v>99</v>
      </c>
      <c r="D211" s="785"/>
      <c r="E211" s="86">
        <v>720</v>
      </c>
      <c r="F211" s="86">
        <v>910</v>
      </c>
      <c r="G211" s="87">
        <v>950</v>
      </c>
      <c r="H211" s="231">
        <v>950</v>
      </c>
      <c r="I211" s="157"/>
      <c r="J211" s="157"/>
      <c r="K211" s="157"/>
      <c r="L211" s="157"/>
      <c r="M211" s="157"/>
      <c r="N211" s="254"/>
    </row>
    <row r="212" spans="2:14" ht="19.5" customHeight="1" thickBot="1" x14ac:dyDescent="0.35">
      <c r="B212" s="700"/>
      <c r="C212" s="339" t="s">
        <v>32</v>
      </c>
      <c r="D212" s="575"/>
      <c r="E212" s="576">
        <v>300</v>
      </c>
      <c r="F212" s="576">
        <v>200</v>
      </c>
      <c r="G212" s="577"/>
      <c r="H212" s="578"/>
      <c r="I212" s="293"/>
      <c r="J212" s="293"/>
      <c r="K212" s="293"/>
      <c r="L212" s="293"/>
      <c r="M212" s="293"/>
      <c r="N212" s="294"/>
    </row>
    <row r="213" spans="2:14" ht="30.65" customHeight="1" x14ac:dyDescent="0.3">
      <c r="B213" s="690" t="s">
        <v>303</v>
      </c>
      <c r="C213" s="574" t="s">
        <v>304</v>
      </c>
      <c r="D213" s="693" t="s">
        <v>51</v>
      </c>
      <c r="E213" s="344"/>
      <c r="F213" s="579"/>
      <c r="G213" s="580"/>
      <c r="H213" s="581"/>
      <c r="I213" s="405" t="s">
        <v>305</v>
      </c>
      <c r="J213" s="563">
        <v>950</v>
      </c>
      <c r="K213" s="563">
        <v>950</v>
      </c>
      <c r="L213" s="563">
        <v>950</v>
      </c>
      <c r="M213" s="563">
        <v>950</v>
      </c>
      <c r="N213" s="424"/>
    </row>
    <row r="214" spans="2:14" ht="33" customHeight="1" thickBot="1" x14ac:dyDescent="0.35">
      <c r="B214" s="692"/>
      <c r="C214" s="339" t="s">
        <v>31</v>
      </c>
      <c r="D214" s="695"/>
      <c r="E214" s="340">
        <f>1320-200+403.6</f>
        <v>1523.6</v>
      </c>
      <c r="F214" s="582">
        <v>2032.8</v>
      </c>
      <c r="G214" s="291">
        <v>2188.89</v>
      </c>
      <c r="H214" s="292">
        <v>2344.98</v>
      </c>
      <c r="I214" s="293"/>
      <c r="J214" s="293"/>
      <c r="K214" s="293"/>
      <c r="L214" s="293"/>
      <c r="M214" s="293"/>
      <c r="N214" s="294"/>
    </row>
    <row r="215" spans="2:14" ht="59.5" customHeight="1" x14ac:dyDescent="0.3">
      <c r="B215" s="690" t="s">
        <v>306</v>
      </c>
      <c r="C215" s="583" t="s">
        <v>307</v>
      </c>
      <c r="D215" s="761" t="s">
        <v>308</v>
      </c>
      <c r="E215" s="587"/>
      <c r="F215" s="588"/>
      <c r="G215" s="589"/>
      <c r="H215" s="589"/>
      <c r="I215" s="590" t="s">
        <v>309</v>
      </c>
      <c r="J215" s="591">
        <v>100</v>
      </c>
      <c r="K215" s="592">
        <v>100</v>
      </c>
      <c r="L215" s="592">
        <v>100</v>
      </c>
      <c r="M215" s="592"/>
      <c r="N215" s="593" t="s">
        <v>310</v>
      </c>
    </row>
    <row r="216" spans="2:14" ht="28.9" customHeight="1" x14ac:dyDescent="0.3">
      <c r="B216" s="691"/>
      <c r="C216" s="584" t="s">
        <v>31</v>
      </c>
      <c r="D216" s="762"/>
      <c r="E216" s="594">
        <v>450</v>
      </c>
      <c r="F216" s="124">
        <v>2000</v>
      </c>
      <c r="G216" s="125">
        <v>138</v>
      </c>
      <c r="H216" s="233"/>
      <c r="I216" s="235"/>
      <c r="J216" s="157"/>
      <c r="K216" s="157"/>
      <c r="L216" s="157"/>
      <c r="M216" s="157"/>
      <c r="N216" s="254"/>
    </row>
    <row r="217" spans="2:14" ht="22.5" customHeight="1" thickBot="1" x14ac:dyDescent="0.35">
      <c r="B217" s="692"/>
      <c r="C217" s="585" t="s">
        <v>32</v>
      </c>
      <c r="D217" s="762"/>
      <c r="E217" s="595"/>
      <c r="F217" s="596"/>
      <c r="G217" s="597"/>
      <c r="H217" s="598"/>
      <c r="I217" s="293"/>
      <c r="J217" s="293"/>
      <c r="K217" s="293"/>
      <c r="L217" s="293"/>
      <c r="M217" s="293"/>
      <c r="N217" s="294"/>
    </row>
    <row r="218" spans="2:14" ht="58.15" customHeight="1" x14ac:dyDescent="0.3">
      <c r="B218" s="690" t="s">
        <v>311</v>
      </c>
      <c r="C218" s="583" t="s">
        <v>312</v>
      </c>
      <c r="D218" s="762"/>
      <c r="E218" s="587"/>
      <c r="F218" s="599"/>
      <c r="G218" s="354"/>
      <c r="H218" s="354"/>
      <c r="I218" s="590" t="s">
        <v>309</v>
      </c>
      <c r="J218" s="591"/>
      <c r="K218" s="592">
        <v>100</v>
      </c>
      <c r="L218" s="592">
        <v>100</v>
      </c>
      <c r="M218" s="592">
        <v>100</v>
      </c>
      <c r="N218" s="593" t="s">
        <v>310</v>
      </c>
    </row>
    <row r="219" spans="2:14" ht="35.5" customHeight="1" thickBot="1" x14ac:dyDescent="0.35">
      <c r="B219" s="692"/>
      <c r="C219" s="585" t="s">
        <v>31</v>
      </c>
      <c r="D219" s="762"/>
      <c r="E219" s="595"/>
      <c r="F219" s="341">
        <v>395</v>
      </c>
      <c r="G219" s="600">
        <v>3000</v>
      </c>
      <c r="H219" s="601">
        <v>4750</v>
      </c>
      <c r="I219" s="293"/>
      <c r="J219" s="293"/>
      <c r="K219" s="293"/>
      <c r="L219" s="293"/>
      <c r="M219" s="293"/>
      <c r="N219" s="294"/>
    </row>
    <row r="220" spans="2:14" ht="69.650000000000006" customHeight="1" x14ac:dyDescent="0.3">
      <c r="B220" s="760" t="s">
        <v>313</v>
      </c>
      <c r="C220" s="353" t="s">
        <v>314</v>
      </c>
      <c r="D220" s="762"/>
      <c r="E220" s="587"/>
      <c r="F220" s="599"/>
      <c r="G220" s="354"/>
      <c r="H220" s="602"/>
      <c r="I220" s="405" t="s">
        <v>309</v>
      </c>
      <c r="J220" s="538"/>
      <c r="K220" s="563"/>
      <c r="L220" s="563"/>
      <c r="M220" s="563">
        <v>100</v>
      </c>
      <c r="N220" s="445" t="s">
        <v>310</v>
      </c>
    </row>
    <row r="221" spans="2:14" ht="35.5" customHeight="1" thickBot="1" x14ac:dyDescent="0.35">
      <c r="B221" s="720"/>
      <c r="C221" s="586" t="s">
        <v>31</v>
      </c>
      <c r="D221" s="762"/>
      <c r="E221" s="595"/>
      <c r="F221" s="341"/>
      <c r="G221" s="600"/>
      <c r="H221" s="601">
        <v>2150</v>
      </c>
      <c r="I221" s="293"/>
      <c r="J221" s="293"/>
      <c r="K221" s="293"/>
      <c r="L221" s="293"/>
      <c r="M221" s="293"/>
      <c r="N221" s="294"/>
    </row>
    <row r="222" spans="2:14" ht="31.9" customHeight="1" x14ac:dyDescent="0.3">
      <c r="B222" s="736"/>
      <c r="C222" s="116" t="s">
        <v>315</v>
      </c>
      <c r="D222" s="747" t="s">
        <v>316</v>
      </c>
      <c r="E222" s="526"/>
      <c r="F222" s="526"/>
      <c r="G222" s="58"/>
      <c r="H222" s="58"/>
      <c r="I222" s="236" t="s">
        <v>37</v>
      </c>
      <c r="J222" s="535">
        <v>100</v>
      </c>
      <c r="K222" s="559"/>
      <c r="L222" s="559"/>
      <c r="M222" s="559"/>
      <c r="N222" s="273"/>
    </row>
    <row r="223" spans="2:14" ht="18" customHeight="1" x14ac:dyDescent="0.3">
      <c r="B223" s="736"/>
      <c r="C223" s="95" t="s">
        <v>228</v>
      </c>
      <c r="D223" s="747"/>
      <c r="E223" s="86">
        <v>433.6</v>
      </c>
      <c r="F223" s="86"/>
      <c r="G223" s="87"/>
      <c r="H223" s="87"/>
      <c r="I223" s="157"/>
      <c r="J223" s="157"/>
      <c r="K223" s="157"/>
      <c r="L223" s="157"/>
      <c r="M223" s="157"/>
      <c r="N223" s="254"/>
    </row>
    <row r="224" spans="2:14" ht="26.5" customHeight="1" x14ac:dyDescent="0.3">
      <c r="B224" s="736"/>
      <c r="C224" s="9" t="s">
        <v>317</v>
      </c>
      <c r="D224" s="747"/>
      <c r="E224" s="185"/>
      <c r="F224" s="185"/>
      <c r="G224" s="47"/>
      <c r="H224" s="47"/>
      <c r="I224" s="157"/>
      <c r="J224" s="157"/>
      <c r="K224" s="157"/>
      <c r="L224" s="157"/>
      <c r="M224" s="157"/>
      <c r="N224" s="254"/>
    </row>
    <row r="225" spans="2:14" ht="34.15" customHeight="1" thickBot="1" x14ac:dyDescent="0.35">
      <c r="B225" s="737"/>
      <c r="C225" s="603" t="s">
        <v>31</v>
      </c>
      <c r="D225" s="774"/>
      <c r="E225" s="414">
        <v>8.5</v>
      </c>
      <c r="F225" s="414"/>
      <c r="G225" s="342"/>
      <c r="H225" s="342"/>
      <c r="I225" s="293"/>
      <c r="J225" s="293"/>
      <c r="K225" s="293"/>
      <c r="L225" s="293"/>
      <c r="M225" s="293"/>
      <c r="N225" s="294"/>
    </row>
    <row r="226" spans="2:14" ht="104.25" customHeight="1" x14ac:dyDescent="0.3">
      <c r="B226" s="735"/>
      <c r="C226" s="605" t="s">
        <v>318</v>
      </c>
      <c r="D226" s="787" t="s">
        <v>319</v>
      </c>
      <c r="E226" s="458"/>
      <c r="F226" s="458"/>
      <c r="G226" s="345"/>
      <c r="H226" s="345"/>
      <c r="I226" s="392" t="s">
        <v>320</v>
      </c>
      <c r="J226" s="538">
        <v>1</v>
      </c>
      <c r="K226" s="538"/>
      <c r="L226" s="538"/>
      <c r="M226" s="538"/>
      <c r="N226" s="424" t="s">
        <v>321</v>
      </c>
    </row>
    <row r="227" spans="2:14" ht="36" customHeight="1" thickBot="1" x14ac:dyDescent="0.35">
      <c r="B227" s="737"/>
      <c r="C227" s="606" t="s">
        <v>31</v>
      </c>
      <c r="D227" s="774"/>
      <c r="E227" s="342">
        <v>9</v>
      </c>
      <c r="F227" s="414"/>
      <c r="G227" s="342"/>
      <c r="H227" s="342"/>
      <c r="I227" s="293"/>
      <c r="J227" s="293"/>
      <c r="K227" s="293"/>
      <c r="L227" s="293"/>
      <c r="M227" s="293"/>
      <c r="N227" s="294"/>
    </row>
    <row r="228" spans="2:14" ht="15" customHeight="1" x14ac:dyDescent="0.3">
      <c r="B228" s="533"/>
      <c r="C228" s="534" t="s">
        <v>157</v>
      </c>
      <c r="D228" s="90"/>
      <c r="E228" s="460">
        <f>+E230+E231+E232+E233</f>
        <v>3627.3999999999996</v>
      </c>
      <c r="F228" s="460">
        <f t="shared" ref="F228:H228" si="10">+F230+F231+F232+F233</f>
        <v>6101.8</v>
      </c>
      <c r="G228" s="604">
        <f t="shared" si="10"/>
        <v>7388.99</v>
      </c>
      <c r="H228" s="604">
        <f t="shared" si="10"/>
        <v>10316.98</v>
      </c>
      <c r="I228" s="196"/>
      <c r="J228" s="196"/>
      <c r="K228" s="196"/>
      <c r="L228" s="196"/>
      <c r="M228" s="196"/>
      <c r="N228" s="264"/>
    </row>
    <row r="229" spans="2:14" ht="15" customHeight="1" x14ac:dyDescent="0.3">
      <c r="B229" s="782"/>
      <c r="C229" s="41" t="s">
        <v>158</v>
      </c>
      <c r="D229" s="141"/>
      <c r="E229" s="42"/>
      <c r="F229" s="42"/>
      <c r="G229" s="43"/>
      <c r="H229" s="237"/>
      <c r="I229" s="157"/>
      <c r="J229" s="157"/>
      <c r="K229" s="157"/>
      <c r="L229" s="157"/>
      <c r="M229" s="157"/>
      <c r="N229" s="254"/>
    </row>
    <row r="230" spans="2:14" ht="28.15" customHeight="1" x14ac:dyDescent="0.3">
      <c r="B230" s="783"/>
      <c r="C230" s="36" t="s">
        <v>159</v>
      </c>
      <c r="D230" s="92"/>
      <c r="E230" s="71">
        <f>SUMIF($C204:$C227,$C207,E204:E227)</f>
        <v>2165.6</v>
      </c>
      <c r="F230" s="71">
        <f>SUMIF($C204:$C224,$C207,F204:F224)</f>
        <v>4829.8</v>
      </c>
      <c r="G230" s="79">
        <f>SUMIF($C204:$C224,$C207,G204:G224)</f>
        <v>6318.99</v>
      </c>
      <c r="H230" s="238">
        <f>SUMIF($C204:$C224,$C207,H204:H224)</f>
        <v>9246.98</v>
      </c>
      <c r="I230" s="157"/>
      <c r="J230" s="157"/>
      <c r="K230" s="157"/>
      <c r="L230" s="157"/>
      <c r="M230" s="157"/>
      <c r="N230" s="254"/>
    </row>
    <row r="231" spans="2:14" ht="15" customHeight="1" x14ac:dyDescent="0.3">
      <c r="B231" s="783"/>
      <c r="C231" s="36" t="s">
        <v>271</v>
      </c>
      <c r="D231" s="92"/>
      <c r="E231" s="98">
        <f>SUMIF($C204:$C227,$C223,E204:E227)</f>
        <v>433.6</v>
      </c>
      <c r="F231" s="98">
        <f>SUMIF($C204:$C227,$C223,F204:F227)</f>
        <v>0</v>
      </c>
      <c r="G231" s="98">
        <f>SUMIF($C204:$C227,$C223,G204:G227)</f>
        <v>0</v>
      </c>
      <c r="H231" s="239">
        <f>SUMIF($C204:$C227,$C223,H204:H227)</f>
        <v>0</v>
      </c>
      <c r="I231" s="157"/>
      <c r="J231" s="157"/>
      <c r="K231" s="157"/>
      <c r="L231" s="157"/>
      <c r="M231" s="157"/>
      <c r="N231" s="254"/>
    </row>
    <row r="232" spans="2:14" ht="15" customHeight="1" x14ac:dyDescent="0.3">
      <c r="B232" s="783"/>
      <c r="C232" s="36" t="s">
        <v>161</v>
      </c>
      <c r="D232" s="99"/>
      <c r="E232" s="100">
        <f>SUMIF($C204:$C227,$C211,E204:E227)</f>
        <v>720</v>
      </c>
      <c r="F232" s="100">
        <f>SUMIF($C204:$C227,$C211,F204:F227)</f>
        <v>910</v>
      </c>
      <c r="G232" s="100">
        <f>SUMIF($C204:$C227,$C211,G204:G227)</f>
        <v>950</v>
      </c>
      <c r="H232" s="240">
        <f>SUMIF($C204:$C227,$C211,H204:H227)</f>
        <v>950</v>
      </c>
      <c r="I232" s="157"/>
      <c r="J232" s="157"/>
      <c r="K232" s="157"/>
      <c r="L232" s="157"/>
      <c r="M232" s="157"/>
      <c r="N232" s="254"/>
    </row>
    <row r="233" spans="2:14" ht="15" customHeight="1" x14ac:dyDescent="0.3">
      <c r="B233" s="783"/>
      <c r="C233" s="36" t="s">
        <v>162</v>
      </c>
      <c r="D233" s="44"/>
      <c r="E233" s="101">
        <f>SUMIF($C204:$C227,$C212,E204:E227)</f>
        <v>308.2</v>
      </c>
      <c r="F233" s="101">
        <f t="shared" ref="F233:H233" si="11">SUMIF($C204:$C227,$C212,F204:F227)</f>
        <v>362</v>
      </c>
      <c r="G233" s="101">
        <f t="shared" si="11"/>
        <v>120</v>
      </c>
      <c r="H233" s="241">
        <f t="shared" si="11"/>
        <v>120</v>
      </c>
      <c r="I233" s="157"/>
      <c r="J233" s="157"/>
      <c r="K233" s="157"/>
      <c r="L233" s="157"/>
      <c r="M233" s="157"/>
      <c r="N233" s="254"/>
    </row>
    <row r="234" spans="2:14" ht="15" customHeight="1" x14ac:dyDescent="0.3">
      <c r="B234" s="283"/>
      <c r="C234" s="102" t="s">
        <v>164</v>
      </c>
      <c r="D234" s="97"/>
      <c r="E234" s="607">
        <f t="shared" ref="E234" si="12">+E236</f>
        <v>0</v>
      </c>
      <c r="F234" s="607">
        <f t="shared" ref="F234:H234" si="13">+F236</f>
        <v>0</v>
      </c>
      <c r="G234" s="608">
        <f t="shared" si="13"/>
        <v>0</v>
      </c>
      <c r="H234" s="609">
        <f t="shared" si="13"/>
        <v>0</v>
      </c>
      <c r="I234" s="76"/>
      <c r="J234" s="76"/>
      <c r="K234" s="76"/>
      <c r="L234" s="76"/>
      <c r="M234" s="76"/>
      <c r="N234" s="275"/>
    </row>
    <row r="235" spans="2:14" ht="15" customHeight="1" x14ac:dyDescent="0.3">
      <c r="B235" s="793"/>
      <c r="C235" s="52" t="s">
        <v>165</v>
      </c>
      <c r="D235" s="44"/>
      <c r="E235" s="42"/>
      <c r="F235" s="42"/>
      <c r="G235" s="43"/>
      <c r="H235" s="237"/>
      <c r="I235" s="157"/>
      <c r="J235" s="157"/>
      <c r="K235" s="157"/>
      <c r="L235" s="157"/>
      <c r="M235" s="157"/>
      <c r="N235" s="254"/>
    </row>
    <row r="236" spans="2:14" ht="15" customHeight="1" thickBot="1" x14ac:dyDescent="0.35">
      <c r="B236" s="794"/>
      <c r="C236" s="610" t="s">
        <v>322</v>
      </c>
      <c r="D236" s="611"/>
      <c r="E236" s="612">
        <f>SUMIF($C204:$C227,$C224,E204:E227)</f>
        <v>0</v>
      </c>
      <c r="F236" s="612">
        <f>SUMIF($C204:$C227,$C224,F204:F227)</f>
        <v>0</v>
      </c>
      <c r="G236" s="612">
        <f>SUMIF($C204:$C227,$C224,G204:G227)</f>
        <v>0</v>
      </c>
      <c r="H236" s="612">
        <f>SUMIF($C204:$C227,$C224,H204:H227)</f>
        <v>0</v>
      </c>
      <c r="I236" s="293"/>
      <c r="J236" s="293"/>
      <c r="K236" s="293"/>
      <c r="L236" s="293"/>
      <c r="M236" s="293"/>
      <c r="N236" s="294"/>
    </row>
    <row r="237" spans="2:14" ht="27.75" customHeight="1" thickBot="1" x14ac:dyDescent="0.35">
      <c r="B237" s="307" t="s">
        <v>323</v>
      </c>
      <c r="C237" s="556" t="s">
        <v>324</v>
      </c>
      <c r="D237" s="515"/>
      <c r="E237" s="516"/>
      <c r="F237" s="516"/>
      <c r="G237" s="517"/>
      <c r="H237" s="613"/>
      <c r="I237" s="516"/>
      <c r="J237" s="517"/>
      <c r="K237" s="517"/>
      <c r="L237" s="516"/>
      <c r="M237" s="517"/>
      <c r="N237" s="518"/>
    </row>
    <row r="238" spans="2:14" ht="36" customHeight="1" x14ac:dyDescent="0.3">
      <c r="B238" s="614"/>
      <c r="C238" s="615"/>
      <c r="D238" s="616"/>
      <c r="E238" s="617"/>
      <c r="F238" s="617"/>
      <c r="G238" s="618"/>
      <c r="H238" s="619"/>
      <c r="I238" s="620" t="s">
        <v>325</v>
      </c>
      <c r="J238" s="621">
        <v>11</v>
      </c>
      <c r="K238" s="621">
        <v>10</v>
      </c>
      <c r="L238" s="621">
        <v>9</v>
      </c>
      <c r="M238" s="621">
        <v>8</v>
      </c>
      <c r="N238" s="622"/>
    </row>
    <row r="239" spans="2:14" ht="63" customHeight="1" x14ac:dyDescent="0.3">
      <c r="B239" s="251"/>
      <c r="C239" s="230"/>
      <c r="D239" s="213"/>
      <c r="E239" s="214"/>
      <c r="F239" s="214"/>
      <c r="G239" s="215"/>
      <c r="H239" s="242"/>
      <c r="I239" s="147" t="s">
        <v>326</v>
      </c>
      <c r="J239" s="206">
        <v>0</v>
      </c>
      <c r="K239" s="206">
        <v>0</v>
      </c>
      <c r="L239" s="206">
        <v>0</v>
      </c>
      <c r="M239" s="206">
        <v>0</v>
      </c>
      <c r="N239" s="284"/>
    </row>
    <row r="240" spans="2:14" ht="62.5" customHeight="1" thickBot="1" x14ac:dyDescent="0.35">
      <c r="B240" s="364"/>
      <c r="C240" s="557"/>
      <c r="D240" s="520"/>
      <c r="E240" s="521"/>
      <c r="F240" s="521"/>
      <c r="G240" s="522"/>
      <c r="H240" s="623"/>
      <c r="I240" s="370" t="s">
        <v>327</v>
      </c>
      <c r="J240" s="624">
        <v>100</v>
      </c>
      <c r="K240" s="624">
        <v>100</v>
      </c>
      <c r="L240" s="624">
        <v>100</v>
      </c>
      <c r="M240" s="624">
        <v>100</v>
      </c>
      <c r="N240" s="625" t="s">
        <v>328</v>
      </c>
    </row>
    <row r="241" spans="1:14" ht="46.9" customHeight="1" thickBot="1" x14ac:dyDescent="0.35">
      <c r="B241" s="321" t="s">
        <v>329</v>
      </c>
      <c r="C241" s="322" t="s">
        <v>330</v>
      </c>
      <c r="D241" s="626"/>
      <c r="E241" s="452"/>
      <c r="F241" s="452"/>
      <c r="G241" s="325"/>
      <c r="H241" s="627"/>
      <c r="I241" s="452"/>
      <c r="J241" s="325"/>
      <c r="K241" s="325"/>
      <c r="L241" s="452"/>
      <c r="M241" s="325"/>
      <c r="N241" s="326"/>
    </row>
    <row r="242" spans="1:14" ht="28.5" customHeight="1" x14ac:dyDescent="0.3">
      <c r="B242" s="690" t="s">
        <v>331</v>
      </c>
      <c r="C242" s="333" t="s">
        <v>332</v>
      </c>
      <c r="D242" s="755" t="s">
        <v>113</v>
      </c>
      <c r="E242" s="344"/>
      <c r="F242" s="344"/>
      <c r="G242" s="345"/>
      <c r="H242" s="345"/>
      <c r="I242" s="628" t="s">
        <v>333</v>
      </c>
      <c r="J242" s="629">
        <v>100</v>
      </c>
      <c r="K242" s="629">
        <v>70</v>
      </c>
      <c r="L242" s="629">
        <v>50</v>
      </c>
      <c r="M242" s="629">
        <v>30</v>
      </c>
      <c r="N242" s="424"/>
    </row>
    <row r="243" spans="1:14" ht="29.25" customHeight="1" x14ac:dyDescent="0.3">
      <c r="B243" s="691"/>
      <c r="C243" s="45" t="s">
        <v>31</v>
      </c>
      <c r="D243" s="756"/>
      <c r="E243" s="96">
        <f>77+10</f>
        <v>87</v>
      </c>
      <c r="F243" s="96">
        <v>68</v>
      </c>
      <c r="G243" s="88">
        <v>60</v>
      </c>
      <c r="H243" s="245">
        <v>30</v>
      </c>
      <c r="I243" s="157"/>
      <c r="J243" s="157"/>
      <c r="K243" s="157"/>
      <c r="L243" s="157"/>
      <c r="M243" s="157"/>
      <c r="N243" s="254"/>
    </row>
    <row r="244" spans="1:14" ht="18" customHeight="1" thickBot="1" x14ac:dyDescent="0.35">
      <c r="B244" s="692"/>
      <c r="C244" s="391" t="s">
        <v>228</v>
      </c>
      <c r="D244" s="756"/>
      <c r="E244" s="630">
        <v>5</v>
      </c>
      <c r="F244" s="631"/>
      <c r="G244" s="631"/>
      <c r="H244" s="632"/>
      <c r="I244" s="293"/>
      <c r="J244" s="293"/>
      <c r="K244" s="293"/>
      <c r="L244" s="293"/>
      <c r="M244" s="293"/>
      <c r="N244" s="294"/>
    </row>
    <row r="245" spans="1:14" ht="28.9" customHeight="1" x14ac:dyDescent="0.3">
      <c r="B245" s="374" t="s">
        <v>334</v>
      </c>
      <c r="C245" s="333" t="s">
        <v>335</v>
      </c>
      <c r="D245" s="756"/>
      <c r="E245" s="344"/>
      <c r="F245" s="344"/>
      <c r="G245" s="345"/>
      <c r="H245" s="570"/>
      <c r="I245" s="628" t="s">
        <v>336</v>
      </c>
      <c r="J245" s="629">
        <v>32</v>
      </c>
      <c r="K245" s="629">
        <v>32</v>
      </c>
      <c r="L245" s="629">
        <v>28</v>
      </c>
      <c r="M245" s="629">
        <v>29</v>
      </c>
      <c r="N245" s="424"/>
    </row>
    <row r="246" spans="1:14" ht="30" customHeight="1" x14ac:dyDescent="0.3">
      <c r="B246" s="256"/>
      <c r="C246" s="45" t="s">
        <v>31</v>
      </c>
      <c r="D246" s="756"/>
      <c r="E246" s="46"/>
      <c r="F246" s="121">
        <v>133</v>
      </c>
      <c r="G246" s="122">
        <v>40</v>
      </c>
      <c r="H246" s="246">
        <v>40</v>
      </c>
      <c r="I246" s="190"/>
      <c r="J246" s="157"/>
      <c r="K246" s="157"/>
      <c r="L246" s="157"/>
      <c r="M246" s="157"/>
      <c r="N246" s="254"/>
    </row>
    <row r="247" spans="1:14" ht="20.25" customHeight="1" thickBot="1" x14ac:dyDescent="0.35">
      <c r="B247" s="378"/>
      <c r="C247" s="339" t="s">
        <v>32</v>
      </c>
      <c r="D247" s="756"/>
      <c r="E247" s="633">
        <f>88+21.5</f>
        <v>109.5</v>
      </c>
      <c r="F247" s="634"/>
      <c r="G247" s="634"/>
      <c r="H247" s="635"/>
      <c r="I247" s="565"/>
      <c r="J247" s="293"/>
      <c r="K247" s="293"/>
      <c r="L247" s="293"/>
      <c r="M247" s="293"/>
      <c r="N247" s="294"/>
    </row>
    <row r="248" spans="1:14" ht="43.15" customHeight="1" x14ac:dyDescent="0.3">
      <c r="B248" s="690" t="s">
        <v>337</v>
      </c>
      <c r="C248" s="333" t="s">
        <v>338</v>
      </c>
      <c r="D248" s="756"/>
      <c r="E248" s="344"/>
      <c r="F248" s="344"/>
      <c r="G248" s="345"/>
      <c r="H248" s="570"/>
      <c r="I248" s="628" t="s">
        <v>339</v>
      </c>
      <c r="J248" s="629">
        <v>2</v>
      </c>
      <c r="K248" s="629">
        <v>2</v>
      </c>
      <c r="L248" s="629">
        <v>2</v>
      </c>
      <c r="M248" s="629">
        <v>1</v>
      </c>
      <c r="N248" s="424"/>
    </row>
    <row r="249" spans="1:14" ht="30" customHeight="1" x14ac:dyDescent="0.3">
      <c r="B249" s="691"/>
      <c r="C249" s="45" t="s">
        <v>31</v>
      </c>
      <c r="D249" s="756"/>
      <c r="E249" s="46">
        <f>15.2-10</f>
        <v>5.1999999999999993</v>
      </c>
      <c r="F249" s="123">
        <v>90</v>
      </c>
      <c r="G249" s="47">
        <v>20</v>
      </c>
      <c r="H249" s="232">
        <v>20</v>
      </c>
      <c r="I249" s="247"/>
      <c r="J249" s="158"/>
      <c r="K249" s="157"/>
      <c r="L249" s="157"/>
      <c r="M249" s="157"/>
      <c r="N249" s="254"/>
    </row>
    <row r="250" spans="1:14" ht="21" customHeight="1" thickBot="1" x14ac:dyDescent="0.35">
      <c r="B250" s="692"/>
      <c r="C250" s="339" t="s">
        <v>32</v>
      </c>
      <c r="D250" s="756"/>
      <c r="E250" s="340">
        <f>24.8-21.5</f>
        <v>3.3000000000000007</v>
      </c>
      <c r="F250" s="340"/>
      <c r="G250" s="342"/>
      <c r="H250" s="568"/>
      <c r="I250" s="293"/>
      <c r="J250" s="293"/>
      <c r="K250" s="293"/>
      <c r="L250" s="293"/>
      <c r="M250" s="293"/>
      <c r="N250" s="294"/>
    </row>
    <row r="251" spans="1:14" ht="55.5" customHeight="1" x14ac:dyDescent="0.3">
      <c r="B251" s="690" t="s">
        <v>340</v>
      </c>
      <c r="C251" s="333" t="s">
        <v>341</v>
      </c>
      <c r="D251" s="756"/>
      <c r="E251" s="344"/>
      <c r="F251" s="344"/>
      <c r="G251" s="345"/>
      <c r="H251" s="345"/>
      <c r="I251" s="628" t="s">
        <v>342</v>
      </c>
      <c r="J251" s="629">
        <v>20</v>
      </c>
      <c r="K251" s="629">
        <v>15</v>
      </c>
      <c r="L251" s="629">
        <v>5</v>
      </c>
      <c r="M251" s="629">
        <v>5</v>
      </c>
      <c r="N251" s="424"/>
    </row>
    <row r="252" spans="1:14" ht="28.9" customHeight="1" thickBot="1" x14ac:dyDescent="0.35">
      <c r="B252" s="692"/>
      <c r="C252" s="339" t="s">
        <v>31</v>
      </c>
      <c r="D252" s="756"/>
      <c r="E252" s="340">
        <v>5</v>
      </c>
      <c r="F252" s="340">
        <v>8</v>
      </c>
      <c r="G252" s="342">
        <v>3</v>
      </c>
      <c r="H252" s="342">
        <v>3</v>
      </c>
      <c r="I252" s="293"/>
      <c r="J252" s="293"/>
      <c r="K252" s="293"/>
      <c r="L252" s="293"/>
      <c r="M252" s="293"/>
      <c r="N252" s="294"/>
    </row>
    <row r="253" spans="1:14" ht="58.9" customHeight="1" x14ac:dyDescent="0.3">
      <c r="B253" s="690" t="s">
        <v>343</v>
      </c>
      <c r="C253" s="333" t="s">
        <v>344</v>
      </c>
      <c r="D253" s="756"/>
      <c r="E253" s="344"/>
      <c r="F253" s="344"/>
      <c r="G253" s="345"/>
      <c r="H253" s="345"/>
      <c r="I253" s="628" t="s">
        <v>345</v>
      </c>
      <c r="J253" s="629">
        <v>116</v>
      </c>
      <c r="K253" s="629">
        <v>116</v>
      </c>
      <c r="L253" s="629">
        <v>116</v>
      </c>
      <c r="M253" s="629">
        <v>116</v>
      </c>
      <c r="N253" s="424"/>
    </row>
    <row r="254" spans="1:14" ht="29.5" customHeight="1" thickBot="1" x14ac:dyDescent="0.35">
      <c r="A254" s="6" t="s">
        <v>346</v>
      </c>
      <c r="B254" s="692"/>
      <c r="C254" s="339" t="s">
        <v>31</v>
      </c>
      <c r="D254" s="756"/>
      <c r="E254" s="340">
        <v>23.8</v>
      </c>
      <c r="F254" s="638">
        <v>7</v>
      </c>
      <c r="G254" s="639">
        <v>7</v>
      </c>
      <c r="H254" s="639">
        <v>7</v>
      </c>
      <c r="I254" s="640"/>
      <c r="J254" s="293"/>
      <c r="K254" s="293"/>
      <c r="L254" s="293"/>
      <c r="M254" s="293"/>
      <c r="N254" s="294"/>
    </row>
    <row r="255" spans="1:14" ht="43.15" customHeight="1" x14ac:dyDescent="0.3">
      <c r="B255" s="690" t="s">
        <v>347</v>
      </c>
      <c r="C255" s="333" t="s">
        <v>348</v>
      </c>
      <c r="D255" s="756"/>
      <c r="E255" s="344"/>
      <c r="F255" s="344"/>
      <c r="G255" s="345"/>
      <c r="H255" s="345"/>
      <c r="I255" s="641" t="s">
        <v>349</v>
      </c>
      <c r="J255" s="642">
        <v>24</v>
      </c>
      <c r="K255" s="642">
        <v>25</v>
      </c>
      <c r="L255" s="642">
        <v>20</v>
      </c>
      <c r="M255" s="642">
        <v>20</v>
      </c>
      <c r="N255" s="643"/>
    </row>
    <row r="256" spans="1:14" ht="29.25" customHeight="1" thickBot="1" x14ac:dyDescent="0.35">
      <c r="B256" s="692"/>
      <c r="C256" s="339" t="s">
        <v>31</v>
      </c>
      <c r="D256" s="756"/>
      <c r="E256" s="340">
        <v>5</v>
      </c>
      <c r="F256" s="340">
        <v>6</v>
      </c>
      <c r="G256" s="342">
        <v>4</v>
      </c>
      <c r="H256" s="342">
        <v>3</v>
      </c>
      <c r="I256" s="644"/>
      <c r="J256" s="293"/>
      <c r="K256" s="293"/>
      <c r="L256" s="293"/>
      <c r="M256" s="293"/>
      <c r="N256" s="294"/>
    </row>
    <row r="257" spans="2:14" ht="42.65" customHeight="1" x14ac:dyDescent="0.3">
      <c r="B257" s="690" t="s">
        <v>350</v>
      </c>
      <c r="C257" s="327" t="s">
        <v>351</v>
      </c>
      <c r="D257" s="756"/>
      <c r="E257" s="344"/>
      <c r="F257" s="344"/>
      <c r="G257" s="345"/>
      <c r="H257" s="345"/>
      <c r="I257" s="628" t="s">
        <v>352</v>
      </c>
      <c r="J257" s="629">
        <v>15</v>
      </c>
      <c r="K257" s="629">
        <v>15</v>
      </c>
      <c r="L257" s="629">
        <v>15</v>
      </c>
      <c r="M257" s="629">
        <v>10</v>
      </c>
      <c r="N257" s="424"/>
    </row>
    <row r="258" spans="2:14" ht="31.9" customHeight="1" thickBot="1" x14ac:dyDescent="0.35">
      <c r="B258" s="692"/>
      <c r="C258" s="339" t="s">
        <v>31</v>
      </c>
      <c r="D258" s="756"/>
      <c r="E258" s="340">
        <v>2</v>
      </c>
      <c r="F258" s="340">
        <v>2</v>
      </c>
      <c r="G258" s="342">
        <v>2</v>
      </c>
      <c r="H258" s="342">
        <v>2</v>
      </c>
      <c r="I258" s="644"/>
      <c r="J258" s="293"/>
      <c r="K258" s="293"/>
      <c r="L258" s="293"/>
      <c r="M258" s="293"/>
      <c r="N258" s="294"/>
    </row>
    <row r="259" spans="2:14" ht="29.5" customHeight="1" x14ac:dyDescent="0.3">
      <c r="B259" s="690" t="s">
        <v>353</v>
      </c>
      <c r="C259" s="327" t="s">
        <v>354</v>
      </c>
      <c r="D259" s="756"/>
      <c r="E259" s="344"/>
      <c r="F259" s="344"/>
      <c r="G259" s="345"/>
      <c r="H259" s="345"/>
      <c r="I259" s="628" t="s">
        <v>355</v>
      </c>
      <c r="J259" s="629"/>
      <c r="K259" s="629">
        <v>2</v>
      </c>
      <c r="L259" s="629">
        <v>1</v>
      </c>
      <c r="M259" s="629">
        <v>1</v>
      </c>
      <c r="N259" s="424"/>
    </row>
    <row r="260" spans="2:14" ht="33" customHeight="1" x14ac:dyDescent="0.3">
      <c r="B260" s="692"/>
      <c r="C260" s="339" t="s">
        <v>31</v>
      </c>
      <c r="D260" s="756"/>
      <c r="E260" s="340"/>
      <c r="F260" s="341">
        <v>10</v>
      </c>
      <c r="G260" s="342">
        <v>5</v>
      </c>
      <c r="H260" s="342">
        <v>5</v>
      </c>
      <c r="I260" s="644"/>
      <c r="J260" s="293"/>
      <c r="K260" s="293"/>
      <c r="L260" s="293"/>
      <c r="M260" s="293"/>
      <c r="N260" s="294"/>
    </row>
    <row r="261" spans="2:14" ht="31.5" customHeight="1" x14ac:dyDescent="0.3">
      <c r="B261" s="778" t="s">
        <v>356</v>
      </c>
      <c r="C261" s="379" t="s">
        <v>357</v>
      </c>
      <c r="D261" s="775" t="s">
        <v>358</v>
      </c>
      <c r="E261" s="648"/>
      <c r="F261" s="649"/>
      <c r="G261" s="650"/>
      <c r="H261" s="650"/>
      <c r="I261" s="392" t="s">
        <v>359</v>
      </c>
      <c r="J261" s="563">
        <v>1</v>
      </c>
      <c r="K261" s="563"/>
      <c r="L261" s="629"/>
      <c r="M261" s="629"/>
      <c r="N261" s="424"/>
    </row>
    <row r="262" spans="2:14" ht="51.75" customHeight="1" x14ac:dyDescent="0.3">
      <c r="B262" s="779"/>
      <c r="C262" s="80" t="s">
        <v>31</v>
      </c>
      <c r="D262" s="776"/>
      <c r="E262" s="46">
        <v>6</v>
      </c>
      <c r="F262" s="89">
        <v>100</v>
      </c>
      <c r="G262" s="104"/>
      <c r="H262" s="104"/>
      <c r="I262" s="161" t="s">
        <v>360</v>
      </c>
      <c r="J262" s="171"/>
      <c r="K262" s="171">
        <v>28</v>
      </c>
      <c r="L262" s="243"/>
      <c r="M262" s="243"/>
      <c r="N262" s="257"/>
    </row>
    <row r="263" spans="2:14" ht="24.75" customHeight="1" x14ac:dyDescent="0.3">
      <c r="B263" s="779"/>
      <c r="C263" s="127" t="s">
        <v>228</v>
      </c>
      <c r="D263" s="776"/>
      <c r="E263" s="46">
        <v>408.8</v>
      </c>
      <c r="F263" s="120"/>
      <c r="G263" s="104"/>
      <c r="H263" s="104"/>
      <c r="I263" s="158"/>
      <c r="J263" s="157"/>
      <c r="K263" s="157"/>
      <c r="L263" s="157"/>
      <c r="M263" s="157"/>
      <c r="N263" s="254"/>
    </row>
    <row r="264" spans="2:14" ht="43.9" customHeight="1" thickBot="1" x14ac:dyDescent="0.35">
      <c r="B264" s="780"/>
      <c r="C264" s="654" t="s">
        <v>317</v>
      </c>
      <c r="D264" s="777"/>
      <c r="E264" s="651"/>
      <c r="F264" s="647">
        <v>613.20000000000005</v>
      </c>
      <c r="G264" s="652"/>
      <c r="H264" s="652"/>
      <c r="I264" s="293"/>
      <c r="J264" s="293"/>
      <c r="K264" s="293"/>
      <c r="L264" s="293"/>
      <c r="M264" s="293"/>
      <c r="N264" s="294"/>
    </row>
    <row r="265" spans="2:14" ht="34.5" customHeight="1" x14ac:dyDescent="0.3">
      <c r="B265" s="691" t="s">
        <v>361</v>
      </c>
      <c r="C265" s="684" t="s">
        <v>362</v>
      </c>
      <c r="D265" s="763" t="s">
        <v>363</v>
      </c>
      <c r="E265" s="645"/>
      <c r="F265" s="645"/>
      <c r="G265" s="646"/>
      <c r="H265" s="646"/>
      <c r="I265" s="248" t="s">
        <v>364</v>
      </c>
      <c r="J265" s="559"/>
      <c r="K265" s="559"/>
      <c r="L265" s="636"/>
      <c r="M265" s="636"/>
      <c r="N265" s="637"/>
    </row>
    <row r="266" spans="2:14" ht="34.5" customHeight="1" x14ac:dyDescent="0.3">
      <c r="B266" s="691"/>
      <c r="C266" s="119" t="s">
        <v>31</v>
      </c>
      <c r="D266" s="764"/>
      <c r="E266" s="89">
        <v>3.7</v>
      </c>
      <c r="F266" s="103"/>
      <c r="G266" s="128"/>
      <c r="H266" s="128"/>
      <c r="I266" s="286" t="s">
        <v>365</v>
      </c>
      <c r="J266" s="171"/>
      <c r="K266" s="171"/>
      <c r="L266" s="244"/>
      <c r="M266" s="244"/>
      <c r="N266" s="285"/>
    </row>
    <row r="267" spans="2:14" ht="34.5" customHeight="1" x14ac:dyDescent="0.3">
      <c r="B267" s="691"/>
      <c r="C267" s="127" t="s">
        <v>228</v>
      </c>
      <c r="D267" s="764"/>
      <c r="E267" s="103"/>
      <c r="F267" s="103"/>
      <c r="G267" s="128"/>
      <c r="H267" s="128"/>
      <c r="I267" s="249" t="s">
        <v>366</v>
      </c>
      <c r="J267" s="234">
        <v>1</v>
      </c>
      <c r="K267" s="234"/>
      <c r="L267" s="244"/>
      <c r="M267" s="244"/>
      <c r="N267" s="285"/>
    </row>
    <row r="268" spans="2:14" ht="54.65" customHeight="1" thickBot="1" x14ac:dyDescent="0.35">
      <c r="B268" s="692"/>
      <c r="C268" s="654" t="s">
        <v>317</v>
      </c>
      <c r="D268" s="765"/>
      <c r="E268" s="655"/>
      <c r="F268" s="655"/>
      <c r="G268" s="656"/>
      <c r="H268" s="656"/>
      <c r="I268" s="293"/>
      <c r="J268" s="293"/>
      <c r="K268" s="293"/>
      <c r="L268" s="293"/>
      <c r="M268" s="293"/>
      <c r="N268" s="294"/>
    </row>
    <row r="269" spans="2:14" ht="27" customHeight="1" x14ac:dyDescent="0.3">
      <c r="B269" s="533"/>
      <c r="C269" s="653" t="s">
        <v>157</v>
      </c>
      <c r="D269" s="83"/>
      <c r="E269" s="497">
        <f>+E271+E272+E273</f>
        <v>664.3</v>
      </c>
      <c r="F269" s="497">
        <f>+F271+F272+F273</f>
        <v>424</v>
      </c>
      <c r="G269" s="497">
        <f>+G271+G272+G273</f>
        <v>141</v>
      </c>
      <c r="H269" s="497">
        <f>+H271+H272+H273</f>
        <v>110</v>
      </c>
      <c r="I269" s="196"/>
      <c r="J269" s="196"/>
      <c r="K269" s="196"/>
      <c r="L269" s="196"/>
      <c r="M269" s="196"/>
      <c r="N269" s="264"/>
    </row>
    <row r="270" spans="2:14" ht="18" customHeight="1" x14ac:dyDescent="0.3">
      <c r="B270" s="743"/>
      <c r="C270" s="55" t="s">
        <v>158</v>
      </c>
      <c r="D270" s="36"/>
      <c r="E270" s="42"/>
      <c r="F270" s="42"/>
      <c r="G270" s="43"/>
      <c r="H270" s="43"/>
      <c r="I270" s="157"/>
      <c r="J270" s="157"/>
      <c r="K270" s="157"/>
      <c r="L270" s="157"/>
      <c r="M270" s="157"/>
      <c r="N270" s="254"/>
    </row>
    <row r="271" spans="2:14" ht="29.25" customHeight="1" x14ac:dyDescent="0.3">
      <c r="B271" s="744"/>
      <c r="C271" s="36" t="s">
        <v>159</v>
      </c>
      <c r="D271" s="36"/>
      <c r="E271" s="75">
        <f>SUMIF($C242:$C267,$C243,E242:F267)</f>
        <v>137.69999999999999</v>
      </c>
      <c r="F271" s="75">
        <f>SUMIF($C242:$C267,$C243,F242:G267)</f>
        <v>424</v>
      </c>
      <c r="G271" s="75">
        <f>SUMIF($C242:$C267,$C243,G242:H267)</f>
        <v>141</v>
      </c>
      <c r="H271" s="75">
        <f>SUMIF($C242:$C267,$C243,H242:H267)</f>
        <v>110</v>
      </c>
      <c r="I271" s="157"/>
      <c r="J271" s="157"/>
      <c r="K271" s="157"/>
      <c r="L271" s="157"/>
      <c r="M271" s="157"/>
      <c r="N271" s="254"/>
    </row>
    <row r="272" spans="2:14" ht="28.5" customHeight="1" x14ac:dyDescent="0.3">
      <c r="B272" s="744"/>
      <c r="C272" s="41" t="s">
        <v>271</v>
      </c>
      <c r="D272" s="36"/>
      <c r="E272" s="75">
        <f>SUMIF($C242:$C267,$C244,E242:E267)</f>
        <v>413.8</v>
      </c>
      <c r="F272" s="75">
        <f>SUMIF($C242:$C267,$C244,F242:F267)</f>
        <v>0</v>
      </c>
      <c r="G272" s="75">
        <f>SUMIF($C242:$C267,$C244,G242:G267)</f>
        <v>0</v>
      </c>
      <c r="H272" s="75">
        <f>SUMIF($C242:$C267,$C244,H242:H267)</f>
        <v>0</v>
      </c>
      <c r="I272" s="157"/>
      <c r="J272" s="157"/>
      <c r="K272" s="157"/>
      <c r="L272" s="157"/>
      <c r="M272" s="157"/>
      <c r="N272" s="254"/>
    </row>
    <row r="273" spans="2:17" ht="18" customHeight="1" x14ac:dyDescent="0.3">
      <c r="B273" s="271"/>
      <c r="C273" s="36" t="s">
        <v>162</v>
      </c>
      <c r="D273" s="36"/>
      <c r="E273" s="75">
        <f>SUMIF($C243:$C267,$C247,E243:E267)</f>
        <v>112.8</v>
      </c>
      <c r="F273" s="75">
        <f>SUMIF($C243:$C267,$C247,F243:F267)</f>
        <v>0</v>
      </c>
      <c r="G273" s="75">
        <f>SUMIF($C243:$C267,$C247,G243:G267)</f>
        <v>0</v>
      </c>
      <c r="H273" s="75">
        <f>SUMIF($C243:$C267,$C247,H243:H267)</f>
        <v>0</v>
      </c>
      <c r="I273" s="157"/>
      <c r="J273" s="157"/>
      <c r="K273" s="157"/>
      <c r="L273" s="157"/>
      <c r="M273" s="157"/>
      <c r="N273" s="254"/>
    </row>
    <row r="274" spans="2:17" ht="18" customHeight="1" x14ac:dyDescent="0.3">
      <c r="B274" s="287"/>
      <c r="C274" s="105" t="s">
        <v>164</v>
      </c>
      <c r="D274" s="85"/>
      <c r="E274" s="73">
        <f>+E276</f>
        <v>0</v>
      </c>
      <c r="F274" s="73">
        <f t="shared" ref="F274:H274" si="14">+F276</f>
        <v>613.20000000000005</v>
      </c>
      <c r="G274" s="73">
        <f t="shared" si="14"/>
        <v>0</v>
      </c>
      <c r="H274" s="73">
        <f t="shared" si="14"/>
        <v>0</v>
      </c>
      <c r="I274" s="76"/>
      <c r="J274" s="76"/>
      <c r="K274" s="76"/>
      <c r="L274" s="76"/>
      <c r="M274" s="76"/>
      <c r="N274" s="275"/>
    </row>
    <row r="275" spans="2:17" ht="18" customHeight="1" x14ac:dyDescent="0.3">
      <c r="B275" s="271"/>
      <c r="C275" s="52" t="s">
        <v>165</v>
      </c>
      <c r="D275" s="36"/>
      <c r="E275" s="75"/>
      <c r="F275" s="75"/>
      <c r="G275" s="84"/>
      <c r="H275" s="84"/>
      <c r="I275" s="157"/>
      <c r="J275" s="157"/>
      <c r="K275" s="157"/>
      <c r="L275" s="157"/>
      <c r="M275" s="157"/>
      <c r="N275" s="254"/>
    </row>
    <row r="276" spans="2:17" ht="18" customHeight="1" thickBot="1" x14ac:dyDescent="0.35">
      <c r="B276" s="447"/>
      <c r="C276" s="657" t="s">
        <v>322</v>
      </c>
      <c r="D276" s="474"/>
      <c r="E276" s="510">
        <f>SUMIF($C242:$C268,$C264,E242:E268)</f>
        <v>0</v>
      </c>
      <c r="F276" s="510">
        <f>SUMIF($C242:$C267,$C264,F242:F267)</f>
        <v>613.20000000000005</v>
      </c>
      <c r="G276" s="510">
        <f>SUMIF($C242:$C267,$C264,G242:G267)</f>
        <v>0</v>
      </c>
      <c r="H276" s="510">
        <f>SUMIF($C242:$C267,$C264,H242:H267)</f>
        <v>0</v>
      </c>
      <c r="I276" s="293"/>
      <c r="J276" s="293"/>
      <c r="K276" s="293"/>
      <c r="L276" s="293"/>
      <c r="M276" s="293"/>
      <c r="N276" s="294"/>
    </row>
    <row r="277" spans="2:17" ht="73.150000000000006" customHeight="1" thickBot="1" x14ac:dyDescent="0.35">
      <c r="B277" s="321" t="s">
        <v>367</v>
      </c>
      <c r="C277" s="322" t="s">
        <v>368</v>
      </c>
      <c r="D277" s="626" t="s">
        <v>369</v>
      </c>
      <c r="E277" s="452"/>
      <c r="F277" s="452"/>
      <c r="G277" s="325"/>
      <c r="H277" s="325"/>
      <c r="I277" s="658" t="s">
        <v>370</v>
      </c>
      <c r="J277" s="659">
        <v>5</v>
      </c>
      <c r="K277" s="660">
        <v>5</v>
      </c>
      <c r="L277" s="659">
        <v>5</v>
      </c>
      <c r="M277" s="659">
        <v>5</v>
      </c>
      <c r="N277" s="661"/>
    </row>
    <row r="278" spans="2:17" ht="15" customHeight="1" x14ac:dyDescent="0.3">
      <c r="B278" s="533"/>
      <c r="C278" s="534" t="s">
        <v>157</v>
      </c>
      <c r="D278" s="196"/>
      <c r="E278" s="460">
        <f>+E280+E281</f>
        <v>28.5</v>
      </c>
      <c r="F278" s="460">
        <f t="shared" ref="F278:H278" si="15">+F280+F281</f>
        <v>20</v>
      </c>
      <c r="G278" s="460">
        <f t="shared" si="15"/>
        <v>20</v>
      </c>
      <c r="H278" s="460">
        <f t="shared" si="15"/>
        <v>20</v>
      </c>
      <c r="I278" s="196"/>
      <c r="J278" s="196"/>
      <c r="K278" s="196"/>
      <c r="L278" s="196"/>
      <c r="M278" s="196"/>
      <c r="N278" s="264"/>
    </row>
    <row r="279" spans="2:17" ht="17.25" customHeight="1" x14ac:dyDescent="0.3">
      <c r="B279" s="798"/>
      <c r="C279" s="41" t="s">
        <v>158</v>
      </c>
      <c r="D279" s="106"/>
      <c r="E279" s="42"/>
      <c r="F279" s="42"/>
      <c r="G279" s="43"/>
      <c r="H279" s="237"/>
      <c r="I279" s="157"/>
      <c r="J279" s="157"/>
      <c r="K279" s="157"/>
      <c r="L279" s="157"/>
      <c r="M279" s="157"/>
      <c r="N279" s="254"/>
    </row>
    <row r="280" spans="2:17" ht="28.5" customHeight="1" x14ac:dyDescent="0.3">
      <c r="B280" s="799"/>
      <c r="C280" s="36" t="s">
        <v>31</v>
      </c>
      <c r="D280" s="107"/>
      <c r="E280" s="108">
        <f>20+4</f>
        <v>24</v>
      </c>
      <c r="F280" s="117">
        <v>20</v>
      </c>
      <c r="G280" s="118">
        <v>20</v>
      </c>
      <c r="H280" s="250">
        <v>20</v>
      </c>
      <c r="I280" s="157"/>
      <c r="J280" s="157"/>
      <c r="K280" s="157"/>
      <c r="L280" s="157"/>
      <c r="M280" s="157"/>
      <c r="N280" s="254"/>
    </row>
    <row r="281" spans="2:17" ht="15" customHeight="1" x14ac:dyDescent="0.3">
      <c r="B281" s="800"/>
      <c r="C281" s="41" t="s">
        <v>32</v>
      </c>
      <c r="D281" s="109"/>
      <c r="E281" s="42">
        <v>4.5</v>
      </c>
      <c r="F281" s="42"/>
      <c r="G281" s="43"/>
      <c r="H281" s="237"/>
      <c r="I281" s="157"/>
      <c r="J281" s="157"/>
      <c r="K281" s="157"/>
      <c r="L281" s="157"/>
      <c r="M281" s="157"/>
      <c r="N281" s="254"/>
    </row>
    <row r="282" spans="2:17" ht="28.9" customHeight="1" thickBot="1" x14ac:dyDescent="0.35">
      <c r="B282" s="667"/>
      <c r="C282" s="668" t="s">
        <v>371</v>
      </c>
      <c r="D282" s="669"/>
      <c r="E282" s="670">
        <f>+E97+E116+E131+E185+E191+E196+E228+E269+E278+E234+E104+E134+E274</f>
        <v>32824.699999999997</v>
      </c>
      <c r="F282" s="670">
        <f>+F97+F116+F131+F185+F191+F196+F228+F269+F278+F234+F104+F134+F274</f>
        <v>44314.600000000006</v>
      </c>
      <c r="G282" s="670">
        <f>+G97+G116+G131+G185+G191+G196+G228+G269+G278+G234+G104+G134+G274</f>
        <v>44466.54</v>
      </c>
      <c r="H282" s="671">
        <f>+H97+H116+H131+H185+H191+H196+H228+H269+H278+H234+H104+H134+H274</f>
        <v>47543.430000000008</v>
      </c>
      <c r="I282" s="669"/>
      <c r="J282" s="669"/>
      <c r="K282" s="669"/>
      <c r="L282" s="669"/>
      <c r="M282" s="669"/>
      <c r="N282" s="672"/>
    </row>
    <row r="283" spans="2:17" ht="15.75" customHeight="1" x14ac:dyDescent="0.3">
      <c r="B283" s="662"/>
      <c r="C283" s="663" t="s">
        <v>372</v>
      </c>
      <c r="D283" s="664"/>
      <c r="E283" s="665">
        <f>+E18+E26+E19+E20+E21+E28+E29</f>
        <v>1378.6999999999998</v>
      </c>
      <c r="F283" s="665">
        <f>+F18+F26+F19+F20+F21+F28+F29</f>
        <v>6989.2</v>
      </c>
      <c r="G283" s="665">
        <f>+G18+G26+G19+G20+G21+G28+G29</f>
        <v>4102.9000000000005</v>
      </c>
      <c r="H283" s="666">
        <f>+H18+H26+H19+H20+H21+H28+H29</f>
        <v>0</v>
      </c>
      <c r="I283" s="501"/>
      <c r="J283" s="501"/>
      <c r="K283" s="501"/>
      <c r="L283" s="501"/>
      <c r="M283" s="501"/>
      <c r="N283" s="430"/>
    </row>
    <row r="284" spans="2:17" ht="42.75" customHeight="1" thickBot="1" x14ac:dyDescent="0.35">
      <c r="B284" s="288"/>
      <c r="C284" s="289" t="s">
        <v>373</v>
      </c>
      <c r="D284" s="290"/>
      <c r="E284" s="291"/>
      <c r="F284" s="291">
        <f>+F282-E282</f>
        <v>11489.900000000009</v>
      </c>
      <c r="G284" s="291">
        <f t="shared" ref="G284:H284" si="16">+G282-F282</f>
        <v>151.93999999999505</v>
      </c>
      <c r="H284" s="292">
        <f t="shared" si="16"/>
        <v>3076.8900000000067</v>
      </c>
      <c r="I284" s="293"/>
      <c r="J284" s="293"/>
      <c r="K284" s="293"/>
      <c r="L284" s="293"/>
      <c r="M284" s="293"/>
      <c r="N284" s="294"/>
      <c r="P284" s="677"/>
      <c r="Q284" s="677"/>
    </row>
    <row r="285" spans="2:17" ht="15" customHeight="1" x14ac:dyDescent="0.3"/>
    <row r="286" spans="2:17" ht="15" customHeight="1" x14ac:dyDescent="0.3">
      <c r="B286" s="781" t="s">
        <v>374</v>
      </c>
      <c r="C286" s="781"/>
      <c r="D286" s="781"/>
      <c r="E286" s="781"/>
      <c r="F286" s="781"/>
      <c r="G286" s="781"/>
      <c r="H286" s="781"/>
    </row>
    <row r="287" spans="2:17" ht="15" customHeight="1" x14ac:dyDescent="0.3">
      <c r="B287" s="795" t="s">
        <v>375</v>
      </c>
      <c r="C287" s="795"/>
      <c r="D287" s="795"/>
      <c r="E287" s="795"/>
      <c r="F287" s="795"/>
      <c r="G287" s="795"/>
      <c r="H287" s="795"/>
    </row>
    <row r="288" spans="2:17" ht="15" customHeight="1" x14ac:dyDescent="0.3">
      <c r="B288" s="781" t="s">
        <v>376</v>
      </c>
      <c r="C288" s="781"/>
      <c r="D288" s="781"/>
      <c r="E288" s="781"/>
      <c r="F288" s="781"/>
      <c r="G288" s="781"/>
      <c r="H288" s="781"/>
    </row>
    <row r="289" spans="2:8" ht="15" customHeight="1" x14ac:dyDescent="0.3">
      <c r="B289" s="781" t="s">
        <v>377</v>
      </c>
      <c r="C289" s="781"/>
      <c r="D289" s="781"/>
      <c r="E289" s="781"/>
      <c r="F289" s="781"/>
      <c r="G289" s="781"/>
      <c r="H289" s="781"/>
    </row>
    <row r="290" spans="2:8" ht="15" customHeight="1" x14ac:dyDescent="0.3">
      <c r="B290" s="781" t="s">
        <v>378</v>
      </c>
      <c r="C290" s="781"/>
      <c r="D290" s="781"/>
      <c r="E290" s="781"/>
      <c r="F290" s="781"/>
      <c r="G290" s="781"/>
      <c r="H290" s="781"/>
    </row>
    <row r="292" spans="2:8" x14ac:dyDescent="0.3">
      <c r="B292" s="789" t="s">
        <v>379</v>
      </c>
      <c r="C292" s="789"/>
      <c r="D292" s="789"/>
      <c r="E292" s="789"/>
      <c r="F292" s="789"/>
      <c r="G292" s="789"/>
      <c r="H292" s="789"/>
    </row>
    <row r="293" spans="2:8" x14ac:dyDescent="0.3">
      <c r="B293" s="789" t="s">
        <v>380</v>
      </c>
      <c r="C293" s="789"/>
      <c r="D293" s="789"/>
      <c r="E293" s="789"/>
      <c r="F293" s="789"/>
      <c r="G293" s="789"/>
      <c r="H293" s="789"/>
    </row>
    <row r="294" spans="2:8" x14ac:dyDescent="0.3">
      <c r="B294" s="789" t="s">
        <v>381</v>
      </c>
      <c r="C294" s="789"/>
      <c r="D294" s="789"/>
      <c r="E294" s="789"/>
      <c r="F294" s="789"/>
      <c r="G294" s="789"/>
      <c r="H294" s="789"/>
    </row>
    <row r="295" spans="2:8" x14ac:dyDescent="0.3">
      <c r="D295" s="111"/>
      <c r="E295" s="111"/>
      <c r="F295" s="111"/>
      <c r="G295" s="184"/>
      <c r="H295" s="184"/>
    </row>
  </sheetData>
  <mergeCells count="113">
    <mergeCell ref="B3:N3"/>
    <mergeCell ref="B292:H292"/>
    <mergeCell ref="B293:H293"/>
    <mergeCell ref="B294:H294"/>
    <mergeCell ref="B109:B111"/>
    <mergeCell ref="B235:B236"/>
    <mergeCell ref="B287:H287"/>
    <mergeCell ref="B286:H286"/>
    <mergeCell ref="B204:B205"/>
    <mergeCell ref="B112:B113"/>
    <mergeCell ref="B218:B219"/>
    <mergeCell ref="B213:B214"/>
    <mergeCell ref="B176:B177"/>
    <mergeCell ref="B183:B184"/>
    <mergeCell ref="B208:B209"/>
    <mergeCell ref="B206:B207"/>
    <mergeCell ref="B255:B256"/>
    <mergeCell ref="B259:B260"/>
    <mergeCell ref="B132:B133"/>
    <mergeCell ref="B248:B250"/>
    <mergeCell ref="D183:D184"/>
    <mergeCell ref="B279:B281"/>
    <mergeCell ref="D109:D115"/>
    <mergeCell ref="B64:B66"/>
    <mergeCell ref="B261:B264"/>
    <mergeCell ref="B290:H290"/>
    <mergeCell ref="B288:H288"/>
    <mergeCell ref="B229:B233"/>
    <mergeCell ref="B289:H289"/>
    <mergeCell ref="D210:D211"/>
    <mergeCell ref="D213:D214"/>
    <mergeCell ref="D204:D205"/>
    <mergeCell ref="D206:D207"/>
    <mergeCell ref="B226:B227"/>
    <mergeCell ref="D226:D227"/>
    <mergeCell ref="B210:B212"/>
    <mergeCell ref="B222:B225"/>
    <mergeCell ref="D87:D88"/>
    <mergeCell ref="B105:B107"/>
    <mergeCell ref="B98:B103"/>
    <mergeCell ref="B89:B91"/>
    <mergeCell ref="D92:D96"/>
    <mergeCell ref="B114:B115"/>
    <mergeCell ref="B75:B77"/>
    <mergeCell ref="B87:B88"/>
    <mergeCell ref="B82:B83"/>
    <mergeCell ref="B92:B96"/>
    <mergeCell ref="B270:B272"/>
    <mergeCell ref="D123:D130"/>
    <mergeCell ref="B126:B128"/>
    <mergeCell ref="B146:B175"/>
    <mergeCell ref="B178:B182"/>
    <mergeCell ref="D176:D182"/>
    <mergeCell ref="D242:D260"/>
    <mergeCell ref="B186:B190"/>
    <mergeCell ref="B242:B244"/>
    <mergeCell ref="D146:D149"/>
    <mergeCell ref="B197:B198"/>
    <mergeCell ref="B215:B217"/>
    <mergeCell ref="B257:B258"/>
    <mergeCell ref="B220:B221"/>
    <mergeCell ref="D215:D221"/>
    <mergeCell ref="B265:B268"/>
    <mergeCell ref="D265:D268"/>
    <mergeCell ref="B251:B252"/>
    <mergeCell ref="D222:D225"/>
    <mergeCell ref="D261:D264"/>
    <mergeCell ref="D208:D209"/>
    <mergeCell ref="B192:B194"/>
    <mergeCell ref="B253:B254"/>
    <mergeCell ref="B123:B125"/>
    <mergeCell ref="B13:B16"/>
    <mergeCell ref="B22:B24"/>
    <mergeCell ref="D22:D24"/>
    <mergeCell ref="D13:D16"/>
    <mergeCell ref="D25:D29"/>
    <mergeCell ref="D30:D31"/>
    <mergeCell ref="D32:D33"/>
    <mergeCell ref="B17:B21"/>
    <mergeCell ref="D56:D70"/>
    <mergeCell ref="D52:D53"/>
    <mergeCell ref="B38:B39"/>
    <mergeCell ref="B54:B55"/>
    <mergeCell ref="B84:B86"/>
    <mergeCell ref="B72:B74"/>
    <mergeCell ref="B56:B59"/>
    <mergeCell ref="D84:D86"/>
    <mergeCell ref="D17:D21"/>
    <mergeCell ref="B25:B29"/>
    <mergeCell ref="N4:N5"/>
    <mergeCell ref="M2:N2"/>
    <mergeCell ref="B40:B44"/>
    <mergeCell ref="D34:D44"/>
    <mergeCell ref="B45:B49"/>
    <mergeCell ref="D45:D49"/>
    <mergeCell ref="B78:B81"/>
    <mergeCell ref="D75:D83"/>
    <mergeCell ref="B4:B5"/>
    <mergeCell ref="C4:C5"/>
    <mergeCell ref="D4:D5"/>
    <mergeCell ref="E4:E5"/>
    <mergeCell ref="F4:F5"/>
    <mergeCell ref="G4:G5"/>
    <mergeCell ref="H4:H5"/>
    <mergeCell ref="I4:I5"/>
    <mergeCell ref="J4:M4"/>
    <mergeCell ref="B32:B33"/>
    <mergeCell ref="D54:D55"/>
    <mergeCell ref="B34:B35"/>
    <mergeCell ref="B36:B37"/>
    <mergeCell ref="D72:D74"/>
    <mergeCell ref="B50:B53"/>
    <mergeCell ref="B67:B68"/>
  </mergeCells>
  <phoneticPr fontId="11" type="noConversion"/>
  <pageMargins left="0.39370078740157483" right="0.39370078740157483" top="0.59055118110236227" bottom="0.59055118110236227" header="0" footer="0"/>
  <pageSetup paperSize="9" scale="70" fitToHeight="0" orientation="landscape" r:id="rId1"/>
  <rowBreaks count="14" manualBreakCount="14">
    <brk id="24" max="13" man="1"/>
    <brk id="44" max="13" man="1"/>
    <brk id="63" max="13" man="1"/>
    <brk id="81" max="13" man="1"/>
    <brk id="100" max="13" man="1"/>
    <brk id="121" max="13" man="1"/>
    <brk id="140" max="13" man="1"/>
    <brk id="154" max="13" man="1"/>
    <brk id="168" max="13" man="1"/>
    <brk id="188" max="13" man="1"/>
    <brk id="207" max="13" man="1"/>
    <brk id="244" max="13" man="1"/>
    <brk id="260" max="13" man="1"/>
    <brk id="276" max="13" man="1"/>
  </rowBreaks>
  <ignoredErrors>
    <ignoredError sqref="K115:M115"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9700C-3109-41A4-89F6-0709AA8EE948}">
  <sheetPr>
    <pageSetUpPr fitToPage="1"/>
  </sheetPr>
  <dimension ref="B1:L28"/>
  <sheetViews>
    <sheetView zoomScaleNormal="100" workbookViewId="0">
      <selection activeCell="B1" sqref="B1:G1"/>
    </sheetView>
  </sheetViews>
  <sheetFormatPr defaultColWidth="9.26953125" defaultRowHeight="13" x14ac:dyDescent="0.3"/>
  <cols>
    <col min="1" max="1" width="2.54296875" style="1" customWidth="1"/>
    <col min="2" max="2" width="4.7265625" style="1" customWidth="1"/>
    <col min="3" max="3" width="44.7265625" style="2" customWidth="1"/>
    <col min="4" max="7" width="15.26953125" style="1" customWidth="1"/>
    <col min="8" max="16384" width="9.26953125" style="1"/>
  </cols>
  <sheetData>
    <row r="1" spans="2:12" ht="15.75" customHeight="1" x14ac:dyDescent="0.3">
      <c r="B1" s="802" t="s">
        <v>382</v>
      </c>
      <c r="C1" s="802"/>
      <c r="D1" s="802"/>
      <c r="E1" s="802"/>
      <c r="F1" s="802"/>
      <c r="G1" s="802"/>
    </row>
    <row r="2" spans="2:12" x14ac:dyDescent="0.3">
      <c r="C2" s="1"/>
    </row>
    <row r="3" spans="2:12" ht="48" customHeight="1" x14ac:dyDescent="0.3">
      <c r="B3" s="12" t="s">
        <v>383</v>
      </c>
      <c r="C3" s="13" t="s">
        <v>384</v>
      </c>
      <c r="D3" s="14" t="s">
        <v>385</v>
      </c>
      <c r="E3" s="10" t="s">
        <v>7</v>
      </c>
      <c r="F3" s="10" t="s">
        <v>8</v>
      </c>
      <c r="G3" s="10" t="s">
        <v>9</v>
      </c>
    </row>
    <row r="4" spans="2:12" ht="12.75" customHeight="1" x14ac:dyDescent="0.3">
      <c r="B4" s="15">
        <v>1</v>
      </c>
      <c r="C4" s="16">
        <v>2</v>
      </c>
      <c r="D4" s="15">
        <v>3</v>
      </c>
      <c r="E4" s="11">
        <v>4</v>
      </c>
      <c r="F4" s="11">
        <v>5</v>
      </c>
      <c r="G4" s="11">
        <v>6</v>
      </c>
    </row>
    <row r="5" spans="2:12" ht="15.75" customHeight="1" x14ac:dyDescent="0.3">
      <c r="B5" s="801" t="s">
        <v>386</v>
      </c>
      <c r="C5" s="801"/>
      <c r="D5" s="801"/>
      <c r="E5" s="801"/>
      <c r="F5" s="801"/>
      <c r="G5" s="801"/>
    </row>
    <row r="6" spans="2:12" ht="17.25" customHeight="1" x14ac:dyDescent="0.3">
      <c r="B6" s="17" t="s">
        <v>387</v>
      </c>
      <c r="C6" s="18" t="s">
        <v>157</v>
      </c>
      <c r="D6" s="4">
        <f t="shared" ref="D6:G6" si="0">+D8+D9+D10+D11+D12+D13</f>
        <v>32777.899999999994</v>
      </c>
      <c r="E6" s="4">
        <f>+E8+E9+E10+E11+E12+E13</f>
        <v>40433</v>
      </c>
      <c r="F6" s="4">
        <f t="shared" si="0"/>
        <v>41331.54</v>
      </c>
      <c r="G6" s="4">
        <f t="shared" si="0"/>
        <v>45243.43</v>
      </c>
    </row>
    <row r="7" spans="2:12" ht="14.25" customHeight="1" x14ac:dyDescent="0.3">
      <c r="B7" s="19"/>
      <c r="C7" s="23" t="s">
        <v>388</v>
      </c>
      <c r="D7" s="3"/>
      <c r="E7" s="3"/>
      <c r="F7" s="3"/>
      <c r="G7" s="3"/>
    </row>
    <row r="8" spans="2:12" ht="26.25" customHeight="1" x14ac:dyDescent="0.3">
      <c r="B8" s="19" t="s">
        <v>389</v>
      </c>
      <c r="C8" s="24" t="s">
        <v>390</v>
      </c>
      <c r="D8" s="20">
        <f>SUMIF('007 programa 3 lentelė'!$C7:$C283,'007 programa 3 lentelė'!$C18,'007 programa 3 lentelė'!E7:E283)</f>
        <v>23779.699999999993</v>
      </c>
      <c r="E8" s="20">
        <f>SUMIF('007 programa 3 lentelė'!$C7:$C283,'007 programa 3 lentelė'!$C18,'007 programa 3 lentelė'!F7:F283)</f>
        <v>30204.7</v>
      </c>
      <c r="F8" s="20">
        <f>SUMIF('007 programa 3 lentelė'!$C7:$C283,'007 programa 3 lentelė'!$C18,'007 programa 3 lentelė'!G7:G283)</f>
        <v>26325.439999999999</v>
      </c>
      <c r="G8" s="20">
        <f>SUMIF('007 programa 3 lentelė'!$C7:$C283,'007 programa 3 lentelė'!$C18,'007 programa 3 lentelė'!H7:H283)</f>
        <v>39349.729999999996</v>
      </c>
    </row>
    <row r="9" spans="2:12" ht="12.75" customHeight="1" x14ac:dyDescent="0.3">
      <c r="B9" s="19" t="s">
        <v>391</v>
      </c>
      <c r="C9" s="21" t="s">
        <v>228</v>
      </c>
      <c r="D9" s="20">
        <f>SUMIF('007 programa 3 lentelė'!$C7:$C283,'007 programa 3 lentelė'!$C244,'007 programa 3 lentelė'!E7:E283)</f>
        <v>3747.4</v>
      </c>
      <c r="E9" s="20">
        <f>SUMIF('007 programa 3 lentelė'!$C7:$C283,'007 programa 3 lentelė'!$C244,'007 programa 3 lentelė'!F7:F283)</f>
        <v>0</v>
      </c>
      <c r="F9" s="20">
        <f>SUMIF('007 programa 3 lentelė'!$C7:$C283,'007 programa 3 lentelė'!$C244,'007 programa 3 lentelė'!G7:G283)</f>
        <v>0</v>
      </c>
      <c r="G9" s="20">
        <f>SUMIF('007 programa 3 lentelė'!$C7:$C283,'007 programa 3 lentelė'!$C244,'007 programa 3 lentelė'!H7:H283)</f>
        <v>0</v>
      </c>
    </row>
    <row r="10" spans="2:12" ht="13.5" customHeight="1" x14ac:dyDescent="0.3">
      <c r="B10" s="19" t="s">
        <v>392</v>
      </c>
      <c r="C10" s="21" t="s">
        <v>393</v>
      </c>
      <c r="D10" s="20">
        <f>SUMIF('007 programa 3 lentelė'!$C7:$C283,'007 programa 3 lentelė'!$C58,'007 programa 3 lentelė'!E7:E283)</f>
        <v>742.3</v>
      </c>
      <c r="E10" s="20">
        <f>SUMIF('007 programa 3 lentelė'!$C7:$C283,'007 programa 3 lentelė'!$C58,'007 programa 3 lentelė'!F7:F283)</f>
        <v>933.7</v>
      </c>
      <c r="F10" s="20">
        <f>SUMIF('007 programa 3 lentelė'!$C7:$C283,'007 programa 3 lentelė'!$C58,'007 programa 3 lentelė'!G7:G283)</f>
        <v>973.8</v>
      </c>
      <c r="G10" s="20">
        <f>SUMIF('007 programa 3 lentelė'!$C7:$C283,'007 programa 3 lentelė'!$C58,'007 programa 3 lentelė'!H7:H283)</f>
        <v>973.9</v>
      </c>
    </row>
    <row r="11" spans="2:12" ht="27" customHeight="1" x14ac:dyDescent="0.3">
      <c r="B11" s="19" t="s">
        <v>394</v>
      </c>
      <c r="C11" s="21" t="s">
        <v>39</v>
      </c>
      <c r="D11" s="20">
        <f>SUMIF('007 programa 3 lentelė'!$C7:$C283,'007 programa 3 lentelė'!$C21,'007 programa 3 lentelė'!E7:E283)</f>
        <v>878.3</v>
      </c>
      <c r="E11" s="20">
        <f>SUMIF('007 programa 3 lentelė'!$C7:$C283,'007 programa 3 lentelė'!$C21,'007 programa 3 lentelė'!F7:F283)</f>
        <v>5143.7</v>
      </c>
      <c r="F11" s="20">
        <f>SUMIF('007 programa 3 lentelė'!$C7:$C283,'007 programa 3 lentelė'!$C21,'007 programa 3 lentelė'!G7:G283)</f>
        <v>2565.5</v>
      </c>
      <c r="G11" s="20">
        <f>SUMIF('007 programa 3 lentelė'!$C7:$C283,'007 programa 3 lentelė'!$C21,'007 programa 3 lentelė'!H7:H283)</f>
        <v>0</v>
      </c>
      <c r="K11" s="26"/>
      <c r="L11" s="26"/>
    </row>
    <row r="12" spans="2:12" ht="12.75" customHeight="1" x14ac:dyDescent="0.3">
      <c r="B12" s="19" t="s">
        <v>395</v>
      </c>
      <c r="C12" s="21" t="s">
        <v>396</v>
      </c>
      <c r="D12" s="20">
        <f>SUMIF('007 programa 3 lentelė'!$C7:$C283,'007 programa 3 lentelė'!$C16,'007 programa 3 lentelė'!E7:E283)</f>
        <v>59.699999999999818</v>
      </c>
      <c r="E12" s="20">
        <f>SUMIF('007 programa 3 lentelė'!$C7:$C283,'007 programa 3 lentelė'!$C16,'007 programa 3 lentelė'!F7:F283)</f>
        <v>3000</v>
      </c>
      <c r="F12" s="20">
        <f>SUMIF('007 programa 3 lentelė'!$C7:$C283,'007 programa 3 lentelė'!$C16,'007 programa 3 lentelė'!G7:G283)</f>
        <v>0</v>
      </c>
      <c r="G12" s="20">
        <f>SUMIF('007 programa 3 lentelė'!$C7:$C283,'007 programa 3 lentelė'!$C16,'007 programa 3 lentelė'!H7:H283)</f>
        <v>0</v>
      </c>
    </row>
    <row r="13" spans="2:12" ht="12.75" customHeight="1" x14ac:dyDescent="0.3">
      <c r="B13" s="19" t="s">
        <v>397</v>
      </c>
      <c r="C13" s="21" t="s">
        <v>398</v>
      </c>
      <c r="D13" s="20">
        <f>SUMIF('007 programa 3 lentelė'!$C7:$C283,'007 programa 3 lentelė'!$C15,'007 programa 3 lentelė'!E7:E283)</f>
        <v>3570.5</v>
      </c>
      <c r="E13" s="20">
        <f>SUMIF('007 programa 3 lentelė'!$C7:$C283,'007 programa 3 lentelė'!$C15,'007 programa 3 lentelė'!F7:F283)</f>
        <v>1150.9000000000001</v>
      </c>
      <c r="F13" s="20">
        <f>SUMIF('007 programa 3 lentelė'!$C7:$C283,'007 programa 3 lentelė'!$C15,'007 programa 3 lentelė'!G7:G283)</f>
        <v>11466.800000000001</v>
      </c>
      <c r="G13" s="20">
        <f>SUMIF('007 programa 3 lentelė'!$C7:$C283,'007 programa 3 lentelė'!$C15,'007 programa 3 lentelė'!H7:H283)</f>
        <v>4919.8</v>
      </c>
    </row>
    <row r="14" spans="2:12" ht="42" customHeight="1" x14ac:dyDescent="0.3">
      <c r="B14" s="17" t="s">
        <v>399</v>
      </c>
      <c r="C14" s="23" t="s">
        <v>400</v>
      </c>
      <c r="D14" s="22">
        <f t="shared" ref="D14:G14" si="1">+D16+D17+D18+D19+D20+D21</f>
        <v>46.8</v>
      </c>
      <c r="E14" s="22">
        <f>+E16+E17+E18+E19+E20+E21</f>
        <v>3881.6</v>
      </c>
      <c r="F14" s="22">
        <f>+F16+F17+F18+F19+F20+F21</f>
        <v>3135</v>
      </c>
      <c r="G14" s="22">
        <f t="shared" si="1"/>
        <v>2300</v>
      </c>
    </row>
    <row r="15" spans="2:12" ht="17.25" customHeight="1" x14ac:dyDescent="0.3">
      <c r="B15" s="19"/>
      <c r="C15" s="23" t="s">
        <v>388</v>
      </c>
      <c r="D15" s="3"/>
      <c r="E15" s="3"/>
      <c r="F15" s="3"/>
      <c r="G15" s="3"/>
    </row>
    <row r="16" spans="2:12" ht="12.75" customHeight="1" x14ac:dyDescent="0.3">
      <c r="B16" s="19" t="s">
        <v>401</v>
      </c>
      <c r="C16" s="25" t="s">
        <v>148</v>
      </c>
      <c r="D16" s="20">
        <f>SUMIF('007 programa 3 lentelė'!$C7:$C283,'007 programa 3 lentelė'!$C91,'007 programa 3 lentelė'!E7:E283)</f>
        <v>0</v>
      </c>
      <c r="E16" s="20">
        <f>SUMIF('007 programa 3 lentelė'!$C7:$C283,'007 programa 3 lentelė'!$C91,'007 programa 3 lentelė'!F7:F283)</f>
        <v>0</v>
      </c>
      <c r="F16" s="20">
        <f>SUMIF('007 programa 3 lentelė'!$C7:$C283,'007 programa 3 lentelė'!$C91,'007 programa 3 lentelė'!G7:G283)</f>
        <v>135</v>
      </c>
      <c r="G16" s="20">
        <f>SUMIF('007 programa 3 lentelė'!$C7:$C283,'007 programa 3 lentelė'!$C91,'007 programa 3 lentelė'!H7:H283)</f>
        <v>0</v>
      </c>
    </row>
    <row r="17" spans="2:7" ht="12.75" customHeight="1" x14ac:dyDescent="0.3">
      <c r="B17" s="19" t="s">
        <v>402</v>
      </c>
      <c r="C17" s="25" t="s">
        <v>403</v>
      </c>
      <c r="D17" s="20" cm="1">
        <f t="array" ref="D17">SUMIF('007 programa 3 lentelė'!$C7:$C283,'007 programa 3 lentelė'!C00,'007 programa 3 lentelė'!E7:E283)</f>
        <v>0</v>
      </c>
      <c r="E17" s="20" cm="1">
        <f t="array" ref="E17">SUMIF('007 programa 3 lentelė'!$C7:$C283,'007 programa 3 lentelė'!C00,'007 programa 3 lentelė'!F7:F283)</f>
        <v>0</v>
      </c>
      <c r="F17" s="20" cm="1">
        <f t="array" ref="F17">SUMIF('007 programa 3 lentelė'!$C7:$C283,'007 programa 3 lentelė'!C00,'007 programa 3 lentelė'!G7:G283)</f>
        <v>0</v>
      </c>
      <c r="G17" s="20" cm="1">
        <f t="array" ref="G17">SUMIF('007 programa 3 lentelė'!$C7:$C283,'007 programa 3 lentelė'!C00,'007 programa 3 lentelė'!H7:H283)</f>
        <v>0</v>
      </c>
    </row>
    <row r="18" spans="2:7" ht="26.25" customHeight="1" x14ac:dyDescent="0.3">
      <c r="B18" s="19" t="s">
        <v>404</v>
      </c>
      <c r="C18" s="25" t="s">
        <v>405</v>
      </c>
      <c r="D18" s="20" cm="1">
        <f t="array" ref="D18">SUMIF('007 programa 3 lentelė'!$C7:$C283,'007 programa 3 lentelė'!C00,'007 programa 3 lentelė'!E7:E283)</f>
        <v>0</v>
      </c>
      <c r="E18" s="20" cm="1">
        <f t="array" ref="E18">SUMIF('007 programa 3 lentelė'!$C7:$C283,'007 programa 3 lentelė'!C00,'007 programa 3 lentelė'!F7:F283)</f>
        <v>0</v>
      </c>
      <c r="F18" s="20" cm="1">
        <f t="array" ref="F18">SUMIF('007 programa 3 lentelė'!$C7:$C283,'007 programa 3 lentelė'!C00,'007 programa 3 lentelė'!G7:G283)</f>
        <v>0</v>
      </c>
      <c r="G18" s="20" cm="1">
        <f t="array" ref="G18">SUMIF('007 programa 3 lentelė'!$C7:$C283,'007 programa 3 lentelė'!C00,'007 programa 3 lentelė'!H7:H283)</f>
        <v>0</v>
      </c>
    </row>
    <row r="19" spans="2:7" ht="12.75" customHeight="1" x14ac:dyDescent="0.3">
      <c r="B19" s="19" t="s">
        <v>406</v>
      </c>
      <c r="C19" s="25" t="s">
        <v>407</v>
      </c>
      <c r="D19" s="20">
        <f>SUMIF('007 programa 3 lentelė'!$C7:$C283,'007 programa 3 lentelė'!$C264,'007 programa 3 lentelė'!E7:E283)</f>
        <v>0</v>
      </c>
      <c r="E19" s="20">
        <f>SUMIF('007 programa 3 lentelė'!$C7:$C283,'007 programa 3 lentelė'!$C264,'007 programa 3 lentelė'!F7:F283)</f>
        <v>613.20000000000005</v>
      </c>
      <c r="F19" s="20">
        <f>SUMIF('007 programa 3 lentelė'!$C7:$C283,'007 programa 3 lentelė'!$C264,'007 programa 3 lentelė'!G7:G283)</f>
        <v>0</v>
      </c>
      <c r="G19" s="20">
        <f>SUMIF('007 programa 3 lentelė'!$C7:$C283,'007 programa 3 lentelė'!$C264,'007 programa 3 lentelė'!H7:H283)</f>
        <v>0</v>
      </c>
    </row>
    <row r="20" spans="2:7" ht="12.75" customHeight="1" x14ac:dyDescent="0.3">
      <c r="B20" s="19" t="s">
        <v>408</v>
      </c>
      <c r="C20" s="25" t="s">
        <v>120</v>
      </c>
      <c r="D20" s="20">
        <f>SUMIF('007 programa 3 lentelė'!$C7:$C283,'007 programa 3 lentelė'!$C74,'007 programa 3 lentelė'!E7:E283)</f>
        <v>46.8</v>
      </c>
      <c r="E20" s="20">
        <f>SUMIF('007 programa 3 lentelė'!$C7:$C283,'007 programa 3 lentelė'!$C74,'007 programa 3 lentelė'!F7:F283)</f>
        <v>18.399999999999999</v>
      </c>
      <c r="F20" s="20">
        <f>SUMIF('007 programa 3 lentelė'!$C7:$C283,'007 programa 3 lentelė'!$C74,'007 programa 3 lentelė'!G7:G283)</f>
        <v>0</v>
      </c>
      <c r="G20" s="20">
        <f>SUMIF('007 programa 3 lentelė'!$C7:$C283,'007 programa 3 lentelė'!$C74,'007 programa 3 lentelė'!H7:H283)</f>
        <v>0</v>
      </c>
    </row>
    <row r="21" spans="2:7" ht="12.75" customHeight="1" x14ac:dyDescent="0.3">
      <c r="B21" s="19" t="s">
        <v>409</v>
      </c>
      <c r="C21" s="25" t="s">
        <v>410</v>
      </c>
      <c r="D21" s="20">
        <f>SUMIF('007 programa 3 lentelė'!$C7:$C283,'007 programa 3 lentelė'!$C149,'007 programa 3 lentelė'!E7:E283)</f>
        <v>0</v>
      </c>
      <c r="E21" s="20">
        <f>SUMIF('007 programa 3 lentelė'!$C7:$C283,'007 programa 3 lentelė'!$C149,'007 programa 3 lentelė'!F7:F283)</f>
        <v>3250</v>
      </c>
      <c r="F21" s="20">
        <f>SUMIF('007 programa 3 lentelė'!$C7:$C283,'007 programa 3 lentelė'!$C149,'007 programa 3 lentelė'!G7:G283)</f>
        <v>3000</v>
      </c>
      <c r="G21" s="20">
        <f>SUMIF('007 programa 3 lentelė'!$C7:$C283,'007 programa 3 lentelė'!$C149,'007 programa 3 lentelė'!H7:H283)</f>
        <v>2300</v>
      </c>
    </row>
    <row r="22" spans="2:7" ht="26" x14ac:dyDescent="0.3">
      <c r="B22" s="19"/>
      <c r="C22" s="21" t="s">
        <v>411</v>
      </c>
      <c r="D22" s="4">
        <f>+D6+D14</f>
        <v>32824.699999999997</v>
      </c>
      <c r="E22" s="4">
        <f>+E6+E14</f>
        <v>44314.6</v>
      </c>
      <c r="F22" s="4">
        <f>+F6+F14</f>
        <v>44466.54</v>
      </c>
      <c r="G22" s="4">
        <f t="shared" ref="G22" si="2">+G6+G14</f>
        <v>47543.43</v>
      </c>
    </row>
    <row r="23" spans="2:7" ht="12.75" customHeight="1" x14ac:dyDescent="0.3">
      <c r="B23" s="33"/>
      <c r="C23" s="34" t="s">
        <v>372</v>
      </c>
      <c r="D23" s="35">
        <f>+'007 programa 3 lentelė'!E283</f>
        <v>1378.6999999999998</v>
      </c>
      <c r="E23" s="35">
        <f>+'007 programa 3 lentelė'!F283</f>
        <v>6989.2</v>
      </c>
      <c r="F23" s="35">
        <f>+'007 programa 3 lentelė'!G283</f>
        <v>4102.9000000000005</v>
      </c>
      <c r="G23" s="35">
        <f>+'007 programa 3 lentelė'!H283</f>
        <v>0</v>
      </c>
    </row>
    <row r="24" spans="2:7" ht="28.5" customHeight="1" x14ac:dyDescent="0.3">
      <c r="B24" s="31"/>
      <c r="C24" s="8" t="s">
        <v>373</v>
      </c>
      <c r="D24" s="32"/>
      <c r="E24" s="32">
        <f>+E22-D22</f>
        <v>11489.900000000001</v>
      </c>
      <c r="F24" s="32">
        <f t="shared" ref="F24:G24" si="3">+F22-E22</f>
        <v>151.94000000000233</v>
      </c>
      <c r="G24" s="32">
        <f t="shared" si="3"/>
        <v>3076.8899999999994</v>
      </c>
    </row>
    <row r="25" spans="2:7" x14ac:dyDescent="0.3">
      <c r="B25" s="5"/>
      <c r="C25" s="5"/>
      <c r="D25" s="5"/>
      <c r="E25" s="5"/>
      <c r="F25" s="5"/>
      <c r="G25" s="5"/>
    </row>
    <row r="26" spans="2:7" x14ac:dyDescent="0.3">
      <c r="D26" s="26"/>
      <c r="E26" s="26"/>
      <c r="F26" s="26"/>
      <c r="G26" s="26"/>
    </row>
    <row r="28" spans="2:7" x14ac:dyDescent="0.3">
      <c r="E28" s="26"/>
    </row>
  </sheetData>
  <mergeCells count="2">
    <mergeCell ref="B5:G5"/>
    <mergeCell ref="B1:G1"/>
  </mergeCells>
  <pageMargins left="0.7" right="0.7" top="0.75" bottom="0.75" header="0.3" footer="0.3"/>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007 programa 3 lentelė</vt:lpstr>
      <vt:lpstr>Lėšų suvestinė 2 lentelė</vt:lpstr>
      <vt:lpstr>'007 programa 3 lentelė'!Print_Area</vt:lpstr>
      <vt:lpstr>'007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Inga Mikalauskienė</cp:lastModifiedBy>
  <cp:revision/>
  <cp:lastPrinted>2025-12-18T11:45:31Z</cp:lastPrinted>
  <dcterms:created xsi:type="dcterms:W3CDTF">2023-07-11T10:34:54Z</dcterms:created>
  <dcterms:modified xsi:type="dcterms:W3CDTF">2025-12-18T12:12:21Z</dcterms:modified>
  <cp:category/>
  <cp:contentStatus/>
</cp:coreProperties>
</file>