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SVP PLANAI\2026-2028 SVP\Komitetams 2025-12-18\"/>
    </mc:Choice>
  </mc:AlternateContent>
  <xr:revisionPtr revIDLastSave="0" documentId="13_ncr:1_{B0299E9F-DB8D-4A1C-AAA6-101F8E71262C}" xr6:coauthVersionLast="47" xr6:coauthVersionMax="47" xr10:uidLastSave="{00000000-0000-0000-0000-000000000000}"/>
  <bookViews>
    <workbookView xWindow="-120" yWindow="-120" windowWidth="29040" windowHeight="15720" tabRatio="603" firstSheet="1" xr2:uid="{EF082B20-5454-481E-8ECF-44F36E11C9BB}"/>
  </bookViews>
  <sheets>
    <sheet name="10 programa 3 lentelė" sheetId="1" r:id="rId1"/>
    <sheet name="Lėšų suvestinė 2 lentelė" sheetId="3" r:id="rId2"/>
  </sheets>
  <definedNames>
    <definedName name="_xlnm.Print_Area" localSheetId="0">'10 programa 3 lentelė'!$A$1:$N$444</definedName>
    <definedName name="_xlnm.Print_Titles" localSheetId="0">'10 programa 3 lentelė'!$5:$7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3" l="1"/>
  <c r="E301" i="1"/>
  <c r="H296" i="1"/>
  <c r="G296" i="1"/>
  <c r="G12" i="3"/>
  <c r="E12" i="3"/>
  <c r="D12" i="3"/>
  <c r="F12" i="3"/>
  <c r="F301" i="1"/>
  <c r="H395" i="1"/>
  <c r="G395" i="1"/>
  <c r="F395" i="1"/>
  <c r="G281" i="1"/>
  <c r="H281" i="1"/>
  <c r="L280" i="1"/>
  <c r="D10" i="3"/>
  <c r="E13" i="3"/>
  <c r="F13" i="3"/>
  <c r="F302" i="1"/>
  <c r="G302" i="1"/>
  <c r="H302" i="1"/>
  <c r="G301" i="1"/>
  <c r="H301" i="1"/>
  <c r="F300" i="1"/>
  <c r="G300" i="1"/>
  <c r="H300" i="1"/>
  <c r="E300" i="1"/>
  <c r="F217" i="1"/>
  <c r="F274" i="1"/>
  <c r="G259" i="1"/>
  <c r="F259" i="1"/>
  <c r="G234" i="1"/>
  <c r="G232" i="1"/>
  <c r="F232" i="1"/>
  <c r="F261" i="1"/>
  <c r="H258" i="1"/>
  <c r="H256" i="1"/>
  <c r="H255" i="1"/>
  <c r="G258" i="1"/>
  <c r="G255" i="1"/>
  <c r="G256" i="1"/>
  <c r="G257" i="1"/>
  <c r="F255" i="1"/>
  <c r="F256" i="1"/>
  <c r="F257" i="1"/>
  <c r="F258" i="1"/>
  <c r="F252" i="1"/>
  <c r="F234" i="1"/>
  <c r="F231" i="1"/>
  <c r="F17" i="1"/>
  <c r="L393" i="1"/>
  <c r="K393" i="1"/>
  <c r="J383" i="1"/>
  <c r="K280" i="1"/>
  <c r="J210" i="1" l="1"/>
  <c r="J209" i="1"/>
  <c r="F111" i="1"/>
  <c r="J101" i="1"/>
  <c r="G125" i="1" l="1"/>
  <c r="H125" i="1"/>
  <c r="F125" i="1"/>
  <c r="H122" i="1"/>
  <c r="G122" i="1"/>
  <c r="F11" i="3" s="1"/>
  <c r="F122" i="1"/>
  <c r="F281" i="1"/>
  <c r="E117" i="1"/>
  <c r="E111" i="1"/>
  <c r="E106" i="1"/>
  <c r="E18" i="1"/>
  <c r="E17" i="1"/>
  <c r="F139" i="1"/>
  <c r="H139" i="1"/>
  <c r="G139" i="1"/>
  <c r="G36" i="1"/>
  <c r="H28" i="1"/>
  <c r="G28" i="1"/>
  <c r="G140" i="1"/>
  <c r="G231" i="1"/>
  <c r="G230" i="1"/>
  <c r="H238" i="1"/>
  <c r="G145" i="1"/>
  <c r="F10" i="3"/>
  <c r="F54" i="1"/>
  <c r="G177" i="1"/>
  <c r="F177" i="1"/>
  <c r="G17" i="1"/>
  <c r="H17" i="1"/>
  <c r="F85" i="1"/>
  <c r="H243" i="1"/>
  <c r="H242" i="1"/>
  <c r="H240" i="1"/>
  <c r="H213" i="1"/>
  <c r="G212" i="1"/>
  <c r="F210" i="1"/>
  <c r="H335" i="1"/>
  <c r="G315" i="1"/>
  <c r="G330" i="1" s="1"/>
  <c r="F426" i="1"/>
  <c r="H426" i="1"/>
  <c r="G426" i="1"/>
  <c r="F211" i="1"/>
  <c r="F97" i="1"/>
  <c r="G392" i="1"/>
  <c r="G405" i="1" s="1"/>
  <c r="F392" i="1"/>
  <c r="F405" i="1" s="1"/>
  <c r="G284" i="1"/>
  <c r="F284" i="1"/>
  <c r="F429" i="1"/>
  <c r="E23" i="3" s="1"/>
  <c r="F145" i="1"/>
  <c r="E370" i="1"/>
  <c r="F369" i="1"/>
  <c r="G429" i="1"/>
  <c r="H429" i="1"/>
  <c r="E230" i="1"/>
  <c r="E21" i="3" a="1"/>
  <c r="E21" i="3" s="1"/>
  <c r="G20" i="3"/>
  <c r="F20" i="3"/>
  <c r="F406" i="1"/>
  <c r="H405" i="1"/>
  <c r="G370" i="1"/>
  <c r="F370" i="1"/>
  <c r="H369" i="1"/>
  <c r="G369" i="1"/>
  <c r="F343" i="1"/>
  <c r="F331" i="1"/>
  <c r="H330" i="1"/>
  <c r="H331" i="1"/>
  <c r="G343" i="1"/>
  <c r="F305" i="1"/>
  <c r="G305" i="1"/>
  <c r="G303" i="1" s="1"/>
  <c r="F201" i="1"/>
  <c r="H177" i="1"/>
  <c r="E305" i="1"/>
  <c r="D16" i="3"/>
  <c r="E20" i="3"/>
  <c r="D20" i="3" a="1"/>
  <c r="D20" i="3" s="1"/>
  <c r="F220" i="1"/>
  <c r="E10" i="3"/>
  <c r="H145" i="1"/>
  <c r="F330" i="1"/>
  <c r="E144" i="1"/>
  <c r="E141" i="1" s="1"/>
  <c r="H143" i="1"/>
  <c r="G143" i="1"/>
  <c r="F143" i="1"/>
  <c r="E143" i="1"/>
  <c r="E140" i="1"/>
  <c r="H140" i="1"/>
  <c r="F140" i="1"/>
  <c r="E139" i="1"/>
  <c r="F148" i="1"/>
  <c r="G148" i="1"/>
  <c r="H148" i="1"/>
  <c r="F80" i="1"/>
  <c r="G80" i="1"/>
  <c r="H80" i="1"/>
  <c r="F36" i="1"/>
  <c r="H36" i="1"/>
  <c r="G111" i="1"/>
  <c r="H111" i="1"/>
  <c r="F28" i="1"/>
  <c r="F23" i="1"/>
  <c r="G23" i="1"/>
  <c r="H23" i="1"/>
  <c r="F18" i="1"/>
  <c r="G18" i="1"/>
  <c r="H18" i="1"/>
  <c r="E413" i="1"/>
  <c r="H406" i="1"/>
  <c r="G406" i="1"/>
  <c r="F407" i="1"/>
  <c r="H358" i="1"/>
  <c r="H201" i="1"/>
  <c r="G201" i="1"/>
  <c r="E173" i="1"/>
  <c r="F157" i="1"/>
  <c r="E157" i="1"/>
  <c r="F60" i="1"/>
  <c r="G60" i="1"/>
  <c r="H60" i="1"/>
  <c r="E252" i="1"/>
  <c r="E332" i="1"/>
  <c r="E224" i="1"/>
  <c r="E406" i="1"/>
  <c r="E395" i="1"/>
  <c r="E392" i="1"/>
  <c r="E388" i="1"/>
  <c r="E386" i="1"/>
  <c r="E381" i="1"/>
  <c r="E379" i="1"/>
  <c r="E374" i="1"/>
  <c r="E353" i="1"/>
  <c r="E351" i="1"/>
  <c r="E349" i="1"/>
  <c r="E321" i="1"/>
  <c r="E319" i="1"/>
  <c r="E311" i="1"/>
  <c r="E275" i="1"/>
  <c r="E274" i="1"/>
  <c r="E271" i="1"/>
  <c r="E265" i="1"/>
  <c r="E429" i="1" s="1"/>
  <c r="E115" i="1"/>
  <c r="E101" i="1"/>
  <c r="E97" i="1"/>
  <c r="E93" i="1"/>
  <c r="E89" i="1"/>
  <c r="E66" i="1"/>
  <c r="E62" i="1"/>
  <c r="E55" i="1"/>
  <c r="E54" i="1"/>
  <c r="E51" i="1"/>
  <c r="E50" i="1"/>
  <c r="E35" i="1"/>
  <c r="H421" i="1"/>
  <c r="G421" i="1"/>
  <c r="F421" i="1"/>
  <c r="E421" i="1"/>
  <c r="E16" i="3"/>
  <c r="E426" i="1"/>
  <c r="E72" i="1"/>
  <c r="E407" i="1"/>
  <c r="E390" i="1"/>
  <c r="E369" i="1"/>
  <c r="E337" i="1"/>
  <c r="E308" i="1"/>
  <c r="H305" i="1"/>
  <c r="H303" i="1" s="1"/>
  <c r="E277" i="1"/>
  <c r="E249" i="1"/>
  <c r="E228" i="1"/>
  <c r="E203" i="1"/>
  <c r="E189" i="1"/>
  <c r="E180" i="1"/>
  <c r="E177" i="1" s="1"/>
  <c r="E121" i="1"/>
  <c r="E108" i="1"/>
  <c r="E80" i="1"/>
  <c r="E79" i="1"/>
  <c r="E60" i="1"/>
  <c r="E36" i="1"/>
  <c r="E33" i="1"/>
  <c r="E28" i="1"/>
  <c r="E27" i="1"/>
  <c r="E23" i="1"/>
  <c r="E11" i="3" l="1"/>
  <c r="D13" i="3"/>
  <c r="E302" i="1"/>
  <c r="H138" i="1"/>
  <c r="G11" i="3"/>
  <c r="F367" i="1"/>
  <c r="F230" i="1"/>
  <c r="F299" i="1" s="1"/>
  <c r="F138" i="1"/>
  <c r="E367" i="1"/>
  <c r="F136" i="1"/>
  <c r="H252" i="1"/>
  <c r="E330" i="1"/>
  <c r="G138" i="1"/>
  <c r="F16" i="3"/>
  <c r="G144" i="1"/>
  <c r="G141" i="1" s="1"/>
  <c r="G137" i="1"/>
  <c r="H231" i="1"/>
  <c r="H299" i="1" s="1"/>
  <c r="H136" i="1"/>
  <c r="G136" i="1"/>
  <c r="H137" i="1"/>
  <c r="F9" i="3"/>
  <c r="G9" i="3"/>
  <c r="F403" i="1"/>
  <c r="F144" i="1"/>
  <c r="F141" i="1" s="1"/>
  <c r="H144" i="1"/>
  <c r="H141" i="1" s="1"/>
  <c r="G16" i="3"/>
  <c r="E9" i="3"/>
  <c r="F137" i="1"/>
  <c r="G252" i="1"/>
  <c r="G299" i="1" s="1"/>
  <c r="E424" i="1"/>
  <c r="E422" i="1"/>
  <c r="E419" i="1" s="1"/>
  <c r="E409" i="1"/>
  <c r="E359" i="1"/>
  <c r="E358" i="1"/>
  <c r="E343" i="1"/>
  <c r="E341" i="1" s="1"/>
  <c r="E331" i="1"/>
  <c r="E303" i="1"/>
  <c r="E261" i="1"/>
  <c r="E299" i="1" s="1"/>
  <c r="E201" i="1"/>
  <c r="E193" i="1"/>
  <c r="E185" i="1"/>
  <c r="E169" i="1"/>
  <c r="E165" i="1"/>
  <c r="E160" i="1"/>
  <c r="E156" i="1"/>
  <c r="E148" i="1"/>
  <c r="G156" i="1" s="1"/>
  <c r="E85" i="1"/>
  <c r="E67" i="1"/>
  <c r="E57" i="1"/>
  <c r="E53" i="1"/>
  <c r="E49" i="1"/>
  <c r="D9" i="3" s="1"/>
  <c r="E47" i="1"/>
  <c r="E25" i="1"/>
  <c r="H370" i="1"/>
  <c r="F359" i="1"/>
  <c r="G359" i="1"/>
  <c r="H359" i="1"/>
  <c r="G358" i="1"/>
  <c r="H343" i="1"/>
  <c r="F303" i="1"/>
  <c r="G158" i="1"/>
  <c r="H158" i="1"/>
  <c r="F158" i="1"/>
  <c r="F424" i="1"/>
  <c r="F160" i="1"/>
  <c r="F156" i="1"/>
  <c r="F23" i="3"/>
  <c r="F358" i="1"/>
  <c r="F332" i="1"/>
  <c r="F422" i="1"/>
  <c r="G422" i="1"/>
  <c r="H422" i="1"/>
  <c r="G19" i="3"/>
  <c r="G10" i="3"/>
  <c r="F19" i="3"/>
  <c r="G21" i="3" a="1"/>
  <c r="G21" i="3" s="1"/>
  <c r="F21" i="3" a="1"/>
  <c r="F21" i="3" s="1"/>
  <c r="E19" i="3"/>
  <c r="G18" i="3" a="1"/>
  <c r="G18" i="3" s="1"/>
  <c r="F18" i="3" a="1"/>
  <c r="F18" i="3" s="1"/>
  <c r="E18" i="3" a="1"/>
  <c r="E18" i="3" s="1"/>
  <c r="G17" i="3" a="1"/>
  <c r="G17" i="3" s="1"/>
  <c r="F17" i="3" a="1"/>
  <c r="F17" i="3" s="1"/>
  <c r="E17" i="3" a="1"/>
  <c r="E17" i="3" s="1"/>
  <c r="D21" i="3" a="1"/>
  <c r="D21" i="3" s="1"/>
  <c r="H332" i="1"/>
  <c r="G332" i="1"/>
  <c r="G331" i="1"/>
  <c r="H407" i="1"/>
  <c r="H403" i="1" s="1"/>
  <c r="G407" i="1"/>
  <c r="G403" i="1" s="1"/>
  <c r="H157" i="1"/>
  <c r="G157" i="1"/>
  <c r="F185" i="1"/>
  <c r="G185" i="1"/>
  <c r="H185" i="1"/>
  <c r="E138" i="1" l="1"/>
  <c r="D11" i="3"/>
  <c r="F134" i="1"/>
  <c r="G134" i="1"/>
  <c r="F14" i="3"/>
  <c r="E136" i="1"/>
  <c r="F8" i="3"/>
  <c r="F6" i="3" s="1"/>
  <c r="G297" i="1"/>
  <c r="F297" i="1"/>
  <c r="E8" i="3"/>
  <c r="E297" i="1"/>
  <c r="E158" i="1"/>
  <c r="E154" i="1" s="1"/>
  <c r="E405" i="1"/>
  <c r="E403" i="1" s="1"/>
  <c r="E328" i="1"/>
  <c r="E137" i="1"/>
  <c r="E356" i="1"/>
  <c r="G356" i="1"/>
  <c r="F356" i="1"/>
  <c r="H356" i="1"/>
  <c r="H328" i="1"/>
  <c r="H367" i="1"/>
  <c r="H134" i="1"/>
  <c r="F419" i="1"/>
  <c r="G328" i="1"/>
  <c r="F154" i="1"/>
  <c r="F328" i="1"/>
  <c r="G154" i="1"/>
  <c r="H156" i="1"/>
  <c r="H154" i="1" s="1"/>
  <c r="H419" i="1"/>
  <c r="G419" i="1"/>
  <c r="D19" i="3"/>
  <c r="E14" i="3"/>
  <c r="F22" i="3" l="1"/>
  <c r="E134" i="1"/>
  <c r="E428" i="1" s="1"/>
  <c r="E6" i="3"/>
  <c r="G23" i="3"/>
  <c r="G424" i="1"/>
  <c r="H424" i="1"/>
  <c r="F413" i="1"/>
  <c r="G413" i="1"/>
  <c r="H413" i="1"/>
  <c r="F409" i="1"/>
  <c r="G409" i="1"/>
  <c r="H409" i="1"/>
  <c r="G367" i="1"/>
  <c r="H341" i="1"/>
  <c r="F173" i="1"/>
  <c r="G173" i="1"/>
  <c r="H173" i="1"/>
  <c r="F169" i="1"/>
  <c r="G169" i="1"/>
  <c r="H169" i="1"/>
  <c r="F165" i="1"/>
  <c r="G165" i="1"/>
  <c r="H165" i="1"/>
  <c r="G160" i="1"/>
  <c r="H160" i="1"/>
  <c r="E22" i="3" l="1"/>
  <c r="F341" i="1"/>
  <c r="F428" i="1" s="1"/>
  <c r="H297" i="1"/>
  <c r="H428" i="1" s="1"/>
  <c r="G341" i="1" l="1"/>
  <c r="G428" i="1" s="1"/>
  <c r="D23" i="3"/>
  <c r="D18" i="3" l="1" a="1"/>
  <c r="D18" i="3" s="1"/>
  <c r="D17" i="3" a="1"/>
  <c r="D17" i="3" s="1"/>
  <c r="D8" i="3" l="1"/>
  <c r="D14" i="3"/>
  <c r="G430" i="1" l="1"/>
  <c r="F430" i="1"/>
  <c r="E24" i="3" s="1"/>
  <c r="D6" i="3"/>
  <c r="D22" i="3" s="1"/>
  <c r="H430" i="1" l="1"/>
  <c r="F24" i="3"/>
  <c r="G24" i="3" l="1"/>
  <c r="G8" i="3"/>
  <c r="G6" i="3" s="1"/>
  <c r="G14" i="3"/>
  <c r="G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Snieguolė Kačerauskaitė</author>
    <author>Gintarė Skirmantienė</author>
    <author>Rima Ališauskė</author>
    <author>Saulina Paulauskienė</author>
    <author>Regina Intienė</author>
  </authors>
  <commentList>
    <comment ref="J9" authorId="0" shapeId="0" xr:uid="{F75F0F78-A161-402B-9842-7E0ED7D02E1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Vydūno, Zudermano gimnazijos ir priešmokyklinio ugdymo vaikai + pailgintos dienos grupės mokiniai.
</t>
        </r>
      </text>
    </comment>
    <comment ref="K9" authorId="0" shapeId="0" xr:uid="{5C6A95DE-ECBE-475F-A55E-F82635419DF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Vydūno 284 (1-4 kl.) ir priešmokyklinio ugdymo vaikai 1693 + pailgintos dienos grupės 1392 mokiniai (116 grupių).
</t>
        </r>
      </text>
    </comment>
    <comment ref="C40" authorId="1" shapeId="0" xr:uid="{CF0B28BC-7200-42E8-9A74-1D989F87E86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KMS 8 956 Eur laikinai finansuota suma (t.y 20 proc. bendros projekto finanavimo sumos), kuri pasibaigus  Projektui (2026-11-30) bus grąžinta į savivaldybės biudžetą.
</t>
        </r>
      </text>
    </comment>
    <comment ref="F41" authorId="1" shapeId="0" xr:uid="{9B2F4158-7674-4CF9-B153-BA942E1D442F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Pojekto pabaiga 2026-08-31</t>
        </r>
      </text>
    </comment>
    <comment ref="C42" authorId="1" shapeId="0" xr:uid="{CF452620-8B42-41BD-9A7E-502900BAC346}">
      <text>
        <r>
          <rPr>
            <sz val="11"/>
            <color theme="1"/>
            <rFont val="Calibri"/>
            <family val="2"/>
            <charset val="186"/>
            <scheme val="minor"/>
          </rPr>
          <t>KMS 8 370,3 Eur laikinai finansuota suma (t.y 20 proc. bendros projekto finanavimo sumos), kuri pasibaigus  Projektui (2025-08-31) bus grąžinta į savivaldybės biudžetą.</t>
        </r>
      </text>
    </comment>
    <comment ref="C44" authorId="1" shapeId="0" xr:uid="{A46DDA52-9305-4717-AEDB-2F8EFA6E686A}">
      <text>
        <r>
          <rPr>
            <sz val="11"/>
            <color theme="1"/>
            <rFont val="Calibri"/>
            <family val="2"/>
            <charset val="186"/>
            <scheme val="minor"/>
          </rPr>
          <t>KMS 6 352 Eur laikinai finansuota suma (t.y 20 proc. bendros projekto finanavimo sumos), kuri pasibaigus  Projektui (2025-08-31) bus grąžinta į savivaldybės biudžetą.</t>
        </r>
      </text>
    </comment>
    <comment ref="C46" authorId="1" shapeId="0" xr:uid="{22BB108A-486E-4437-AAFA-32A84459F411}">
      <text>
        <r>
          <rPr>
            <sz val="11"/>
            <color theme="1"/>
            <rFont val="Calibri"/>
            <family val="2"/>
            <charset val="186"/>
            <scheme val="minor"/>
          </rPr>
          <t>KMS 2 290 Eur laikinai finansuota suma (t.y 20 proc. bendros projekto finanavimo sumos), kuri pasibaigus  Projektui (2026-06-15) bus grąžinta į savivaldybės biudžetą.</t>
        </r>
      </text>
    </comment>
    <comment ref="C48" authorId="0" shapeId="0" xr:uid="{E6CFD608-AC9C-4DBC-921A-5674AA0BD2F6}">
      <text>
        <r>
          <rPr>
            <sz val="11"/>
            <color theme="1"/>
            <rFont val="Calibri"/>
            <family val="2"/>
            <charset val="186"/>
            <scheme val="minor"/>
          </rPr>
          <t>Pažangos plane numatytoms veikloms įgyvendinti iki 2026-04-30 skiriama iki 12 563 953,81 Eur:
1. „Žaliakalnio“  gimnazija,
2. „Aitvaro“ gimnazija,
3. „Santarvės“ progimnazija,
4. „Smeltės“ progimnazija,
5. Liudviko Stulpino progimnazija,
6. „Saulėtekio“ progimnazija.</t>
        </r>
      </text>
    </comment>
    <comment ref="E62" authorId="0" shapeId="0" xr:uid="{7444C206-9360-423C-8EC9-72D740B061CB}">
      <text>
        <r>
          <rPr>
            <sz val="11"/>
            <color theme="1"/>
            <rFont val="Calibri"/>
            <family val="2"/>
            <charset val="186"/>
            <scheme val="minor"/>
          </rPr>
          <t>Planuojamas vaikų skaičius - 2200 (55 daugiau, ne 2024 m.) ir pabrango paslauga.</t>
        </r>
      </text>
    </comment>
    <comment ref="F62" authorId="0" shapeId="0" xr:uid="{8EB2A45C-500C-4AF1-B2C2-15F87CF09841}">
      <text>
        <r>
          <rPr>
            <sz val="11"/>
            <color theme="1"/>
            <rFont val="Calibri"/>
            <family val="2"/>
            <charset val="186"/>
            <scheme val="minor"/>
          </rPr>
          <t>Planuojamas vaikų skaičius - 2040.</t>
        </r>
      </text>
    </comment>
    <comment ref="C77" authorId="0" shapeId="0" xr:uid="{0B118F23-1533-4380-91C0-1477B3FBB2E0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KMS finansinis prisidėjimas prie Projekto iš savivaldybės biudžeto – 249 100 Eur, iš jų: 
1. 24 910 Eur suma negrąžinamai;
2. 224 190 Eur laikinai finansuota suma, kuri iki Projekto pabaigos bus grąžinta į savivaldybės biudžetą.
</t>
        </r>
      </text>
    </comment>
    <comment ref="E93" authorId="0" shapeId="0" xr:uid="{CE61257E-E1B7-4826-8CDD-109A4B3F03AA}">
      <text>
        <r>
          <rPr>
            <sz val="11"/>
            <color theme="1"/>
            <rFont val="Calibri"/>
            <family val="2"/>
            <charset val="186"/>
            <scheme val="minor"/>
          </rPr>
          <t>Planuojama, kad 2025 m. 5–12 (15 komplektų) klasėse mokysis 280 mokinių.</t>
        </r>
      </text>
    </comment>
    <comment ref="F93" authorId="0" shapeId="0" xr:uid="{1CE6F4D4-EBE9-440D-80AC-930F1C0EEF00}">
      <text>
        <r>
          <rPr>
            <sz val="11"/>
            <color theme="1"/>
            <rFont val="Calibri"/>
            <family val="2"/>
            <charset val="186"/>
            <scheme val="minor"/>
          </rPr>
          <t>Planuojama, kad 2025 m. 5–12 (14 komplektų) klasėse mokysis 270 mokinių.</t>
        </r>
      </text>
    </comment>
    <comment ref="G93" authorId="0" shapeId="0" xr:uid="{CA6E524E-B619-443C-A4E0-F128A4B582C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Planuojama, kad 2026 m. 5–12 (15 komplektų) klasėse mokysis 300 mokinių. 
</t>
        </r>
      </text>
    </comment>
    <comment ref="H93" authorId="0" shapeId="0" xr:uid="{08AA80B7-A1C2-4D9F-ACB0-A96E051AE12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Planuojama, kad 2026 m. 5–12 (15 komplektų) klasėse mokysis 300 mokinių. 
</t>
        </r>
      </text>
    </comment>
    <comment ref="K107" authorId="1" shapeId="0" xr:uid="{A0E3727D-536C-44C0-9E0E-D619E5DE847B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EMP - 8800 vnt. 
Nepersonalizuotos -100 vnt.</t>
        </r>
      </text>
    </comment>
    <comment ref="E108" authorId="0" shapeId="0" xr:uid="{5031F784-53BC-4FD2-8601-EDBCB3D93FE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Papildomas poreikis 2025 m.: 
1. “Žaliakalnio” gimnazijoje EMP  sistemos įdiegimui – 21818 Eur + 4207 Eur 700 kortelių įsigyti. 
2. 2524,2 Eur mokyklų-darželių pradinių klasių mokiniams (naujoms kortelėms).
3. Naujai atvykusiems mokiniams (1000) 6010 Eur.
</t>
        </r>
      </text>
    </comment>
    <comment ref="F108" authorId="1" shapeId="0" xr:uid="{A5A967C0-716F-4D11-AB43-7BFAF0059AE1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EMP - 8800 vnt. 
Nepersonalizuotos -100 vnt.</t>
        </r>
      </text>
    </comment>
    <comment ref="F122" authorId="2" shapeId="0" xr:uid="{68317590-E567-4132-AE61-AD68F5ED9380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lėšos netiesioginėms išlaidoms</t>
        </r>
      </text>
    </comment>
    <comment ref="C126" authorId="1" shapeId="0" xr:uid="{F4241055-CFB1-46DB-8318-9A05F78A0061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Projekto pabaiga 2027 m. rugpjūčio 31 d. </t>
        </r>
      </text>
    </comment>
    <comment ref="J163" authorId="0" shapeId="0" xr:uid="{3E2DD68B-5562-4C8A-A532-4DD65FAB7E20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Jei projektas laimėtų konkursą pilna finansavimo apimtimi
</t>
        </r>
      </text>
    </comment>
    <comment ref="K163" authorId="0" shapeId="0" xr:uid="{2F9479AF-F438-486D-A085-026A60A96A5D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Jei projektas laimėtų konkursą pilna finansavimo apimtimi
</t>
        </r>
      </text>
    </comment>
    <comment ref="C182" authorId="1" shapeId="0" xr:uid="{BAA01290-DD5D-4F95-A7B0-3CCFE0D9B55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1.Klaipėdos vaikų laisvalaikio centras
2.Klaipėdos Litorinos mokykla
3.Klaipėdos Vitės progimnazija
4.Klaipėdos Vyturio progimnazija
5.Klaipėdos lopšelis-darželis „Čiauškutė“
6.Klaipėdos miesto savivaldybės Imanuelio Kanto viešoji biblioteka
7.Klaipėdos pedagoginė psichologinė tarnyba
8.Klaipėdos sutrikusio vystymosi kūdikių namai
</t>
        </r>
      </text>
    </comment>
    <comment ref="J199" authorId="3" shapeId="0" xr:uid="{E0045464-1D77-4AFA-A6E1-2545D3CBE28C}">
      <text>
        <r>
          <rPr>
            <sz val="11"/>
            <color theme="1"/>
            <rFont val="Calibri"/>
            <family val="2"/>
            <charset val="186"/>
            <scheme val="minor"/>
          </rPr>
          <t>Aukuro pradžia - 15 proc. darbų.</t>
        </r>
      </text>
    </comment>
    <comment ref="K199" authorId="3" shapeId="0" xr:uid="{A8B9714A-72C5-4EC4-AEE8-88568587ADC0}">
      <text>
        <r>
          <rPr>
            <sz val="11"/>
            <color theme="1"/>
            <rFont val="Calibri"/>
            <family val="2"/>
            <charset val="186"/>
            <scheme val="minor"/>
          </rPr>
          <t>1. „Aukuro“ gimn.
2. Vydūno gimn.</t>
        </r>
      </text>
    </comment>
    <comment ref="L199" authorId="3" shapeId="0" xr:uid="{7C9A1353-BC2F-4776-B452-DC45F24C7123}">
      <text>
        <r>
          <rPr>
            <sz val="11"/>
            <color theme="1"/>
            <rFont val="Calibri"/>
            <family val="2"/>
            <charset val="186"/>
            <scheme val="minor"/>
          </rPr>
          <t>Sendvario progimnazija</t>
        </r>
      </text>
    </comment>
    <comment ref="M199" authorId="3" shapeId="0" xr:uid="{2A44DEDD-02D8-4E0E-9B11-F72B32C5E5BE}">
      <text>
        <r>
          <rPr>
            <sz val="11"/>
            <color theme="1"/>
            <rFont val="Calibri"/>
            <family val="2"/>
            <charset val="186"/>
            <scheme val="minor"/>
          </rPr>
          <t>„Varpo“ gimnazija</t>
        </r>
      </text>
    </comment>
    <comment ref="J209" authorId="3" shapeId="0" xr:uid="{BE7ADCE4-C11C-4533-8DE6-3E66E507DE54}">
      <text>
        <r>
          <rPr>
            <sz val="11"/>
            <color theme="1"/>
            <rFont val="Calibri"/>
            <family val="2"/>
            <charset val="186"/>
            <scheme val="minor"/>
          </rPr>
          <t>Aukuro</t>
        </r>
      </text>
    </comment>
    <comment ref="K209" authorId="3" shapeId="0" xr:uid="{05B6FDB1-6827-4CF6-B45F-37EA4F33131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Sendvario progimn.
</t>
        </r>
      </text>
    </comment>
    <comment ref="L209" authorId="3" shapeId="0" xr:uid="{297E57CC-4E9E-4830-A260-0EB6F3EC15C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Baltijos
</t>
        </r>
      </text>
    </comment>
    <comment ref="M209" authorId="3" shapeId="0" xr:uid="{7BC1D3DB-902B-4456-B22D-D7EB18F1DAF2}">
      <text>
        <r>
          <rPr>
            <sz val="11"/>
            <color theme="1"/>
            <rFont val="Calibri"/>
            <family val="2"/>
            <charset val="186"/>
            <scheme val="minor"/>
          </rPr>
          <t>Varpo</t>
        </r>
      </text>
    </comment>
    <comment ref="J210" authorId="3" shapeId="0" xr:uid="{1A83C148-D9E6-409A-96C6-C9C78782EC0F}">
      <text>
        <r>
          <rPr>
            <sz val="11"/>
            <color theme="1"/>
            <rFont val="Calibri"/>
            <family val="2"/>
            <charset val="186"/>
            <scheme val="minor"/>
          </rPr>
          <t>Aukuro pradžia - 15 proc. darbų.</t>
        </r>
      </text>
    </comment>
    <comment ref="K210" authorId="3" shapeId="0" xr:uid="{112CEA60-0C68-4497-A996-DB4F964B36C7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Aukuro gimn.
</t>
        </r>
      </text>
    </comment>
    <comment ref="L210" authorId="3" shapeId="0" xr:uid="{BDFDFD9B-CFA3-46E4-862F-15498081F5B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Sendvario </t>
        </r>
      </text>
    </comment>
    <comment ref="M210" authorId="3" shapeId="0" xr:uid="{A87D809B-BDD1-4421-BF49-CB0578B90D25}">
      <text>
        <r>
          <rPr>
            <sz val="11"/>
            <color theme="1"/>
            <rFont val="Calibri"/>
            <family val="2"/>
            <charset val="186"/>
            <scheme val="minor"/>
          </rPr>
          <t>Baltijos</t>
        </r>
      </text>
    </comment>
    <comment ref="F211" authorId="3" shapeId="0" xr:uid="{CB2D6E3B-2A2D-42AE-97E1-263DB707F80E}">
      <text>
        <r>
          <rPr>
            <sz val="11"/>
            <color theme="1"/>
            <rFont val="Calibri"/>
            <family val="2"/>
            <charset val="186"/>
            <scheme val="minor"/>
          </rPr>
          <t>darbai</t>
        </r>
      </text>
    </comment>
    <comment ref="F212" authorId="3" shapeId="0" xr:uid="{8ED9BB21-B751-459F-B784-9DA91CFEDD62}">
      <text>
        <r>
          <rPr>
            <sz val="11"/>
            <color theme="1"/>
            <rFont val="Calibri"/>
            <family val="2"/>
            <charset val="186"/>
            <scheme val="minor"/>
          </rPr>
          <t>projektas</t>
        </r>
      </text>
    </comment>
    <comment ref="F214" authorId="3" shapeId="0" xr:uid="{6F41A3CB-6C23-48AE-964F-25B38CC10EB5}">
      <text>
        <r>
          <rPr>
            <sz val="11"/>
            <color theme="1"/>
            <rFont val="Calibri"/>
            <family val="2"/>
            <charset val="186"/>
            <scheme val="minor"/>
          </rPr>
          <t>Sintetinės dangos krepšinio aikštelėje įrengimas. Universalios (mini futbolo) aikštelės dangos atnaujinimas.</t>
        </r>
      </text>
    </comment>
    <comment ref="F220" authorId="1" shapeId="0" xr:uid="{A89F44C6-D2BE-4014-B5E8-E6026F786401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"Ąžuolyno" gimnazijos baldų atnaujimui.</t>
        </r>
      </text>
    </comment>
    <comment ref="E249" authorId="2" shapeId="0" xr:uid="{1727177D-D957-4F40-B53D-C8828D9942F4}">
      <text>
        <r>
          <rPr>
            <sz val="11"/>
            <color theme="1"/>
            <rFont val="Calibri"/>
            <family val="2"/>
            <charset val="186"/>
            <scheme val="minor"/>
          </rPr>
          <t>Lėšos perkeliamos iš 2024 m., nes dėl užsitęsusių viešųjų pirkimų procedūrų, perkant baldų projektą, nusikėlė ir pačių baldų gamybos pirkimas.</t>
        </r>
      </text>
    </comment>
    <comment ref="K253" authorId="4" shapeId="0" xr:uid="{6B57E3F6-B261-4110-A6BC-3E6125C9046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Regina Intienė:
1. Vėtrungėlės“ skyrius
2. „Radastėlės“ skyrius
3. „Radastėlė“
4. „Šaltinėlis“ „Kregždutės“ skyrius
5. „Eglutė“
</t>
        </r>
      </text>
    </comment>
    <comment ref="G277" authorId="2" shapeId="0" xr:uid="{2107D9D3-1DE5-4099-B15B-AD9D2A294C03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be projekto vykdymo priežiūros</t>
        </r>
      </text>
    </comment>
    <comment ref="K280" authorId="3" shapeId="0" xr:uid="{23352643-36D5-4F9D-B58B-7B67A8DA847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1.M. Mažvydo progimn.
2.Moksleivių saviraiškos centras </t>
        </r>
      </text>
    </comment>
    <comment ref="L280" authorId="3" shapeId="0" xr:uid="{DFD9B8EB-F465-41A2-A691-BC638E154E9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
Vitės progimn.</t>
        </r>
      </text>
    </comment>
    <comment ref="M280" authorId="3" shapeId="0" xr:uid="{CA65AB6B-575A-46A7-A8B0-A39C37C053A4}">
      <text>
        <r>
          <rPr>
            <sz val="11"/>
            <color theme="1"/>
            <rFont val="Calibri"/>
            <family val="2"/>
            <charset val="186"/>
            <scheme val="minor"/>
          </rPr>
          <t>"Medeinės" mokykla, Litorinos mokykla,
Pajūrio progimn.</t>
        </r>
      </text>
    </comment>
    <comment ref="K281" authorId="3" shapeId="0" xr:uid="{474EED0D-B625-406E-88E9-0A075B6A8A6E}">
      <text>
        <r>
          <rPr>
            <sz val="11"/>
            <color theme="1"/>
            <rFont val="Calibri"/>
            <family val="2"/>
            <charset val="186"/>
            <scheme val="minor"/>
          </rPr>
          <t>1.Varpo gimnazija
2.Suaugusiųjų gimnazija
PAS vykdomos:
1.Vytauto Didžiojo gimnazija
2.Uostamiesčio progimnazija
3.Verdenės progimnazija</t>
        </r>
      </text>
    </comment>
    <comment ref="F285" authorId="3" shapeId="0" xr:uid="{25845730-5529-4B06-B203-2252C37A46D2}">
      <text>
        <r>
          <rPr>
            <sz val="11"/>
            <color theme="1"/>
            <rFont val="Calibri"/>
            <family val="2"/>
            <charset val="186"/>
            <scheme val="minor"/>
          </rPr>
          <t>dangos</t>
        </r>
      </text>
    </comment>
    <comment ref="F286" authorId="3" shapeId="0" xr:uid="{443BA3DA-5DE4-49C9-8B34-373A3482747D}">
      <text>
        <r>
          <rPr>
            <sz val="11"/>
            <color theme="1"/>
            <rFont val="Calibri"/>
            <family val="2"/>
            <charset val="186"/>
            <scheme val="minor"/>
          </rPr>
          <t>vėdinimas</t>
        </r>
      </text>
    </comment>
    <comment ref="F287" authorId="3" shapeId="0" xr:uid="{144B0635-3D3A-47DF-BA1C-B8F325B14343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vėdinimas
</t>
        </r>
      </text>
    </comment>
    <comment ref="F292" authorId="1" shapeId="0" xr:uid="{80A53B88-B075-4989-8DA9-ACB373712164}">
      <text>
        <r>
          <rPr>
            <sz val="11"/>
            <color theme="1"/>
            <rFont val="Calibri"/>
            <family val="2"/>
            <charset val="186"/>
            <scheme val="minor"/>
          </rPr>
          <t>1.Vytauto Didžiojo gimnazija-5,6 tūkst.Eur;
2.Uostamiesčio - 9,6 tūkst.Eur;
3.Verdenės  progimnazija - 7,0 tūkst.Eur.
Atlikti remonto darbai, kad vėdinimo sistema veiktų 100 proc.</t>
        </r>
      </text>
    </comment>
    <comment ref="G292" authorId="1" shapeId="0" xr:uid="{B65458EC-BE59-40D1-B9E3-4A2C42376DD5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Liudviko Stulpino progimnazija</t>
        </r>
      </text>
    </comment>
    <comment ref="K292" authorId="3" shapeId="0" xr:uid="{ECDE2491-9050-4B13-9C62-27B2201087E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
PAS vykdomos:
1.Vytauto Didžiojo gimnazija
2.Uostamiesčio progimnazija
3.Verdenės progimnazija</t>
        </r>
      </text>
    </comment>
    <comment ref="L292" authorId="4" shapeId="0" xr:uid="{4F380CC7-F42D-4DFE-921B-9879796FA8B7}">
      <text>
        <r>
          <rPr>
            <b/>
            <sz val="9"/>
            <color indexed="81"/>
            <rFont val="Tahoma"/>
            <family val="2"/>
            <charset val="186"/>
          </rPr>
          <t>Regina Intienė:</t>
        </r>
        <r>
          <rPr>
            <sz val="9"/>
            <color indexed="81"/>
            <rFont val="Tahoma"/>
            <family val="2"/>
            <charset val="186"/>
          </rPr>
          <t xml:space="preserve">
L.Stulpino progm.</t>
        </r>
      </text>
    </comment>
    <comment ref="J310" authorId="0" shapeId="0" xr:uid="{65D303D5-753E-41FE-BBAB-C7DC4C4D2C2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„Aitvaro“ gimnazija
2."Aukuro" gimnazija
3.Gedminų progimnazija
4.Prano Mašioto progimnazija
5.Martyno Mažvydo progimnazija
6."Saulėtekio" progimnazija
7.Liudviko Stulpino progimnazija
8.Versmės progimnazija
9.Vitės progimnazija
10."Vyturio" progimnazija
11.Lopšelis-darželis "Liepaitė"
12.Lopšelis-darželis "Sakalėlis"
13.Lopšelis-darželis "Švyturėlis"
14.Lopšelis-darželis "Žuvėdra"
15.Lopšelis-darželis "Vėtrungėlė"
16.Lopšelis-darželis "Bangelė"
17.Lopšelis-darželis "Čiauškutė"
18.Lopšelis-darželis "Nykštukas"
19.Lopšelis-darželis "Puriena"
20.Lopšelis-darželis "Eglutė"
21.Lopšelis-darželis "Pušaitė"
22.Lopšelis-darželis "Volungėlė"
</t>
        </r>
      </text>
    </comment>
    <comment ref="L314" authorId="4" shapeId="0" xr:uid="{568F924E-1E34-4A02-BDFE-33F72545EE14}">
      <text>
        <r>
          <rPr>
            <sz val="11"/>
            <color theme="1"/>
            <rFont val="Calibri"/>
            <family val="2"/>
            <charset val="186"/>
            <scheme val="minor"/>
          </rPr>
          <t>Regina Intienė:
1.Pajūrio progimnazija.
2. Prano Mašioto progimnazija.</t>
        </r>
      </text>
    </comment>
    <comment ref="G315" authorId="1" shapeId="0" xr:uid="{EDF7E640-D6D8-43B9-908D-BE9C6ECBF8A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"Pajūrio" (51,0 tūkst.Eur) ir Prano Mašioto (61,0 tūkst.Eur) progimnazijoms - gamtos mokslų laboratorijų įrengimui. </t>
        </r>
      </text>
    </comment>
    <comment ref="J316" authorId="1" shapeId="0" xr:uid="{3BEF5B9E-E975-4E35-9646-16294AB2813D}">
      <text>
        <r>
          <rPr>
            <sz val="11"/>
            <color theme="1"/>
            <rFont val="Calibri"/>
            <family val="2"/>
            <charset val="186"/>
            <scheme val="minor"/>
          </rPr>
          <t>Vytauto Didžiojo gimnazijoje</t>
        </r>
      </text>
    </comment>
    <comment ref="C317" authorId="1" shapeId="0" xr:uid="{85896D4C-2A09-47A9-9D8C-E450261EFF5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VDU erdvių įrengimui (tęstinis finansavimas)- 150 tūkst.Eur;
2.Smelės progimnazijai (naujas finansavimas) 2 vnt. konteinerio/sandėliuko įsigijimui - 31 tūkst.Eur.
 </t>
        </r>
      </text>
    </comment>
    <comment ref="J317" authorId="1" shapeId="0" xr:uid="{08DAB307-462F-4B2D-8E69-DDC52AB1549C}">
      <text>
        <r>
          <rPr>
            <sz val="11"/>
            <color theme="1"/>
            <rFont val="Calibri"/>
            <family val="2"/>
            <charset val="186"/>
            <scheme val="minor"/>
          </rPr>
          <t>"Smeltės" progimnazija</t>
        </r>
      </text>
    </comment>
    <comment ref="K318" authorId="1" shapeId="0" xr:uid="{1FC95AF3-D108-4DF3-B31F-E9D7B9CD0596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"Ąžuolyno" gimnazija.</t>
        </r>
      </text>
    </comment>
    <comment ref="F319" authorId="1" shapeId="0" xr:uid="{DD1222CA-A0AA-4871-B6C8-A01CF17DABDF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"Ąžuolyno" gimnazijoje</t>
        </r>
      </text>
    </comment>
    <comment ref="J324" authorId="1" shapeId="0" xr:uid="{9CDE8A32-F951-462C-A56D-BBEA9565F17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14 progimnazijų; 
11 gimnazijų;
2 pradinės, 
3 mokyklos-darželiai;
4 neformaliojo ugdymo įstaigos; 
1 švietimo pagalbos įstaiga (PŠKC).
</t>
        </r>
      </text>
    </comment>
    <comment ref="F327" authorId="4" shapeId="0" xr:uid="{93FC20BF-F5D5-412F-A219-84D496E48F9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Regina Intienė:
1. Litorina- 5,0 tūkst. Eur.
2. Moksleivių saviraiškos centras - 20,6 tūkst. Eur.
</t>
        </r>
      </text>
    </comment>
    <comment ref="J336" authorId="1" shapeId="0" xr:uid="{A52804BB-F300-472B-A4EA-1B0A97263CD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Gimnazijos: Baltijos, Hermano Zudermano, Žemynos, Vydūno. Progimnazijos: „Gedminų“, „Vyturio“, „Gabijos“, Jūrų kadetų mokykla. 
Lopšeliai-darželiai: ,,Versmė", „Sakalėlis“, „Giliukas“, „Alksniukas“, „Du Giadeliai“, „Vėtrungėlė“, „Inkarėlis“, „Berželis“, „Pagrandukas“, „Papartėlis“, „Dobiliukas“, „Bitutė“, „Želmenėlis“, ,,Klevelis", „Pumpurėlis“, „Svirpliukas“, „Žiburėlis“, „Linelis“. 
Mokyklos-darželiai: „Saulutė“, Marijos Montessori. </t>
        </r>
      </text>
    </comment>
    <comment ref="J339" authorId="1" shapeId="0" xr:uid="{17BF98E6-7F5F-4B9F-8FE4-0DEA0BCD6AB9}">
      <text>
        <r>
          <rPr>
            <sz val="11"/>
            <color theme="1"/>
            <rFont val="Calibri"/>
            <family val="2"/>
            <charset val="186"/>
            <scheme val="minor"/>
          </rPr>
          <t>L-d "Giliukas", "Sakalėlis", "Versmė".</t>
        </r>
      </text>
    </comment>
    <comment ref="K339" authorId="1" shapeId="0" xr:uid="{E288C708-62FA-40A8-8322-4A21F12D106A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Klaipėdos Baltijos gimnazijos lifto, skirto asmenims su judėjimo negalia, funkcijų gerinimas ir vikšrinių kopiklių įsigijimas</t>
        </r>
      </text>
    </comment>
    <comment ref="F340" authorId="1" shapeId="0" xr:uid="{E9CF2BBD-FC31-47F2-80BF-9DB2A13B65A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Baltijos progimnazija
</t>
        </r>
      </text>
    </comment>
    <comment ref="J374" authorId="3" shapeId="0" xr:uid="{582127B3-DFCA-4C29-B069-0E2FDAF4B2C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1."Medeinės" mokykla
2.„Vitės“ progimnazija
3.„Vėtrungės“ gimnazija
4.Verdenės" progimnazija
5. M.Mažvydo progimnazija 
6.Vydūno gimnazija
7.LD „Berželis“
8. LD „Papartėlis“
9.LD „Pagrandukas“
</t>
        </r>
      </text>
    </comment>
    <comment ref="K374" authorId="3" shapeId="0" xr:uid="{F5B7641F-A268-4D45-9B95-ABA96303EE53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1."Smeltės" progimn.
2. Medeinės mokykla
3. P. Mašioto progimn.
4. "Saulėtekio" progimn.
5. Varpo gimn.
6. l/d "Sakalėlis"
7. l/d "Želmenėlis"
8. l/d "Bitutė"
9. l/d "Inkarėlis"
</t>
        </r>
      </text>
    </comment>
    <comment ref="J383" authorId="3" shapeId="0" xr:uid="{11D7D6EF-1789-4DE1-A82C-AF6C25B33A0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 l/ d "Žemuogėlė"
2 l/d "Švyturėlis"
3 "Gilijos" pradinė mokykla
4 L/d "Linelis"
5-6 l/d Vyturėlis ir l/d Du gaideliai išorinių laiptų remontas pagal parengtą projektą
</t>
        </r>
      </text>
    </comment>
    <comment ref="K383" authorId="3" shapeId="0" xr:uid="{AB3BA360-01EA-42F7-84DB-1B56D31A70C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l/d "Ąžuoliukas"
2. l/d "Švyturėlis"
3. "Vyturio" progimn.
4. VLC klubas"Žuvėdra"
</t>
        </r>
      </text>
    </comment>
    <comment ref="J386" authorId="3" shapeId="0" xr:uid="{DD7F3100-63EB-49FE-96DB-4002A6D1CF17}">
      <text>
        <r>
          <rPr>
            <sz val="11"/>
            <color theme="1"/>
            <rFont val="Calibri"/>
            <family val="2"/>
            <charset val="186"/>
            <scheme val="minor"/>
          </rPr>
          <t>1.Uostamiesčio prog.,
2.Vitės prog.,
3.Saulėtekio prog.,
4.l/d Čiauškutė Šermukšnėlės sk.,
5.l/d Berželis</t>
        </r>
      </text>
    </comment>
    <comment ref="K386" authorId="3" shapeId="0" xr:uid="{B6155980-59FE-4485-959B-40D099D0D60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P.Mašioto progimn.
</t>
        </r>
      </text>
    </comment>
    <comment ref="L386" authorId="3" shapeId="0" xr:uid="{820CAA68-297F-42CB-BDE8-56BCA42F727E}">
      <text>
        <r>
          <rPr>
            <sz val="11"/>
            <color theme="1"/>
            <rFont val="Calibri"/>
            <family val="2"/>
            <charset val="186"/>
            <scheme val="minor"/>
          </rPr>
          <t>Medeinės mok</t>
        </r>
      </text>
    </comment>
    <comment ref="J388" authorId="3" shapeId="0" xr:uid="{CC7E7BB6-D945-40FD-9B20-67DAB45060C8}">
      <text>
        <r>
          <rPr>
            <sz val="11"/>
            <color theme="1"/>
            <rFont val="Calibri"/>
            <family val="2"/>
            <charset val="186"/>
            <scheme val="minor"/>
          </rPr>
          <t>1. l/d Žilvitis
2. Vyturio progimn.
3. Gabijos progimn.
4. l/d Ąžuoliukas
5. Aitvaro gimn.
6. l/d Berželis
7. l/d Švyturėlis
8. l/d Giliukas
9. Gilijos pradinė
10. l/d Nykštukas
11. Saulėtekio progimn.</t>
        </r>
      </text>
    </comment>
    <comment ref="K388" authorId="3" shapeId="0" xr:uid="{8478D513-6C67-4674-BE58-653D8705D826}">
      <text>
        <r>
          <rPr>
            <sz val="11"/>
            <color theme="1"/>
            <rFont val="Calibri"/>
            <family val="2"/>
            <charset val="186"/>
            <scheme val="minor"/>
          </rPr>
          <t>1. Vyturio progimn.
2. l/d "Inkarėlis"
3. l/d "Ąžuoliukas"
4. Baltijos gimn.
5. l/d "Berželis"
6. l/d "Švyturėlis"
7. l/d "Volungėlė"
8. l/d "Nykštukas"
9. l/d "Alksniukas"
10. "Saulėtekio"progimn.</t>
        </r>
      </text>
    </comment>
    <comment ref="J390" authorId="3" shapeId="0" xr:uid="{35817ED7-8CE2-4425-9DFE-B4AC64372E4A}">
      <text>
        <r>
          <rPr>
            <sz val="11"/>
            <color theme="1"/>
            <rFont val="Calibri"/>
            <family val="2"/>
            <charset val="186"/>
            <scheme val="minor"/>
          </rPr>
          <t>1. P.Mašioto progimn.
2. l/d Linelis
3. l/d Žilvitis
4. Varpo gimn.
5. L. Stulpino progim.
6. l/d Aitvarėlis
7. l/d Inkarėlis
8. l/d Švyturėlis
9. l/d Traukinukas
10. Santarvės progimn.
11. Saulėtekio prog.
12. Karalienės Liuzės JC klubas Inkarėlis</t>
        </r>
      </text>
    </comment>
    <comment ref="K390" authorId="3" shapeId="0" xr:uid="{38C4E864-96B4-4FC2-ADB7-C80A12A80B09}">
      <text>
        <r>
          <rPr>
            <sz val="11"/>
            <color theme="1"/>
            <rFont val="Calibri"/>
            <family val="2"/>
            <charset val="186"/>
            <scheme val="minor"/>
          </rPr>
          <t>1. VLC klubas"Žuvėdra"
2. Uostamiesčio progimn.
3. l/d "Sakalėlis"
4. M. Mažvydo progim.
5. Regos ugdymo centras
6. l/d "Šaltinėlis"
7. l/d "Švyturėlis"
8. l/d "Pagrandukas"</t>
        </r>
      </text>
    </comment>
    <comment ref="J392" authorId="3" shapeId="0" xr:uid="{1A9F5322-57DC-4D7F-94BE-AFE8D1B4AD6B}">
      <text>
        <r>
          <rPr>
            <sz val="11"/>
            <color theme="1"/>
            <rFont val="Calibri"/>
            <family val="2"/>
            <charset val="186"/>
            <scheme val="minor"/>
          </rPr>
          <t>l/d Žilvitis, l/d Žemuogėlė</t>
        </r>
      </text>
    </comment>
    <comment ref="K392" authorId="3" shapeId="0" xr:uid="{27BF6D25-AFDB-4FE8-9CC7-F4E5B97B388A}">
      <text>
        <r>
          <rPr>
            <sz val="11"/>
            <color theme="1"/>
            <rFont val="Calibri"/>
            <family val="2"/>
            <charset val="186"/>
            <scheme val="minor"/>
          </rPr>
          <t>l/d Žilvitis, 
l/d Žemuogėlė, 
l/d Obelėlė, 
l/d Giliukas</t>
        </r>
      </text>
    </comment>
    <comment ref="L392" authorId="3" shapeId="0" xr:uid="{24BE9170-B8E8-46A2-8A67-2F4FF3EDB21C}">
      <text>
        <r>
          <rPr>
            <sz val="11"/>
            <color theme="1"/>
            <rFont val="Calibri"/>
            <family val="2"/>
            <charset val="186"/>
            <scheme val="minor"/>
          </rPr>
          <t>l/d Pumpurėlis</t>
        </r>
      </text>
    </comment>
    <comment ref="J393" authorId="3" shapeId="0" xr:uid="{69D87B3F-D5E1-47B1-904B-941A92C31CFD}">
      <text>
        <r>
          <rPr>
            <sz val="11"/>
            <color theme="1"/>
            <rFont val="Calibri"/>
            <family val="2"/>
            <charset val="186"/>
            <scheme val="minor"/>
          </rPr>
          <t>M.Mažvydo progimn., 
l/d Du gaideliiai, l/d Liepaitė, 
l/d Alksniukas</t>
        </r>
      </text>
    </comment>
    <comment ref="K393" authorId="3" shapeId="0" xr:uid="{2DDB6DBD-FDD1-402A-B12C-A4F280A37A21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 l/d Žemuogėlė</t>
        </r>
      </text>
    </comment>
    <comment ref="L393" authorId="3" shapeId="0" xr:uid="{A772384F-AEB8-416B-9DB4-A4E06CF416C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l/d Obelėlė, l/d Giliukas, l/d Žilvitis
</t>
        </r>
      </text>
    </comment>
    <comment ref="M393" authorId="3" shapeId="0" xr:uid="{9DF5F76B-E256-4AD0-91A9-F766814AED4B}">
      <text>
        <r>
          <rPr>
            <sz val="11"/>
            <color theme="1"/>
            <rFont val="Calibri"/>
            <family val="2"/>
            <charset val="186"/>
            <scheme val="minor"/>
          </rPr>
          <t>l/d Pumpurėlis</t>
        </r>
      </text>
    </comment>
    <comment ref="J395" authorId="3" shapeId="0" xr:uid="{02DE28FB-51D3-417E-AA85-51E67BF0061D}">
      <text>
        <r>
          <rPr>
            <sz val="11"/>
            <color theme="1"/>
            <rFont val="Calibri"/>
            <family val="2"/>
            <charset val="186"/>
            <scheme val="minor"/>
          </rPr>
          <t>VDG, H. Zudermano gimn.</t>
        </r>
      </text>
    </comment>
    <comment ref="K395" authorId="3" shapeId="0" xr:uid="{79E7F127-84B2-4E14-91E0-B253792A2682}">
      <text>
        <r>
          <rPr>
            <sz val="11"/>
            <color theme="1"/>
            <rFont val="Calibri"/>
            <family val="2"/>
            <charset val="186"/>
            <scheme val="minor"/>
          </rPr>
          <t>"Saulėtekio" progimn., "Smeltės" progimn., "Gabijos" progimn., 
"M.Mažvydo" progimn.
"Aitvaro" gimn.
Vydūno gimn.</t>
        </r>
      </text>
    </comment>
    <comment ref="L395" authorId="3" shapeId="0" xr:uid="{B979724C-B98A-445C-896D-0AC1C2C7C926}">
      <text>
        <r>
          <rPr>
            <sz val="11"/>
            <color theme="1"/>
            <rFont val="Calibri"/>
            <family val="2"/>
            <charset val="186"/>
            <scheme val="minor"/>
          </rPr>
          <t>Litorinos mok.,
Baltijos gimn. 
Vitės progimn., 
"Varpo" gimn., 
"Žaliakalnio" gimn.</t>
        </r>
      </text>
    </comment>
    <comment ref="M395" authorId="3" shapeId="0" xr:uid="{A19E5159-4637-4D6C-BD32-19E32351B215}">
      <text>
        <r>
          <rPr>
            <sz val="11"/>
            <color theme="1"/>
            <rFont val="Calibri"/>
            <family val="2"/>
            <charset val="186"/>
            <scheme val="minor"/>
          </rPr>
          <t>"Verdenės" progimn., Suaugusių gimn., 
"Vėtrungės" gimn.
"Pajūrio" progim.</t>
        </r>
      </text>
    </comment>
    <comment ref="K402" authorId="3" shapeId="0" xr:uid="{621F6DFA-1501-472E-827C-05B14BA53D7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l/d "Versmė"
2. l/d "Žemuogėlė"
3. l/d "Vyturėlis"
4. l/d "Pumpurėlis"
5. l/d "Žilvitis"
6. l/d "Liepaitė"
7. Marijos Montessori mokykla-darželis
8. l/d "Ąžuoliukas"
9. l/d "Žuvėdra"
10. l/d „Sakalėlis“ 
</t>
        </r>
      </text>
    </comment>
    <comment ref="J413" authorId="1" shapeId="0" xr:uid="{151BFBD8-8F78-4910-9E74-323AC60240DE}">
      <text>
        <r>
          <rPr>
            <sz val="11"/>
            <color theme="1"/>
            <rFont val="Calibri"/>
            <family val="2"/>
            <charset val="186"/>
            <scheme val="minor"/>
          </rPr>
          <t>1. Hermano Zudermano gimnazija;
2.„Ąžuolyno“ gimnazija;
3.Lopšelis-darželis „Vėtrungėlė“;
4.J. Kačinsko muzikos mokykla;
5.Tauralaukio ikimokyklinio ugdymo įstaiga.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<sst xmlns="http://schemas.openxmlformats.org/spreadsheetml/2006/main" count="967" uniqueCount="543">
  <si>
    <t xml:space="preserve">Aiškinamojo rašto </t>
  </si>
  <si>
    <t>1 priedas</t>
  </si>
  <si>
    <t xml:space="preserve">3 lentelė. Klaipėdos miesto savivaldybės 2025–2028 metų 010 Ugdymo proceso užtikrinimo programos uždaviniai, priemonės, asignavimai ir kitos lėšos (tūkst. eurų) bei priemonių stebėsenos rodikliai </t>
  </si>
  <si>
    <t>Programos uždavinio, priemonės kodas ir požymis</t>
  </si>
  <si>
    <t>Uždavinio, priemonės pavadinimas, finansavimo šaltiniai</t>
  </si>
  <si>
    <t xml:space="preserve">Vykdytojas </t>
  </si>
  <si>
    <t>2025 metų asignavimai ir kitos lėšos</t>
  </si>
  <si>
    <t>2026 metų asignavimai ir kitos lėšos</t>
  </si>
  <si>
    <t>2027 metų asignavimai ir kitos lėšos</t>
  </si>
  <si>
    <t>2028 metų asignavimai ir kitos lėšos</t>
  </si>
  <si>
    <t>Stebėsenos rodiklio pavadinimas 
(matavimo vnt.)</t>
  </si>
  <si>
    <t>Siektinos stebėsenos rodiklių reikšmės</t>
  </si>
  <si>
    <t>Savivaldybės strateginio plėtros plano rodiklis</t>
  </si>
  <si>
    <t>2025 m.</t>
  </si>
  <si>
    <t>2026 m.</t>
  </si>
  <si>
    <t>2027 m.</t>
  </si>
  <si>
    <t>2028 m.</t>
  </si>
  <si>
    <t>010-01 (T)</t>
  </si>
  <si>
    <t>Uždavinys: Sudaryti sąlygas ugdytis ir gerinti ugdymo proceso kokybę</t>
  </si>
  <si>
    <t>Visos dienos užimtumo modelyje dalyvaujančių mokinių skaičius, asm. per metus</t>
  </si>
  <si>
    <t>R-1.3.2-1</t>
  </si>
  <si>
    <t>Mokinių, nepasiekusių patenkinamo lygio pagrindinio ugdymo pasiekimų patikrinime, dalis, proc.</t>
  </si>
  <si>
    <t>R-1.3.2-2</t>
  </si>
  <si>
    <t>R-1.3.2-4</t>
  </si>
  <si>
    <t>Švietimo paslaugų vertinimo indeksas</t>
  </si>
  <si>
    <t>&gt;79,8</t>
  </si>
  <si>
    <t>&gt;79,9</t>
  </si>
  <si>
    <t>Asmenų, kuriems suteikta specialioji ir psichologinė pagalba, dalis nuo bendro mokinių ir vaikų skaičiaus (proc.)</t>
  </si>
  <si>
    <t>Švietimo pagalbą gaunančių mokinių dalis, proc.</t>
  </si>
  <si>
    <t>010-01-01 (TP)</t>
  </si>
  <si>
    <t>Priemonė: Veiklos organizavimo užtikrinimas švietimo įstaigose</t>
  </si>
  <si>
    <t>010-01-01-01</t>
  </si>
  <si>
    <t>Ugdymo proceso ir aplinkos užtikrinimas savivaldybės ikimokyklinio ugdymo įstaigose</t>
  </si>
  <si>
    <t>ŠSD Švietimo skyrius, Biudžetinės švietimo įstaigos</t>
  </si>
  <si>
    <t>Įstaigų skaičius, vnt.</t>
  </si>
  <si>
    <t>Savivaldybės biudžeto lėšos (nuosavos, be ankstesnių metų likučio)</t>
  </si>
  <si>
    <t>Vaikų skaičius, vnt.</t>
  </si>
  <si>
    <t>P-1.3.2.5-1</t>
  </si>
  <si>
    <t>Lietuvos Respublikos valstybės biudžeto dotacijos</t>
  </si>
  <si>
    <t>Ikimokykliniame ir priešmokykliniame ugdyme dalyvaujančių 3–5 metų vaikų dalis, proc.</t>
  </si>
  <si>
    <t>Pajamų įmokos ir kitos pajamos</t>
  </si>
  <si>
    <t>Naujai komplektuojamų priešmokyklinio ugdymo grupių, kuriose yra ne daugiau kaip 20 mokinių, dalis, proc.</t>
  </si>
  <si>
    <t>Ankstesnių metų likučiai</t>
  </si>
  <si>
    <t>Kiti finansavimo šaltiniai</t>
  </si>
  <si>
    <t>010-01-01-02</t>
  </si>
  <si>
    <t>Ugdymo proceso užtikrinimas nevalstybinėse ikimokyklinio ugdymo įstaigose</t>
  </si>
  <si>
    <t>010-01-01-03</t>
  </si>
  <si>
    <t xml:space="preserve">Mokinio padėjėjų etatų skaičiaus užtikrinimas </t>
  </si>
  <si>
    <t>Papildomai įsteigta mokinio padėjėjų etatų, skaičius</t>
  </si>
  <si>
    <t>010-01-01-04</t>
  </si>
  <si>
    <t>Ugdymo proceso ir aplinkos užtikrinimas savivaldybės pradinėje mokykloje ir mokyklose-darželiuose</t>
  </si>
  <si>
    <t xml:space="preserve">iš jų mokinių skaičius, vnt. </t>
  </si>
  <si>
    <t>010-01-01-05</t>
  </si>
  <si>
    <t>Ugdymo proceso užtikrinimas nevalstybinėje pradinėje mokykloje ir mokyklose-darželiuose</t>
  </si>
  <si>
    <t>010-01-01-06</t>
  </si>
  <si>
    <t xml:space="preserve">Ugdymo proceso ir aplinkos užtikrinimas savivaldybės bendrojo ugdymo mokyklose </t>
  </si>
  <si>
    <t>Naujai komplektuojamų bendrojo ugdymo mokyklų bendrosios paskirties 1 klasių komplektų, kuriuose yra ne daugiau kaip 24 mokiniai, dalis, proc.</t>
  </si>
  <si>
    <t>Vienai sąlyginei mokytojo pareigybei tenkančių mokinių skaičius bendrojo ugdymo mokyklose, vnt.</t>
  </si>
  <si>
    <t>Mokinių, besimokančių mokykloje (klasėje), skirtoje mokiniams, dėl įgimtų ar įgytų sutrikimų turintiems specialiųjų ugdymosi poreikių, kurių  gyvenamoji vieta deklaruota kitoje savivaldybėje, nei yra mokykla, dalis mokykloje (klasėje), proc.</t>
  </si>
  <si>
    <t>010-01-01-07</t>
  </si>
  <si>
    <t>Projekto „Erasmus+ akreditacijos KA121“ įgyvendinimas Gedminų progimnazijoje</t>
  </si>
  <si>
    <t xml:space="preserve">Įgyvendintas projektas, vnt. </t>
  </si>
  <si>
    <t>Projekto „Erasmus+ Informatinis mąstymas ir matematinis problemų sprendimas, analitika grindžiama mokymosi aplinka“ įgyvendinimas Gedminų progimnazijoje</t>
  </si>
  <si>
    <t>Projekto Nordplus Junior „Kurkime ateitį kartu“  įgyvendinimas Gedminų progimnazijoje</t>
  </si>
  <si>
    <t>Projekto Nordplus Junior „Mokytojai netradicinėje aplinkoje“ įgyvendinimas Gedminų progimnazijoje</t>
  </si>
  <si>
    <t>„Tūkstantmečio mokyklų“ programos įgyvendinimas</t>
  </si>
  <si>
    <t>Europos Sąjungos ir kitos tarptautinės finansinės paramos lėšos</t>
  </si>
  <si>
    <t>MVPD Statinių administravimo skyrius</t>
  </si>
  <si>
    <t>Projektų finansavimo ir administravimo skyrius</t>
  </si>
  <si>
    <t xml:space="preserve">Ugdymo proceso užtikrinimas nevalstybinėse bendrojo ugdymo mokyklose </t>
  </si>
  <si>
    <t>Klaipėdos miesto bendrojo ugdymo mokyklų antrųjų klasių mokinių vežimo paslaugos mokyti plaukti užtikrinimas</t>
  </si>
  <si>
    <t>ŠSD Švietimo skyrius</t>
  </si>
  <si>
    <t>Mokytis plaukti vežiojamų vaikų skaičius, vnt.</t>
  </si>
  <si>
    <t>2042</t>
  </si>
  <si>
    <t>Klaipėdos Simono Dacho progimnazijos pradinių klasių mokinių vežiojimo į fizinio ugdymo pamokas užtikrinimas</t>
  </si>
  <si>
    <t>Mokinių skaičius, vnt.</t>
  </si>
  <si>
    <t>Ugdymo proceso ir aplinkos užtikrinimas savivaldybės neformaliojo vaikų švietimo įstaigose</t>
  </si>
  <si>
    <t>Suorganizuota edukacinių ir kultūrinių renginių, skaičius</t>
  </si>
  <si>
    <t>BĮ Klaipėdos pedagoginės psichologinės tarnybos veiklos užtikrinimas</t>
  </si>
  <si>
    <t>Aptarnauta asmenų, skaičius</t>
  </si>
  <si>
    <t>P-2.4.3.3-2</t>
  </si>
  <si>
    <t>Projekto „Integruota interaktyviųjų viešųjų sodų sistema Baltijos jūros regione „Interactive gardens“ įgyvendinimas</t>
  </si>
  <si>
    <t xml:space="preserve">Atnaujinta aplinka terapiniams užsiėmimams, proc. </t>
  </si>
  <si>
    <t>BĮ Klaipėdos regos ugdymo centro veiklos užtikrinimas</t>
  </si>
  <si>
    <t>BĮ Klaipėdos miesto pedagogų švietimo ir kultūros centro veiklos užtikrinimas</t>
  </si>
  <si>
    <t>Organizuota gerosios patirties sklaidos renginių, skaičius</t>
  </si>
  <si>
    <t>Kvalifikacijos pažymėjimų skaičius, vnt.</t>
  </si>
  <si>
    <t>P-1.1.2.1-3</t>
  </si>
  <si>
    <t>Gamtos mokslų, technologijų, inžinerijos, matematikos mokslų ir kūrybiškumo ugdymo (STEAM) įgyvendinimas</t>
  </si>
  <si>
    <t>STEAM olimpiadose dalyvaujančių vaikų, skaičius</t>
  </si>
  <si>
    <t>P-1.3.1.2-2</t>
  </si>
  <si>
    <t xml:space="preserve">Suorganizuotų konferencijų, skaičius </t>
  </si>
  <si>
    <t>Mokinių maitinimo ir pavežėjimo užtikrinimas Klaipėdos „Aukuro“ gimnazijoje (sporto klasėse)</t>
  </si>
  <si>
    <t>Mokinių maitinimo ir pavėžėjimo užtikrinimas Klaipėdos jūrų kadetų gimnazijoje</t>
  </si>
  <si>
    <t>300</t>
  </si>
  <si>
    <t xml:space="preserve"> 300</t>
  </si>
  <si>
    <t>Klasių skaičius, vnt.</t>
  </si>
  <si>
    <t>Universitetinių klasių veiklos organizavimas (Baltijos, „Žemynos“, Vytauto Didžiojo ir „Vėtrungės“ gimnazijose)</t>
  </si>
  <si>
    <t>Dėstytojų etatų skaičius, vnt.</t>
  </si>
  <si>
    <t>P-1.3.2.4-3</t>
  </si>
  <si>
    <t>Įsigyta mokymo priemonių veikloms KU, vnt.</t>
  </si>
  <si>
    <t xml:space="preserve">Ugdymo prieinamumo ir ugdymo formų įvairovės užtikrinimas </t>
  </si>
  <si>
    <t>Vaikų, kuriems iš dalies kompensuojamas ugdymas nevalstybinėse įstaigose, skaičius, vnt.</t>
  </si>
  <si>
    <t>Ugdymo prieinamumo užtikrinimas nevalstybinėse bendrojo ugdymo mokyklose besimokantiems mokiniams, atvykusiems į Lietuvos Respubliką iš Ukrainos dėl Rusijos Federacijos karinių veiksmų</t>
  </si>
  <si>
    <t xml:space="preserve">I–II dalies valstybinių brandos egzaminų administravimas </t>
  </si>
  <si>
    <t>Egzaminų ir patikrinimų skaičius, vnt.</t>
  </si>
  <si>
    <t>Tris ir daugiau valstybinių brandos egzaminų išlaikiusių abiturientų dalis, proc.</t>
  </si>
  <si>
    <t>Maitinimo paslaugų kompensavimas</t>
  </si>
  <si>
    <t>Elektroninio mokinio pažymėjimo diegimas ir naudojimo užtikrinimas savivaldybės bendrojo ugdymo mokyklose</t>
  </si>
  <si>
    <t>Mokinių, aprūpintų elektroniniais pažymėjimais, skaičius</t>
  </si>
  <si>
    <t>Sistemos įdiegimas įstaigose, vnt.</t>
  </si>
  <si>
    <t>Durų įrengimas, vnt.</t>
  </si>
  <si>
    <t>Pedagogų pritraukimas ir išlaikymas Klaipėdos biudžetinėse švietimo įstaigose</t>
  </si>
  <si>
    <t>Pedagogų, kuriems kompensuojamos kelionės išlaidos, skaičius</t>
  </si>
  <si>
    <t>Asmenų, kuriems kompensuojamos gyvenamojo ploto nuomos išlaidos, skaičius</t>
  </si>
  <si>
    <t>Asmenų, kuriems apmokamos studijos, skaičius</t>
  </si>
  <si>
    <t>Asmenų, kuriems kompensuotos persikėlimo išlaidos, skaičius</t>
  </si>
  <si>
    <t>Ikimokyklinių ugdymo įstaigų ir mokyklų-darželių  informacinių technologijų aptarnavimas</t>
  </si>
  <si>
    <t>AD Kibernetinio saugumo ir IT  skyrius</t>
  </si>
  <si>
    <t>Abiturientų, išlaikiusių valstybinius brandos egzaminus aukščiausiais įvertinimais, ir pedagogų skatinimas</t>
  </si>
  <si>
    <t>Šimtukų skaičius, vnt.</t>
  </si>
  <si>
    <t>Abiturientų, išlaikusių valstybinius brandos egzaminus šimtukais, skaičius</t>
  </si>
  <si>
    <t>P-1.3.2.9-1</t>
  </si>
  <si>
    <t>Mokytojų skaičius, vnt.</t>
  </si>
  <si>
    <t>Metų mokytojas, vnt.</t>
  </si>
  <si>
    <t>Visos dienos mokyklos paslaugų prieinamumo didinimas</t>
  </si>
  <si>
    <t>Jaunesnių nei 18 metų vaikų, dalyvaujančių veikloje, skaičius, vnt.</t>
  </si>
  <si>
    <t> </t>
  </si>
  <si>
    <t>Kiti šaltiniai (Europos Sąjungos paramos lėšos)</t>
  </si>
  <si>
    <t>Projekto ,,Įtraukties švietime stiprinimas (PASTIPRA)“ įgyvendinimas Klaipėdos ,,Medeinės“ mokykloje</t>
  </si>
  <si>
    <t>Švietimo pagalbos specialistų pareigybių skaičius</t>
  </si>
  <si>
    <t>Pagalbą gavusių vaikų skaičius</t>
  </si>
  <si>
    <t>Profesinio orientavimo užtikrinimas bendrojo ugdymo mokyklose</t>
  </si>
  <si>
    <t>Pareigybių skaičius</t>
  </si>
  <si>
    <t xml:space="preserve">Švietimo įstaigų pedagoginių darbuotojų, vykdančių neformalųjį vaikų švietimą, padidinto darbo užmokesčio užtikrinimas </t>
  </si>
  <si>
    <t>010-01-01-31</t>
  </si>
  <si>
    <t>BĮ atstovavimo teismuose ir teismų sprendimų vykdymo organizavimas bei teismo išlaidų apmokėjimas</t>
  </si>
  <si>
    <t>Per ataskaitinį laikotarpį užbaigtų bylų, skaičius</t>
  </si>
  <si>
    <t>Savivaldybės biudžetas (įskaitant skolintas lėšas)</t>
  </si>
  <si>
    <t>Iš jo:</t>
  </si>
  <si>
    <t>Savivaldybės biudžeto lėšos (nuosavos, be ankstesnių metų likučio)'</t>
  </si>
  <si>
    <t>Lietuvos Respublikos valstybės biudžeto dotacijos'</t>
  </si>
  <si>
    <t>Europos Sąjungos ir kitos tarptautinės finansinės paramos lėšos'</t>
  </si>
  <si>
    <t>Pajamų įmokos ir kitos pajamos'</t>
  </si>
  <si>
    <t>Ankstesnių metų likučiai'</t>
  </si>
  <si>
    <t>Kiti šaltiniai</t>
  </si>
  <si>
    <t>Iš jų:</t>
  </si>
  <si>
    <t>Kiti šaltiniai (valstybės biudžeto lėšos)'</t>
  </si>
  <si>
    <t>Kiti šaltiniai (Europos Sąjungos paramos lėšos)'</t>
  </si>
  <si>
    <t>Kiti finansavimo šaltiniai'</t>
  </si>
  <si>
    <t>010-01-02 (TP)</t>
  </si>
  <si>
    <t>Priemonė: Neformaliojo vaikų ir suaugusiųjų švietimo organizavimas</t>
  </si>
  <si>
    <t>010-01-02-01</t>
  </si>
  <si>
    <t xml:space="preserve">Ugdymo proceso užtikrinimas sporto mokyklose </t>
  </si>
  <si>
    <t>010-01-02-02</t>
  </si>
  <si>
    <t>Vasaros poilsio organizavimas</t>
  </si>
  <si>
    <t>Programų skaičius, vnt.</t>
  </si>
  <si>
    <t>P-2.4.3.2-1</t>
  </si>
  <si>
    <t>010-01-02-03</t>
  </si>
  <si>
    <t>Neformaliojo vaikų švietimo programų įgyvendinimas ir neformaliojo vaikų švietimo paslaugų plėtra</t>
  </si>
  <si>
    <t>Programose dalyvaujančių vaikų skaičius, vnt.</t>
  </si>
  <si>
    <t>P-1.3.2.3-3</t>
  </si>
  <si>
    <t>010-01-03 (TP)</t>
  </si>
  <si>
    <t>Priemonė: Savivaldybės administracijos vaiko gerovės komisijos veiklos užtikrinimas</t>
  </si>
  <si>
    <t>ŠSD Sveikatos ir šeimos skyrius</t>
  </si>
  <si>
    <t>Prevencinių renginių skaičius, vnt.</t>
  </si>
  <si>
    <t>Suorganizuota mokymų, kvalifikacijos kėlimo renginių, vnt.</t>
  </si>
  <si>
    <t>Vaikų skaičius, kurie gaus koordinuotai teikiamas paslaugas įgyvendinant projektą, savivaldybėje</t>
  </si>
  <si>
    <t>010-01-04 (TP)</t>
  </si>
  <si>
    <t xml:space="preserve">Priemonė: Miesto metodinių būrelių veiklos užtikrinimas </t>
  </si>
  <si>
    <r>
      <rPr>
        <sz val="10"/>
        <color rgb="FF000000"/>
        <rFont val="Times New Roman"/>
        <family val="1"/>
        <charset val="186"/>
      </rPr>
      <t>ŠSD Švietimo skyrius, Biudžetinės švietimo įstaigos</t>
    </r>
  </si>
  <si>
    <t>Metodinių būrelių skaičius, vnt.</t>
  </si>
  <si>
    <t>010-01-05 (TP)</t>
  </si>
  <si>
    <t>Priemonė: Priėmimo į savivaldybės bendrojo ir ikimokyklinio ugdymo įstaigas informacinių sistemų priežiūra</t>
  </si>
  <si>
    <t>Administruojama sistemų, vnt.</t>
  </si>
  <si>
    <t>010-01-06 (TP)</t>
  </si>
  <si>
    <t xml:space="preserve">Priemonė: Savivaldybės švietimo įstaigų civilinės atsakomybės draudimas </t>
  </si>
  <si>
    <t>010-01-07</t>
  </si>
  <si>
    <t>Priemonė: Švietimo pagalbos ir koordinuotai teikiamų paslaugų užtikrinimo projekto įgyvendinimas</t>
  </si>
  <si>
    <t>Vaikų, kurie gaus koordinuotai teikiamas paslaugas, skaičius, vnt.</t>
  </si>
  <si>
    <t xml:space="preserve"> ŠSD Švietimo skyrius, Biudžetinės švietimo įstaigos</t>
  </si>
  <si>
    <t>010-01-08</t>
  </si>
  <si>
    <t>Priemonė: Kultūrinių kompetencijų ugdymo modelio moksleiviams įgyvendinimas</t>
  </si>
  <si>
    <t>Dalyvaujančių įstaigų skaičius</t>
  </si>
  <si>
    <t>Edukatorių organizuojami mokymai, valandų skaičius</t>
  </si>
  <si>
    <t>Priemonė: Klaipėdos miesto pradinių klasių mokytojų dalyvavimo Skaitmeninio raštingumo, informatikos ir technologinės kūrybos įgūdžių programoje „Vedliai“ užtikrinimas</t>
  </si>
  <si>
    <t>Apmokyta pradinių klasių mokytojų skaičius, vnt.</t>
  </si>
  <si>
    <t>Priemonė: Klaipėdos miesto mokinių politinio raštingumo tyrimas</t>
  </si>
  <si>
    <t>Jaunimo reikalų koordinatorius (patarėjas)</t>
  </si>
  <si>
    <t>Parengtas tyrimas</t>
  </si>
  <si>
    <t>010-02 (P)</t>
  </si>
  <si>
    <t>Uždavinys: Renovuoti ugdymo įstaigų pastatus ir patalpas</t>
  </si>
  <si>
    <t>Mokyklų pastatų, kurie yra geros būklės, skaičius (vnt.) ir dalis bendroje mokyklų pastatų struktūroje (proc.)</t>
  </si>
  <si>
    <t>17/47</t>
  </si>
  <si>
    <t>18/50</t>
  </si>
  <si>
    <t>19/53</t>
  </si>
  <si>
    <t>20/56</t>
  </si>
  <si>
    <t>R-1.3.1-1</t>
  </si>
  <si>
    <t>Ugdymo vietų skaičius 1–5 metų amžiaus vaikams šiaurinėje ir centrinėje miesto teritorijose, vnt.</t>
  </si>
  <si>
    <t>R-1.3.2-3</t>
  </si>
  <si>
    <t>Atnaujintų savivaldybės bendrojo ugdymo mokyklų sporto aikštynų skaičius, vnt.</t>
  </si>
  <si>
    <t>010-02-01 (TP)</t>
  </si>
  <si>
    <t>Priemonė: Švietimo įstaigų modulinių kompleksų nuoma ir išpirkimas</t>
  </si>
  <si>
    <t>Turto valdymo skyrius</t>
  </si>
  <si>
    <t>Išsinuomota modulinių pastatų, vnt.</t>
  </si>
  <si>
    <t>4</t>
  </si>
  <si>
    <t>1</t>
  </si>
  <si>
    <t>Modulinio pastato išpirkimas, vnt.</t>
  </si>
  <si>
    <t>010-02-02 (PP)</t>
  </si>
  <si>
    <t>Priemonė: Savivaldybės ugdymo įstaigų pastatų ir aplinkos modernizavimas bei plėtra</t>
  </si>
  <si>
    <t>Savivaldybės bendrojo ugdymo mokyklų pastatų ir aplinkos modernizavimas bei plėtra:</t>
  </si>
  <si>
    <t>010-02-02-01</t>
  </si>
  <si>
    <t>Švietimo įstaigų sklypų parinkimas ir teritorijų planavimo dokumentų parengimas šiaurinėje ir centrinėje miesto dalyse</t>
  </si>
  <si>
    <t>UAD Žemėtvarkos skyrius, Urbanistikos  skyrius</t>
  </si>
  <si>
    <t>Parinkta vieta sklypo suformavimui, vnt.</t>
  </si>
  <si>
    <t>2</t>
  </si>
  <si>
    <t>010-02-02-02</t>
  </si>
  <si>
    <t>Sporto aikštynų atnaujinimas:</t>
  </si>
  <si>
    <t>Parengta techninių projektų, vnt.</t>
  </si>
  <si>
    <t>Atnaujinta aikštynų, skaičius</t>
  </si>
  <si>
    <t>P-2.2.1.2-1</t>
  </si>
  <si>
    <t>„Aukuro“ gimnazija</t>
  </si>
  <si>
    <t xml:space="preserve">„Sendvario“ progimnazija </t>
  </si>
  <si>
    <t xml:space="preserve">„Baltijos“ gimnazija </t>
  </si>
  <si>
    <t>Vydūno gimnazija</t>
  </si>
  <si>
    <t>"Varpo" gimnazija</t>
  </si>
  <si>
    <t>010-02-02-03</t>
  </si>
  <si>
    <t xml:space="preserve">Klaipėdos „Ąžuolyno“ gimnazijos modernizavimas </t>
  </si>
  <si>
    <t>MVPD Statybos skyrius</t>
  </si>
  <si>
    <t>Parengtas techninis  projektas, vnt.</t>
  </si>
  <si>
    <t>P-1.3.1.1-3</t>
  </si>
  <si>
    <t>Atlikta rangos darbų, proc.</t>
  </si>
  <si>
    <t>Skolintos lėšos</t>
  </si>
  <si>
    <t>Įrengtas fizikos kabinetas, proc.</t>
  </si>
  <si>
    <t>Atnaujinti mokykliniai baldai, vnt.</t>
  </si>
  <si>
    <t>Klaipėdos Hermano Zudermano gimnazijos pastato kapitalinis remontas</t>
  </si>
  <si>
    <t>100</t>
  </si>
  <si>
    <t>Įsigyta baldų, vnt.</t>
  </si>
  <si>
    <t>203</t>
  </si>
  <si>
    <t>Vėdinimo ir kondicionavimo sistemų įrengimas biudžetinėse švietimo įstaigose</t>
  </si>
  <si>
    <t>Įrengta kondicionavimo sistemų, ikimokyklinio ugdymo įstaigose, vnt.</t>
  </si>
  <si>
    <t>137</t>
  </si>
  <si>
    <t>Įrengta kondicionavimo sistemų, bendrojo ugdymo įstaigose, vnt.</t>
  </si>
  <si>
    <t>231</t>
  </si>
  <si>
    <t>139</t>
  </si>
  <si>
    <t>MVPD Projektavimo skyrius</t>
  </si>
  <si>
    <t>„Vyturio“ progimnazija</t>
  </si>
  <si>
    <t>Parengtas techninis projektas („Vyturio“ progimnazija), vnt.</t>
  </si>
  <si>
    <t>Atlikta rangos darbų („Vyturio“ progimnazija), proc.</t>
  </si>
  <si>
    <t>13</t>
  </si>
  <si>
    <t>Parengtas techninis projektas („Aukuro“ gimnazija), vnt.</t>
  </si>
  <si>
    <t>Atlikta rangos darbų („Aukuro“ gimnazija), proc.</t>
  </si>
  <si>
    <t>0</t>
  </si>
  <si>
    <t>„Versmės“ progimnazija</t>
  </si>
  <si>
    <t>Parengtas techninis projektas („Versmės“ progimnazija),  vnt.</t>
  </si>
  <si>
    <t>Jūrų kadetų gimnazija</t>
  </si>
  <si>
    <t>Parengtas techninis projektas (Jūrų kadetų gimnazija),  vnt.</t>
  </si>
  <si>
    <t>Simono Dacho progimnazija</t>
  </si>
  <si>
    <t>Parengtas techninis projektas (Simono Dacho progimnazijos), vnt.</t>
  </si>
  <si>
    <t>Atlikta rangos darbų (Simono Dacho progmnazijos), proc.</t>
  </si>
  <si>
    <t>15</t>
  </si>
  <si>
    <t>Gedminų progimnazija</t>
  </si>
  <si>
    <t>Parengtas techninis projektas (Gedminų progimnazijos), vnt.</t>
  </si>
  <si>
    <t>Atlikta rangos darbų (Gedminų progmnazijos), proc.</t>
  </si>
  <si>
    <t>„Varpelio“ mokykla-darželis</t>
  </si>
  <si>
    <t>Parengtas techninis projektas („Varpelio“ mokykla - darželis), vnt.</t>
  </si>
  <si>
    <t>„Gilijos“ pradinė mokykla</t>
  </si>
  <si>
    <t>Parengtas techninis projektas („Gilijos“ pradinė mokykla), vnt.</t>
  </si>
  <si>
    <t>„Aitvaro“ gimnazija</t>
  </si>
  <si>
    <t>Parengtas techninis projektas („Aitvaro“ gimnazija), vnt.</t>
  </si>
  <si>
    <t>„Gabijos“ progimnazija</t>
  </si>
  <si>
    <t>Parengtas techninis projektas („Gabijos" progimnazija), vnt.</t>
  </si>
  <si>
    <t>Ikimokyklinio ugdymo įstaigų pastatų modernizavimas ir plėtra:</t>
  </si>
  <si>
    <t>Ikimokyklinio ir priešmokyklinio ugdymo prieinamumo didinimas Klaipėdos mieste (lopšelio-darželio „Svirpliukas“ modernizavimas)</t>
  </si>
  <si>
    <t>Įsigyta baldų, proc.</t>
  </si>
  <si>
    <t>Energinio efektyvumo didinimas ikimokyklinio ugdymo įstaigose:</t>
  </si>
  <si>
    <t>l.-d. „Vėtrungėlė“</t>
  </si>
  <si>
    <t>Atlikta rangos darbų (l.-d. „Vėtrungėlė“), proc.</t>
  </si>
  <si>
    <t>l.-d. „Vėtrungėlė“ skyrius</t>
  </si>
  <si>
    <t>Atlikta rangos darbų (l.-d. „Vėtrungėlės“ skyrius), proc.</t>
  </si>
  <si>
    <t>l.-d. „Radastėlė“ skyrius</t>
  </si>
  <si>
    <t>Atlikta rangos darbų (l.-d. „Radastėlės“ skyrius), proc.</t>
  </si>
  <si>
    <t xml:space="preserve">l.-d. „Radastėlė“ </t>
  </si>
  <si>
    <t>Atlikta rangos darbų (l.-d. „Radastėlė“), proc.</t>
  </si>
  <si>
    <t>l.-d. „Šaltinėlis“ „Kregždutė“ skyrius</t>
  </si>
  <si>
    <t>Atlikta rangos darbų (l.-d. „Šaltinėlis“ „Kregždutės“ skyrius), proc.</t>
  </si>
  <si>
    <t>87</t>
  </si>
  <si>
    <t>l.-d. „Eglutė“</t>
  </si>
  <si>
    <t>Atlikta rangos darbų (l.-d. „Eglutė“), proc.</t>
  </si>
  <si>
    <t>18</t>
  </si>
  <si>
    <t>Švietimo ugdymo paslaugų plėtra Tauralaukyje  (Klaipėdos g. 31) – pastato rekonstravimas į ikimokyklinio ir priešmokyklinio ugdymo įstaigą</t>
  </si>
  <si>
    <t xml:space="preserve">Atlikta rangos darbų, proc.
</t>
  </si>
  <si>
    <t>80</t>
  </si>
  <si>
    <t>Ugdymo paslaugų prieinamumo didinimas, modernizuojant Klaipėdos lopšelio-darželio „Traukinukas“ „Boružėlės“ skyriaus pastatą</t>
  </si>
  <si>
    <t xml:space="preserve">Projektų finansavimo ir administravimo skyrius, MVPD Statybų skyrius
</t>
  </si>
  <si>
    <t>Parengtas techninis projektas, vnt.</t>
  </si>
  <si>
    <t xml:space="preserve">Naujų ar rekonstruotų pastatų, kurių pirminės energijos paklausa yra bent 20 % mažesnė, nei reikalauja energijos beveik nevartojantis pastatas, plotas (kvadratiniai metrai) </t>
  </si>
  <si>
    <t xml:space="preserve">Metinis konsoliduotų viešųjų paslaugų vartotojų skaičius (vartotojai per metus) </t>
  </si>
  <si>
    <t>Ikimokyklinių įstaigų plėtra:</t>
  </si>
  <si>
    <t>Neformaliojo vaikų švietimo įstaigų pastatų rekonstravimas:</t>
  </si>
  <si>
    <t>Klaipėdos Jeronimo Kačinsko muzikos mokyklos (Statybininkų pr. 5) pastato energinio efektyvumo didinimas</t>
  </si>
  <si>
    <t>84</t>
  </si>
  <si>
    <t>Klaipėdos karalienės Luizės jaunimo centro įgalinimas teikti šiuolaikinius jaunimo poreikius atitinkančias paslaugas</t>
  </si>
  <si>
    <t>VšĮ Klaipėdos valstybinei kolegijai priklausančio nekilnojamojo turto įsigijimas, pritaikant jį savivaldybės vykdomoms švietimo funkcijoms</t>
  </si>
  <si>
    <t>VšĮ Klaipėdos kolegijai priklausančių pastatų įsigijimas, vnt.</t>
  </si>
  <si>
    <t>010-02-02-12</t>
  </si>
  <si>
    <t>Sporto salių atnaujinimas</t>
  </si>
  <si>
    <t>Įstaigų, kuriose atnaujintos sporto salės, skaičius</t>
  </si>
  <si>
    <t>3</t>
  </si>
  <si>
    <t>Įstaigų, kuriose atlikti sporto salių vėdinimo remonto darbai, skaičius</t>
  </si>
  <si>
    <t>Vėdinimo sistemų projektų parengimas</t>
  </si>
  <si>
    <t>Martyno Mažvydo progimnazija</t>
  </si>
  <si>
    <t>Vitės progimnazija</t>
  </si>
  <si>
    <t xml:space="preserve">Klaipėdos moksleivių saviraiškos centras </t>
  </si>
  <si>
    <t>Varpo gimnazija</t>
  </si>
  <si>
    <t>Suaugusiųjų gimnazija</t>
  </si>
  <si>
    <t>„Pajūrio“ progimnazija</t>
  </si>
  <si>
    <t>,,Medeinės" mokykla</t>
  </si>
  <si>
    <t>Techninės priežiūros paslauga</t>
  </si>
  <si>
    <t>010-02-02-13</t>
  </si>
  <si>
    <t>Juozo Karoso muzikos mokyklos palėpės įrengimas ugdymui</t>
  </si>
  <si>
    <t>010-02-02-14</t>
  </si>
  <si>
    <t xml:space="preserve">Medelyno mokyklos  techninio darbo projekto parengimas </t>
  </si>
  <si>
    <t>Skolintos lėšos'</t>
  </si>
  <si>
    <t xml:space="preserve">Kiti šaltiniai </t>
  </si>
  <si>
    <t>010-02-03 (TP)</t>
  </si>
  <si>
    <t>Priemonė: Mokymosi aplinkos pritaikymas švietimo reikmėms</t>
  </si>
  <si>
    <t>010-02-03-01</t>
  </si>
  <si>
    <t>Lauko žaidimų aikštelių ir įrenginių atnaujinimas ikimokyklinėse ugdymo įstaigose</t>
  </si>
  <si>
    <t>Įstaigų teritorijų skaičius, vnt.</t>
  </si>
  <si>
    <t>37</t>
  </si>
  <si>
    <t>19</t>
  </si>
  <si>
    <t>010-02-03-02</t>
  </si>
  <si>
    <t>Patalpų ir inventoriaus atnaujinimas užtikrinant atitiktį higienos normoms</t>
  </si>
  <si>
    <t>35</t>
  </si>
  <si>
    <t>30</t>
  </si>
  <si>
    <t>Klaipėdos miesto gimnazijų gamtamokslinių laboratorijų steigimo ir modernizavimo 2022–2026 metų programos įgyvendinimas</t>
  </si>
  <si>
    <t>Įstaigų, aprūpintų laboratorijos priemonėmis skaičius, vnt.</t>
  </si>
  <si>
    <t>6</t>
  </si>
  <si>
    <t>010-02-03-03</t>
  </si>
  <si>
    <t>Gamtos mokslų laboratorijų įrengimas Klaipėdos miesto savivaldybės progimnazijose</t>
  </si>
  <si>
    <t>Edukacinių erdvių ir pagalbinių patalpų įrengimas Klaipėdos miesto bendrojo ugdymo mokyklose (Vytauto Didžiojo gimnazijoje ir „Smeltės“ progimnazijoje)</t>
  </si>
  <si>
    <t>Atlikta poilsio zonos įrengimo darbų, proc.</t>
  </si>
  <si>
    <t>Įsigyta modulinių konteinerių, vnt.</t>
  </si>
  <si>
    <t>Elektroninių cigarečių detektorių įrengimas bendrojo ugdymo mokyklose</t>
  </si>
  <si>
    <t xml:space="preserve">Švietimo įtraukties ir veiksmingumo didinimas, aprūpinant mokyklas geltonaisiais autobusais </t>
  </si>
  <si>
    <t>Įsigytas geltonasis autobusas</t>
  </si>
  <si>
    <t>Vaizdo kamerų įrengimas</t>
  </si>
  <si>
    <t>Įrengta vaizdo kamerų, vnt.</t>
  </si>
  <si>
    <t>534</t>
  </si>
  <si>
    <t>010-02-03-05</t>
  </si>
  <si>
    <t>Patalpų pritaikymas ugdymo reikmėms</t>
  </si>
  <si>
    <t>010-02-04</t>
  </si>
  <si>
    <t>Priemonė: Įtraukiojo ugdymo strategijos įgyvendinimas</t>
  </si>
  <si>
    <t>010-02-04-01</t>
  </si>
  <si>
    <t>46</t>
  </si>
  <si>
    <t>39</t>
  </si>
  <si>
    <t>Grupių skaičius, vnt.</t>
  </si>
  <si>
    <t>108</t>
  </si>
  <si>
    <t>72</t>
  </si>
  <si>
    <t>010-02-04-02</t>
  </si>
  <si>
    <t>Multisensorinių nusiraminimo kambarių įrengimas, priemonių įsigijimas</t>
  </si>
  <si>
    <t>32</t>
  </si>
  <si>
    <t>23</t>
  </si>
  <si>
    <t>11</t>
  </si>
  <si>
    <t>Įrengtų kambarių skaičius, vnt.</t>
  </si>
  <si>
    <t>10</t>
  </si>
  <si>
    <t>8</t>
  </si>
  <si>
    <t>Metodinių priemonių ar įrangos įsigimui, proc.</t>
  </si>
  <si>
    <t>010-02-04-03</t>
  </si>
  <si>
    <t>Patalpų pritaikymas vaikų su negalia ugdymui</t>
  </si>
  <si>
    <t>P-1.3.1.1-2</t>
  </si>
  <si>
    <t>010-03 (T)</t>
  </si>
  <si>
    <t>Uždavinys: Aprūpinti švietimo įstaigas reikalingu inventoriumi</t>
  </si>
  <si>
    <t>Aprūpinimo informacinių ir komunikacinių technologijų įranga vertinimas:</t>
  </si>
  <si>
    <t>R-1.3.1-2</t>
  </si>
  <si>
    <t>Mokinių mokymui skirtų kompiuterių skaičius, tenkantis 100-ui mokinių, vnt.</t>
  </si>
  <si>
    <t>010-03-01 (TP)</t>
  </si>
  <si>
    <t>Priemonė: Baldų ir įrangos atnaujinimas</t>
  </si>
  <si>
    <t>010-03-01-01</t>
  </si>
  <si>
    <t>Vaikiškų lovyčių įsigijimas savivaldybės ikimokyklinio ugdymo įstaigoms</t>
  </si>
  <si>
    <t>Lovyčių skaičius, vnt.</t>
  </si>
  <si>
    <t>010-03-01-02</t>
  </si>
  <si>
    <t xml:space="preserve">Įrenginių įsigijimas švietimo įstaigų maisto blokams </t>
  </si>
  <si>
    <t>Įsigyta įrenginių, vnt.</t>
  </si>
  <si>
    <t>010-03-01-03</t>
  </si>
  <si>
    <t>Baldų, įrangos, metodinių priemonių ir specifikacijų įsigijimas ikimokyklinio ir priešmokyklinio ugdymo įstaigai (Tauralaukio rekonstruojamame pastate Klaipėdos g. 31)</t>
  </si>
  <si>
    <t>Įsigyta baldų ir įrangos, vnt.</t>
  </si>
  <si>
    <t>Įsigyta metodinių priemonių, vnt.</t>
  </si>
  <si>
    <t>010-03-01-04</t>
  </si>
  <si>
    <t>Kompiuterių brandos egzaminams ir nacionaliniams mokinių pasiekimų patikrinimams organizuoti įsigijimas</t>
  </si>
  <si>
    <t>Kompiuterių skaičius, vnt.</t>
  </si>
  <si>
    <t>010-03-02 (TP)</t>
  </si>
  <si>
    <t>Priemonė: Švietimo paslaugų modernizavimo  programos priemonių įgyvendinimas</t>
  </si>
  <si>
    <t>Neformaliojo švietimo ir pagalbos įstaigų aprūpinimas mobilia interaktyvia įranga</t>
  </si>
  <si>
    <t>Interaktyvių ekranų skaičius, vnt.</t>
  </si>
  <si>
    <t>Hibridinių klasių įrengimas</t>
  </si>
  <si>
    <t>Hibridinių klasių skaičius, vnt.</t>
  </si>
  <si>
    <t>010-04 (T)</t>
  </si>
  <si>
    <t>Uždavinys: Organizuoti materialinį, ūkinį ir techninį ugdymo įstaigų aptarnavimą</t>
  </si>
  <si>
    <t>010-04-01 (TP)</t>
  </si>
  <si>
    <t>Priemonė: Ugdymo įstaigų ūkinio aptarnavimo organizavimas</t>
  </si>
  <si>
    <t>010-04-01-01</t>
  </si>
  <si>
    <t xml:space="preserve">Švietimo įstaigų paprastasis remontas </t>
  </si>
  <si>
    <t>Įstaigų, kuriose atlikti remonto darbai, skaičius</t>
  </si>
  <si>
    <t>010-04-01-02</t>
  </si>
  <si>
    <t>Šilumos ir karšto vandens tiekimo sistemų priežiūra</t>
  </si>
  <si>
    <t>Įstaigų skaičius</t>
  </si>
  <si>
    <t>010-04-01-03</t>
  </si>
  <si>
    <t>Šildymo sistemų, vandentiekio ir buitinių nuotekų tinklų remontas</t>
  </si>
  <si>
    <t>Renovuota, suremontuota sistemų, skaičius</t>
  </si>
  <si>
    <t>010-04-01-04</t>
  </si>
  <si>
    <t>Gaisrinės saugos reikalavimų vykdymas švietimo įstaigose</t>
  </si>
  <si>
    <t>Įstaigų, kuriose likviduoti pažeidimai, skaičius</t>
  </si>
  <si>
    <t>010-04-01-05</t>
  </si>
  <si>
    <t>Švietimo įstaigų sanitarinių patalpų remontas</t>
  </si>
  <si>
    <t>010-04-01-06</t>
  </si>
  <si>
    <t xml:space="preserve">Švietimo įstaigų elektros instaliacijos remontas </t>
  </si>
  <si>
    <t>010-04-01-07</t>
  </si>
  <si>
    <t>Švietimo įstaigų pastatų išorės remontas</t>
  </si>
  <si>
    <t>010-04-01-08</t>
  </si>
  <si>
    <t xml:space="preserve">Švietimo įstaigų lauko inžinerinių tinklų remontas </t>
  </si>
  <si>
    <t xml:space="preserve">Parengta techninių projektų, vnt.    </t>
  </si>
  <si>
    <t>Suremontuota įstaigų, skaičius</t>
  </si>
  <si>
    <t>010-04-01-09</t>
  </si>
  <si>
    <t>Švietimo įstaigų teritorijų aptvėrimas</t>
  </si>
  <si>
    <t>010-04-01-10</t>
  </si>
  <si>
    <t>Įstaigų ūkinis aptarnavimas</t>
  </si>
  <si>
    <t>Nuomojamo ryšių kabelio tinklo ilgis, km</t>
  </si>
  <si>
    <t>Saugomų pastatų, objektų skaičius</t>
  </si>
  <si>
    <t>Įstaigų, kuriose valomi langai, skaičius</t>
  </si>
  <si>
    <t>Įstaigų pastatų, kuriuose atlikta kasmetinė apžiūra, skaičius</t>
  </si>
  <si>
    <t>010-04-01-11</t>
  </si>
  <si>
    <t>Riebalų gaudyklių montavimas</t>
  </si>
  <si>
    <t>010-04-02 (TP)</t>
  </si>
  <si>
    <t xml:space="preserve">Priemonė: Mokinių pavėžėjimo užtikrinimas </t>
  </si>
  <si>
    <t>Pavėžėta mokinių, skaičius</t>
  </si>
  <si>
    <t>270</t>
  </si>
  <si>
    <t>010-04-03 (TP)</t>
  </si>
  <si>
    <t>Priemonė: Švietimo įstaigų persikėlimo į kitas patalpas organizavimas</t>
  </si>
  <si>
    <t>Perkelta įstaigų, skaičius</t>
  </si>
  <si>
    <t>5</t>
  </si>
  <si>
    <t>7</t>
  </si>
  <si>
    <t>010-04-04 (TP)</t>
  </si>
  <si>
    <t>Priemonė: Švietimo įstaigų energinių išteklių efektyvinimas</t>
  </si>
  <si>
    <t>010-04-04-01</t>
  </si>
  <si>
    <t>Automatizuotos šilumos punkto kontrolės ir valdymo sistemų aptarnavimas švietimo įstaigų pastatuose</t>
  </si>
  <si>
    <t>Aptarnaujamų įstaigų pastatų skaičius, vnt.</t>
  </si>
  <si>
    <t>91</t>
  </si>
  <si>
    <t>010-04-05 (TP)</t>
  </si>
  <si>
    <t>Priemonė: Komunalinių paslaugų įsigijimas</t>
  </si>
  <si>
    <t>Šildoma įstaigų, skaičius</t>
  </si>
  <si>
    <t>Tvarkoma paviršinių (lietaus) nuotekų, įstaigų skaičius</t>
  </si>
  <si>
    <t>Tvarkomas centralizuotas vandentiekis ir kanalizacija, įstaigų skaičius</t>
  </si>
  <si>
    <t>Įstaigų, kurioms elektros energija įsigyjama centralizuotai, skaičius</t>
  </si>
  <si>
    <t xml:space="preserve">IŠ VISO programai finansuoti pagal finansavimo šaltinius </t>
  </si>
  <si>
    <t>Iš jų: regioninių pažangos priemonių lėšos</t>
  </si>
  <si>
    <t>Asignavimų ir kitų lėšų pokytis, palyginti su ankstesnių metų patvirtintų asignavimų ir kitų lėšų planu</t>
  </si>
  <si>
    <t xml:space="preserve">T – tęstinės veiklos uždavinys. </t>
  </si>
  <si>
    <t>P – pažangos uždavinys.</t>
  </si>
  <si>
    <t xml:space="preserve">TP – tęstinės veiklos priemonė. </t>
  </si>
  <si>
    <t>PP – pažangos priemonė.</t>
  </si>
  <si>
    <t>RP – regioninė pažangos priemonė.</t>
  </si>
  <si>
    <t>MVPD – Miesto vystymo ir priežiūros departamentas.</t>
  </si>
  <si>
    <t>ŠSD – Švietimo ir sveikatos departamentas.</t>
  </si>
  <si>
    <t xml:space="preserve">AD – Administravimo departamentas. </t>
  </si>
  <si>
    <t>UAD – Urbanistikos ir architektūros departamentas.</t>
  </si>
  <si>
    <t>2 lentelė.  2025-2028 metų asignavimų ir kitų lėšų pasiskirstymas (tūkst. Eur)</t>
  </si>
  <si>
    <t>Eil. Nr.</t>
  </si>
  <si>
    <t>Programos kodas ir pavadinimas</t>
  </si>
  <si>
    <t>2025 m. asignavimai ir kitos lėšos</t>
  </si>
  <si>
    <t>2026 m. asignavimai ir kitos lėšos</t>
  </si>
  <si>
    <t>2027 m. asignavimai ir kitos lėšos</t>
  </si>
  <si>
    <t>2028 m. asignavimai ir kitos lėšos</t>
  </si>
  <si>
    <t>010 Ugdymo proceso užtikrinimo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</si>
  <si>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</si>
  <si>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</si>
  <si>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</si>
  <si>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</si>
  <si>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</si>
  <si>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</si>
  <si>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</si>
  <si>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</si>
  <si>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</si>
  <si>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</si>
  <si>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</si>
  <si>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</si>
  <si>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</si>
  <si>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</si>
  <si>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</si>
  <si>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</si>
  <si>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</si>
  <si>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</si>
  <si>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</si>
  <si>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</si>
  <si>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</si>
  <si>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</si>
  <si>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</si>
  <si>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</si>
  <si>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</si>
  <si>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</si>
  <si>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Litorinos mokykla</t>
  </si>
  <si>
    <r>
      <rPr>
        <b/>
        <sz val="10"/>
        <color rgb="FF000000"/>
        <rFont val="Times New Roman"/>
      </rPr>
      <t>Specialiųjų ugdymosi priemonių</t>
    </r>
    <r>
      <rPr>
        <b/>
        <sz val="10"/>
        <color theme="1"/>
        <rFont val="Times New Roman"/>
        <family val="1"/>
        <charset val="186"/>
      </rPr>
      <t xml:space="preserve"> emocijų ugdymui </t>
    </r>
    <r>
      <rPr>
        <b/>
        <sz val="10"/>
        <color rgb="FF000000"/>
        <rFont val="Times New Roman"/>
      </rPr>
      <t>įsigijimas</t>
    </r>
  </si>
  <si>
    <t>010-02-03-04</t>
  </si>
  <si>
    <t>010-02-02-09</t>
  </si>
  <si>
    <t xml:space="preserve">010-02-02-10
</t>
  </si>
  <si>
    <t xml:space="preserve">010-02-02-11
</t>
  </si>
  <si>
    <r>
      <t xml:space="preserve">Naujo ikimokyklinio ugdymo įstaigos pastato statyba vietoje Tauralaukio progimnazijos Klaipėdos g. </t>
    </r>
    <r>
      <rPr>
        <b/>
        <sz val="10"/>
        <color theme="1"/>
        <rFont val="Times New Roman"/>
        <family val="1"/>
        <charset val="186"/>
      </rPr>
      <t>33</t>
    </r>
  </si>
  <si>
    <t>010-02-02-08 (RP)</t>
  </si>
  <si>
    <t>010-02-02-07</t>
  </si>
  <si>
    <r>
      <t>Klaipėdos lopšelių-darželių</t>
    </r>
    <r>
      <rPr>
        <b/>
        <strike/>
        <sz val="10"/>
        <color theme="1"/>
        <rFont val="Times New Roman"/>
        <family val="1"/>
        <charset val="186"/>
      </rPr>
      <t xml:space="preserve"> </t>
    </r>
    <r>
      <rPr>
        <b/>
        <sz val="10"/>
        <color theme="1"/>
        <rFont val="Times New Roman"/>
        <family val="1"/>
        <charset val="186"/>
      </rPr>
      <t>pastatų atnaujinimas</t>
    </r>
  </si>
  <si>
    <t>010-02-02-06</t>
  </si>
  <si>
    <t xml:space="preserve">Mokyklų modernizavimas </t>
  </si>
  <si>
    <t>010-02-02-05</t>
  </si>
  <si>
    <t>010-02-02-04</t>
  </si>
  <si>
    <t>ŠSD Sveikatos ir šeimos skyrius,
Projektų finansavimo ir administravimo skyrius</t>
  </si>
  <si>
    <t>ŠSD Švietimo skyrius, Biudžetinės švietimo įstaigos, VšĮ Klaipėdos futbolo mokykla</t>
  </si>
  <si>
    <t>010-01-01-08</t>
  </si>
  <si>
    <t>010-01-01-09</t>
  </si>
  <si>
    <t>010-01-01-10</t>
  </si>
  <si>
    <t>010-01-01-11</t>
  </si>
  <si>
    <t>010-01-01-12</t>
  </si>
  <si>
    <t>010-01-01-13</t>
  </si>
  <si>
    <t>010-01-01-14</t>
  </si>
  <si>
    <t>010-01-01-15</t>
  </si>
  <si>
    <t>010-01-01-16</t>
  </si>
  <si>
    <t>010-01-01-17</t>
  </si>
  <si>
    <t>010-01-01-18</t>
  </si>
  <si>
    <t>010-01-01-19</t>
  </si>
  <si>
    <t>010-01-01-20</t>
  </si>
  <si>
    <t>010-01-01-21</t>
  </si>
  <si>
    <t>010-01-01-22</t>
  </si>
  <si>
    <t>010-01-01-23</t>
  </si>
  <si>
    <t>010-01-01-24</t>
  </si>
  <si>
    <t>010-01-01-25</t>
  </si>
  <si>
    <t>010-01-01-26</t>
  </si>
  <si>
    <t>010-01-01-27</t>
  </si>
  <si>
    <t>010-01-01-28</t>
  </si>
  <si>
    <t>010-01-01-29</t>
  </si>
  <si>
    <t>010-01-01-30</t>
  </si>
  <si>
    <t>010-03-02-01</t>
  </si>
  <si>
    <t>Mokinio padėjėjų skaičius, vnt.</t>
  </si>
  <si>
    <r>
      <t xml:space="preserve"> </t>
    </r>
    <r>
      <rPr>
        <b/>
        <sz val="10"/>
        <color theme="1"/>
        <rFont val="Times New Roman"/>
        <family val="1"/>
        <charset val="186"/>
      </rPr>
      <t>Apibendrintas valstybinių brandos egzaminų</t>
    </r>
    <r>
      <rPr>
        <b/>
        <sz val="10"/>
        <color rgb="FFFF0000"/>
        <rFont val="Times New Roman"/>
        <family val="1"/>
        <charset val="186"/>
      </rPr>
      <t xml:space="preserve"> </t>
    </r>
    <r>
      <rPr>
        <b/>
        <sz val="10"/>
        <color theme="1"/>
        <rFont val="Times New Roman"/>
        <family val="1"/>
        <charset val="186"/>
      </rPr>
      <t>(VBE) rodiklis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</si>
</sst>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[$-409]General"/>
    <numFmt numFmtId="166" formatCode="0.0"/>
    <numFmt numFmtId="167" formatCode="[$-409]0.00"/>
    <numFmt numFmtId="168" formatCode="[$-409]#,##0"/>
  </numFmts>
  <fonts count="46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000000"/>
      <name val="Times New Roman"/>
      <family val="1"/>
      <charset val="1"/>
    </font>
    <font>
      <sz val="10"/>
      <color rgb="FF000000"/>
      <name val="Calibri"/>
      <family val="2"/>
      <charset val="186"/>
      <scheme val="minor"/>
    </font>
    <font>
      <sz val="12"/>
      <color rgb="FF00000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0"/>
      <color rgb="FF000000"/>
      <name val="Calibri"/>
      <family val="2"/>
      <charset val="186"/>
    </font>
    <font>
      <sz val="8"/>
      <color theme="1"/>
      <name val="Times New Roman"/>
      <family val="1"/>
      <charset val="186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charset val="186"/>
      <scheme val="minor"/>
    </font>
    <font>
      <b/>
      <sz val="10"/>
      <color rgb="FF000000"/>
      <name val="Calibri"/>
      <family val="2"/>
      <charset val="186"/>
      <scheme val="minor"/>
    </font>
    <font>
      <sz val="10"/>
      <name val="Times New Roman"/>
      <family val="1"/>
      <charset val="186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rgb="FFFF0000"/>
      <name val="Times New Roman"/>
      <family val="1"/>
    </font>
    <font>
      <sz val="10"/>
      <color rgb="FF000000"/>
      <name val="Times New Roman"/>
    </font>
    <font>
      <sz val="10"/>
      <name val="Times New Roman"/>
    </font>
    <font>
      <b/>
      <sz val="11"/>
      <color theme="1"/>
      <name val="Times New Roman"/>
      <family val="1"/>
    </font>
    <font>
      <sz val="10"/>
      <color rgb="FFFF0000"/>
      <name val="Calibri"/>
      <family val="2"/>
      <charset val="186"/>
      <scheme val="minor"/>
    </font>
    <font>
      <sz val="10"/>
      <color rgb="FF242424"/>
      <name val="Times New Roman"/>
    </font>
    <font>
      <strike/>
      <sz val="10"/>
      <color rgb="FF000000"/>
      <name val="Times New Roman"/>
      <family val="1"/>
      <charset val="186"/>
    </font>
    <font>
      <b/>
      <sz val="10"/>
      <color rgb="FF000000"/>
      <name val="Times New Roman"/>
    </font>
    <font>
      <b/>
      <strike/>
      <sz val="10"/>
      <color rgb="FF000000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10"/>
      <color rgb="FF000000"/>
      <name val="Calibri"/>
      <scheme val="minor"/>
    </font>
    <font>
      <sz val="8"/>
      <color rgb="FF000000"/>
      <name val="Calibri"/>
      <family val="2"/>
      <charset val="186"/>
      <scheme val="minor"/>
    </font>
    <font>
      <b/>
      <strike/>
      <sz val="10"/>
      <color theme="1"/>
      <name val="Times New Roman"/>
      <family val="1"/>
      <charset val="186"/>
    </font>
    <font>
      <strike/>
      <sz val="10"/>
      <color theme="1"/>
      <name val="Times New Roman"/>
      <family val="1"/>
    </font>
    <font>
      <strike/>
      <sz val="10"/>
      <color theme="1"/>
      <name val="Times New Roman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theme="0"/>
        <bgColor rgb="FFDBDBDB"/>
      </patternFill>
    </fill>
    <fill>
      <patternFill patternType="solid">
        <fgColor rgb="FFFFFFFF"/>
        <bgColor rgb="FFDBDBDB"/>
      </patternFill>
    </fill>
  </fills>
  <borders count="1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1430">
    <xf numFmtId="0" fontId="0" fillId="0" borderId="0" xfId="0"/>
    <xf numFmtId="0" fontId="1" fillId="0" borderId="0" xfId="0" applyFont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1" fillId="0" borderId="0" xfId="0" applyFont="1"/>
    <xf numFmtId="0" fontId="1" fillId="0" borderId="0" xfId="0" applyFont="1" applyAlignment="1">
      <alignment horizontal="left" vertical="top"/>
    </xf>
    <xf numFmtId="4" fontId="1" fillId="0" borderId="0" xfId="0" applyNumberFormat="1" applyFont="1"/>
    <xf numFmtId="0" fontId="9" fillId="0" borderId="1" xfId="0" applyFont="1" applyBorder="1" applyAlignment="1">
      <alignment horizontal="center"/>
    </xf>
    <xf numFmtId="164" fontId="1" fillId="3" borderId="1" xfId="0" applyNumberFormat="1" applyFont="1" applyFill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164" fontId="1" fillId="0" borderId="0" xfId="0" applyNumberFormat="1" applyFont="1"/>
    <xf numFmtId="0" fontId="1" fillId="0" borderId="6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1" fillId="0" borderId="2" xfId="0" applyFont="1" applyBorder="1" applyAlignment="1">
      <alignment horizontal="left" vertical="top" wrapText="1"/>
    </xf>
    <xf numFmtId="164" fontId="1" fillId="0" borderId="2" xfId="0" applyNumberFormat="1" applyFont="1" applyBorder="1" applyAlignment="1">
      <alignment horizontal="center" vertical="top" wrapText="1"/>
    </xf>
    <xf numFmtId="0" fontId="1" fillId="0" borderId="5" xfId="0" applyFont="1" applyBorder="1" applyAlignment="1">
      <alignment horizontal="left" vertical="top" wrapText="1"/>
    </xf>
    <xf numFmtId="164" fontId="1" fillId="0" borderId="6" xfId="0" applyNumberFormat="1" applyFont="1" applyBorder="1" applyAlignment="1">
      <alignment horizontal="center" vertical="top"/>
    </xf>
    <xf numFmtId="0" fontId="5" fillId="3" borderId="3" xfId="0" applyFont="1" applyFill="1" applyBorder="1" applyAlignment="1">
      <alignment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164" fontId="5" fillId="3" borderId="4" xfId="0" applyNumberFormat="1" applyFont="1" applyFill="1" applyBorder="1" applyAlignment="1">
      <alignment horizontal="center" vertical="top" wrapText="1"/>
    </xf>
    <xf numFmtId="164" fontId="11" fillId="3" borderId="4" xfId="0" applyNumberFormat="1" applyFont="1" applyFill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164" fontId="12" fillId="3" borderId="1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164" fontId="5" fillId="3" borderId="1" xfId="0" applyNumberFormat="1" applyFont="1" applyFill="1" applyBorder="1" applyAlignment="1">
      <alignment horizontal="center" vertical="top"/>
    </xf>
    <xf numFmtId="0" fontId="6" fillId="3" borderId="1" xfId="0" applyFont="1" applyFill="1" applyBorder="1" applyAlignment="1">
      <alignment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vertical="top" wrapText="1"/>
    </xf>
    <xf numFmtId="164" fontId="6" fillId="3" borderId="4" xfId="0" applyNumberFormat="1" applyFont="1" applyFill="1" applyBorder="1" applyAlignment="1">
      <alignment horizontal="center" vertical="top"/>
    </xf>
    <xf numFmtId="0" fontId="6" fillId="0" borderId="4" xfId="0" applyFont="1" applyBorder="1" applyAlignment="1">
      <alignment vertical="top" wrapText="1"/>
    </xf>
    <xf numFmtId="166" fontId="5" fillId="3" borderId="4" xfId="0" applyNumberFormat="1" applyFont="1" applyFill="1" applyBorder="1" applyAlignment="1">
      <alignment horizontal="center" vertical="top"/>
    </xf>
    <xf numFmtId="166" fontId="6" fillId="3" borderId="4" xfId="0" applyNumberFormat="1" applyFont="1" applyFill="1" applyBorder="1" applyAlignment="1">
      <alignment horizontal="center" vertical="top"/>
    </xf>
    <xf numFmtId="0" fontId="5" fillId="7" borderId="1" xfId="0" applyFont="1" applyFill="1" applyBorder="1" applyAlignment="1">
      <alignment horizontal="center" vertical="top" wrapText="1"/>
    </xf>
    <xf numFmtId="164" fontId="5" fillId="3" borderId="1" xfId="1" applyNumberFormat="1" applyFont="1" applyFill="1" applyBorder="1" applyAlignment="1">
      <alignment horizontal="center" vertical="top"/>
    </xf>
    <xf numFmtId="164" fontId="5" fillId="3" borderId="2" xfId="0" applyNumberFormat="1" applyFont="1" applyFill="1" applyBorder="1" applyAlignment="1">
      <alignment horizontal="center" vertical="top" wrapText="1"/>
    </xf>
    <xf numFmtId="166" fontId="5" fillId="3" borderId="4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0" fontId="14" fillId="0" borderId="0" xfId="0" applyFont="1"/>
    <xf numFmtId="0" fontId="14" fillId="3" borderId="0" xfId="0" applyFont="1" applyFill="1"/>
    <xf numFmtId="164" fontId="6" fillId="0" borderId="1" xfId="0" applyNumberFormat="1" applyFont="1" applyBorder="1" applyAlignment="1">
      <alignment horizontal="center" vertical="top" wrapText="1"/>
    </xf>
    <xf numFmtId="164" fontId="12" fillId="3" borderId="6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17" fillId="0" borderId="0" xfId="0" applyFont="1"/>
    <xf numFmtId="0" fontId="6" fillId="8" borderId="4" xfId="0" applyFont="1" applyFill="1" applyBorder="1" applyAlignment="1">
      <alignment vertical="top" wrapText="1"/>
    </xf>
    <xf numFmtId="0" fontId="6" fillId="8" borderId="4" xfId="0" applyFont="1" applyFill="1" applyBorder="1" applyAlignment="1">
      <alignment horizontal="center" vertical="top" wrapText="1"/>
    </xf>
    <xf numFmtId="164" fontId="6" fillId="8" borderId="4" xfId="0" applyNumberFormat="1" applyFont="1" applyFill="1" applyBorder="1" applyAlignment="1">
      <alignment horizontal="center" vertical="top" wrapText="1"/>
    </xf>
    <xf numFmtId="164" fontId="6" fillId="8" borderId="1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6" fillId="8" borderId="1" xfId="0" applyFont="1" applyFill="1" applyBorder="1" applyAlignment="1">
      <alignment vertical="top" wrapText="1"/>
    </xf>
    <xf numFmtId="0" fontId="6" fillId="8" borderId="1" xfId="0" applyFont="1" applyFill="1" applyBorder="1" applyAlignment="1">
      <alignment horizontal="center" vertical="top" wrapText="1"/>
    </xf>
    <xf numFmtId="164" fontId="6" fillId="0" borderId="1" xfId="0" applyNumberFormat="1" applyFont="1" applyBorder="1" applyAlignment="1">
      <alignment vertical="top" wrapText="1"/>
    </xf>
    <xf numFmtId="164" fontId="6" fillId="3" borderId="1" xfId="0" applyNumberFormat="1" applyFont="1" applyFill="1" applyBorder="1" applyAlignment="1">
      <alignment horizontal="center" vertical="top"/>
    </xf>
    <xf numFmtId="0" fontId="5" fillId="8" borderId="1" xfId="0" applyFont="1" applyFill="1" applyBorder="1" applyAlignment="1">
      <alignment horizontal="center" vertical="top" wrapText="1"/>
    </xf>
    <xf numFmtId="164" fontId="6" fillId="0" borderId="2" xfId="0" applyNumberFormat="1" applyFont="1" applyBorder="1" applyAlignment="1">
      <alignment vertical="top" wrapText="1"/>
    </xf>
    <xf numFmtId="164" fontId="6" fillId="3" borderId="6" xfId="0" applyNumberFormat="1" applyFont="1" applyFill="1" applyBorder="1" applyAlignment="1">
      <alignment horizontal="center" vertical="top" wrapText="1"/>
    </xf>
    <xf numFmtId="0" fontId="12" fillId="8" borderId="6" xfId="0" applyFont="1" applyFill="1" applyBorder="1" applyAlignment="1">
      <alignment vertical="top" wrapText="1"/>
    </xf>
    <xf numFmtId="0" fontId="11" fillId="8" borderId="6" xfId="0" applyFont="1" applyFill="1" applyBorder="1" applyAlignment="1">
      <alignment horizontal="center" vertical="top" wrapText="1"/>
    </xf>
    <xf numFmtId="164" fontId="12" fillId="8" borderId="6" xfId="0" applyNumberFormat="1" applyFont="1" applyFill="1" applyBorder="1" applyAlignment="1">
      <alignment horizontal="center" vertical="top" wrapText="1"/>
    </xf>
    <xf numFmtId="0" fontId="12" fillId="0" borderId="6" xfId="0" applyFont="1" applyBorder="1" applyAlignment="1">
      <alignment vertical="top" wrapText="1"/>
    </xf>
    <xf numFmtId="164" fontId="12" fillId="0" borderId="6" xfId="0" applyNumberFormat="1" applyFont="1" applyBorder="1" applyAlignment="1">
      <alignment vertical="top" wrapText="1"/>
    </xf>
    <xf numFmtId="164" fontId="12" fillId="7" borderId="4" xfId="0" applyNumberFormat="1" applyFont="1" applyFill="1" applyBorder="1" applyAlignment="1">
      <alignment horizontal="center" vertical="top" wrapText="1"/>
    </xf>
    <xf numFmtId="0" fontId="11" fillId="8" borderId="1" xfId="0" applyFont="1" applyFill="1" applyBorder="1" applyAlignment="1">
      <alignment horizontal="center" vertical="top" wrapText="1"/>
    </xf>
    <xf numFmtId="0" fontId="12" fillId="0" borderId="10" xfId="0" applyFont="1" applyBorder="1" applyAlignment="1">
      <alignment vertical="top" wrapText="1"/>
    </xf>
    <xf numFmtId="164" fontId="12" fillId="0" borderId="1" xfId="0" applyNumberFormat="1" applyFont="1" applyBorder="1" applyAlignment="1">
      <alignment vertical="top" wrapText="1"/>
    </xf>
    <xf numFmtId="0" fontId="12" fillId="8" borderId="2" xfId="0" applyFont="1" applyFill="1" applyBorder="1" applyAlignment="1">
      <alignment vertical="top" wrapText="1"/>
    </xf>
    <xf numFmtId="164" fontId="12" fillId="8" borderId="14" xfId="0" applyNumberFormat="1" applyFont="1" applyFill="1" applyBorder="1" applyAlignment="1">
      <alignment horizontal="center" vertical="top" wrapText="1"/>
    </xf>
    <xf numFmtId="0" fontId="6" fillId="4" borderId="4" xfId="0" applyFont="1" applyFill="1" applyBorder="1" applyAlignment="1">
      <alignment vertical="top" wrapText="1"/>
    </xf>
    <xf numFmtId="0" fontId="6" fillId="4" borderId="4" xfId="0" applyFont="1" applyFill="1" applyBorder="1" applyAlignment="1">
      <alignment vertical="top"/>
    </xf>
    <xf numFmtId="164" fontId="6" fillId="4" borderId="4" xfId="0" applyNumberFormat="1" applyFont="1" applyFill="1" applyBorder="1" applyAlignment="1">
      <alignment vertical="top"/>
    </xf>
    <xf numFmtId="0" fontId="5" fillId="3" borderId="1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vertical="top" wrapText="1"/>
    </xf>
    <xf numFmtId="0" fontId="5" fillId="0" borderId="17" xfId="0" applyFont="1" applyBorder="1" applyAlignment="1">
      <alignment vertical="top" wrapText="1"/>
    </xf>
    <xf numFmtId="164" fontId="6" fillId="3" borderId="4" xfId="0" applyNumberFormat="1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vertical="top" wrapText="1"/>
    </xf>
    <xf numFmtId="0" fontId="6" fillId="3" borderId="4" xfId="0" applyFont="1" applyFill="1" applyBorder="1" applyAlignment="1">
      <alignment horizontal="center" vertical="top" wrapText="1"/>
    </xf>
    <xf numFmtId="0" fontId="6" fillId="3" borderId="5" xfId="0" applyFont="1" applyFill="1" applyBorder="1" applyAlignment="1">
      <alignment horizontal="left" vertical="top" wrapText="1"/>
    </xf>
    <xf numFmtId="0" fontId="12" fillId="9" borderId="10" xfId="0" applyFont="1" applyFill="1" applyBorder="1" applyAlignment="1">
      <alignment vertical="top" wrapText="1"/>
    </xf>
    <xf numFmtId="0" fontId="12" fillId="8" borderId="3" xfId="0" applyFont="1" applyFill="1" applyBorder="1" applyAlignment="1">
      <alignment vertical="top" wrapText="1"/>
    </xf>
    <xf numFmtId="0" fontId="6" fillId="0" borderId="6" xfId="0" applyFont="1" applyBorder="1" applyAlignment="1">
      <alignment vertical="top" wrapText="1"/>
    </xf>
    <xf numFmtId="0" fontId="5" fillId="7" borderId="13" xfId="0" applyFont="1" applyFill="1" applyBorder="1" applyAlignment="1">
      <alignment vertical="top" wrapText="1"/>
    </xf>
    <xf numFmtId="164" fontId="5" fillId="7" borderId="6" xfId="0" applyNumberFormat="1" applyFont="1" applyFill="1" applyBorder="1" applyAlignment="1">
      <alignment horizontal="center" vertical="top" wrapText="1"/>
    </xf>
    <xf numFmtId="164" fontId="5" fillId="6" borderId="1" xfId="1" applyNumberFormat="1" applyFont="1" applyFill="1" applyBorder="1" applyAlignment="1">
      <alignment horizontal="center" vertical="top"/>
    </xf>
    <xf numFmtId="49" fontId="6" fillId="8" borderId="4" xfId="0" applyNumberFormat="1" applyFont="1" applyFill="1" applyBorder="1" applyAlignment="1">
      <alignment horizontal="center" vertical="top" wrapText="1"/>
    </xf>
    <xf numFmtId="164" fontId="6" fillId="8" borderId="4" xfId="0" applyNumberFormat="1" applyFont="1" applyFill="1" applyBorder="1" applyAlignment="1">
      <alignment horizontal="center" vertical="top"/>
    </xf>
    <xf numFmtId="49" fontId="6" fillId="0" borderId="1" xfId="0" applyNumberFormat="1" applyFont="1" applyBorder="1" applyAlignment="1">
      <alignment horizontal="center" vertical="top" wrapText="1"/>
    </xf>
    <xf numFmtId="164" fontId="6" fillId="5" borderId="1" xfId="0" applyNumberFormat="1" applyFont="1" applyFill="1" applyBorder="1" applyAlignment="1">
      <alignment horizontal="center" vertical="top"/>
    </xf>
    <xf numFmtId="49" fontId="6" fillId="8" borderId="1" xfId="0" applyNumberFormat="1" applyFont="1" applyFill="1" applyBorder="1" applyAlignment="1">
      <alignment horizontal="center" vertical="top" wrapText="1"/>
    </xf>
    <xf numFmtId="164" fontId="6" fillId="6" borderId="2" xfId="1" applyNumberFormat="1" applyFont="1" applyFill="1" applyBorder="1" applyAlignment="1">
      <alignment horizontal="center" vertical="top"/>
    </xf>
    <xf numFmtId="49" fontId="6" fillId="0" borderId="10" xfId="0" applyNumberFormat="1" applyFont="1" applyBorder="1" applyAlignment="1">
      <alignment horizontal="center" vertical="top" wrapText="1"/>
    </xf>
    <xf numFmtId="164" fontId="6" fillId="5" borderId="6" xfId="0" applyNumberFormat="1" applyFont="1" applyFill="1" applyBorder="1" applyAlignment="1">
      <alignment horizontal="center" vertical="top"/>
    </xf>
    <xf numFmtId="164" fontId="6" fillId="7" borderId="4" xfId="0" applyNumberFormat="1" applyFont="1" applyFill="1" applyBorder="1" applyAlignment="1">
      <alignment horizontal="center" vertical="top"/>
    </xf>
    <xf numFmtId="49" fontId="5" fillId="8" borderId="4" xfId="0" applyNumberFormat="1" applyFont="1" applyFill="1" applyBorder="1" applyAlignment="1">
      <alignment horizontal="center" vertical="top" wrapText="1"/>
    </xf>
    <xf numFmtId="49" fontId="6" fillId="0" borderId="4" xfId="0" applyNumberFormat="1" applyFont="1" applyBorder="1" applyAlignment="1">
      <alignment horizontal="center" vertical="top" wrapText="1"/>
    </xf>
    <xf numFmtId="164" fontId="6" fillId="5" borderId="4" xfId="0" applyNumberFormat="1" applyFont="1" applyFill="1" applyBorder="1" applyAlignment="1">
      <alignment horizontal="center" vertical="top"/>
    </xf>
    <xf numFmtId="49" fontId="6" fillId="0" borderId="3" xfId="0" applyNumberFormat="1" applyFont="1" applyBorder="1" applyAlignment="1">
      <alignment horizontal="center" vertical="top" wrapText="1"/>
    </xf>
    <xf numFmtId="49" fontId="6" fillId="3" borderId="4" xfId="0" applyNumberFormat="1" applyFont="1" applyFill="1" applyBorder="1" applyAlignment="1">
      <alignment horizontal="center" vertical="top" wrapText="1"/>
    </xf>
    <xf numFmtId="49" fontId="5" fillId="7" borderId="4" xfId="0" applyNumberFormat="1" applyFont="1" applyFill="1" applyBorder="1" applyAlignment="1">
      <alignment horizontal="center" vertical="top" wrapText="1"/>
    </xf>
    <xf numFmtId="49" fontId="6" fillId="7" borderId="4" xfId="0" applyNumberFormat="1" applyFont="1" applyFill="1" applyBorder="1" applyAlignment="1">
      <alignment horizontal="center" vertical="top" wrapText="1"/>
    </xf>
    <xf numFmtId="0" fontId="6" fillId="8" borderId="12" xfId="0" applyFont="1" applyFill="1" applyBorder="1" applyAlignment="1">
      <alignment vertical="top" wrapText="1"/>
    </xf>
    <xf numFmtId="164" fontId="6" fillId="8" borderId="16" xfId="0" applyNumberFormat="1" applyFont="1" applyFill="1" applyBorder="1" applyAlignment="1">
      <alignment horizontal="center" vertical="top"/>
    </xf>
    <xf numFmtId="0" fontId="6" fillId="0" borderId="20" xfId="0" applyFont="1" applyBorder="1" applyAlignment="1">
      <alignment vertical="top" wrapText="1"/>
    </xf>
    <xf numFmtId="0" fontId="6" fillId="0" borderId="20" xfId="0" applyFont="1" applyBorder="1" applyAlignment="1">
      <alignment horizontal="center" vertical="top" wrapText="1"/>
    </xf>
    <xf numFmtId="164" fontId="6" fillId="3" borderId="20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164" fontId="6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/>
    <xf numFmtId="0" fontId="14" fillId="0" borderId="0" xfId="0" applyFont="1" applyAlignment="1">
      <alignment horizontal="center" vertical="top"/>
    </xf>
    <xf numFmtId="164" fontId="14" fillId="0" borderId="0" xfId="0" applyNumberFormat="1" applyFont="1" applyAlignment="1">
      <alignment horizontal="center" vertical="top"/>
    </xf>
    <xf numFmtId="166" fontId="6" fillId="3" borderId="1" xfId="0" applyNumberFormat="1" applyFont="1" applyFill="1" applyBorder="1" applyAlignment="1">
      <alignment horizontal="center" vertical="top" wrapText="1"/>
    </xf>
    <xf numFmtId="166" fontId="5" fillId="3" borderId="1" xfId="0" applyNumberFormat="1" applyFont="1" applyFill="1" applyBorder="1" applyAlignment="1">
      <alignment horizontal="center" vertical="top" wrapText="1"/>
    </xf>
    <xf numFmtId="166" fontId="6" fillId="0" borderId="1" xfId="0" applyNumberFormat="1" applyFont="1" applyBorder="1" applyAlignment="1">
      <alignment horizontal="center" vertical="top" wrapText="1"/>
    </xf>
    <xf numFmtId="166" fontId="12" fillId="3" borderId="6" xfId="0" applyNumberFormat="1" applyFont="1" applyFill="1" applyBorder="1" applyAlignment="1">
      <alignment horizontal="center" vertical="top" wrapText="1"/>
    </xf>
    <xf numFmtId="166" fontId="6" fillId="8" borderId="1" xfId="0" applyNumberFormat="1" applyFont="1" applyFill="1" applyBorder="1" applyAlignment="1">
      <alignment horizontal="center" vertical="top" wrapText="1"/>
    </xf>
    <xf numFmtId="166" fontId="6" fillId="0" borderId="1" xfId="0" applyNumberFormat="1" applyFont="1" applyBorder="1" applyAlignment="1">
      <alignment vertical="top" wrapText="1"/>
    </xf>
    <xf numFmtId="166" fontId="6" fillId="3" borderId="1" xfId="0" applyNumberFormat="1" applyFont="1" applyFill="1" applyBorder="1" applyAlignment="1">
      <alignment horizontal="center" vertical="top"/>
    </xf>
    <xf numFmtId="166" fontId="6" fillId="0" borderId="2" xfId="0" applyNumberFormat="1" applyFont="1" applyBorder="1" applyAlignment="1">
      <alignment vertical="top" wrapText="1"/>
    </xf>
    <xf numFmtId="166" fontId="6" fillId="3" borderId="6" xfId="0" applyNumberFormat="1" applyFont="1" applyFill="1" applyBorder="1" applyAlignment="1">
      <alignment horizontal="center" vertical="top" wrapText="1"/>
    </xf>
    <xf numFmtId="166" fontId="12" fillId="8" borderId="6" xfId="0" applyNumberFormat="1" applyFont="1" applyFill="1" applyBorder="1" applyAlignment="1">
      <alignment horizontal="center" vertical="top" wrapText="1"/>
    </xf>
    <xf numFmtId="166" fontId="12" fillId="0" borderId="6" xfId="0" applyNumberFormat="1" applyFont="1" applyBorder="1" applyAlignment="1">
      <alignment vertical="top" wrapText="1"/>
    </xf>
    <xf numFmtId="166" fontId="12" fillId="7" borderId="4" xfId="0" applyNumberFormat="1" applyFont="1" applyFill="1" applyBorder="1" applyAlignment="1">
      <alignment horizontal="center" vertical="top" wrapText="1"/>
    </xf>
    <xf numFmtId="166" fontId="12" fillId="8" borderId="1" xfId="0" applyNumberFormat="1" applyFont="1" applyFill="1" applyBorder="1" applyAlignment="1">
      <alignment horizontal="center" vertical="top" wrapText="1"/>
    </xf>
    <xf numFmtId="166" fontId="12" fillId="0" borderId="1" xfId="0" applyNumberFormat="1" applyFont="1" applyBorder="1" applyAlignment="1">
      <alignment vertical="top" wrapText="1"/>
    </xf>
    <xf numFmtId="166" fontId="12" fillId="8" borderId="14" xfId="0" applyNumberFormat="1" applyFont="1" applyFill="1" applyBorder="1" applyAlignment="1">
      <alignment horizontal="center" vertical="top" wrapText="1"/>
    </xf>
    <xf numFmtId="166" fontId="6" fillId="4" borderId="4" xfId="0" applyNumberFormat="1" applyFont="1" applyFill="1" applyBorder="1" applyAlignment="1">
      <alignment vertical="top"/>
    </xf>
    <xf numFmtId="166" fontId="5" fillId="0" borderId="1" xfId="0" applyNumberFormat="1" applyFont="1" applyBorder="1" applyAlignment="1">
      <alignment horizontal="center" vertical="top" wrapText="1"/>
    </xf>
    <xf numFmtId="166" fontId="5" fillId="3" borderId="2" xfId="0" applyNumberFormat="1" applyFont="1" applyFill="1" applyBorder="1" applyAlignment="1">
      <alignment horizontal="center" vertical="top" wrapText="1"/>
    </xf>
    <xf numFmtId="166" fontId="5" fillId="7" borderId="6" xfId="0" applyNumberFormat="1" applyFont="1" applyFill="1" applyBorder="1" applyAlignment="1">
      <alignment horizontal="center" vertical="top" wrapText="1"/>
    </xf>
    <xf numFmtId="166" fontId="6" fillId="8" borderId="4" xfId="0" applyNumberFormat="1" applyFont="1" applyFill="1" applyBorder="1" applyAlignment="1">
      <alignment horizontal="center" vertical="top"/>
    </xf>
    <xf numFmtId="166" fontId="6" fillId="5" borderId="1" xfId="0" applyNumberFormat="1" applyFont="1" applyFill="1" applyBorder="1" applyAlignment="1">
      <alignment horizontal="center" vertical="top"/>
    </xf>
    <xf numFmtId="166" fontId="5" fillId="6" borderId="1" xfId="1" applyNumberFormat="1" applyFont="1" applyFill="1" applyBorder="1" applyAlignment="1">
      <alignment horizontal="center" vertical="top"/>
    </xf>
    <xf numFmtId="166" fontId="6" fillId="6" borderId="2" xfId="1" applyNumberFormat="1" applyFont="1" applyFill="1" applyBorder="1" applyAlignment="1">
      <alignment horizontal="center" vertical="top"/>
    </xf>
    <xf numFmtId="166" fontId="6" fillId="5" borderId="6" xfId="0" applyNumberFormat="1" applyFont="1" applyFill="1" applyBorder="1" applyAlignment="1">
      <alignment horizontal="center" vertical="top"/>
    </xf>
    <xf numFmtId="166" fontId="6" fillId="7" borderId="4" xfId="0" applyNumberFormat="1" applyFont="1" applyFill="1" applyBorder="1" applyAlignment="1">
      <alignment horizontal="center" vertical="top"/>
    </xf>
    <xf numFmtId="166" fontId="6" fillId="5" borderId="4" xfId="0" applyNumberFormat="1" applyFont="1" applyFill="1" applyBorder="1" applyAlignment="1">
      <alignment horizontal="center" vertical="top"/>
    </xf>
    <xf numFmtId="166" fontId="6" fillId="8" borderId="16" xfId="0" applyNumberFormat="1" applyFont="1" applyFill="1" applyBorder="1" applyAlignment="1">
      <alignment horizontal="center" vertical="top"/>
    </xf>
    <xf numFmtId="3" fontId="6" fillId="7" borderId="1" xfId="0" applyNumberFormat="1" applyFont="1" applyFill="1" applyBorder="1" applyAlignment="1">
      <alignment horizontal="left" vertical="top" wrapText="1"/>
    </xf>
    <xf numFmtId="164" fontId="19" fillId="3" borderId="6" xfId="0" applyNumberFormat="1" applyFont="1" applyFill="1" applyBorder="1" applyAlignment="1">
      <alignment horizontal="center" vertical="top"/>
    </xf>
    <xf numFmtId="164" fontId="19" fillId="3" borderId="6" xfId="0" applyNumberFormat="1" applyFont="1" applyFill="1" applyBorder="1" applyAlignment="1">
      <alignment horizontal="center" vertical="top" wrapText="1"/>
    </xf>
    <xf numFmtId="164" fontId="3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164" fontId="21" fillId="0" borderId="0" xfId="0" applyNumberFormat="1" applyFont="1" applyAlignment="1">
      <alignment horizontal="center" vertical="top"/>
    </xf>
    <xf numFmtId="164" fontId="11" fillId="5" borderId="1" xfId="0" applyNumberFormat="1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vertical="top" wrapText="1"/>
    </xf>
    <xf numFmtId="0" fontId="11" fillId="3" borderId="5" xfId="0" applyFont="1" applyFill="1" applyBorder="1" applyAlignment="1">
      <alignment vertical="top" wrapText="1"/>
    </xf>
    <xf numFmtId="164" fontId="5" fillId="3" borderId="11" xfId="0" applyNumberFormat="1" applyFont="1" applyFill="1" applyBorder="1" applyAlignment="1">
      <alignment horizontal="center" vertical="top" wrapText="1"/>
    </xf>
    <xf numFmtId="164" fontId="5" fillId="3" borderId="6" xfId="0" applyNumberFormat="1" applyFont="1" applyFill="1" applyBorder="1" applyAlignment="1">
      <alignment horizontal="center" vertical="top" wrapText="1"/>
    </xf>
    <xf numFmtId="164" fontId="20" fillId="5" borderId="1" xfId="0" applyNumberFormat="1" applyFont="1" applyFill="1" applyBorder="1" applyAlignment="1">
      <alignment horizontal="center" vertical="top"/>
    </xf>
    <xf numFmtId="164" fontId="23" fillId="3" borderId="1" xfId="0" applyNumberFormat="1" applyFont="1" applyFill="1" applyBorder="1" applyAlignment="1">
      <alignment horizontal="center" vertical="top" wrapText="1"/>
    </xf>
    <xf numFmtId="164" fontId="24" fillId="3" borderId="1" xfId="0" applyNumberFormat="1" applyFont="1" applyFill="1" applyBorder="1" applyAlignment="1">
      <alignment horizontal="center" vertical="top" wrapText="1"/>
    </xf>
    <xf numFmtId="166" fontId="24" fillId="3" borderId="1" xfId="0" applyNumberFormat="1" applyFont="1" applyFill="1" applyBorder="1" applyAlignment="1">
      <alignment horizontal="center" vertical="top" wrapText="1"/>
    </xf>
    <xf numFmtId="0" fontId="24" fillId="3" borderId="3" xfId="0" applyFont="1" applyFill="1" applyBorder="1" applyAlignment="1">
      <alignment horizontal="center" vertical="top" wrapText="1"/>
    </xf>
    <xf numFmtId="0" fontId="24" fillId="3" borderId="1" xfId="0" applyFont="1" applyFill="1" applyBorder="1" applyAlignment="1">
      <alignment vertical="top" wrapText="1"/>
    </xf>
    <xf numFmtId="164" fontId="23" fillId="0" borderId="0" xfId="0" applyNumberFormat="1" applyFont="1"/>
    <xf numFmtId="0" fontId="23" fillId="0" borderId="0" xfId="0" applyFont="1"/>
    <xf numFmtId="0" fontId="23" fillId="3" borderId="1" xfId="0" applyFont="1" applyFill="1" applyBorder="1" applyAlignment="1">
      <alignment vertical="top" wrapText="1"/>
    </xf>
    <xf numFmtId="0" fontId="14" fillId="0" borderId="25" xfId="0" applyFont="1" applyBorder="1" applyAlignment="1">
      <alignment horizontal="center" vertical="top"/>
    </xf>
    <xf numFmtId="164" fontId="21" fillId="0" borderId="25" xfId="0" applyNumberFormat="1" applyFont="1" applyBorder="1" applyAlignment="1">
      <alignment horizontal="center" vertical="top"/>
    </xf>
    <xf numFmtId="164" fontId="5" fillId="9" borderId="5" xfId="0" applyNumberFormat="1" applyFont="1" applyFill="1" applyBorder="1" applyAlignment="1">
      <alignment horizontal="center" vertical="top" wrapText="1"/>
    </xf>
    <xf numFmtId="164" fontId="27" fillId="3" borderId="6" xfId="0" applyNumberFormat="1" applyFont="1" applyFill="1" applyBorder="1" applyAlignment="1">
      <alignment horizontal="center" vertical="top" wrapText="1"/>
    </xf>
    <xf numFmtId="4" fontId="6" fillId="8" borderId="1" xfId="0" applyNumberFormat="1" applyFont="1" applyFill="1" applyBorder="1" applyAlignment="1">
      <alignment horizontal="center" vertical="top" wrapText="1"/>
    </xf>
    <xf numFmtId="4" fontId="6" fillId="3" borderId="1" xfId="0" applyNumberFormat="1" applyFont="1" applyFill="1" applyBorder="1" applyAlignment="1">
      <alignment horizontal="center" vertical="top" wrapText="1"/>
    </xf>
    <xf numFmtId="4" fontId="12" fillId="0" borderId="1" xfId="0" applyNumberFormat="1" applyFont="1" applyBorder="1" applyAlignment="1">
      <alignment vertical="top" wrapText="1"/>
    </xf>
    <xf numFmtId="4" fontId="12" fillId="0" borderId="5" xfId="0" applyNumberFormat="1" applyFont="1" applyBorder="1" applyAlignment="1">
      <alignment horizontal="center" vertical="top" wrapText="1"/>
    </xf>
    <xf numFmtId="4" fontId="12" fillId="9" borderId="2" xfId="0" applyNumberFormat="1" applyFont="1" applyFill="1" applyBorder="1" applyAlignment="1">
      <alignment horizontal="center" vertical="top" wrapText="1"/>
    </xf>
    <xf numFmtId="164" fontId="6" fillId="3" borderId="16" xfId="0" applyNumberFormat="1" applyFont="1" applyFill="1" applyBorder="1" applyAlignment="1">
      <alignment horizontal="center" vertical="top"/>
    </xf>
    <xf numFmtId="0" fontId="5" fillId="0" borderId="6" xfId="0" applyFont="1" applyBorder="1" applyAlignment="1">
      <alignment vertical="center" wrapText="1"/>
    </xf>
    <xf numFmtId="0" fontId="5" fillId="8" borderId="14" xfId="0" applyFont="1" applyFill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6" fillId="0" borderId="18" xfId="0" applyFont="1" applyBorder="1" applyAlignment="1">
      <alignment vertical="center" wrapText="1"/>
    </xf>
    <xf numFmtId="0" fontId="6" fillId="7" borderId="17" xfId="0" applyFont="1" applyFill="1" applyBorder="1" applyAlignment="1">
      <alignment vertical="top"/>
    </xf>
    <xf numFmtId="166" fontId="11" fillId="3" borderId="16" xfId="0" applyNumberFormat="1" applyFont="1" applyFill="1" applyBorder="1" applyAlignment="1">
      <alignment horizontal="center" vertical="top"/>
    </xf>
    <xf numFmtId="166" fontId="5" fillId="5" borderId="1" xfId="0" applyNumberFormat="1" applyFont="1" applyFill="1" applyBorder="1" applyAlignment="1">
      <alignment horizontal="center" vertical="top" wrapText="1"/>
    </xf>
    <xf numFmtId="164" fontId="5" fillId="5" borderId="1" xfId="0" applyNumberFormat="1" applyFont="1" applyFill="1" applyBorder="1" applyAlignment="1">
      <alignment horizontal="center" vertical="top" wrapText="1"/>
    </xf>
    <xf numFmtId="164" fontId="5" fillId="0" borderId="16" xfId="0" applyNumberFormat="1" applyFont="1" applyBorder="1" applyAlignment="1">
      <alignment horizontal="center" vertical="top" wrapText="1"/>
    </xf>
    <xf numFmtId="164" fontId="5" fillId="0" borderId="9" xfId="0" applyNumberFormat="1" applyFont="1" applyBorder="1" applyAlignment="1">
      <alignment horizontal="center" vertical="top" wrapText="1"/>
    </xf>
    <xf numFmtId="166" fontId="12" fillId="3" borderId="16" xfId="0" applyNumberFormat="1" applyFont="1" applyFill="1" applyBorder="1" applyAlignment="1">
      <alignment horizontal="center" vertical="top"/>
    </xf>
    <xf numFmtId="0" fontId="11" fillId="0" borderId="10" xfId="0" applyFont="1" applyBorder="1" applyAlignment="1">
      <alignment vertical="top" wrapText="1"/>
    </xf>
    <xf numFmtId="0" fontId="33" fillId="0" borderId="14" xfId="0" applyFont="1" applyBorder="1" applyAlignment="1">
      <alignment horizontal="center" vertical="center" wrapText="1"/>
    </xf>
    <xf numFmtId="164" fontId="5" fillId="3" borderId="5" xfId="0" applyNumberFormat="1" applyFont="1" applyFill="1" applyBorder="1" applyAlignment="1">
      <alignment horizontal="center" vertical="top" wrapText="1"/>
    </xf>
    <xf numFmtId="164" fontId="24" fillId="3" borderId="4" xfId="0" applyNumberFormat="1" applyFont="1" applyFill="1" applyBorder="1" applyAlignment="1">
      <alignment horizontal="center" vertical="top" wrapText="1"/>
    </xf>
    <xf numFmtId="166" fontId="5" fillId="3" borderId="10" xfId="0" applyNumberFormat="1" applyFont="1" applyFill="1" applyBorder="1" applyAlignment="1">
      <alignment horizontal="center" vertical="top" wrapText="1"/>
    </xf>
    <xf numFmtId="164" fontId="24" fillId="3" borderId="6" xfId="0" applyNumberFormat="1" applyFont="1" applyFill="1" applyBorder="1" applyAlignment="1">
      <alignment horizontal="center" vertical="top" wrapText="1"/>
    </xf>
    <xf numFmtId="0" fontId="35" fillId="0" borderId="0" xfId="0" applyFont="1"/>
    <xf numFmtId="164" fontId="15" fillId="0" borderId="0" xfId="0" applyNumberFormat="1" applyFont="1" applyAlignment="1">
      <alignment vertical="top" wrapText="1"/>
    </xf>
    <xf numFmtId="164" fontId="26" fillId="0" borderId="0" xfId="0" applyNumberFormat="1" applyFont="1" applyAlignment="1">
      <alignment horizontal="left"/>
    </xf>
    <xf numFmtId="164" fontId="12" fillId="0" borderId="5" xfId="0" applyNumberFormat="1" applyFont="1" applyBorder="1" applyAlignment="1">
      <alignment horizontal="center" vertical="top" wrapText="1"/>
    </xf>
    <xf numFmtId="164" fontId="12" fillId="9" borderId="2" xfId="0" applyNumberFormat="1" applyFont="1" applyFill="1" applyBorder="1" applyAlignment="1">
      <alignment horizontal="center" vertical="top" wrapText="1"/>
    </xf>
    <xf numFmtId="164" fontId="5" fillId="3" borderId="5" xfId="0" applyNumberFormat="1" applyFont="1" applyFill="1" applyBorder="1" applyAlignment="1">
      <alignment horizontal="center" vertical="top"/>
    </xf>
    <xf numFmtId="164" fontId="5" fillId="3" borderId="3" xfId="0" applyNumberFormat="1" applyFont="1" applyFill="1" applyBorder="1" applyAlignment="1">
      <alignment horizontal="center" vertical="top"/>
    </xf>
    <xf numFmtId="164" fontId="5" fillId="3" borderId="9" xfId="0" applyNumberFormat="1" applyFont="1" applyFill="1" applyBorder="1" applyAlignment="1">
      <alignment horizontal="center" vertical="top"/>
    </xf>
    <xf numFmtId="164" fontId="5" fillId="3" borderId="4" xfId="0" applyNumberFormat="1" applyFont="1" applyFill="1" applyBorder="1" applyAlignment="1">
      <alignment horizontal="center" vertical="top"/>
    </xf>
    <xf numFmtId="164" fontId="5" fillId="3" borderId="16" xfId="0" applyNumberFormat="1" applyFont="1" applyFill="1" applyBorder="1" applyAlignment="1">
      <alignment horizontal="center" vertical="top"/>
    </xf>
    <xf numFmtId="164" fontId="12" fillId="3" borderId="4" xfId="0" applyNumberFormat="1" applyFont="1" applyFill="1" applyBorder="1" applyAlignment="1">
      <alignment horizontal="center" vertical="top"/>
    </xf>
    <xf numFmtId="164" fontId="12" fillId="3" borderId="16" xfId="0" applyNumberFormat="1" applyFont="1" applyFill="1" applyBorder="1" applyAlignment="1">
      <alignment horizontal="center" vertical="top"/>
    </xf>
    <xf numFmtId="164" fontId="11" fillId="3" borderId="4" xfId="0" applyNumberFormat="1" applyFont="1" applyFill="1" applyBorder="1" applyAlignment="1">
      <alignment horizontal="center" vertical="top"/>
    </xf>
    <xf numFmtId="164" fontId="11" fillId="3" borderId="16" xfId="0" applyNumberFormat="1" applyFont="1" applyFill="1" applyBorder="1" applyAlignment="1">
      <alignment horizontal="center" vertical="top"/>
    </xf>
    <xf numFmtId="164" fontId="5" fillId="0" borderId="0" xfId="0" applyNumberFormat="1" applyFont="1" applyAlignment="1">
      <alignment horizontal="left" vertical="top" wrapText="1"/>
    </xf>
    <xf numFmtId="164" fontId="14" fillId="0" borderId="25" xfId="0" applyNumberFormat="1" applyFont="1" applyBorder="1" applyAlignment="1">
      <alignment horizontal="center" vertical="top"/>
    </xf>
    <xf numFmtId="0" fontId="5" fillId="3" borderId="6" xfId="0" applyFont="1" applyFill="1" applyBorder="1" applyAlignment="1">
      <alignment vertical="top" wrapText="1"/>
    </xf>
    <xf numFmtId="0" fontId="5" fillId="3" borderId="9" xfId="0" applyFont="1" applyFill="1" applyBorder="1" applyAlignment="1">
      <alignment vertical="top" wrapText="1"/>
    </xf>
    <xf numFmtId="49" fontId="11" fillId="3" borderId="19" xfId="0" applyNumberFormat="1" applyFont="1" applyFill="1" applyBorder="1" applyAlignment="1">
      <alignment horizontal="center" vertical="top" wrapText="1"/>
    </xf>
    <xf numFmtId="164" fontId="29" fillId="3" borderId="1" xfId="0" applyNumberFormat="1" applyFont="1" applyFill="1" applyBorder="1" applyAlignment="1">
      <alignment horizontal="center" vertical="top" wrapText="1"/>
    </xf>
    <xf numFmtId="0" fontId="34" fillId="0" borderId="0" xfId="0" applyFont="1" applyAlignment="1">
      <alignment vertical="top"/>
    </xf>
    <xf numFmtId="0" fontId="5" fillId="3" borderId="11" xfId="0" applyFont="1" applyFill="1" applyBorder="1" applyAlignment="1">
      <alignment vertical="top" wrapText="1"/>
    </xf>
    <xf numFmtId="166" fontId="5" fillId="3" borderId="5" xfId="0" applyNumberFormat="1" applyFont="1" applyFill="1" applyBorder="1" applyAlignment="1">
      <alignment horizontal="center" vertical="top"/>
    </xf>
    <xf numFmtId="166" fontId="5" fillId="3" borderId="9" xfId="0" applyNumberFormat="1" applyFont="1" applyFill="1" applyBorder="1" applyAlignment="1">
      <alignment horizontal="center" vertical="top"/>
    </xf>
    <xf numFmtId="166" fontId="29" fillId="5" borderId="1" xfId="0" applyNumberFormat="1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4" fontId="6" fillId="3" borderId="6" xfId="0" applyNumberFormat="1" applyFont="1" applyFill="1" applyBorder="1" applyAlignment="1">
      <alignment horizontal="center" vertical="top" wrapText="1"/>
    </xf>
    <xf numFmtId="164" fontId="6" fillId="3" borderId="5" xfId="0" applyNumberFormat="1" applyFont="1" applyFill="1" applyBorder="1" applyAlignment="1">
      <alignment horizontal="center" vertical="top" wrapText="1"/>
    </xf>
    <xf numFmtId="4" fontId="6" fillId="3" borderId="4" xfId="0" applyNumberFormat="1" applyFont="1" applyFill="1" applyBorder="1" applyAlignment="1">
      <alignment horizontal="center" vertical="top" wrapText="1"/>
    </xf>
    <xf numFmtId="0" fontId="27" fillId="0" borderId="6" xfId="0" applyFont="1" applyBorder="1" applyAlignment="1">
      <alignment horizontal="left" vertical="top" wrapText="1"/>
    </xf>
    <xf numFmtId="0" fontId="12" fillId="3" borderId="6" xfId="0" applyFont="1" applyFill="1" applyBorder="1" applyAlignment="1">
      <alignment horizontal="left" vertical="top" wrapText="1"/>
    </xf>
    <xf numFmtId="0" fontId="6" fillId="0" borderId="15" xfId="0" applyFont="1" applyBorder="1" applyAlignment="1">
      <alignment horizontal="center" vertical="top" wrapText="1"/>
    </xf>
    <xf numFmtId="0" fontId="6" fillId="8" borderId="2" xfId="0" applyFont="1" applyFill="1" applyBorder="1" applyAlignment="1">
      <alignment vertical="top" wrapText="1"/>
    </xf>
    <xf numFmtId="0" fontId="13" fillId="7" borderId="17" xfId="0" applyFont="1" applyFill="1" applyBorder="1" applyAlignment="1">
      <alignment vertical="top" wrapText="1"/>
    </xf>
    <xf numFmtId="4" fontId="6" fillId="3" borderId="10" xfId="0" applyNumberFormat="1" applyFont="1" applyFill="1" applyBorder="1" applyAlignment="1">
      <alignment horizontal="center" vertical="top" wrapText="1"/>
    </xf>
    <xf numFmtId="166" fontId="5" fillId="3" borderId="6" xfId="0" applyNumberFormat="1" applyFont="1" applyFill="1" applyBorder="1" applyAlignment="1">
      <alignment horizontal="center" vertical="top"/>
    </xf>
    <xf numFmtId="164" fontId="5" fillId="3" borderId="6" xfId="0" applyNumberFormat="1" applyFont="1" applyFill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 vertical="top" wrapText="1"/>
    </xf>
    <xf numFmtId="166" fontId="6" fillId="6" borderId="4" xfId="1" applyNumberFormat="1" applyFont="1" applyFill="1" applyBorder="1" applyAlignment="1">
      <alignment horizontal="center" vertical="top"/>
    </xf>
    <xf numFmtId="164" fontId="6" fillId="6" borderId="4" xfId="1" applyNumberFormat="1" applyFont="1" applyFill="1" applyBorder="1" applyAlignment="1">
      <alignment horizontal="center" vertical="top"/>
    </xf>
    <xf numFmtId="0" fontId="12" fillId="8" borderId="4" xfId="0" applyFont="1" applyFill="1" applyBorder="1" applyAlignment="1">
      <alignment vertical="top" wrapText="1"/>
    </xf>
    <xf numFmtId="0" fontId="6" fillId="7" borderId="29" xfId="0" applyFont="1" applyFill="1" applyBorder="1" applyAlignment="1">
      <alignment vertical="top" wrapText="1"/>
    </xf>
    <xf numFmtId="166" fontId="24" fillId="0" borderId="5" xfId="0" applyNumberFormat="1" applyFont="1" applyBorder="1" applyAlignment="1">
      <alignment horizontal="center" vertical="top" wrapText="1"/>
    </xf>
    <xf numFmtId="0" fontId="24" fillId="3" borderId="10" xfId="0" applyFont="1" applyFill="1" applyBorder="1" applyAlignment="1">
      <alignment vertical="top" wrapText="1"/>
    </xf>
    <xf numFmtId="166" fontId="24" fillId="3" borderId="30" xfId="0" applyNumberFormat="1" applyFont="1" applyFill="1" applyBorder="1" applyAlignment="1">
      <alignment horizontal="center" vertical="top" wrapText="1"/>
    </xf>
    <xf numFmtId="166" fontId="24" fillId="3" borderId="5" xfId="0" applyNumberFormat="1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5" fillId="3" borderId="6" xfId="0" applyFont="1" applyFill="1" applyBorder="1" applyAlignment="1">
      <alignment horizontal="left" vertical="top" wrapText="1"/>
    </xf>
    <xf numFmtId="0" fontId="5" fillId="3" borderId="9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164" fontId="19" fillId="3" borderId="1" xfId="0" applyNumberFormat="1" applyFont="1" applyFill="1" applyBorder="1" applyAlignment="1">
      <alignment horizontal="center" vertical="top" wrapText="1"/>
    </xf>
    <xf numFmtId="164" fontId="5" fillId="3" borderId="16" xfId="0" applyNumberFormat="1" applyFont="1" applyFill="1" applyBorder="1" applyAlignment="1">
      <alignment horizontal="center" vertical="top" wrapText="1"/>
    </xf>
    <xf numFmtId="164" fontId="24" fillId="3" borderId="3" xfId="0" applyNumberFormat="1" applyFont="1" applyFill="1" applyBorder="1" applyAlignment="1">
      <alignment horizontal="center" vertical="top" wrapText="1"/>
    </xf>
    <xf numFmtId="166" fontId="24" fillId="3" borderId="15" xfId="0" applyNumberFormat="1" applyFont="1" applyFill="1" applyBorder="1" applyAlignment="1">
      <alignment horizontal="center" vertical="top" wrapText="1"/>
    </xf>
    <xf numFmtId="166" fontId="24" fillId="0" borderId="25" xfId="0" applyNumberFormat="1" applyFont="1" applyBorder="1" applyAlignment="1">
      <alignment horizontal="center" vertical="top" wrapText="1"/>
    </xf>
    <xf numFmtId="164" fontId="24" fillId="3" borderId="17" xfId="0" applyNumberFormat="1" applyFont="1" applyFill="1" applyBorder="1" applyAlignment="1">
      <alignment horizontal="center" vertical="top" wrapText="1"/>
    </xf>
    <xf numFmtId="0" fontId="24" fillId="3" borderId="14" xfId="0" applyFont="1" applyFill="1" applyBorder="1" applyAlignment="1">
      <alignment vertical="top" wrapText="1"/>
    </xf>
    <xf numFmtId="0" fontId="24" fillId="3" borderId="6" xfId="0" applyFont="1" applyFill="1" applyBorder="1" applyAlignment="1">
      <alignment vertical="top" wrapText="1"/>
    </xf>
    <xf numFmtId="0" fontId="24" fillId="3" borderId="6" xfId="0" applyFont="1" applyFill="1" applyBorder="1" applyAlignment="1">
      <alignment horizontal="center" vertical="top" wrapText="1"/>
    </xf>
    <xf numFmtId="0" fontId="24" fillId="3" borderId="23" xfId="0" applyFont="1" applyFill="1" applyBorder="1" applyAlignment="1">
      <alignment horizontal="center" vertical="top" wrapText="1"/>
    </xf>
    <xf numFmtId="0" fontId="24" fillId="0" borderId="10" xfId="0" applyFont="1" applyBorder="1" applyAlignment="1">
      <alignment vertical="top" wrapText="1"/>
    </xf>
    <xf numFmtId="166" fontId="5" fillId="0" borderId="1" xfId="1" applyNumberFormat="1" applyFont="1" applyBorder="1" applyAlignment="1">
      <alignment horizontal="center" vertical="top"/>
    </xf>
    <xf numFmtId="164" fontId="24" fillId="0" borderId="4" xfId="0" applyNumberFormat="1" applyFont="1" applyBorder="1" applyAlignment="1">
      <alignment horizontal="center" vertical="top" wrapText="1"/>
    </xf>
    <xf numFmtId="164" fontId="24" fillId="0" borderId="2" xfId="0" applyNumberFormat="1" applyFont="1" applyBorder="1" applyAlignment="1">
      <alignment horizontal="center" vertical="top" wrapText="1"/>
    </xf>
    <xf numFmtId="49" fontId="11" fillId="3" borderId="3" xfId="0" applyNumberFormat="1" applyFont="1" applyFill="1" applyBorder="1" applyAlignment="1">
      <alignment vertical="top" wrapText="1"/>
    </xf>
    <xf numFmtId="164" fontId="5" fillId="0" borderId="4" xfId="0" applyNumberFormat="1" applyFont="1" applyBorder="1" applyAlignment="1">
      <alignment horizontal="center" vertical="top"/>
    </xf>
    <xf numFmtId="164" fontId="5" fillId="0" borderId="16" xfId="0" applyNumberFormat="1" applyFont="1" applyBorder="1" applyAlignment="1">
      <alignment horizontal="center" vertical="top"/>
    </xf>
    <xf numFmtId="0" fontId="6" fillId="11" borderId="17" xfId="0" applyFont="1" applyFill="1" applyBorder="1" applyAlignment="1">
      <alignment vertical="top" wrapText="1"/>
    </xf>
    <xf numFmtId="0" fontId="24" fillId="11" borderId="17" xfId="0" applyFont="1" applyFill="1" applyBorder="1" applyAlignment="1">
      <alignment vertical="top" wrapText="1"/>
    </xf>
    <xf numFmtId="4" fontId="6" fillId="11" borderId="17" xfId="0" applyNumberFormat="1" applyFont="1" applyFill="1" applyBorder="1" applyAlignment="1">
      <alignment horizontal="center" vertical="top" wrapText="1"/>
    </xf>
    <xf numFmtId="164" fontId="6" fillId="8" borderId="16" xfId="0" applyNumberFormat="1" applyFont="1" applyFill="1" applyBorder="1" applyAlignment="1">
      <alignment horizontal="center" vertical="top" wrapText="1"/>
    </xf>
    <xf numFmtId="164" fontId="19" fillId="0" borderId="6" xfId="0" applyNumberFormat="1" applyFont="1" applyBorder="1" applyAlignment="1">
      <alignment horizontal="center" vertical="top"/>
    </xf>
    <xf numFmtId="164" fontId="19" fillId="0" borderId="6" xfId="0" applyNumberFormat="1" applyFont="1" applyBorder="1" applyAlignment="1">
      <alignment horizontal="center" vertical="top" wrapText="1"/>
    </xf>
    <xf numFmtId="164" fontId="5" fillId="0" borderId="32" xfId="0" applyNumberFormat="1" applyFont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16" xfId="0" applyFont="1" applyFill="1" applyBorder="1" applyAlignment="1">
      <alignment horizontal="center" vertical="top" wrapText="1"/>
    </xf>
    <xf numFmtId="0" fontId="26" fillId="0" borderId="0" xfId="0" applyFont="1" applyAlignment="1">
      <alignment horizontal="right"/>
    </xf>
    <xf numFmtId="166" fontId="6" fillId="4" borderId="4" xfId="0" applyNumberFormat="1" applyFont="1" applyFill="1" applyBorder="1" applyAlignment="1">
      <alignment vertical="top" wrapText="1"/>
    </xf>
    <xf numFmtId="164" fontId="6" fillId="4" borderId="4" xfId="0" applyNumberFormat="1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center" vertical="top" wrapText="1"/>
    </xf>
    <xf numFmtId="0" fontId="14" fillId="0" borderId="1" xfId="0" applyFont="1" applyBorder="1"/>
    <xf numFmtId="0" fontId="6" fillId="12" borderId="4" xfId="0" applyFont="1" applyFill="1" applyBorder="1" applyAlignment="1">
      <alignment vertical="top" wrapText="1"/>
    </xf>
    <xf numFmtId="166" fontId="6" fillId="12" borderId="4" xfId="0" applyNumberFormat="1" applyFont="1" applyFill="1" applyBorder="1" applyAlignment="1">
      <alignment vertical="top" wrapText="1"/>
    </xf>
    <xf numFmtId="164" fontId="6" fillId="12" borderId="4" xfId="0" applyNumberFormat="1" applyFont="1" applyFill="1" applyBorder="1" applyAlignment="1">
      <alignment vertical="top" wrapText="1"/>
    </xf>
    <xf numFmtId="0" fontId="6" fillId="12" borderId="1" xfId="0" applyFont="1" applyFill="1" applyBorder="1" applyAlignment="1">
      <alignment horizontal="center" vertical="top"/>
    </xf>
    <xf numFmtId="0" fontId="6" fillId="12" borderId="1" xfId="0" applyFont="1" applyFill="1" applyBorder="1" applyAlignment="1">
      <alignment horizontal="center" vertical="top" wrapText="1"/>
    </xf>
    <xf numFmtId="0" fontId="38" fillId="12" borderId="1" xfId="0" applyFont="1" applyFill="1" applyBorder="1" applyAlignment="1">
      <alignment horizontal="center" vertical="top"/>
    </xf>
    <xf numFmtId="0" fontId="14" fillId="7" borderId="1" xfId="0" applyFont="1" applyFill="1" applyBorder="1"/>
    <xf numFmtId="0" fontId="6" fillId="7" borderId="4" xfId="0" applyFont="1" applyFill="1" applyBorder="1" applyAlignment="1">
      <alignment vertical="top" wrapText="1"/>
    </xf>
    <xf numFmtId="0" fontId="5" fillId="7" borderId="4" xfId="0" applyFont="1" applyFill="1" applyBorder="1" applyAlignment="1">
      <alignment horizontal="center" vertical="top" wrapText="1"/>
    </xf>
    <xf numFmtId="166" fontId="6" fillId="7" borderId="4" xfId="0" applyNumberFormat="1" applyFont="1" applyFill="1" applyBorder="1" applyAlignment="1">
      <alignment horizontal="center" vertical="top" wrapText="1"/>
    </xf>
    <xf numFmtId="164" fontId="6" fillId="7" borderId="4" xfId="0" applyNumberFormat="1" applyFont="1" applyFill="1" applyBorder="1" applyAlignment="1">
      <alignment horizontal="center" vertical="top" wrapText="1"/>
    </xf>
    <xf numFmtId="0" fontId="14" fillId="7" borderId="4" xfId="0" applyFont="1" applyFill="1" applyBorder="1"/>
    <xf numFmtId="0" fontId="6" fillId="12" borderId="33" xfId="0" applyFont="1" applyFill="1" applyBorder="1" applyAlignment="1">
      <alignment vertical="top" wrapText="1"/>
    </xf>
    <xf numFmtId="166" fontId="6" fillId="12" borderId="33" xfId="0" applyNumberFormat="1" applyFont="1" applyFill="1" applyBorder="1" applyAlignment="1">
      <alignment vertical="top" wrapText="1"/>
    </xf>
    <xf numFmtId="164" fontId="6" fillId="12" borderId="33" xfId="0" applyNumberFormat="1" applyFont="1" applyFill="1" applyBorder="1" applyAlignment="1">
      <alignment vertical="top" wrapText="1"/>
    </xf>
    <xf numFmtId="0" fontId="6" fillId="12" borderId="33" xfId="0" applyFont="1" applyFill="1" applyBorder="1" applyAlignment="1">
      <alignment horizontal="center" vertical="top" wrapText="1"/>
    </xf>
    <xf numFmtId="0" fontId="14" fillId="4" borderId="4" xfId="0" applyFont="1" applyFill="1" applyBorder="1"/>
    <xf numFmtId="0" fontId="16" fillId="2" borderId="33" xfId="0" applyFont="1" applyFill="1" applyBorder="1" applyAlignment="1">
      <alignment horizontal="center" vertical="center" wrapText="1"/>
    </xf>
    <xf numFmtId="0" fontId="18" fillId="2" borderId="33" xfId="0" applyFont="1" applyFill="1" applyBorder="1" applyAlignment="1">
      <alignment horizontal="center" vertical="center" wrapText="1"/>
    </xf>
    <xf numFmtId="3" fontId="18" fillId="2" borderId="33" xfId="0" applyNumberFormat="1" applyFont="1" applyFill="1" applyBorder="1" applyAlignment="1">
      <alignment horizontal="center" vertical="center" wrapText="1"/>
    </xf>
    <xf numFmtId="3" fontId="16" fillId="2" borderId="33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top" wrapText="1"/>
    </xf>
    <xf numFmtId="164" fontId="29" fillId="3" borderId="33" xfId="0" applyNumberFormat="1" applyFont="1" applyFill="1" applyBorder="1" applyAlignment="1">
      <alignment horizontal="center" vertical="top" wrapText="1"/>
    </xf>
    <xf numFmtId="0" fontId="14" fillId="0" borderId="33" xfId="0" applyFont="1" applyBorder="1" applyAlignment="1">
      <alignment vertical="top"/>
    </xf>
    <xf numFmtId="0" fontId="6" fillId="3" borderId="36" xfId="0" applyFont="1" applyFill="1" applyBorder="1" applyAlignment="1">
      <alignment vertical="top" wrapText="1"/>
    </xf>
    <xf numFmtId="0" fontId="5" fillId="3" borderId="33" xfId="0" applyFont="1" applyFill="1" applyBorder="1" applyAlignment="1">
      <alignment vertical="top" wrapText="1"/>
    </xf>
    <xf numFmtId="164" fontId="5" fillId="3" borderId="33" xfId="0" applyNumberFormat="1" applyFont="1" applyFill="1" applyBorder="1" applyAlignment="1">
      <alignment horizontal="center" vertical="top" wrapText="1"/>
    </xf>
    <xf numFmtId="0" fontId="5" fillId="3" borderId="33" xfId="0" applyFont="1" applyFill="1" applyBorder="1" applyAlignment="1">
      <alignment horizontal="center" vertical="top" wrapText="1"/>
    </xf>
    <xf numFmtId="164" fontId="1" fillId="0" borderId="33" xfId="0" applyNumberFormat="1" applyFont="1" applyBorder="1" applyAlignment="1">
      <alignment horizontal="center" vertical="top" wrapText="1"/>
    </xf>
    <xf numFmtId="0" fontId="5" fillId="0" borderId="33" xfId="0" applyFont="1" applyBorder="1" applyAlignment="1">
      <alignment horizontal="center" vertical="top" wrapText="1"/>
    </xf>
    <xf numFmtId="3" fontId="6" fillId="3" borderId="4" xfId="0" applyNumberFormat="1" applyFont="1" applyFill="1" applyBorder="1" applyAlignment="1">
      <alignment vertical="top" wrapText="1"/>
    </xf>
    <xf numFmtId="3" fontId="6" fillId="3" borderId="36" xfId="0" applyNumberFormat="1" applyFont="1" applyFill="1" applyBorder="1" applyAlignment="1">
      <alignment vertical="top" wrapText="1"/>
    </xf>
    <xf numFmtId="164" fontId="11" fillId="3" borderId="33" xfId="0" applyNumberFormat="1" applyFont="1" applyFill="1" applyBorder="1" applyAlignment="1">
      <alignment horizontal="center" vertical="top" wrapText="1"/>
    </xf>
    <xf numFmtId="3" fontId="5" fillId="3" borderId="1" xfId="0" applyNumberFormat="1" applyFont="1" applyFill="1" applyBorder="1" applyAlignment="1">
      <alignment horizontal="center" vertical="top" wrapText="1"/>
    </xf>
    <xf numFmtId="0" fontId="6" fillId="3" borderId="38" xfId="0" applyFont="1" applyFill="1" applyBorder="1" applyAlignment="1">
      <alignment vertical="top" wrapText="1"/>
    </xf>
    <xf numFmtId="0" fontId="27" fillId="0" borderId="40" xfId="0" applyFont="1" applyBorder="1" applyAlignment="1">
      <alignment vertical="top" wrapText="1"/>
    </xf>
    <xf numFmtId="0" fontId="23" fillId="3" borderId="33" xfId="0" applyFont="1" applyFill="1" applyBorder="1" applyAlignment="1">
      <alignment vertical="top" wrapText="1"/>
    </xf>
    <xf numFmtId="0" fontId="14" fillId="0" borderId="4" xfId="0" applyFont="1" applyBorder="1"/>
    <xf numFmtId="0" fontId="34" fillId="0" borderId="1" xfId="0" applyFont="1" applyBorder="1"/>
    <xf numFmtId="0" fontId="27" fillId="3" borderId="40" xfId="0" applyFont="1" applyFill="1" applyBorder="1" applyAlignment="1">
      <alignment vertical="top" wrapText="1"/>
    </xf>
    <xf numFmtId="164" fontId="25" fillId="3" borderId="4" xfId="0" applyNumberFormat="1" applyFont="1" applyFill="1" applyBorder="1" applyAlignment="1">
      <alignment horizontal="center" vertical="top" wrapText="1"/>
    </xf>
    <xf numFmtId="0" fontId="1" fillId="3" borderId="33" xfId="0" applyFont="1" applyFill="1" applyBorder="1" applyAlignment="1">
      <alignment horizontal="center" vertical="top" wrapText="1"/>
    </xf>
    <xf numFmtId="0" fontId="14" fillId="3" borderId="1" xfId="0" applyFont="1" applyFill="1" applyBorder="1"/>
    <xf numFmtId="166" fontId="22" fillId="3" borderId="1" xfId="0" applyNumberFormat="1" applyFont="1" applyFill="1" applyBorder="1"/>
    <xf numFmtId="164" fontId="24" fillId="3" borderId="33" xfId="0" applyNumberFormat="1" applyFont="1" applyFill="1" applyBorder="1" applyAlignment="1">
      <alignment horizontal="center" vertical="top" wrapText="1"/>
    </xf>
    <xf numFmtId="0" fontId="14" fillId="0" borderId="33" xfId="0" applyFont="1" applyBorder="1"/>
    <xf numFmtId="0" fontId="5" fillId="3" borderId="37" xfId="0" applyFont="1" applyFill="1" applyBorder="1" applyAlignment="1">
      <alignment vertical="top" wrapText="1"/>
    </xf>
    <xf numFmtId="166" fontId="6" fillId="3" borderId="4" xfId="0" applyNumberFormat="1" applyFont="1" applyFill="1" applyBorder="1" applyAlignment="1">
      <alignment horizontal="center" vertical="top" wrapText="1"/>
    </xf>
    <xf numFmtId="164" fontId="25" fillId="3" borderId="36" xfId="0" applyNumberFormat="1" applyFont="1" applyFill="1" applyBorder="1" applyAlignment="1">
      <alignment horizontal="center" vertical="top" wrapText="1"/>
    </xf>
    <xf numFmtId="0" fontId="5" fillId="0" borderId="36" xfId="0" applyFont="1" applyBorder="1" applyAlignment="1">
      <alignment horizontal="center" vertical="top" wrapText="1"/>
    </xf>
    <xf numFmtId="0" fontId="5" fillId="3" borderId="36" xfId="0" applyFont="1" applyFill="1" applyBorder="1" applyAlignment="1">
      <alignment horizontal="center" vertical="top" wrapText="1"/>
    </xf>
    <xf numFmtId="164" fontId="24" fillId="3" borderId="36" xfId="0" applyNumberFormat="1" applyFont="1" applyFill="1" applyBorder="1" applyAlignment="1">
      <alignment horizontal="center" vertical="top" wrapText="1"/>
    </xf>
    <xf numFmtId="0" fontId="14" fillId="0" borderId="36" xfId="0" applyFont="1" applyBorder="1"/>
    <xf numFmtId="164" fontId="12" fillId="3" borderId="17" xfId="0" applyNumberFormat="1" applyFont="1" applyFill="1" applyBorder="1" applyAlignment="1">
      <alignment horizontal="center" vertical="top" wrapText="1"/>
    </xf>
    <xf numFmtId="0" fontId="6" fillId="0" borderId="38" xfId="0" applyFont="1" applyBorder="1" applyAlignment="1">
      <alignment vertical="top" wrapText="1"/>
    </xf>
    <xf numFmtId="164" fontId="12" fillId="3" borderId="4" xfId="0" applyNumberFormat="1" applyFont="1" applyFill="1" applyBorder="1" applyAlignment="1">
      <alignment horizontal="center" vertical="top" wrapText="1"/>
    </xf>
    <xf numFmtId="164" fontId="30" fillId="3" borderId="33" xfId="0" applyNumberFormat="1" applyFont="1" applyFill="1" applyBorder="1" applyAlignment="1">
      <alignment horizontal="center" vertical="top" wrapText="1"/>
    </xf>
    <xf numFmtId="0" fontId="34" fillId="0" borderId="33" xfId="0" applyFont="1" applyBorder="1" applyAlignment="1">
      <alignment vertical="top"/>
    </xf>
    <xf numFmtId="0" fontId="5" fillId="0" borderId="33" xfId="0" applyFont="1" applyBorder="1" applyAlignment="1">
      <alignment vertical="top" wrapText="1"/>
    </xf>
    <xf numFmtId="0" fontId="14" fillId="0" borderId="2" xfId="0" applyFont="1" applyBorder="1"/>
    <xf numFmtId="0" fontId="6" fillId="0" borderId="36" xfId="0" applyFont="1" applyBorder="1" applyAlignment="1">
      <alignment vertical="top" wrapText="1"/>
    </xf>
    <xf numFmtId="164" fontId="14" fillId="0" borderId="1" xfId="0" applyNumberFormat="1" applyFont="1" applyBorder="1"/>
    <xf numFmtId="164" fontId="11" fillId="0" borderId="4" xfId="0" applyNumberFormat="1" applyFont="1" applyBorder="1" applyAlignment="1">
      <alignment horizontal="center" vertical="top" wrapText="1"/>
    </xf>
    <xf numFmtId="164" fontId="11" fillId="3" borderId="36" xfId="0" applyNumberFormat="1" applyFont="1" applyFill="1" applyBorder="1" applyAlignment="1">
      <alignment horizontal="center" vertical="top" wrapText="1"/>
    </xf>
    <xf numFmtId="0" fontId="5" fillId="0" borderId="37" xfId="0" applyFont="1" applyBorder="1" applyAlignment="1">
      <alignment horizontal="center" vertical="top" wrapText="1"/>
    </xf>
    <xf numFmtId="164" fontId="11" fillId="0" borderId="33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6" fillId="9" borderId="36" xfId="0" applyFont="1" applyFill="1" applyBorder="1" applyAlignment="1">
      <alignment vertical="top" wrapText="1"/>
    </xf>
    <xf numFmtId="0" fontId="5" fillId="0" borderId="34" xfId="0" applyFont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49" fontId="31" fillId="3" borderId="5" xfId="0" applyNumberFormat="1" applyFont="1" applyFill="1" applyBorder="1" applyAlignment="1">
      <alignment horizontal="center" vertical="top" wrapText="1"/>
    </xf>
    <xf numFmtId="166" fontId="5" fillId="3" borderId="16" xfId="0" applyNumberFormat="1" applyFont="1" applyFill="1" applyBorder="1" applyAlignment="1">
      <alignment horizontal="center" vertical="top" wrapText="1"/>
    </xf>
    <xf numFmtId="0" fontId="5" fillId="3" borderId="34" xfId="0" applyFont="1" applyFill="1" applyBorder="1" applyAlignment="1">
      <alignment horizontal="center" vertical="top" wrapText="1"/>
    </xf>
    <xf numFmtId="0" fontId="5" fillId="0" borderId="46" xfId="0" applyFont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14" xfId="0" applyFont="1" applyFill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6" fillId="3" borderId="16" xfId="0" applyFont="1" applyFill="1" applyBorder="1" applyAlignment="1">
      <alignment vertical="top" wrapText="1"/>
    </xf>
    <xf numFmtId="0" fontId="5" fillId="0" borderId="6" xfId="0" applyFont="1" applyBorder="1" applyAlignment="1">
      <alignment horizontal="center" vertical="top"/>
    </xf>
    <xf numFmtId="0" fontId="23" fillId="3" borderId="14" xfId="0" applyFont="1" applyFill="1" applyBorder="1" applyAlignment="1">
      <alignment horizontal="center" vertical="top" wrapText="1"/>
    </xf>
    <xf numFmtId="0" fontId="6" fillId="3" borderId="46" xfId="0" applyFont="1" applyFill="1" applyBorder="1" applyAlignment="1">
      <alignment vertical="top" wrapText="1"/>
    </xf>
    <xf numFmtId="0" fontId="5" fillId="3" borderId="34" xfId="0" applyFont="1" applyFill="1" applyBorder="1" applyAlignment="1">
      <alignment vertical="top" wrapText="1"/>
    </xf>
    <xf numFmtId="164" fontId="19" fillId="3" borderId="33" xfId="0" applyNumberFormat="1" applyFont="1" applyFill="1" applyBorder="1" applyAlignment="1">
      <alignment horizontal="center" vertical="top" wrapText="1"/>
    </xf>
    <xf numFmtId="0" fontId="23" fillId="0" borderId="33" xfId="0" applyFont="1" applyBorder="1" applyAlignment="1">
      <alignment horizontal="center" vertical="top" wrapText="1"/>
    </xf>
    <xf numFmtId="164" fontId="12" fillId="0" borderId="36" xfId="0" applyNumberFormat="1" applyFont="1" applyBorder="1" applyAlignment="1">
      <alignment horizontal="center" vertical="top" wrapText="1"/>
    </xf>
    <xf numFmtId="164" fontId="5" fillId="9" borderId="16" xfId="0" applyNumberFormat="1" applyFont="1" applyFill="1" applyBorder="1" applyAlignment="1">
      <alignment horizontal="center" vertical="top" wrapText="1"/>
    </xf>
    <xf numFmtId="164" fontId="5" fillId="9" borderId="36" xfId="0" applyNumberFormat="1" applyFont="1" applyFill="1" applyBorder="1" applyAlignment="1">
      <alignment horizontal="center" vertical="top" wrapText="1"/>
    </xf>
    <xf numFmtId="164" fontId="5" fillId="9" borderId="47" xfId="0" applyNumberFormat="1" applyFont="1" applyFill="1" applyBorder="1" applyAlignment="1">
      <alignment horizontal="center" vertical="top" wrapText="1"/>
    </xf>
    <xf numFmtId="164" fontId="5" fillId="3" borderId="47" xfId="0" applyNumberFormat="1" applyFont="1" applyFill="1" applyBorder="1" applyAlignment="1">
      <alignment horizontal="center" vertical="top" wrapText="1"/>
    </xf>
    <xf numFmtId="164" fontId="5" fillId="3" borderId="32" xfId="0" applyNumberFormat="1" applyFont="1" applyFill="1" applyBorder="1" applyAlignment="1">
      <alignment horizontal="center" vertical="top" wrapText="1"/>
    </xf>
    <xf numFmtId="0" fontId="11" fillId="3" borderId="6" xfId="0" applyFont="1" applyFill="1" applyBorder="1" applyAlignment="1">
      <alignment horizontal="left" vertical="top" wrapText="1"/>
    </xf>
    <xf numFmtId="0" fontId="35" fillId="3" borderId="13" xfId="0" applyFont="1" applyFill="1" applyBorder="1" applyAlignment="1">
      <alignment wrapText="1"/>
    </xf>
    <xf numFmtId="164" fontId="5" fillId="3" borderId="18" xfId="0" applyNumberFormat="1" applyFont="1" applyFill="1" applyBorder="1" applyAlignment="1">
      <alignment horizontal="center" vertical="top" wrapText="1"/>
    </xf>
    <xf numFmtId="164" fontId="5" fillId="3" borderId="25" xfId="0" applyNumberFormat="1" applyFont="1" applyFill="1" applyBorder="1" applyAlignment="1">
      <alignment horizontal="center" vertical="top" wrapText="1"/>
    </xf>
    <xf numFmtId="164" fontId="5" fillId="3" borderId="29" xfId="0" applyNumberFormat="1" applyFont="1" applyFill="1" applyBorder="1" applyAlignment="1">
      <alignment horizontal="center" vertical="top" wrapText="1"/>
    </xf>
    <xf numFmtId="164" fontId="5" fillId="3" borderId="13" xfId="0" applyNumberFormat="1" applyFont="1" applyFill="1" applyBorder="1" applyAlignment="1">
      <alignment horizontal="center" vertical="top" wrapText="1"/>
    </xf>
    <xf numFmtId="0" fontId="34" fillId="3" borderId="1" xfId="0" applyFont="1" applyFill="1" applyBorder="1"/>
    <xf numFmtId="164" fontId="5" fillId="3" borderId="46" xfId="0" applyNumberFormat="1" applyFont="1" applyFill="1" applyBorder="1" applyAlignment="1">
      <alignment wrapText="1"/>
    </xf>
    <xf numFmtId="0" fontId="5" fillId="9" borderId="46" xfId="0" applyFont="1" applyFill="1" applyBorder="1" applyAlignment="1">
      <alignment horizontal="center" vertical="top" wrapText="1"/>
    </xf>
    <xf numFmtId="0" fontId="35" fillId="3" borderId="51" xfId="0" applyFont="1" applyFill="1" applyBorder="1" applyAlignment="1">
      <alignment wrapText="1"/>
    </xf>
    <xf numFmtId="164" fontId="5" fillId="3" borderId="52" xfId="0" applyNumberFormat="1" applyFont="1" applyFill="1" applyBorder="1" applyAlignment="1">
      <alignment horizontal="center" vertical="top" wrapText="1"/>
    </xf>
    <xf numFmtId="164" fontId="5" fillId="3" borderId="39" xfId="0" applyNumberFormat="1" applyFont="1" applyFill="1" applyBorder="1" applyAlignment="1">
      <alignment horizontal="center" vertical="top" wrapText="1"/>
    </xf>
    <xf numFmtId="164" fontId="5" fillId="3" borderId="51" xfId="0" applyNumberFormat="1" applyFont="1" applyFill="1" applyBorder="1" applyAlignment="1">
      <alignment horizontal="center" vertical="top" wrapText="1"/>
    </xf>
    <xf numFmtId="0" fontId="34" fillId="0" borderId="33" xfId="0" applyFont="1" applyBorder="1"/>
    <xf numFmtId="0" fontId="6" fillId="3" borderId="53" xfId="0" applyFont="1" applyFill="1" applyBorder="1" applyAlignment="1">
      <alignment vertical="top" wrapText="1"/>
    </xf>
    <xf numFmtId="164" fontId="5" fillId="3" borderId="38" xfId="0" applyNumberFormat="1" applyFont="1" applyFill="1" applyBorder="1" applyAlignment="1">
      <alignment horizontal="center" vertical="top" wrapText="1"/>
    </xf>
    <xf numFmtId="0" fontId="5" fillId="9" borderId="36" xfId="0" applyFont="1" applyFill="1" applyBorder="1" applyAlignment="1">
      <alignment horizontal="center" vertical="top" wrapText="1"/>
    </xf>
    <xf numFmtId="0" fontId="5" fillId="9" borderId="54" xfId="0" applyFont="1" applyFill="1" applyBorder="1" applyAlignment="1">
      <alignment horizontal="center" vertical="top" wrapText="1"/>
    </xf>
    <xf numFmtId="0" fontId="5" fillId="9" borderId="48" xfId="0" applyFont="1" applyFill="1" applyBorder="1" applyAlignment="1">
      <alignment horizontal="center" vertical="top" wrapText="1"/>
    </xf>
    <xf numFmtId="0" fontId="5" fillId="3" borderId="55" xfId="0" applyFont="1" applyFill="1" applyBorder="1" applyAlignment="1">
      <alignment vertical="top" wrapText="1"/>
    </xf>
    <xf numFmtId="0" fontId="25" fillId="3" borderId="36" xfId="0" applyFont="1" applyFill="1" applyBorder="1" applyAlignment="1">
      <alignment vertical="top" wrapText="1"/>
    </xf>
    <xf numFmtId="164" fontId="23" fillId="3" borderId="36" xfId="0" applyNumberFormat="1" applyFont="1" applyFill="1" applyBorder="1" applyAlignment="1">
      <alignment horizontal="center" vertical="top" wrapText="1"/>
    </xf>
    <xf numFmtId="164" fontId="6" fillId="3" borderId="56" xfId="0" applyNumberFormat="1" applyFont="1" applyFill="1" applyBorder="1" applyAlignment="1">
      <alignment wrapText="1"/>
    </xf>
    <xf numFmtId="0" fontId="24" fillId="0" borderId="33" xfId="0" applyFont="1" applyBorder="1" applyAlignment="1">
      <alignment vertical="top" wrapText="1"/>
    </xf>
    <xf numFmtId="164" fontId="23" fillId="3" borderId="33" xfId="0" applyNumberFormat="1" applyFont="1" applyFill="1" applyBorder="1" applyAlignment="1">
      <alignment horizontal="center" vertical="top" wrapText="1"/>
    </xf>
    <xf numFmtId="0" fontId="23" fillId="9" borderId="33" xfId="0" applyFont="1" applyFill="1" applyBorder="1" applyAlignment="1">
      <alignment horizontal="center" vertical="top" wrapText="1"/>
    </xf>
    <xf numFmtId="0" fontId="25" fillId="0" borderId="36" xfId="0" applyFont="1" applyBorder="1" applyAlignment="1">
      <alignment vertical="top" wrapText="1"/>
    </xf>
    <xf numFmtId="164" fontId="28" fillId="0" borderId="54" xfId="0" applyNumberFormat="1" applyFont="1" applyBorder="1" applyAlignment="1">
      <alignment horizontal="center" vertical="top" wrapText="1"/>
    </xf>
    <xf numFmtId="164" fontId="23" fillId="0" borderId="33" xfId="0" applyNumberFormat="1" applyFont="1" applyBorder="1" applyAlignment="1">
      <alignment horizontal="center" vertical="top" wrapText="1"/>
    </xf>
    <xf numFmtId="164" fontId="1" fillId="0" borderId="42" xfId="0" applyNumberFormat="1" applyFont="1" applyBorder="1" applyAlignment="1">
      <alignment horizontal="center" vertical="top" wrapText="1"/>
    </xf>
    <xf numFmtId="0" fontId="14" fillId="8" borderId="1" xfId="0" applyFont="1" applyFill="1" applyBorder="1"/>
    <xf numFmtId="0" fontId="14" fillId="8" borderId="4" xfId="0" applyFont="1" applyFill="1" applyBorder="1"/>
    <xf numFmtId="166" fontId="5" fillId="7" borderId="4" xfId="0" applyNumberFormat="1" applyFont="1" applyFill="1" applyBorder="1" applyAlignment="1">
      <alignment horizontal="center" vertical="top"/>
    </xf>
    <xf numFmtId="164" fontId="5" fillId="7" borderId="4" xfId="0" applyNumberFormat="1" applyFont="1" applyFill="1" applyBorder="1" applyAlignment="1">
      <alignment horizontal="center" vertical="top"/>
    </xf>
    <xf numFmtId="0" fontId="6" fillId="0" borderId="33" xfId="0" applyFont="1" applyBorder="1" applyAlignment="1">
      <alignment vertical="top" wrapText="1"/>
    </xf>
    <xf numFmtId="0" fontId="6" fillId="0" borderId="33" xfId="0" applyFont="1" applyBorder="1" applyAlignment="1">
      <alignment horizontal="center" vertical="top" wrapText="1"/>
    </xf>
    <xf numFmtId="166" fontId="6" fillId="0" borderId="33" xfId="0" applyNumberFormat="1" applyFont="1" applyBorder="1" applyAlignment="1">
      <alignment horizontal="center" vertical="top" wrapText="1"/>
    </xf>
    <xf numFmtId="164" fontId="6" fillId="0" borderId="33" xfId="0" applyNumberFormat="1" applyFont="1" applyBorder="1" applyAlignment="1">
      <alignment horizontal="center" vertical="top" wrapText="1"/>
    </xf>
    <xf numFmtId="0" fontId="11" fillId="0" borderId="37" xfId="0" applyFont="1" applyBorder="1" applyAlignment="1">
      <alignment horizontal="center" vertical="top" wrapText="1"/>
    </xf>
    <xf numFmtId="164" fontId="5" fillId="3" borderId="33" xfId="0" applyNumberFormat="1" applyFont="1" applyFill="1" applyBorder="1" applyAlignment="1">
      <alignment horizontal="center" vertical="top"/>
    </xf>
    <xf numFmtId="0" fontId="5" fillId="3" borderId="37" xfId="0" applyFont="1" applyFill="1" applyBorder="1" applyAlignment="1">
      <alignment horizontal="left" vertical="top" wrapText="1"/>
    </xf>
    <xf numFmtId="164" fontId="6" fillId="3" borderId="33" xfId="0" applyNumberFormat="1" applyFont="1" applyFill="1" applyBorder="1" applyAlignment="1">
      <alignment horizontal="center" vertical="top"/>
    </xf>
    <xf numFmtId="0" fontId="5" fillId="3" borderId="16" xfId="0" applyFont="1" applyFill="1" applyBorder="1" applyAlignment="1">
      <alignment horizontal="center" vertical="top"/>
    </xf>
    <xf numFmtId="0" fontId="5" fillId="3" borderId="5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top"/>
    </xf>
    <xf numFmtId="0" fontId="5" fillId="8" borderId="16" xfId="0" applyFont="1" applyFill="1" applyBorder="1" applyAlignment="1">
      <alignment horizontal="center" vertical="top"/>
    </xf>
    <xf numFmtId="0" fontId="6" fillId="3" borderId="33" xfId="0" applyFont="1" applyFill="1" applyBorder="1" applyAlignment="1">
      <alignment vertical="top" wrapText="1"/>
    </xf>
    <xf numFmtId="166" fontId="6" fillId="3" borderId="33" xfId="0" applyNumberFormat="1" applyFont="1" applyFill="1" applyBorder="1" applyAlignment="1">
      <alignment horizontal="center" vertical="top" wrapText="1"/>
    </xf>
    <xf numFmtId="164" fontId="6" fillId="3" borderId="33" xfId="0" applyNumberFormat="1" applyFont="1" applyFill="1" applyBorder="1" applyAlignment="1">
      <alignment horizontal="center" vertical="top" wrapText="1"/>
    </xf>
    <xf numFmtId="0" fontId="5" fillId="3" borderId="33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8" borderId="1" xfId="0" applyFont="1" applyFill="1" applyBorder="1" applyAlignment="1">
      <alignment horizontal="center" vertical="top"/>
    </xf>
    <xf numFmtId="0" fontId="36" fillId="7" borderId="4" xfId="0" applyFont="1" applyFill="1" applyBorder="1" applyAlignment="1">
      <alignment horizontal="center" vertical="top" wrapText="1"/>
    </xf>
    <xf numFmtId="0" fontId="5" fillId="8" borderId="6" xfId="0" applyFont="1" applyFill="1" applyBorder="1" applyAlignment="1">
      <alignment horizontal="center" vertical="top"/>
    </xf>
    <xf numFmtId="164" fontId="6" fillId="0" borderId="11" xfId="0" applyNumberFormat="1" applyFont="1" applyBorder="1" applyAlignment="1">
      <alignment vertical="top" wrapText="1"/>
    </xf>
    <xf numFmtId="164" fontId="6" fillId="3" borderId="13" xfId="0" applyNumberFormat="1" applyFont="1" applyFill="1" applyBorder="1" applyAlignment="1">
      <alignment horizontal="center" vertical="top" wrapText="1"/>
    </xf>
    <xf numFmtId="0" fontId="5" fillId="8" borderId="14" xfId="0" applyFont="1" applyFill="1" applyBorder="1" applyAlignment="1">
      <alignment horizontal="center" vertical="top"/>
    </xf>
    <xf numFmtId="166" fontId="12" fillId="7" borderId="17" xfId="0" applyNumberFormat="1" applyFont="1" applyFill="1" applyBorder="1" applyAlignment="1">
      <alignment horizontal="center" vertical="top" wrapText="1"/>
    </xf>
    <xf numFmtId="164" fontId="12" fillId="7" borderId="17" xfId="0" applyNumberFormat="1" applyFont="1" applyFill="1" applyBorder="1" applyAlignment="1">
      <alignment horizontal="center" vertical="top" wrapText="1"/>
    </xf>
    <xf numFmtId="164" fontId="12" fillId="7" borderId="23" xfId="0" applyNumberFormat="1" applyFont="1" applyFill="1" applyBorder="1" applyAlignment="1">
      <alignment horizontal="center" vertical="top" wrapText="1"/>
    </xf>
    <xf numFmtId="0" fontId="34" fillId="3" borderId="33" xfId="0" applyFont="1" applyFill="1" applyBorder="1"/>
    <xf numFmtId="164" fontId="12" fillId="8" borderId="13" xfId="0" applyNumberFormat="1" applyFont="1" applyFill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/>
    </xf>
    <xf numFmtId="164" fontId="12" fillId="0" borderId="13" xfId="0" applyNumberFormat="1" applyFont="1" applyBorder="1" applyAlignment="1">
      <alignment vertical="top" wrapText="1"/>
    </xf>
    <xf numFmtId="0" fontId="5" fillId="0" borderId="39" xfId="0" applyFont="1" applyBorder="1" applyAlignment="1">
      <alignment vertical="center" wrapText="1"/>
    </xf>
    <xf numFmtId="166" fontId="12" fillId="3" borderId="39" xfId="0" applyNumberFormat="1" applyFont="1" applyFill="1" applyBorder="1" applyAlignment="1">
      <alignment horizontal="center" vertical="top" wrapText="1"/>
    </xf>
    <xf numFmtId="164" fontId="12" fillId="3" borderId="39" xfId="0" applyNumberFormat="1" applyFont="1" applyFill="1" applyBorder="1" applyAlignment="1">
      <alignment horizontal="center" vertical="top" wrapText="1"/>
    </xf>
    <xf numFmtId="164" fontId="20" fillId="3" borderId="39" xfId="0" applyNumberFormat="1" applyFont="1" applyFill="1" applyBorder="1" applyAlignment="1">
      <alignment horizontal="center" vertical="top" wrapText="1"/>
    </xf>
    <xf numFmtId="164" fontId="20" fillId="3" borderId="51" xfId="0" applyNumberFormat="1" applyFont="1" applyFill="1" applyBorder="1" applyAlignment="1">
      <alignment horizontal="center" vertical="top" wrapText="1"/>
    </xf>
    <xf numFmtId="0" fontId="12" fillId="7" borderId="17" xfId="0" applyFont="1" applyFill="1" applyBorder="1" applyAlignment="1">
      <alignment vertical="top" wrapText="1"/>
    </xf>
    <xf numFmtId="0" fontId="5" fillId="10" borderId="4" xfId="0" applyFont="1" applyFill="1" applyBorder="1" applyAlignment="1">
      <alignment horizontal="center" vertical="top" wrapText="1"/>
    </xf>
    <xf numFmtId="166" fontId="12" fillId="3" borderId="33" xfId="0" applyNumberFormat="1" applyFont="1" applyFill="1" applyBorder="1" applyAlignment="1">
      <alignment horizontal="center" vertical="top" wrapText="1"/>
    </xf>
    <xf numFmtId="164" fontId="12" fillId="3" borderId="33" xfId="0" applyNumberFormat="1" applyFont="1" applyFill="1" applyBorder="1" applyAlignment="1">
      <alignment horizontal="center" vertical="top" wrapText="1"/>
    </xf>
    <xf numFmtId="164" fontId="12" fillId="3" borderId="13" xfId="0" applyNumberFormat="1" applyFont="1" applyFill="1" applyBorder="1" applyAlignment="1">
      <alignment horizontal="center" vertical="top" wrapText="1"/>
    </xf>
    <xf numFmtId="164" fontId="12" fillId="3" borderId="51" xfId="0" applyNumberFormat="1" applyFont="1" applyFill="1" applyBorder="1" applyAlignment="1">
      <alignment horizontal="center" vertical="top" wrapText="1"/>
    </xf>
    <xf numFmtId="0" fontId="6" fillId="12" borderId="4" xfId="0" applyFont="1" applyFill="1" applyBorder="1" applyAlignment="1">
      <alignment vertical="top"/>
    </xf>
    <xf numFmtId="166" fontId="6" fillId="12" borderId="4" xfId="0" applyNumberFormat="1" applyFont="1" applyFill="1" applyBorder="1" applyAlignment="1">
      <alignment vertical="top"/>
    </xf>
    <xf numFmtId="164" fontId="6" fillId="12" borderId="4" xfId="0" applyNumberFormat="1" applyFont="1" applyFill="1" applyBorder="1" applyAlignment="1">
      <alignment vertical="top"/>
    </xf>
    <xf numFmtId="0" fontId="6" fillId="14" borderId="1" xfId="0" applyFont="1" applyFill="1" applyBorder="1" applyAlignment="1">
      <alignment horizontal="center" vertical="top"/>
    </xf>
    <xf numFmtId="0" fontId="6" fillId="14" borderId="5" xfId="0" applyFont="1" applyFill="1" applyBorder="1" applyAlignment="1">
      <alignment horizontal="center" vertical="top"/>
    </xf>
    <xf numFmtId="49" fontId="5" fillId="3" borderId="5" xfId="0" applyNumberFormat="1" applyFont="1" applyFill="1" applyBorder="1" applyAlignment="1">
      <alignment horizontal="center" vertical="top"/>
    </xf>
    <xf numFmtId="49" fontId="29" fillId="3" borderId="5" xfId="0" applyNumberFormat="1" applyFont="1" applyFill="1" applyBorder="1" applyAlignment="1">
      <alignment horizontal="center" vertical="top"/>
    </xf>
    <xf numFmtId="49" fontId="5" fillId="8" borderId="5" xfId="0" applyNumberFormat="1" applyFont="1" applyFill="1" applyBorder="1" applyAlignment="1">
      <alignment horizontal="center" vertical="top"/>
    </xf>
    <xf numFmtId="0" fontId="6" fillId="12" borderId="33" xfId="0" applyFont="1" applyFill="1" applyBorder="1" applyAlignment="1">
      <alignment vertical="top"/>
    </xf>
    <xf numFmtId="166" fontId="6" fillId="12" borderId="33" xfId="0" applyNumberFormat="1" applyFont="1" applyFill="1" applyBorder="1" applyAlignment="1">
      <alignment vertical="top"/>
    </xf>
    <xf numFmtId="164" fontId="6" fillId="12" borderId="33" xfId="0" applyNumberFormat="1" applyFont="1" applyFill="1" applyBorder="1" applyAlignment="1">
      <alignment vertical="top"/>
    </xf>
    <xf numFmtId="0" fontId="5" fillId="12" borderId="34" xfId="0" applyFont="1" applyFill="1" applyBorder="1" applyAlignment="1">
      <alignment horizontal="center" vertical="top"/>
    </xf>
    <xf numFmtId="0" fontId="5" fillId="3" borderId="37" xfId="0" applyFont="1" applyFill="1" applyBorder="1" applyAlignment="1">
      <alignment horizontal="center" vertical="top" wrapText="1"/>
    </xf>
    <xf numFmtId="166" fontId="5" fillId="3" borderId="33" xfId="0" applyNumberFormat="1" applyFont="1" applyFill="1" applyBorder="1" applyAlignment="1">
      <alignment horizontal="center" vertical="top" wrapText="1"/>
    </xf>
    <xf numFmtId="49" fontId="5" fillId="3" borderId="34" xfId="0" applyNumberFormat="1" applyFont="1" applyFill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14" fillId="3" borderId="45" xfId="0" applyFont="1" applyFill="1" applyBorder="1"/>
    <xf numFmtId="0" fontId="5" fillId="3" borderId="5" xfId="0" applyFont="1" applyFill="1" applyBorder="1"/>
    <xf numFmtId="166" fontId="29" fillId="5" borderId="33" xfId="0" applyNumberFormat="1" applyFont="1" applyFill="1" applyBorder="1" applyAlignment="1">
      <alignment horizontal="center" vertical="top" wrapText="1"/>
    </xf>
    <xf numFmtId="0" fontId="5" fillId="3" borderId="34" xfId="0" applyFont="1" applyFill="1" applyBorder="1" applyAlignment="1">
      <alignment horizontal="center" vertical="top"/>
    </xf>
    <xf numFmtId="0" fontId="5" fillId="3" borderId="34" xfId="0" applyFont="1" applyFill="1" applyBorder="1"/>
    <xf numFmtId="166" fontId="24" fillId="3" borderId="36" xfId="0" applyNumberFormat="1" applyFont="1" applyFill="1" applyBorder="1" applyAlignment="1">
      <alignment horizontal="center" vertical="top" wrapText="1"/>
    </xf>
    <xf numFmtId="164" fontId="5" fillId="3" borderId="36" xfId="0" applyNumberFormat="1" applyFont="1" applyFill="1" applyBorder="1" applyAlignment="1">
      <alignment horizontal="center" vertical="top" wrapText="1"/>
    </xf>
    <xf numFmtId="49" fontId="5" fillId="3" borderId="46" xfId="0" applyNumberFormat="1" applyFont="1" applyFill="1" applyBorder="1" applyAlignment="1">
      <alignment horizontal="center" vertical="top"/>
    </xf>
    <xf numFmtId="0" fontId="24" fillId="3" borderId="33" xfId="0" applyFont="1" applyFill="1" applyBorder="1" applyAlignment="1">
      <alignment vertical="top" wrapText="1"/>
    </xf>
    <xf numFmtId="0" fontId="19" fillId="3" borderId="33" xfId="0" applyFont="1" applyFill="1" applyBorder="1" applyAlignment="1">
      <alignment horizontal="center" vertical="top" wrapText="1"/>
    </xf>
    <xf numFmtId="166" fontId="24" fillId="3" borderId="33" xfId="0" applyNumberFormat="1" applyFont="1" applyFill="1" applyBorder="1" applyAlignment="1">
      <alignment horizontal="center" vertical="top" wrapText="1"/>
    </xf>
    <xf numFmtId="49" fontId="1" fillId="3" borderId="34" xfId="0" applyNumberFormat="1" applyFont="1" applyFill="1" applyBorder="1" applyAlignment="1">
      <alignment horizontal="center" vertical="top"/>
    </xf>
    <xf numFmtId="49" fontId="29" fillId="3" borderId="34" xfId="0" applyNumberFormat="1" applyFont="1" applyFill="1" applyBorder="1" applyAlignment="1">
      <alignment horizontal="center" vertical="top"/>
    </xf>
    <xf numFmtId="0" fontId="24" fillId="3" borderId="19" xfId="0" applyFont="1" applyFill="1" applyBorder="1" applyAlignment="1">
      <alignment vertical="top" wrapText="1"/>
    </xf>
    <xf numFmtId="166" fontId="24" fillId="3" borderId="25" xfId="0" applyNumberFormat="1" applyFont="1" applyFill="1" applyBorder="1" applyAlignment="1">
      <alignment horizontal="center" vertical="top" wrapText="1"/>
    </xf>
    <xf numFmtId="164" fontId="24" fillId="3" borderId="35" xfId="0" applyNumberFormat="1" applyFont="1" applyFill="1" applyBorder="1" applyAlignment="1">
      <alignment horizontal="center" vertical="top" wrapText="1"/>
    </xf>
    <xf numFmtId="166" fontId="24" fillId="3" borderId="42" xfId="0" applyNumberFormat="1" applyFont="1" applyFill="1" applyBorder="1" applyAlignment="1">
      <alignment horizontal="center" vertical="top" wrapText="1"/>
    </xf>
    <xf numFmtId="164" fontId="5" fillId="0" borderId="23" xfId="0" applyNumberFormat="1" applyFont="1" applyBorder="1" applyAlignment="1">
      <alignment horizontal="center" vertical="top" wrapText="1"/>
    </xf>
    <xf numFmtId="1" fontId="5" fillId="0" borderId="5" xfId="0" applyNumberFormat="1" applyFont="1" applyBorder="1" applyAlignment="1">
      <alignment horizontal="center" vertical="top"/>
    </xf>
    <xf numFmtId="2" fontId="5" fillId="0" borderId="5" xfId="0" applyNumberFormat="1" applyFont="1" applyBorder="1" applyAlignment="1">
      <alignment horizontal="center" vertical="top"/>
    </xf>
    <xf numFmtId="49" fontId="5" fillId="3" borderId="30" xfId="0" applyNumberFormat="1" applyFont="1" applyFill="1" applyBorder="1" applyAlignment="1">
      <alignment horizontal="center" vertical="top"/>
    </xf>
    <xf numFmtId="164" fontId="24" fillId="3" borderId="13" xfId="0" applyNumberFormat="1" applyFont="1" applyFill="1" applyBorder="1" applyAlignment="1">
      <alignment horizontal="center" vertical="top" wrapText="1"/>
    </xf>
    <xf numFmtId="164" fontId="5" fillId="3" borderId="12" xfId="0" applyNumberFormat="1" applyFont="1" applyFill="1" applyBorder="1" applyAlignment="1">
      <alignment horizontal="center" vertical="top" wrapText="1"/>
    </xf>
    <xf numFmtId="166" fontId="5" fillId="0" borderId="4" xfId="0" applyNumberFormat="1" applyFont="1" applyBorder="1" applyAlignment="1">
      <alignment horizontal="center" vertical="top" wrapText="1"/>
    </xf>
    <xf numFmtId="164" fontId="5" fillId="0" borderId="4" xfId="0" applyNumberFormat="1" applyFont="1" applyBorder="1" applyAlignment="1">
      <alignment horizontal="center" vertical="top" wrapText="1"/>
    </xf>
    <xf numFmtId="0" fontId="24" fillId="3" borderId="42" xfId="0" applyFont="1" applyFill="1" applyBorder="1" applyAlignment="1">
      <alignment vertical="top" wrapText="1"/>
    </xf>
    <xf numFmtId="0" fontId="24" fillId="3" borderId="39" xfId="0" applyFont="1" applyFill="1" applyBorder="1" applyAlignment="1">
      <alignment vertical="top" wrapText="1"/>
    </xf>
    <xf numFmtId="166" fontId="24" fillId="3" borderId="34" xfId="0" applyNumberFormat="1" applyFont="1" applyFill="1" applyBorder="1" applyAlignment="1">
      <alignment horizontal="center" vertical="top" wrapText="1"/>
    </xf>
    <xf numFmtId="164" fontId="5" fillId="3" borderId="42" xfId="0" applyNumberFormat="1" applyFont="1" applyFill="1" applyBorder="1" applyAlignment="1">
      <alignment horizontal="center" vertical="top" wrapText="1"/>
    </xf>
    <xf numFmtId="166" fontId="5" fillId="0" borderId="33" xfId="0" applyNumberFormat="1" applyFont="1" applyBorder="1" applyAlignment="1">
      <alignment horizontal="center" vertical="top" wrapText="1"/>
    </xf>
    <xf numFmtId="164" fontId="5" fillId="0" borderId="33" xfId="0" applyNumberFormat="1" applyFont="1" applyBorder="1" applyAlignment="1">
      <alignment horizontal="center" vertical="top" wrapText="1"/>
    </xf>
    <xf numFmtId="166" fontId="24" fillId="0" borderId="24" xfId="0" applyNumberFormat="1" applyFont="1" applyBorder="1" applyAlignment="1">
      <alignment horizontal="center" vertical="top" wrapText="1"/>
    </xf>
    <xf numFmtId="164" fontId="24" fillId="3" borderId="14" xfId="0" applyNumberFormat="1" applyFont="1" applyFill="1" applyBorder="1" applyAlignment="1">
      <alignment horizontal="center" vertical="top" wrapText="1"/>
    </xf>
    <xf numFmtId="0" fontId="24" fillId="0" borderId="12" xfId="0" applyFont="1" applyBorder="1" applyAlignment="1">
      <alignment vertical="top" wrapText="1"/>
    </xf>
    <xf numFmtId="0" fontId="24" fillId="3" borderId="17" xfId="0" applyFont="1" applyFill="1" applyBorder="1" applyAlignment="1">
      <alignment vertical="top" wrapText="1"/>
    </xf>
    <xf numFmtId="166" fontId="24" fillId="0" borderId="16" xfId="0" applyNumberFormat="1" applyFont="1" applyBorder="1" applyAlignment="1">
      <alignment horizontal="center" vertical="top" wrapText="1"/>
    </xf>
    <xf numFmtId="166" fontId="24" fillId="0" borderId="1" xfId="0" applyNumberFormat="1" applyFont="1" applyBorder="1" applyAlignment="1">
      <alignment horizontal="center" vertical="top" wrapText="1"/>
    </xf>
    <xf numFmtId="164" fontId="24" fillId="0" borderId="1" xfId="0" applyNumberFormat="1" applyFont="1" applyBorder="1" applyAlignment="1">
      <alignment horizontal="center" vertical="top" wrapText="1"/>
    </xf>
    <xf numFmtId="0" fontId="5" fillId="0" borderId="39" xfId="0" applyFont="1" applyBorder="1" applyAlignment="1">
      <alignment vertical="top" wrapText="1"/>
    </xf>
    <xf numFmtId="166" fontId="5" fillId="3" borderId="36" xfId="0" applyNumberFormat="1" applyFont="1" applyFill="1" applyBorder="1" applyAlignment="1">
      <alignment horizontal="center" vertical="top" wrapText="1"/>
    </xf>
    <xf numFmtId="49" fontId="5" fillId="3" borderId="36" xfId="0" applyNumberFormat="1" applyFont="1" applyFill="1" applyBorder="1" applyAlignment="1">
      <alignment horizontal="center" vertical="top"/>
    </xf>
    <xf numFmtId="0" fontId="5" fillId="3" borderId="16" xfId="0" applyFont="1" applyFill="1" applyBorder="1" applyAlignment="1">
      <alignment horizontal="center" vertical="center"/>
    </xf>
    <xf numFmtId="3" fontId="5" fillId="3" borderId="16" xfId="0" applyNumberFormat="1" applyFont="1" applyFill="1" applyBorder="1" applyAlignment="1">
      <alignment horizontal="center" vertical="center"/>
    </xf>
    <xf numFmtId="0" fontId="11" fillId="3" borderId="52" xfId="0" applyFont="1" applyFill="1" applyBorder="1" applyAlignment="1">
      <alignment vertical="top" wrapText="1"/>
    </xf>
    <xf numFmtId="0" fontId="29" fillId="0" borderId="5" xfId="0" applyFont="1" applyBorder="1" applyAlignment="1">
      <alignment horizontal="center" vertical="top"/>
    </xf>
    <xf numFmtId="0" fontId="6" fillId="3" borderId="58" xfId="0" applyFont="1" applyFill="1" applyBorder="1" applyAlignment="1">
      <alignment vertical="top" wrapText="1"/>
    </xf>
    <xf numFmtId="0" fontId="24" fillId="3" borderId="40" xfId="0" applyFont="1" applyFill="1" applyBorder="1" applyAlignment="1">
      <alignment horizontal="center" vertical="top" wrapText="1"/>
    </xf>
    <xf numFmtId="166" fontId="5" fillId="0" borderId="59" xfId="0" applyNumberFormat="1" applyFont="1" applyBorder="1" applyAlignment="1">
      <alignment horizontal="center" vertical="top" wrapText="1"/>
    </xf>
    <xf numFmtId="164" fontId="5" fillId="3" borderId="59" xfId="0" applyNumberFormat="1" applyFont="1" applyFill="1" applyBorder="1" applyAlignment="1">
      <alignment horizontal="center" vertical="top" wrapText="1"/>
    </xf>
    <xf numFmtId="164" fontId="29" fillId="3" borderId="59" xfId="0" applyNumberFormat="1" applyFont="1" applyFill="1" applyBorder="1" applyAlignment="1">
      <alignment horizontal="center" vertical="top" wrapText="1"/>
    </xf>
    <xf numFmtId="164" fontId="5" fillId="5" borderId="33" xfId="0" applyNumberFormat="1" applyFont="1" applyFill="1" applyBorder="1" applyAlignment="1">
      <alignment horizontal="center" vertical="top" wrapText="1"/>
    </xf>
    <xf numFmtId="0" fontId="6" fillId="9" borderId="36" xfId="0" applyFont="1" applyFill="1" applyBorder="1" applyAlignment="1">
      <alignment horizontal="left" vertical="top" wrapText="1"/>
    </xf>
    <xf numFmtId="164" fontId="5" fillId="3" borderId="54" xfId="0" applyNumberFormat="1" applyFont="1" applyFill="1" applyBorder="1" applyAlignment="1">
      <alignment horizontal="center" vertical="top" wrapText="1"/>
    </xf>
    <xf numFmtId="0" fontId="5" fillId="9" borderId="37" xfId="0" applyFont="1" applyFill="1" applyBorder="1" applyAlignment="1">
      <alignment horizontal="left" vertical="top" wrapText="1"/>
    </xf>
    <xf numFmtId="1" fontId="5" fillId="3" borderId="5" xfId="0" applyNumberFormat="1" applyFont="1" applyFill="1" applyBorder="1" applyAlignment="1">
      <alignment horizontal="center" vertical="top"/>
    </xf>
    <xf numFmtId="49" fontId="5" fillId="0" borderId="5" xfId="0" applyNumberFormat="1" applyFont="1" applyBorder="1" applyAlignment="1">
      <alignment horizontal="center" vertical="top"/>
    </xf>
    <xf numFmtId="164" fontId="29" fillId="3" borderId="42" xfId="0" applyNumberFormat="1" applyFont="1" applyFill="1" applyBorder="1" applyAlignment="1">
      <alignment horizontal="center" vertical="top" wrapText="1"/>
    </xf>
    <xf numFmtId="164" fontId="11" fillId="3" borderId="54" xfId="0" applyNumberFormat="1" applyFont="1" applyFill="1" applyBorder="1" applyAlignment="1">
      <alignment horizontal="center" vertical="top" wrapText="1"/>
    </xf>
    <xf numFmtId="164" fontId="11" fillId="3" borderId="42" xfId="0" applyNumberFormat="1" applyFont="1" applyFill="1" applyBorder="1" applyAlignment="1">
      <alignment horizontal="center" vertical="top" wrapText="1"/>
    </xf>
    <xf numFmtId="164" fontId="6" fillId="8" borderId="12" xfId="0" applyNumberFormat="1" applyFont="1" applyFill="1" applyBorder="1" applyAlignment="1">
      <alignment horizontal="center" vertical="top" wrapText="1"/>
    </xf>
    <xf numFmtId="0" fontId="6" fillId="3" borderId="33" xfId="0" applyFont="1" applyFill="1" applyBorder="1" applyAlignment="1">
      <alignment horizontal="center" vertical="top" wrapText="1"/>
    </xf>
    <xf numFmtId="4" fontId="6" fillId="3" borderId="33" xfId="0" applyNumberFormat="1" applyFont="1" applyFill="1" applyBorder="1" applyAlignment="1">
      <alignment horizontal="center" vertical="top" wrapText="1"/>
    </xf>
    <xf numFmtId="166" fontId="5" fillId="9" borderId="33" xfId="0" applyNumberFormat="1" applyFont="1" applyFill="1" applyBorder="1" applyAlignment="1">
      <alignment horizontal="center" vertical="top" wrapText="1"/>
    </xf>
    <xf numFmtId="0" fontId="37" fillId="3" borderId="4" xfId="0" applyFont="1" applyFill="1" applyBorder="1" applyAlignment="1">
      <alignment vertical="top" wrapText="1"/>
    </xf>
    <xf numFmtId="49" fontId="5" fillId="3" borderId="6" xfId="0" applyNumberFormat="1" applyFont="1" applyFill="1" applyBorder="1" applyAlignment="1">
      <alignment horizontal="center" vertical="top"/>
    </xf>
    <xf numFmtId="0" fontId="6" fillId="3" borderId="36" xfId="0" applyFont="1" applyFill="1" applyBorder="1" applyAlignment="1">
      <alignment horizontal="left" vertical="top" wrapText="1"/>
    </xf>
    <xf numFmtId="166" fontId="29" fillId="3" borderId="3" xfId="0" applyNumberFormat="1" applyFont="1" applyFill="1" applyBorder="1" applyAlignment="1">
      <alignment horizontal="center" vertical="top" wrapText="1"/>
    </xf>
    <xf numFmtId="164" fontId="29" fillId="3" borderId="3" xfId="0" applyNumberFormat="1" applyFont="1" applyFill="1" applyBorder="1" applyAlignment="1">
      <alignment horizontal="center" vertical="top" wrapText="1"/>
    </xf>
    <xf numFmtId="49" fontId="5" fillId="3" borderId="39" xfId="0" applyNumberFormat="1" applyFont="1" applyFill="1" applyBorder="1" applyAlignment="1">
      <alignment horizontal="center" vertical="top"/>
    </xf>
    <xf numFmtId="4" fontId="12" fillId="8" borderId="4" xfId="0" applyNumberFormat="1" applyFont="1" applyFill="1" applyBorder="1" applyAlignment="1">
      <alignment horizontal="center" vertical="top" wrapText="1"/>
    </xf>
    <xf numFmtId="164" fontId="12" fillId="8" borderId="4" xfId="0" applyNumberFormat="1" applyFont="1" applyFill="1" applyBorder="1" applyAlignment="1">
      <alignment horizontal="center" vertical="top" wrapText="1"/>
    </xf>
    <xf numFmtId="166" fontId="29" fillId="3" borderId="33" xfId="0" applyNumberFormat="1" applyFont="1" applyFill="1" applyBorder="1" applyAlignment="1">
      <alignment horizontal="center" vertical="top" wrapText="1"/>
    </xf>
    <xf numFmtId="164" fontId="5" fillId="7" borderId="13" xfId="0" applyNumberFormat="1" applyFont="1" applyFill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/>
    </xf>
    <xf numFmtId="49" fontId="5" fillId="3" borderId="14" xfId="0" applyNumberFormat="1" applyFont="1" applyFill="1" applyBorder="1" applyAlignment="1">
      <alignment horizontal="center" vertical="top"/>
    </xf>
    <xf numFmtId="49" fontId="1" fillId="3" borderId="14" xfId="0" applyNumberFormat="1" applyFont="1" applyFill="1" applyBorder="1" applyAlignment="1">
      <alignment horizontal="center" vertical="top"/>
    </xf>
    <xf numFmtId="0" fontId="27" fillId="3" borderId="17" xfId="0" applyFont="1" applyFill="1" applyBorder="1" applyAlignment="1">
      <alignment vertical="top" wrapText="1"/>
    </xf>
    <xf numFmtId="49" fontId="5" fillId="3" borderId="17" xfId="0" applyNumberFormat="1" applyFont="1" applyFill="1" applyBorder="1" applyAlignment="1">
      <alignment horizontal="center" vertical="top"/>
    </xf>
    <xf numFmtId="49" fontId="1" fillId="3" borderId="17" xfId="0" applyNumberFormat="1" applyFont="1" applyFill="1" applyBorder="1" applyAlignment="1">
      <alignment horizontal="center" vertical="top"/>
    </xf>
    <xf numFmtId="49" fontId="5" fillId="0" borderId="39" xfId="0" applyNumberFormat="1" applyFont="1" applyBorder="1" applyAlignment="1">
      <alignment horizontal="center" vertical="top"/>
    </xf>
    <xf numFmtId="0" fontId="6" fillId="12" borderId="4" xfId="0" applyFont="1" applyFill="1" applyBorder="1" applyAlignment="1">
      <alignment horizontal="center" vertical="top" wrapText="1"/>
    </xf>
    <xf numFmtId="0" fontId="5" fillId="3" borderId="13" xfId="0" applyFont="1" applyFill="1" applyBorder="1" applyAlignment="1">
      <alignment horizontal="center" vertical="top" wrapText="1"/>
    </xf>
    <xf numFmtId="166" fontId="5" fillId="3" borderId="33" xfId="0" applyNumberFormat="1" applyFont="1" applyFill="1" applyBorder="1" applyAlignment="1">
      <alignment horizontal="center" vertical="top"/>
    </xf>
    <xf numFmtId="0" fontId="5" fillId="3" borderId="47" xfId="0" applyFont="1" applyFill="1" applyBorder="1" applyAlignment="1">
      <alignment horizontal="center" vertical="top" wrapText="1"/>
    </xf>
    <xf numFmtId="0" fontId="5" fillId="3" borderId="45" xfId="0" applyFont="1" applyFill="1" applyBorder="1" applyAlignment="1">
      <alignment horizontal="center" vertical="top" wrapText="1"/>
    </xf>
    <xf numFmtId="0" fontId="27" fillId="3" borderId="36" xfId="0" applyFont="1" applyFill="1" applyBorder="1" applyAlignment="1">
      <alignment vertical="top" wrapText="1"/>
    </xf>
    <xf numFmtId="166" fontId="5" fillId="3" borderId="33" xfId="1" applyNumberFormat="1" applyFont="1" applyFill="1" applyBorder="1" applyAlignment="1">
      <alignment horizontal="center" vertical="top"/>
    </xf>
    <xf numFmtId="164" fontId="1" fillId="3" borderId="33" xfId="1" applyNumberFormat="1" applyFont="1" applyFill="1" applyBorder="1" applyAlignment="1">
      <alignment horizontal="center" vertical="top"/>
    </xf>
    <xf numFmtId="164" fontId="5" fillId="3" borderId="33" xfId="1" applyNumberFormat="1" applyFont="1" applyFill="1" applyBorder="1" applyAlignment="1">
      <alignment horizontal="center" vertical="top"/>
    </xf>
    <xf numFmtId="164" fontId="3" fillId="8" borderId="17" xfId="0" applyNumberFormat="1" applyFont="1" applyFill="1" applyBorder="1" applyAlignment="1">
      <alignment horizontal="center" vertical="top"/>
    </xf>
    <xf numFmtId="164" fontId="3" fillId="8" borderId="23" xfId="0" applyNumberFormat="1" applyFont="1" applyFill="1" applyBorder="1" applyAlignment="1">
      <alignment horizontal="center" vertical="top"/>
    </xf>
    <xf numFmtId="164" fontId="6" fillId="6" borderId="12" xfId="1" applyNumberFormat="1" applyFont="1" applyFill="1" applyBorder="1" applyAlignment="1">
      <alignment horizontal="center" vertical="top"/>
    </xf>
    <xf numFmtId="164" fontId="20" fillId="5" borderId="10" xfId="0" applyNumberFormat="1" applyFont="1" applyFill="1" applyBorder="1" applyAlignment="1">
      <alignment horizontal="center" vertical="top"/>
    </xf>
    <xf numFmtId="166" fontId="11" fillId="7" borderId="4" xfId="0" applyNumberFormat="1" applyFont="1" applyFill="1" applyBorder="1" applyAlignment="1">
      <alignment horizontal="center" vertical="top"/>
    </xf>
    <xf numFmtId="164" fontId="11" fillId="7" borderId="4" xfId="0" applyNumberFormat="1" applyFont="1" applyFill="1" applyBorder="1" applyAlignment="1">
      <alignment horizontal="center" vertical="top"/>
    </xf>
    <xf numFmtId="164" fontId="11" fillId="7" borderId="12" xfId="0" applyNumberFormat="1" applyFont="1" applyFill="1" applyBorder="1" applyAlignment="1">
      <alignment horizontal="center" vertical="top"/>
    </xf>
    <xf numFmtId="164" fontId="20" fillId="5" borderId="33" xfId="0" applyNumberFormat="1" applyFont="1" applyFill="1" applyBorder="1" applyAlignment="1">
      <alignment horizontal="center" vertical="top"/>
    </xf>
    <xf numFmtId="164" fontId="20" fillId="5" borderId="42" xfId="0" applyNumberFormat="1" applyFont="1" applyFill="1" applyBorder="1" applyAlignment="1">
      <alignment horizontal="center" vertical="top"/>
    </xf>
    <xf numFmtId="166" fontId="5" fillId="3" borderId="4" xfId="1" applyNumberFormat="1" applyFont="1" applyFill="1" applyBorder="1" applyAlignment="1">
      <alignment horizontal="center" vertical="top"/>
    </xf>
    <xf numFmtId="164" fontId="5" fillId="3" borderId="4" xfId="1" applyNumberFormat="1" applyFont="1" applyFill="1" applyBorder="1" applyAlignment="1">
      <alignment horizontal="center" vertical="top"/>
    </xf>
    <xf numFmtId="166" fontId="5" fillId="0" borderId="33" xfId="1" applyNumberFormat="1" applyFont="1" applyBorder="1" applyAlignment="1">
      <alignment horizontal="center" vertical="top"/>
    </xf>
    <xf numFmtId="0" fontId="11" fillId="0" borderId="33" xfId="0" applyFont="1" applyBorder="1" applyAlignment="1">
      <alignment vertical="top" wrapText="1"/>
    </xf>
    <xf numFmtId="164" fontId="6" fillId="8" borderId="12" xfId="0" applyNumberFormat="1" applyFont="1" applyFill="1" applyBorder="1" applyAlignment="1">
      <alignment horizontal="center" vertical="top"/>
    </xf>
    <xf numFmtId="164" fontId="6" fillId="6" borderId="11" xfId="1" applyNumberFormat="1" applyFont="1" applyFill="1" applyBorder="1" applyAlignment="1">
      <alignment horizontal="center" vertical="top"/>
    </xf>
    <xf numFmtId="164" fontId="6" fillId="5" borderId="13" xfId="0" applyNumberFormat="1" applyFont="1" applyFill="1" applyBorder="1" applyAlignment="1">
      <alignment horizontal="center" vertical="top"/>
    </xf>
    <xf numFmtId="0" fontId="6" fillId="4" borderId="12" xfId="0" applyFont="1" applyFill="1" applyBorder="1" applyAlignment="1">
      <alignment vertical="top" wrapText="1"/>
    </xf>
    <xf numFmtId="164" fontId="6" fillId="4" borderId="12" xfId="0" applyNumberFormat="1" applyFont="1" applyFill="1" applyBorder="1" applyAlignment="1">
      <alignment vertical="top" wrapText="1"/>
    </xf>
    <xf numFmtId="49" fontId="6" fillId="0" borderId="42" xfId="0" applyNumberFormat="1" applyFont="1" applyBorder="1" applyAlignment="1">
      <alignment horizontal="center" vertical="top" wrapText="1"/>
    </xf>
    <xf numFmtId="166" fontId="12" fillId="5" borderId="39" xfId="0" applyNumberFormat="1" applyFont="1" applyFill="1" applyBorder="1" applyAlignment="1">
      <alignment horizontal="center" vertical="top"/>
    </xf>
    <xf numFmtId="164" fontId="12" fillId="5" borderId="39" xfId="0" applyNumberFormat="1" applyFont="1" applyFill="1" applyBorder="1" applyAlignment="1">
      <alignment horizontal="center" vertical="top"/>
    </xf>
    <xf numFmtId="164" fontId="12" fillId="5" borderId="51" xfId="0" applyNumberFormat="1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center" wrapText="1"/>
    </xf>
    <xf numFmtId="164" fontId="5" fillId="3" borderId="30" xfId="0" applyNumberFormat="1" applyFont="1" applyFill="1" applyBorder="1" applyAlignment="1">
      <alignment horizontal="center" vertical="top"/>
    </xf>
    <xf numFmtId="164" fontId="5" fillId="3" borderId="0" xfId="0" applyNumberFormat="1" applyFont="1" applyFill="1" applyAlignment="1">
      <alignment horizontal="center" vertical="top"/>
    </xf>
    <xf numFmtId="164" fontId="5" fillId="3" borderId="13" xfId="0" applyNumberFormat="1" applyFont="1" applyFill="1" applyBorder="1" applyAlignment="1">
      <alignment horizontal="center" vertical="top"/>
    </xf>
    <xf numFmtId="0" fontId="6" fillId="7" borderId="33" xfId="0" applyFont="1" applyFill="1" applyBorder="1" applyAlignment="1">
      <alignment vertical="top" wrapText="1"/>
    </xf>
    <xf numFmtId="49" fontId="6" fillId="7" borderId="33" xfId="0" applyNumberFormat="1" applyFont="1" applyFill="1" applyBorder="1" applyAlignment="1">
      <alignment horizontal="center" vertical="top" wrapText="1"/>
    </xf>
    <xf numFmtId="166" fontId="6" fillId="7" borderId="33" xfId="0" applyNumberFormat="1" applyFont="1" applyFill="1" applyBorder="1" applyAlignment="1">
      <alignment horizontal="center" vertical="top"/>
    </xf>
    <xf numFmtId="164" fontId="6" fillId="7" borderId="33" xfId="0" applyNumberFormat="1" applyFont="1" applyFill="1" applyBorder="1" applyAlignment="1">
      <alignment horizontal="center" vertical="top"/>
    </xf>
    <xf numFmtId="164" fontId="6" fillId="7" borderId="42" xfId="0" applyNumberFormat="1" applyFont="1" applyFill="1" applyBorder="1" applyAlignment="1">
      <alignment horizontal="center" vertical="top"/>
    </xf>
    <xf numFmtId="0" fontId="14" fillId="7" borderId="33" xfId="0" applyFont="1" applyFill="1" applyBorder="1"/>
    <xf numFmtId="0" fontId="5" fillId="3" borderId="61" xfId="0" applyFont="1" applyFill="1" applyBorder="1" applyAlignment="1">
      <alignment vertical="top" wrapText="1"/>
    </xf>
    <xf numFmtId="166" fontId="5" fillId="3" borderId="39" xfId="0" applyNumberFormat="1" applyFont="1" applyFill="1" applyBorder="1" applyAlignment="1">
      <alignment horizontal="center" vertical="top"/>
    </xf>
    <xf numFmtId="164" fontId="5" fillId="3" borderId="39" xfId="0" applyNumberFormat="1" applyFont="1" applyFill="1" applyBorder="1" applyAlignment="1">
      <alignment horizontal="center" vertical="top"/>
    </xf>
    <xf numFmtId="164" fontId="5" fillId="3" borderId="51" xfId="0" applyNumberFormat="1" applyFont="1" applyFill="1" applyBorder="1" applyAlignment="1">
      <alignment horizontal="center" vertical="top"/>
    </xf>
    <xf numFmtId="164" fontId="5" fillId="3" borderId="34" xfId="0" applyNumberFormat="1" applyFont="1" applyFill="1" applyBorder="1" applyAlignment="1">
      <alignment horizontal="center" vertical="top"/>
    </xf>
    <xf numFmtId="0" fontId="5" fillId="3" borderId="3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top"/>
    </xf>
    <xf numFmtId="0" fontId="5" fillId="3" borderId="15" xfId="0" applyFont="1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top"/>
    </xf>
    <xf numFmtId="1" fontId="5" fillId="3" borderId="16" xfId="0" applyNumberFormat="1" applyFont="1" applyFill="1" applyBorder="1" applyAlignment="1">
      <alignment horizontal="center" vertical="top"/>
    </xf>
    <xf numFmtId="0" fontId="23" fillId="3" borderId="16" xfId="0" applyFont="1" applyFill="1" applyBorder="1" applyAlignment="1">
      <alignment horizontal="center" vertical="center"/>
    </xf>
    <xf numFmtId="0" fontId="5" fillId="3" borderId="62" xfId="0" applyFont="1" applyFill="1" applyBorder="1" applyAlignment="1">
      <alignment vertical="top" wrapText="1"/>
    </xf>
    <xf numFmtId="0" fontId="5" fillId="0" borderId="34" xfId="0" applyFont="1" applyBorder="1" applyAlignment="1">
      <alignment horizontal="center" vertical="center"/>
    </xf>
    <xf numFmtId="164" fontId="5" fillId="0" borderId="33" xfId="0" applyNumberFormat="1" applyFont="1" applyBorder="1" applyAlignment="1">
      <alignment horizontal="center" vertical="top"/>
    </xf>
    <xf numFmtId="164" fontId="5" fillId="0" borderId="34" xfId="0" applyNumberFormat="1" applyFont="1" applyBorder="1" applyAlignment="1">
      <alignment horizontal="center" vertical="top"/>
    </xf>
    <xf numFmtId="0" fontId="5" fillId="3" borderId="33" xfId="0" applyFont="1" applyFill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12" fillId="3" borderId="12" xfId="0" applyFont="1" applyFill="1" applyBorder="1" applyAlignment="1">
      <alignment vertical="top" wrapText="1"/>
    </xf>
    <xf numFmtId="166" fontId="5" fillId="3" borderId="37" xfId="0" applyNumberFormat="1" applyFont="1" applyFill="1" applyBorder="1" applyAlignment="1">
      <alignment horizontal="center" vertical="top"/>
    </xf>
    <xf numFmtId="164" fontId="5" fillId="3" borderId="37" xfId="0" applyNumberFormat="1" applyFont="1" applyFill="1" applyBorder="1" applyAlignment="1">
      <alignment horizontal="center" vertical="top"/>
    </xf>
    <xf numFmtId="164" fontId="5" fillId="3" borderId="47" xfId="0" applyNumberFormat="1" applyFont="1" applyFill="1" applyBorder="1" applyAlignment="1">
      <alignment horizontal="center" vertical="top"/>
    </xf>
    <xf numFmtId="0" fontId="11" fillId="0" borderId="41" xfId="0" applyFont="1" applyBorder="1" applyAlignment="1">
      <alignment vertical="top" wrapText="1"/>
    </xf>
    <xf numFmtId="166" fontId="11" fillId="3" borderId="57" xfId="0" applyNumberFormat="1" applyFont="1" applyFill="1" applyBorder="1" applyAlignment="1">
      <alignment horizontal="center" vertical="top"/>
    </xf>
    <xf numFmtId="164" fontId="11" fillId="3" borderId="33" xfId="0" applyNumberFormat="1" applyFont="1" applyFill="1" applyBorder="1" applyAlignment="1">
      <alignment horizontal="center" vertical="top"/>
    </xf>
    <xf numFmtId="164" fontId="11" fillId="3" borderId="34" xfId="0" applyNumberFormat="1" applyFont="1" applyFill="1" applyBorder="1" applyAlignment="1">
      <alignment horizontal="center" vertical="top"/>
    </xf>
    <xf numFmtId="0" fontId="6" fillId="7" borderId="12" xfId="0" applyFont="1" applyFill="1" applyBorder="1" applyAlignment="1">
      <alignment vertical="top" wrapText="1"/>
    </xf>
    <xf numFmtId="49" fontId="5" fillId="7" borderId="17" xfId="0" applyNumberFormat="1" applyFont="1" applyFill="1" applyBorder="1" applyAlignment="1">
      <alignment horizontal="center" vertical="top" wrapText="1"/>
    </xf>
    <xf numFmtId="49" fontId="6" fillId="0" borderId="37" xfId="0" applyNumberFormat="1" applyFont="1" applyBorder="1" applyAlignment="1">
      <alignment horizontal="center" vertical="top" wrapText="1"/>
    </xf>
    <xf numFmtId="164" fontId="6" fillId="5" borderId="37" xfId="0" applyNumberFormat="1" applyFont="1" applyFill="1" applyBorder="1" applyAlignment="1">
      <alignment horizontal="center" vertical="top"/>
    </xf>
    <xf numFmtId="166" fontId="6" fillId="5" borderId="37" xfId="0" applyNumberFormat="1" applyFont="1" applyFill="1" applyBorder="1" applyAlignment="1">
      <alignment horizontal="center" vertical="top"/>
    </xf>
    <xf numFmtId="164" fontId="6" fillId="3" borderId="37" xfId="0" applyNumberFormat="1" applyFont="1" applyFill="1" applyBorder="1" applyAlignment="1">
      <alignment horizontal="center" vertical="top"/>
    </xf>
    <xf numFmtId="166" fontId="6" fillId="3" borderId="37" xfId="0" applyNumberFormat="1" applyFont="1" applyFill="1" applyBorder="1" applyAlignment="1">
      <alignment horizontal="center" vertical="top"/>
    </xf>
    <xf numFmtId="49" fontId="6" fillId="8" borderId="17" xfId="0" applyNumberFormat="1" applyFont="1" applyFill="1" applyBorder="1" applyAlignment="1">
      <alignment horizontal="center" vertical="top" wrapText="1"/>
    </xf>
    <xf numFmtId="164" fontId="6" fillId="3" borderId="25" xfId="0" applyNumberFormat="1" applyFont="1" applyFill="1" applyBorder="1" applyAlignment="1">
      <alignment horizontal="center" vertical="top"/>
    </xf>
    <xf numFmtId="164" fontId="6" fillId="3" borderId="63" xfId="0" applyNumberFormat="1" applyFont="1" applyFill="1" applyBorder="1" applyAlignment="1">
      <alignment horizontal="center" vertical="top" wrapText="1"/>
    </xf>
    <xf numFmtId="3" fontId="5" fillId="8" borderId="1" xfId="0" applyNumberFormat="1" applyFont="1" applyFill="1" applyBorder="1" applyAlignment="1">
      <alignment horizontal="center" vertical="top" wrapText="1"/>
    </xf>
    <xf numFmtId="0" fontId="5" fillId="8" borderId="5" xfId="0" applyFont="1" applyFill="1" applyBorder="1" applyAlignment="1">
      <alignment horizontal="center" vertical="top" wrapText="1"/>
    </xf>
    <xf numFmtId="0" fontId="6" fillId="8" borderId="3" xfId="0" applyFont="1" applyFill="1" applyBorder="1" applyAlignment="1">
      <alignment vertical="top" wrapText="1"/>
    </xf>
    <xf numFmtId="0" fontId="5" fillId="8" borderId="3" xfId="0" applyFont="1" applyFill="1" applyBorder="1" applyAlignment="1">
      <alignment horizontal="center" vertical="top" wrapText="1"/>
    </xf>
    <xf numFmtId="164" fontId="6" fillId="8" borderId="3" xfId="0" applyNumberFormat="1" applyFont="1" applyFill="1" applyBorder="1" applyAlignment="1">
      <alignment horizontal="center" vertical="top" wrapText="1"/>
    </xf>
    <xf numFmtId="164" fontId="6" fillId="8" borderId="7" xfId="0" applyNumberFormat="1" applyFont="1" applyFill="1" applyBorder="1" applyAlignment="1">
      <alignment horizontal="center" vertical="top" wrapText="1"/>
    </xf>
    <xf numFmtId="164" fontId="6" fillId="5" borderId="10" xfId="0" applyNumberFormat="1" applyFont="1" applyFill="1" applyBorder="1" applyAlignment="1">
      <alignment horizontal="center" vertical="top"/>
    </xf>
    <xf numFmtId="164" fontId="6" fillId="3" borderId="44" xfId="0" applyNumberFormat="1" applyFont="1" applyFill="1" applyBorder="1" applyAlignment="1">
      <alignment horizontal="center" vertical="top"/>
    </xf>
    <xf numFmtId="3" fontId="5" fillId="3" borderId="33" xfId="0" applyNumberFormat="1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46" xfId="0" applyNumberFormat="1" applyFont="1" applyFill="1" applyBorder="1" applyAlignment="1">
      <alignment horizontal="center" vertical="center"/>
    </xf>
    <xf numFmtId="164" fontId="5" fillId="0" borderId="0" xfId="0" applyNumberFormat="1" applyFont="1" applyAlignment="1">
      <alignment horizontal="center" vertical="top" wrapText="1"/>
    </xf>
    <xf numFmtId="0" fontId="12" fillId="8" borderId="0" xfId="0" applyFont="1" applyFill="1" applyAlignment="1">
      <alignment vertical="top"/>
    </xf>
    <xf numFmtId="0" fontId="6" fillId="0" borderId="49" xfId="0" applyFont="1" applyBorder="1" applyAlignment="1">
      <alignment vertical="top" wrapText="1"/>
    </xf>
    <xf numFmtId="0" fontId="6" fillId="0" borderId="49" xfId="0" applyFont="1" applyBorder="1" applyAlignment="1">
      <alignment horizontal="center" vertical="top" wrapText="1"/>
    </xf>
    <xf numFmtId="164" fontId="6" fillId="0" borderId="49" xfId="0" applyNumberFormat="1" applyFont="1" applyBorder="1" applyAlignment="1">
      <alignment horizontal="center" vertical="top" wrapText="1"/>
    </xf>
    <xf numFmtId="164" fontId="6" fillId="0" borderId="50" xfId="0" applyNumberFormat="1" applyFont="1" applyBorder="1" applyAlignment="1">
      <alignment horizontal="center" vertical="top" wrapText="1"/>
    </xf>
    <xf numFmtId="0" fontId="6" fillId="12" borderId="34" xfId="0" applyFont="1" applyFill="1" applyBorder="1" applyAlignment="1">
      <alignment horizontal="center" vertical="center"/>
    </xf>
    <xf numFmtId="0" fontId="16" fillId="2" borderId="97" xfId="0" applyFont="1" applyFill="1" applyBorder="1" applyAlignment="1">
      <alignment horizontal="center" vertical="center" wrapText="1"/>
    </xf>
    <xf numFmtId="0" fontId="16" fillId="2" borderId="98" xfId="0" applyFont="1" applyFill="1" applyBorder="1" applyAlignment="1">
      <alignment horizontal="center" vertical="center" wrapText="1"/>
    </xf>
    <xf numFmtId="0" fontId="14" fillId="4" borderId="95" xfId="0" applyFont="1" applyFill="1" applyBorder="1"/>
    <xf numFmtId="0" fontId="14" fillId="4" borderId="99" xfId="0" applyFont="1" applyFill="1" applyBorder="1"/>
    <xf numFmtId="0" fontId="6" fillId="12" borderId="100" xfId="0" applyFont="1" applyFill="1" applyBorder="1" applyAlignment="1">
      <alignment vertical="top" wrapText="1"/>
    </xf>
    <xf numFmtId="0" fontId="6" fillId="12" borderId="96" xfId="0" applyFont="1" applyFill="1" applyBorder="1" applyAlignment="1">
      <alignment horizontal="center" vertical="top" wrapText="1"/>
    </xf>
    <xf numFmtId="0" fontId="6" fillId="12" borderId="96" xfId="0" applyFont="1" applyFill="1" applyBorder="1" applyAlignment="1">
      <alignment vertical="top" wrapText="1"/>
    </xf>
    <xf numFmtId="0" fontId="6" fillId="12" borderId="97" xfId="0" applyFont="1" applyFill="1" applyBorder="1" applyAlignment="1">
      <alignment vertical="top" wrapText="1"/>
    </xf>
    <xf numFmtId="0" fontId="6" fillId="12" borderId="98" xfId="0" applyFont="1" applyFill="1" applyBorder="1" applyAlignment="1">
      <alignment vertical="top" wrapText="1"/>
    </xf>
    <xf numFmtId="0" fontId="14" fillId="7" borderId="95" xfId="0" applyFont="1" applyFill="1" applyBorder="1"/>
    <xf numFmtId="0" fontId="14" fillId="7" borderId="99" xfId="0" applyFont="1" applyFill="1" applyBorder="1"/>
    <xf numFmtId="3" fontId="5" fillId="3" borderId="100" xfId="0" applyNumberFormat="1" applyFont="1" applyFill="1" applyBorder="1" applyAlignment="1">
      <alignment horizontal="left" vertical="top" wrapText="1"/>
    </xf>
    <xf numFmtId="0" fontId="5" fillId="0" borderId="96" xfId="0" applyFont="1" applyBorder="1" applyAlignment="1">
      <alignment horizontal="center" vertical="top" wrapText="1"/>
    </xf>
    <xf numFmtId="3" fontId="5" fillId="3" borderId="100" xfId="0" applyNumberFormat="1" applyFont="1" applyFill="1" applyBorder="1" applyAlignment="1">
      <alignment vertical="top" wrapText="1"/>
    </xf>
    <xf numFmtId="0" fontId="5" fillId="3" borderId="96" xfId="0" applyFont="1" applyFill="1" applyBorder="1" applyAlignment="1">
      <alignment horizontal="center" vertical="top" wrapText="1"/>
    </xf>
    <xf numFmtId="0" fontId="5" fillId="13" borderId="100" xfId="0" applyFont="1" applyFill="1" applyBorder="1" applyAlignment="1">
      <alignment vertical="top" wrapText="1"/>
    </xf>
    <xf numFmtId="0" fontId="5" fillId="13" borderId="95" xfId="0" applyFont="1" applyFill="1" applyBorder="1" applyAlignment="1">
      <alignment vertical="top" wrapText="1"/>
    </xf>
    <xf numFmtId="0" fontId="14" fillId="0" borderId="100" xfId="0" applyFont="1" applyBorder="1"/>
    <xf numFmtId="0" fontId="14" fillId="0" borderId="96" xfId="0" applyFont="1" applyBorder="1"/>
    <xf numFmtId="0" fontId="14" fillId="0" borderId="97" xfId="0" applyFont="1" applyBorder="1" applyAlignment="1">
      <alignment vertical="top"/>
    </xf>
    <xf numFmtId="0" fontId="14" fillId="0" borderId="98" xfId="0" applyFont="1" applyBorder="1" applyAlignment="1">
      <alignment vertical="top"/>
    </xf>
    <xf numFmtId="3" fontId="5" fillId="3" borderId="97" xfId="0" applyNumberFormat="1" applyFont="1" applyFill="1" applyBorder="1" applyAlignment="1">
      <alignment vertical="top" wrapText="1"/>
    </xf>
    <xf numFmtId="0" fontId="5" fillId="3" borderId="98" xfId="0" applyFont="1" applyFill="1" applyBorder="1" applyAlignment="1">
      <alignment horizontal="center" vertical="top" wrapText="1"/>
    </xf>
    <xf numFmtId="0" fontId="5" fillId="0" borderId="98" xfId="0" applyFont="1" applyBorder="1" applyAlignment="1">
      <alignment horizontal="center" vertical="top" wrapText="1"/>
    </xf>
    <xf numFmtId="0" fontId="5" fillId="13" borderId="97" xfId="0" applyFont="1" applyFill="1" applyBorder="1" applyAlignment="1">
      <alignment vertical="top" wrapText="1"/>
    </xf>
    <xf numFmtId="0" fontId="14" fillId="0" borderId="95" xfId="0" applyFont="1" applyBorder="1"/>
    <xf numFmtId="0" fontId="14" fillId="0" borderId="99" xfId="0" applyFont="1" applyBorder="1"/>
    <xf numFmtId="0" fontId="14" fillId="3" borderId="100" xfId="0" applyFont="1" applyFill="1" applyBorder="1"/>
    <xf numFmtId="166" fontId="34" fillId="3" borderId="100" xfId="0" applyNumberFormat="1" applyFont="1" applyFill="1" applyBorder="1"/>
    <xf numFmtId="0" fontId="34" fillId="0" borderId="100" xfId="0" applyFont="1" applyBorder="1"/>
    <xf numFmtId="0" fontId="14" fillId="0" borderId="97" xfId="0" applyFont="1" applyBorder="1"/>
    <xf numFmtId="0" fontId="14" fillId="0" borderId="98" xfId="0" applyFont="1" applyBorder="1"/>
    <xf numFmtId="3" fontId="5" fillId="3" borderId="101" xfId="0" applyNumberFormat="1" applyFont="1" applyFill="1" applyBorder="1" applyAlignment="1">
      <alignment horizontal="left" vertical="top" wrapText="1"/>
    </xf>
    <xf numFmtId="0" fontId="5" fillId="0" borderId="102" xfId="0" applyFont="1" applyBorder="1" applyAlignment="1">
      <alignment horizontal="center" vertical="top" wrapText="1"/>
    </xf>
    <xf numFmtId="0" fontId="14" fillId="0" borderId="101" xfId="0" applyFont="1" applyBorder="1"/>
    <xf numFmtId="0" fontId="14" fillId="0" borderId="102" xfId="0" applyFont="1" applyBorder="1"/>
    <xf numFmtId="0" fontId="34" fillId="0" borderId="97" xfId="0" applyFont="1" applyBorder="1" applyAlignment="1">
      <alignment vertical="top"/>
    </xf>
    <xf numFmtId="0" fontId="34" fillId="0" borderId="98" xfId="0" applyFont="1" applyBorder="1" applyAlignment="1">
      <alignment vertical="top"/>
    </xf>
    <xf numFmtId="3" fontId="5" fillId="3" borderId="103" xfId="0" applyNumberFormat="1" applyFont="1" applyFill="1" applyBorder="1" applyAlignment="1">
      <alignment vertical="top" wrapText="1"/>
    </xf>
    <xf numFmtId="0" fontId="5" fillId="0" borderId="104" xfId="0" applyFont="1" applyBorder="1" applyAlignment="1">
      <alignment horizontal="center" vertical="top" wrapText="1"/>
    </xf>
    <xf numFmtId="3" fontId="5" fillId="3" borderId="101" xfId="0" applyNumberFormat="1" applyFont="1" applyFill="1" applyBorder="1" applyAlignment="1">
      <alignment vertical="top" wrapText="1"/>
    </xf>
    <xf numFmtId="0" fontId="5" fillId="0" borderId="105" xfId="0" applyFont="1" applyBorder="1" applyAlignment="1">
      <alignment vertical="top" wrapText="1"/>
    </xf>
    <xf numFmtId="3" fontId="5" fillId="3" borderId="97" xfId="0" applyNumberFormat="1" applyFont="1" applyFill="1" applyBorder="1" applyAlignment="1">
      <alignment horizontal="left" vertical="top" wrapText="1"/>
    </xf>
    <xf numFmtId="3" fontId="5" fillId="3" borderId="95" xfId="0" applyNumberFormat="1" applyFont="1" applyFill="1" applyBorder="1" applyAlignment="1">
      <alignment vertical="top" wrapText="1"/>
    </xf>
    <xf numFmtId="0" fontId="5" fillId="0" borderId="99" xfId="0" applyFont="1" applyBorder="1" applyAlignment="1">
      <alignment horizontal="center" vertical="top" wrapText="1"/>
    </xf>
    <xf numFmtId="0" fontId="5" fillId="0" borderId="107" xfId="0" applyFont="1" applyBorder="1" applyAlignment="1">
      <alignment horizontal="center" vertical="top" wrapText="1"/>
    </xf>
    <xf numFmtId="0" fontId="5" fillId="0" borderId="109" xfId="0" applyFont="1" applyBorder="1" applyAlignment="1">
      <alignment horizontal="center" vertical="top" wrapText="1"/>
    </xf>
    <xf numFmtId="0" fontId="5" fillId="9" borderId="106" xfId="0" applyFont="1" applyFill="1" applyBorder="1" applyAlignment="1">
      <alignment vertical="top" wrapText="1"/>
    </xf>
    <xf numFmtId="0" fontId="5" fillId="9" borderId="108" xfId="0" applyFont="1" applyFill="1" applyBorder="1" applyAlignment="1">
      <alignment horizontal="left" vertical="top" wrapText="1"/>
    </xf>
    <xf numFmtId="0" fontId="23" fillId="3" borderId="109" xfId="0" applyFont="1" applyFill="1" applyBorder="1" applyAlignment="1">
      <alignment horizontal="center" vertical="top" wrapText="1"/>
    </xf>
    <xf numFmtId="0" fontId="5" fillId="0" borderId="108" xfId="0" applyFont="1" applyBorder="1" applyAlignment="1">
      <alignment vertical="top"/>
    </xf>
    <xf numFmtId="0" fontId="23" fillId="0" borderId="97" xfId="0" applyFont="1" applyBorder="1" applyAlignment="1">
      <alignment vertical="top"/>
    </xf>
    <xf numFmtId="0" fontId="5" fillId="0" borderId="111" xfId="0" applyFont="1" applyBorder="1" applyAlignment="1">
      <alignment horizontal="center" vertical="top" wrapText="1"/>
    </xf>
    <xf numFmtId="0" fontId="29" fillId="0" borderId="113" xfId="0" applyFont="1" applyBorder="1" applyAlignment="1">
      <alignment horizontal="center" vertical="top" wrapText="1"/>
    </xf>
    <xf numFmtId="0" fontId="23" fillId="9" borderId="101" xfId="0" applyFont="1" applyFill="1" applyBorder="1" applyAlignment="1">
      <alignment vertical="top" wrapText="1"/>
    </xf>
    <xf numFmtId="0" fontId="5" fillId="0" borderId="114" xfId="0" applyFont="1" applyBorder="1" applyAlignment="1">
      <alignment wrapText="1"/>
    </xf>
    <xf numFmtId="0" fontId="34" fillId="3" borderId="100" xfId="0" applyFont="1" applyFill="1" applyBorder="1"/>
    <xf numFmtId="0" fontId="34" fillId="0" borderId="97" xfId="0" applyFont="1" applyBorder="1"/>
    <xf numFmtId="0" fontId="23" fillId="13" borderId="101" xfId="0" applyFont="1" applyFill="1" applyBorder="1" applyAlignment="1">
      <alignment vertical="top" wrapText="1"/>
    </xf>
    <xf numFmtId="0" fontId="5" fillId="0" borderId="115" xfId="0" applyFont="1" applyBorder="1" applyAlignment="1">
      <alignment wrapText="1"/>
    </xf>
    <xf numFmtId="0" fontId="14" fillId="8" borderId="95" xfId="0" applyFont="1" applyFill="1" applyBorder="1"/>
    <xf numFmtId="0" fontId="14" fillId="8" borderId="99" xfId="0" applyFont="1" applyFill="1" applyBorder="1"/>
    <xf numFmtId="0" fontId="14" fillId="8" borderId="100" xfId="0" applyFont="1" applyFill="1" applyBorder="1"/>
    <xf numFmtId="0" fontId="14" fillId="8" borderId="96" xfId="0" applyFont="1" applyFill="1" applyBorder="1"/>
    <xf numFmtId="0" fontId="5" fillId="0" borderId="100" xfId="0" applyFont="1" applyBorder="1" applyAlignment="1">
      <alignment vertical="top" wrapText="1"/>
    </xf>
    <xf numFmtId="164" fontId="5" fillId="3" borderId="96" xfId="0" applyNumberFormat="1" applyFont="1" applyFill="1" applyBorder="1" applyAlignment="1">
      <alignment horizontal="center" vertical="top" wrapText="1"/>
    </xf>
    <xf numFmtId="0" fontId="5" fillId="0" borderId="97" xfId="0" applyFont="1" applyBorder="1" applyAlignment="1">
      <alignment vertical="top" wrapText="1"/>
    </xf>
    <xf numFmtId="3" fontId="5" fillId="8" borderId="95" xfId="0" applyNumberFormat="1" applyFont="1" applyFill="1" applyBorder="1" applyAlignment="1">
      <alignment vertical="top" wrapText="1"/>
    </xf>
    <xf numFmtId="0" fontId="5" fillId="8" borderId="99" xfId="0" applyFont="1" applyFill="1" applyBorder="1" applyAlignment="1">
      <alignment horizontal="center" vertical="top" wrapText="1"/>
    </xf>
    <xf numFmtId="0" fontId="5" fillId="3" borderId="100" xfId="0" applyFont="1" applyFill="1" applyBorder="1" applyAlignment="1">
      <alignment vertical="top" wrapText="1"/>
    </xf>
    <xf numFmtId="0" fontId="23" fillId="3" borderId="97" xfId="0" applyFont="1" applyFill="1" applyBorder="1" applyAlignment="1">
      <alignment vertical="top" wrapText="1"/>
    </xf>
    <xf numFmtId="0" fontId="5" fillId="8" borderId="100" xfId="0" applyFont="1" applyFill="1" applyBorder="1" applyAlignment="1">
      <alignment vertical="top" wrapText="1"/>
    </xf>
    <xf numFmtId="0" fontId="5" fillId="8" borderId="96" xfId="0" applyFont="1" applyFill="1" applyBorder="1" applyAlignment="1">
      <alignment horizontal="center" vertical="top" wrapText="1"/>
    </xf>
    <xf numFmtId="0" fontId="5" fillId="8" borderId="103" xfId="0" applyFont="1" applyFill="1" applyBorder="1" applyAlignment="1">
      <alignment horizontal="left" vertical="top" wrapText="1"/>
    </xf>
    <xf numFmtId="0" fontId="5" fillId="8" borderId="109" xfId="0" applyFont="1" applyFill="1" applyBorder="1" applyAlignment="1">
      <alignment horizontal="center" vertical="top" wrapText="1"/>
    </xf>
    <xf numFmtId="0" fontId="34" fillId="3" borderId="97" xfId="0" applyFont="1" applyFill="1" applyBorder="1"/>
    <xf numFmtId="0" fontId="5" fillId="8" borderId="108" xfId="0" applyFont="1" applyFill="1" applyBorder="1" applyAlignment="1">
      <alignment vertical="top"/>
    </xf>
    <xf numFmtId="0" fontId="5" fillId="5" borderId="100" xfId="0" applyFont="1" applyFill="1" applyBorder="1" applyAlignment="1">
      <alignment horizontal="left" vertical="top" wrapText="1"/>
    </xf>
    <xf numFmtId="0" fontId="34" fillId="7" borderId="95" xfId="0" applyFont="1" applyFill="1" applyBorder="1"/>
    <xf numFmtId="0" fontId="5" fillId="8" borderId="106" xfId="0" applyFont="1" applyFill="1" applyBorder="1" applyAlignment="1">
      <alignment vertical="top"/>
    </xf>
    <xf numFmtId="0" fontId="5" fillId="8" borderId="107" xfId="0" applyFont="1" applyFill="1" applyBorder="1" applyAlignment="1">
      <alignment horizontal="center" vertical="top" wrapText="1"/>
    </xf>
    <xf numFmtId="0" fontId="5" fillId="0" borderId="108" xfId="0" applyFont="1" applyBorder="1" applyAlignment="1">
      <alignment horizontal="left" vertical="top" wrapText="1"/>
    </xf>
    <xf numFmtId="0" fontId="5" fillId="8" borderId="108" xfId="0" applyFont="1" applyFill="1" applyBorder="1" applyAlignment="1">
      <alignment horizontal="left" vertical="top"/>
    </xf>
    <xf numFmtId="0" fontId="14" fillId="0" borderId="104" xfId="0" applyFont="1" applyBorder="1"/>
    <xf numFmtId="0" fontId="14" fillId="7" borderId="100" xfId="0" applyFont="1" applyFill="1" applyBorder="1"/>
    <xf numFmtId="0" fontId="14" fillId="7" borderId="96" xfId="0" applyFont="1" applyFill="1" applyBorder="1"/>
    <xf numFmtId="167" fontId="5" fillId="3" borderId="100" xfId="1" applyNumberFormat="1" applyFont="1" applyFill="1" applyBorder="1" applyAlignment="1">
      <alignment vertical="top" wrapText="1"/>
    </xf>
    <xf numFmtId="167" fontId="5" fillId="3" borderId="97" xfId="1" applyNumberFormat="1" applyFont="1" applyFill="1" applyBorder="1" applyAlignment="1">
      <alignment vertical="top" wrapText="1"/>
    </xf>
    <xf numFmtId="164" fontId="5" fillId="0" borderId="96" xfId="0" applyNumberFormat="1" applyFont="1" applyBorder="1" applyAlignment="1">
      <alignment horizontal="center" vertical="top" wrapText="1"/>
    </xf>
    <xf numFmtId="168" fontId="5" fillId="15" borderId="100" xfId="1" applyNumberFormat="1" applyFont="1" applyFill="1" applyBorder="1" applyAlignment="1">
      <alignment horizontal="left" vertical="top" wrapText="1"/>
    </xf>
    <xf numFmtId="0" fontId="5" fillId="16" borderId="100" xfId="0" applyFont="1" applyFill="1" applyBorder="1" applyAlignment="1">
      <alignment vertical="top" wrapText="1"/>
    </xf>
    <xf numFmtId="0" fontId="5" fillId="3" borderId="111" xfId="0" applyFont="1" applyFill="1" applyBorder="1" applyAlignment="1">
      <alignment wrapText="1"/>
    </xf>
    <xf numFmtId="0" fontId="5" fillId="3" borderId="113" xfId="0" applyFont="1" applyFill="1" applyBorder="1" applyAlignment="1">
      <alignment wrapText="1"/>
    </xf>
    <xf numFmtId="168" fontId="5" fillId="15" borderId="101" xfId="1" applyNumberFormat="1" applyFont="1" applyFill="1" applyBorder="1" applyAlignment="1">
      <alignment horizontal="left" vertical="top" wrapText="1"/>
    </xf>
    <xf numFmtId="164" fontId="5" fillId="3" borderId="102" xfId="0" applyNumberFormat="1" applyFont="1" applyFill="1" applyBorder="1" applyAlignment="1">
      <alignment horizontal="center" vertical="top" wrapText="1"/>
    </xf>
    <xf numFmtId="168" fontId="1" fillId="15" borderId="97" xfId="1" applyNumberFormat="1" applyFont="1" applyFill="1" applyBorder="1" applyAlignment="1">
      <alignment horizontal="left" vertical="top" wrapText="1"/>
    </xf>
    <xf numFmtId="164" fontId="5" fillId="3" borderId="98" xfId="0" applyNumberFormat="1" applyFont="1" applyFill="1" applyBorder="1" applyAlignment="1">
      <alignment horizontal="center" vertical="top" wrapText="1"/>
    </xf>
    <xf numFmtId="0" fontId="5" fillId="3" borderId="102" xfId="0" applyFont="1" applyFill="1" applyBorder="1" applyAlignment="1">
      <alignment horizontal="center" vertical="top" wrapText="1"/>
    </xf>
    <xf numFmtId="168" fontId="5" fillId="3" borderId="97" xfId="1" applyNumberFormat="1" applyFont="1" applyFill="1" applyBorder="1" applyAlignment="1">
      <alignment horizontal="left" vertical="top" wrapText="1"/>
    </xf>
    <xf numFmtId="168" fontId="5" fillId="3" borderId="95" xfId="1" applyNumberFormat="1" applyFont="1" applyFill="1" applyBorder="1" applyAlignment="1">
      <alignment horizontal="left" vertical="top" wrapText="1"/>
    </xf>
    <xf numFmtId="168" fontId="5" fillId="3" borderId="103" xfId="1" applyNumberFormat="1" applyFont="1" applyFill="1" applyBorder="1" applyAlignment="1">
      <alignment horizontal="left" vertical="top" wrapText="1"/>
    </xf>
    <xf numFmtId="0" fontId="5" fillId="3" borderId="104" xfId="0" applyFont="1" applyFill="1" applyBorder="1" applyAlignment="1">
      <alignment horizontal="center" vertical="top" wrapText="1"/>
    </xf>
    <xf numFmtId="168" fontId="5" fillId="3" borderId="100" xfId="1" applyNumberFormat="1" applyFont="1" applyFill="1" applyBorder="1" applyAlignment="1">
      <alignment horizontal="left" vertical="top" wrapText="1"/>
    </xf>
    <xf numFmtId="0" fontId="5" fillId="3" borderId="99" xfId="0" applyFont="1" applyFill="1" applyBorder="1" applyAlignment="1">
      <alignment horizontal="center" vertical="top" wrapText="1"/>
    </xf>
    <xf numFmtId="0" fontId="5" fillId="3" borderId="107" xfId="0" applyFont="1" applyFill="1" applyBorder="1" applyAlignment="1">
      <alignment horizontal="center" vertical="top" wrapText="1"/>
    </xf>
    <xf numFmtId="164" fontId="5" fillId="0" borderId="98" xfId="0" applyNumberFormat="1" applyFont="1" applyBorder="1" applyAlignment="1">
      <alignment horizontal="center" vertical="top" wrapText="1"/>
    </xf>
    <xf numFmtId="0" fontId="5" fillId="0" borderId="96" xfId="0" applyFont="1" applyBorder="1"/>
    <xf numFmtId="168" fontId="5" fillId="3" borderId="100" xfId="1" applyNumberFormat="1" applyFont="1" applyFill="1" applyBorder="1" applyAlignment="1">
      <alignment vertical="top" wrapText="1"/>
    </xf>
    <xf numFmtId="164" fontId="5" fillId="3" borderId="111" xfId="0" applyNumberFormat="1" applyFont="1" applyFill="1" applyBorder="1" applyAlignment="1">
      <alignment horizontal="center" vertical="top" wrapText="1"/>
    </xf>
    <xf numFmtId="168" fontId="5" fillId="3" borderId="97" xfId="1" applyNumberFormat="1" applyFont="1" applyFill="1" applyBorder="1" applyAlignment="1">
      <alignment vertical="top" wrapText="1"/>
    </xf>
    <xf numFmtId="164" fontId="5" fillId="3" borderId="113" xfId="0" applyNumberFormat="1" applyFont="1" applyFill="1" applyBorder="1" applyAlignment="1">
      <alignment horizontal="center" vertical="top" wrapText="1"/>
    </xf>
    <xf numFmtId="168" fontId="5" fillId="3" borderId="101" xfId="1" applyNumberFormat="1" applyFont="1" applyFill="1" applyBorder="1" applyAlignment="1">
      <alignment horizontal="left" vertical="top" wrapText="1"/>
    </xf>
    <xf numFmtId="0" fontId="5" fillId="3" borderId="111" xfId="0" applyFont="1" applyFill="1" applyBorder="1" applyAlignment="1">
      <alignment horizontal="center" vertical="top" wrapText="1"/>
    </xf>
    <xf numFmtId="0" fontId="5" fillId="3" borderId="95" xfId="0" applyFont="1" applyFill="1" applyBorder="1" applyAlignment="1">
      <alignment vertical="top" wrapText="1"/>
    </xf>
    <xf numFmtId="0" fontId="5" fillId="3" borderId="117" xfId="0" applyFont="1" applyFill="1" applyBorder="1" applyAlignment="1">
      <alignment wrapText="1"/>
    </xf>
    <xf numFmtId="0" fontId="5" fillId="3" borderId="100" xfId="0" applyFont="1" applyFill="1" applyBorder="1" applyAlignment="1">
      <alignment horizontal="left" vertical="top" wrapText="1"/>
    </xf>
    <xf numFmtId="0" fontId="14" fillId="0" borderId="100" xfId="0" applyFont="1" applyBorder="1" applyAlignment="1">
      <alignment wrapText="1"/>
    </xf>
    <xf numFmtId="0" fontId="5" fillId="3" borderId="106" xfId="0" applyFont="1" applyFill="1" applyBorder="1" applyAlignment="1">
      <alignment vertical="top" wrapText="1"/>
    </xf>
    <xf numFmtId="0" fontId="5" fillId="3" borderId="112" xfId="0" applyFont="1" applyFill="1" applyBorder="1" applyAlignment="1">
      <alignment vertical="top" wrapText="1"/>
    </xf>
    <xf numFmtId="0" fontId="5" fillId="0" borderId="116" xfId="0" applyFont="1" applyBorder="1" applyAlignment="1">
      <alignment horizontal="center" vertical="top" wrapText="1"/>
    </xf>
    <xf numFmtId="0" fontId="23" fillId="3" borderId="118" xfId="0" applyFont="1" applyFill="1" applyBorder="1" applyAlignment="1">
      <alignment vertical="top" wrapText="1"/>
    </xf>
    <xf numFmtId="0" fontId="5" fillId="0" borderId="119" xfId="0" applyFont="1" applyBorder="1" applyAlignment="1">
      <alignment horizontal="center" vertical="top" wrapText="1"/>
    </xf>
    <xf numFmtId="0" fontId="23" fillId="0" borderId="110" xfId="0" applyFont="1" applyBorder="1" applyAlignment="1">
      <alignment vertical="top"/>
    </xf>
    <xf numFmtId="0" fontId="6" fillId="12" borderId="95" xfId="0" applyFont="1" applyFill="1" applyBorder="1" applyAlignment="1">
      <alignment vertical="top" wrapText="1"/>
    </xf>
    <xf numFmtId="0" fontId="6" fillId="12" borderId="99" xfId="0" applyFont="1" applyFill="1" applyBorder="1" applyAlignment="1">
      <alignment horizontal="center" vertical="top" wrapText="1"/>
    </xf>
    <xf numFmtId="0" fontId="5" fillId="3" borderId="119" xfId="0" applyFont="1" applyFill="1" applyBorder="1" applyAlignment="1">
      <alignment horizontal="center" vertical="top" wrapText="1"/>
    </xf>
    <xf numFmtId="0" fontId="5" fillId="3" borderId="116" xfId="0" applyFont="1" applyFill="1" applyBorder="1" applyAlignment="1">
      <alignment horizontal="center" vertical="top" wrapText="1"/>
    </xf>
    <xf numFmtId="0" fontId="5" fillId="3" borderId="113" xfId="0" applyFont="1" applyFill="1" applyBorder="1" applyAlignment="1">
      <alignment horizontal="center" vertical="top" wrapText="1"/>
    </xf>
    <xf numFmtId="0" fontId="5" fillId="0" borderId="95" xfId="0" applyFont="1" applyBorder="1" applyAlignment="1">
      <alignment vertical="top" wrapText="1"/>
    </xf>
    <xf numFmtId="0" fontId="5" fillId="0" borderId="117" xfId="0" applyFont="1" applyBorder="1" applyAlignment="1">
      <alignment vertical="top" wrapText="1"/>
    </xf>
    <xf numFmtId="0" fontId="14" fillId="7" borderId="97" xfId="0" applyFont="1" applyFill="1" applyBorder="1"/>
    <xf numFmtId="0" fontId="14" fillId="7" borderId="98" xfId="0" applyFont="1" applyFill="1" applyBorder="1"/>
    <xf numFmtId="166" fontId="5" fillId="15" borderId="100" xfId="1" applyNumberFormat="1" applyFont="1" applyFill="1" applyBorder="1" applyAlignment="1">
      <alignment vertical="top" wrapText="1"/>
    </xf>
    <xf numFmtId="3" fontId="5" fillId="3" borderId="103" xfId="0" applyNumberFormat="1" applyFont="1" applyFill="1" applyBorder="1" applyAlignment="1">
      <alignment horizontal="left" vertical="top" wrapText="1"/>
    </xf>
    <xf numFmtId="0" fontId="5" fillId="0" borderId="98" xfId="0" applyFont="1" applyBorder="1" applyAlignment="1">
      <alignment horizontal="center" vertical="center" wrapText="1"/>
    </xf>
    <xf numFmtId="3" fontId="5" fillId="8" borderId="100" xfId="0" applyNumberFormat="1" applyFont="1" applyFill="1" applyBorder="1" applyAlignment="1">
      <alignment vertical="top" wrapText="1"/>
    </xf>
    <xf numFmtId="0" fontId="14" fillId="0" borderId="120" xfId="0" applyFont="1" applyBorder="1"/>
    <xf numFmtId="0" fontId="14" fillId="0" borderId="121" xfId="0" applyFont="1" applyBorder="1"/>
    <xf numFmtId="0" fontId="14" fillId="0" borderId="122" xfId="0" applyFont="1" applyBorder="1"/>
    <xf numFmtId="3" fontId="16" fillId="2" borderId="42" xfId="0" applyNumberFormat="1" applyFont="1" applyFill="1" applyBorder="1" applyAlignment="1">
      <alignment horizontal="center" vertical="center" wrapText="1"/>
    </xf>
    <xf numFmtId="164" fontId="6" fillId="12" borderId="12" xfId="0" applyNumberFormat="1" applyFont="1" applyFill="1" applyBorder="1" applyAlignment="1">
      <alignment vertical="top" wrapText="1"/>
    </xf>
    <xf numFmtId="164" fontId="6" fillId="12" borderId="42" xfId="0" applyNumberFormat="1" applyFont="1" applyFill="1" applyBorder="1" applyAlignment="1">
      <alignment vertical="top" wrapText="1"/>
    </xf>
    <xf numFmtId="164" fontId="6" fillId="7" borderId="12" xfId="0" applyNumberFormat="1" applyFont="1" applyFill="1" applyBorder="1" applyAlignment="1">
      <alignment horizontal="center" vertical="top" wrapText="1"/>
    </xf>
    <xf numFmtId="164" fontId="6" fillId="3" borderId="10" xfId="0" applyNumberFormat="1" applyFont="1" applyFill="1" applyBorder="1" applyAlignment="1">
      <alignment horizontal="center" vertical="top" wrapText="1"/>
    </xf>
    <xf numFmtId="164" fontId="1" fillId="3" borderId="10" xfId="0" applyNumberFormat="1" applyFont="1" applyFill="1" applyBorder="1" applyAlignment="1">
      <alignment horizontal="center" vertical="top" wrapText="1"/>
    </xf>
    <xf numFmtId="164" fontId="5" fillId="3" borderId="10" xfId="0" applyNumberFormat="1" applyFont="1" applyFill="1" applyBorder="1" applyAlignment="1">
      <alignment horizontal="center" vertical="top" wrapText="1"/>
    </xf>
    <xf numFmtId="164" fontId="6" fillId="3" borderId="12" xfId="0" applyNumberFormat="1" applyFont="1" applyFill="1" applyBorder="1" applyAlignment="1">
      <alignment horizontal="center" vertical="top" wrapText="1"/>
    </xf>
    <xf numFmtId="164" fontId="11" fillId="3" borderId="10" xfId="0" applyNumberFormat="1" applyFont="1" applyFill="1" applyBorder="1" applyAlignment="1">
      <alignment horizontal="center" vertical="top" wrapText="1"/>
    </xf>
    <xf numFmtId="164" fontId="5" fillId="0" borderId="10" xfId="0" applyNumberFormat="1" applyFont="1" applyBorder="1" applyAlignment="1">
      <alignment horizontal="center" vertical="top" wrapText="1"/>
    </xf>
    <xf numFmtId="164" fontId="25" fillId="3" borderId="12" xfId="0" applyNumberFormat="1" applyFont="1" applyFill="1" applyBorder="1" applyAlignment="1">
      <alignment horizontal="center" vertical="top" wrapText="1"/>
    </xf>
    <xf numFmtId="164" fontId="24" fillId="3" borderId="10" xfId="0" applyNumberFormat="1" applyFont="1" applyFill="1" applyBorder="1" applyAlignment="1">
      <alignment horizontal="center" vertical="top" wrapText="1"/>
    </xf>
    <xf numFmtId="164" fontId="19" fillId="3" borderId="10" xfId="0" applyNumberFormat="1" applyFont="1" applyFill="1" applyBorder="1" applyAlignment="1">
      <alignment horizontal="center" vertical="top" wrapText="1"/>
    </xf>
    <xf numFmtId="164" fontId="24" fillId="3" borderId="42" xfId="0" applyNumberFormat="1" applyFont="1" applyFill="1" applyBorder="1" applyAlignment="1">
      <alignment horizontal="center" vertical="top" wrapText="1"/>
    </xf>
    <xf numFmtId="164" fontId="25" fillId="3" borderId="54" xfId="0" applyNumberFormat="1" applyFont="1" applyFill="1" applyBorder="1" applyAlignment="1">
      <alignment horizontal="center" vertical="top" wrapText="1"/>
    </xf>
    <xf numFmtId="164" fontId="24" fillId="3" borderId="54" xfId="0" applyNumberFormat="1" applyFont="1" applyFill="1" applyBorder="1" applyAlignment="1">
      <alignment horizontal="center" vertical="top" wrapText="1"/>
    </xf>
    <xf numFmtId="164" fontId="12" fillId="3" borderId="23" xfId="0" applyNumberFormat="1" applyFont="1" applyFill="1" applyBorder="1" applyAlignment="1">
      <alignment horizontal="center" vertical="top" wrapText="1"/>
    </xf>
    <xf numFmtId="164" fontId="19" fillId="0" borderId="13" xfId="0" applyNumberFormat="1" applyFont="1" applyBorder="1" applyAlignment="1">
      <alignment horizontal="center" vertical="top"/>
    </xf>
    <xf numFmtId="164" fontId="19" fillId="0" borderId="13" xfId="0" applyNumberFormat="1" applyFont="1" applyBorder="1" applyAlignment="1">
      <alignment horizontal="center" vertical="top" wrapText="1"/>
    </xf>
    <xf numFmtId="164" fontId="11" fillId="3" borderId="12" xfId="0" applyNumberFormat="1" applyFont="1" applyFill="1" applyBorder="1" applyAlignment="1">
      <alignment horizontal="center" vertical="top" wrapText="1"/>
    </xf>
    <xf numFmtId="164" fontId="12" fillId="3" borderId="12" xfId="0" applyNumberFormat="1" applyFont="1" applyFill="1" applyBorder="1" applyAlignment="1">
      <alignment horizontal="center" vertical="top" wrapText="1"/>
    </xf>
    <xf numFmtId="164" fontId="11" fillId="0" borderId="54" xfId="0" applyNumberFormat="1" applyFont="1" applyBorder="1" applyAlignment="1">
      <alignment horizontal="center" vertical="top" wrapText="1"/>
    </xf>
    <xf numFmtId="164" fontId="11" fillId="0" borderId="42" xfId="0" applyNumberFormat="1" applyFont="1" applyBorder="1" applyAlignment="1">
      <alignment horizontal="center" vertical="top" wrapText="1"/>
    </xf>
    <xf numFmtId="164" fontId="19" fillId="3" borderId="42" xfId="0" applyNumberFormat="1" applyFont="1" applyFill="1" applyBorder="1" applyAlignment="1">
      <alignment horizontal="center" vertical="top" wrapText="1"/>
    </xf>
    <xf numFmtId="164" fontId="11" fillId="0" borderId="12" xfId="0" applyNumberFormat="1" applyFont="1" applyBorder="1" applyAlignment="1">
      <alignment horizontal="center" vertical="top" wrapText="1"/>
    </xf>
    <xf numFmtId="164" fontId="12" fillId="0" borderId="54" xfId="0" applyNumberFormat="1" applyFont="1" applyBorder="1" applyAlignment="1">
      <alignment horizontal="center" vertical="top" wrapText="1"/>
    </xf>
    <xf numFmtId="164" fontId="5" fillId="9" borderId="54" xfId="0" applyNumberFormat="1" applyFont="1" applyFill="1" applyBorder="1" applyAlignment="1">
      <alignment horizontal="center" vertical="top" wrapText="1"/>
    </xf>
    <xf numFmtId="164" fontId="5" fillId="3" borderId="30" xfId="0" applyNumberFormat="1" applyFont="1" applyFill="1" applyBorder="1" applyAlignment="1">
      <alignment horizontal="center" vertical="top" wrapText="1"/>
    </xf>
    <xf numFmtId="164" fontId="5" fillId="3" borderId="45" xfId="0" applyNumberFormat="1" applyFont="1" applyFill="1" applyBorder="1" applyAlignment="1">
      <alignment horizontal="center" vertical="top" wrapText="1"/>
    </xf>
    <xf numFmtId="164" fontId="5" fillId="3" borderId="67" xfId="0" applyNumberFormat="1" applyFont="1" applyFill="1" applyBorder="1" applyAlignment="1">
      <alignment wrapText="1"/>
    </xf>
    <xf numFmtId="164" fontId="5" fillId="3" borderId="123" xfId="0" applyNumberFormat="1" applyFont="1" applyFill="1" applyBorder="1" applyAlignment="1">
      <alignment horizontal="center" vertical="top" wrapText="1"/>
    </xf>
    <xf numFmtId="164" fontId="23" fillId="3" borderId="42" xfId="0" applyNumberFormat="1" applyFont="1" applyFill="1" applyBorder="1" applyAlignment="1">
      <alignment horizontal="center" vertical="top" wrapText="1"/>
    </xf>
    <xf numFmtId="164" fontId="6" fillId="0" borderId="10" xfId="0" applyNumberFormat="1" applyFont="1" applyBorder="1" applyAlignment="1">
      <alignment horizontal="center" vertical="top" wrapText="1"/>
    </xf>
    <xf numFmtId="164" fontId="3" fillId="0" borderId="10" xfId="0" applyNumberFormat="1" applyFont="1" applyBorder="1" applyAlignment="1">
      <alignment horizontal="center" vertical="top" wrapText="1"/>
    </xf>
    <xf numFmtId="164" fontId="6" fillId="8" borderId="10" xfId="0" applyNumberFormat="1" applyFont="1" applyFill="1" applyBorder="1" applyAlignment="1">
      <alignment horizontal="center" vertical="top" wrapText="1"/>
    </xf>
    <xf numFmtId="164" fontId="6" fillId="0" borderId="42" xfId="0" applyNumberFormat="1" applyFont="1" applyBorder="1" applyAlignment="1">
      <alignment horizontal="center" vertical="top" wrapText="1"/>
    </xf>
    <xf numFmtId="164" fontId="5" fillId="7" borderId="12" xfId="0" applyNumberFormat="1" applyFont="1" applyFill="1" applyBorder="1" applyAlignment="1">
      <alignment horizontal="center" vertical="top"/>
    </xf>
    <xf numFmtId="164" fontId="5" fillId="3" borderId="10" xfId="0" applyNumberFormat="1" applyFont="1" applyFill="1" applyBorder="1" applyAlignment="1">
      <alignment horizontal="center" vertical="top"/>
    </xf>
    <xf numFmtId="164" fontId="5" fillId="3" borderId="42" xfId="0" applyNumberFormat="1" applyFont="1" applyFill="1" applyBorder="1" applyAlignment="1">
      <alignment horizontal="center" vertical="top"/>
    </xf>
    <xf numFmtId="164" fontId="5" fillId="3" borderId="12" xfId="0" applyNumberFormat="1" applyFont="1" applyFill="1" applyBorder="1" applyAlignment="1">
      <alignment horizontal="center" vertical="top"/>
    </xf>
    <xf numFmtId="164" fontId="6" fillId="0" borderId="10" xfId="0" applyNumberFormat="1" applyFont="1" applyBorder="1" applyAlignment="1">
      <alignment vertical="top" wrapText="1"/>
    </xf>
    <xf numFmtId="164" fontId="6" fillId="3" borderId="10" xfId="0" applyNumberFormat="1" applyFont="1" applyFill="1" applyBorder="1" applyAlignment="1">
      <alignment horizontal="center" vertical="top"/>
    </xf>
    <xf numFmtId="164" fontId="6" fillId="3" borderId="42" xfId="0" applyNumberFormat="1" applyFont="1" applyFill="1" applyBorder="1" applyAlignment="1">
      <alignment horizontal="center" vertical="top"/>
    </xf>
    <xf numFmtId="164" fontId="6" fillId="3" borderId="42" xfId="0" applyNumberFormat="1" applyFont="1" applyFill="1" applyBorder="1" applyAlignment="1">
      <alignment horizontal="center" vertical="top" wrapText="1"/>
    </xf>
    <xf numFmtId="164" fontId="12" fillId="7" borderId="12" xfId="0" applyNumberFormat="1" applyFont="1" applyFill="1" applyBorder="1" applyAlignment="1">
      <alignment horizontal="center" vertical="top" wrapText="1"/>
    </xf>
    <xf numFmtId="166" fontId="12" fillId="8" borderId="10" xfId="0" applyNumberFormat="1" applyFont="1" applyFill="1" applyBorder="1" applyAlignment="1">
      <alignment horizontal="center" vertical="top" wrapText="1"/>
    </xf>
    <xf numFmtId="164" fontId="12" fillId="0" borderId="10" xfId="0" applyNumberFormat="1" applyFont="1" applyBorder="1" applyAlignment="1">
      <alignment vertical="top" wrapText="1"/>
    </xf>
    <xf numFmtId="164" fontId="12" fillId="3" borderId="42" xfId="0" applyNumberFormat="1" applyFont="1" applyFill="1" applyBorder="1" applyAlignment="1">
      <alignment horizontal="center" vertical="top" wrapText="1"/>
    </xf>
    <xf numFmtId="164" fontId="12" fillId="8" borderId="124" xfId="0" applyNumberFormat="1" applyFont="1" applyFill="1" applyBorder="1" applyAlignment="1">
      <alignment horizontal="center" vertical="top" wrapText="1"/>
    </xf>
    <xf numFmtId="164" fontId="6" fillId="4" borderId="12" xfId="0" applyNumberFormat="1" applyFont="1" applyFill="1" applyBorder="1" applyAlignment="1">
      <alignment vertical="top"/>
    </xf>
    <xf numFmtId="164" fontId="6" fillId="12" borderId="12" xfId="0" applyNumberFormat="1" applyFont="1" applyFill="1" applyBorder="1" applyAlignment="1">
      <alignment vertical="top"/>
    </xf>
    <xf numFmtId="164" fontId="6" fillId="12" borderId="42" xfId="0" applyNumberFormat="1" applyFont="1" applyFill="1" applyBorder="1" applyAlignment="1">
      <alignment vertical="top"/>
    </xf>
    <xf numFmtId="164" fontId="5" fillId="5" borderId="10" xfId="0" applyNumberFormat="1" applyFont="1" applyFill="1" applyBorder="1" applyAlignment="1">
      <alignment horizontal="center" vertical="top" wrapText="1"/>
    </xf>
    <xf numFmtId="164" fontId="29" fillId="3" borderId="10" xfId="0" applyNumberFormat="1" applyFont="1" applyFill="1" applyBorder="1" applyAlignment="1">
      <alignment horizontal="center" vertical="top" wrapText="1"/>
    </xf>
    <xf numFmtId="164" fontId="5" fillId="0" borderId="43" xfId="0" applyNumberFormat="1" applyFont="1" applyBorder="1" applyAlignment="1">
      <alignment horizontal="center" vertical="top" wrapText="1"/>
    </xf>
    <xf numFmtId="164" fontId="24" fillId="3" borderId="7" xfId="0" applyNumberFormat="1" applyFont="1" applyFill="1" applyBorder="1" applyAlignment="1">
      <alignment horizontal="center" vertical="top" wrapText="1"/>
    </xf>
    <xf numFmtId="164" fontId="5" fillId="3" borderId="24" xfId="0" applyNumberFormat="1" applyFont="1" applyFill="1" applyBorder="1" applyAlignment="1">
      <alignment horizontal="center" vertical="top" wrapText="1"/>
    </xf>
    <xf numFmtId="164" fontId="5" fillId="0" borderId="12" xfId="0" applyNumberFormat="1" applyFont="1" applyBorder="1" applyAlignment="1">
      <alignment horizontal="center" vertical="top" wrapText="1"/>
    </xf>
    <xf numFmtId="164" fontId="29" fillId="3" borderId="125" xfId="0" applyNumberFormat="1" applyFont="1" applyFill="1" applyBorder="1" applyAlignment="1">
      <alignment horizontal="center" vertical="top" wrapText="1"/>
    </xf>
    <xf numFmtId="164" fontId="5" fillId="0" borderId="42" xfId="0" applyNumberFormat="1" applyFont="1" applyBorder="1" applyAlignment="1">
      <alignment horizontal="center" vertical="top" wrapText="1"/>
    </xf>
    <xf numFmtId="164" fontId="29" fillId="3" borderId="7" xfId="0" applyNumberFormat="1" applyFont="1" applyFill="1" applyBorder="1" applyAlignment="1">
      <alignment horizontal="center" vertical="top" wrapText="1"/>
    </xf>
    <xf numFmtId="164" fontId="12" fillId="8" borderId="12" xfId="0" applyNumberFormat="1" applyFont="1" applyFill="1" applyBorder="1" applyAlignment="1">
      <alignment horizontal="center" vertical="top" wrapText="1"/>
    </xf>
    <xf numFmtId="164" fontId="12" fillId="0" borderId="30" xfId="0" applyNumberFormat="1" applyFont="1" applyBorder="1" applyAlignment="1">
      <alignment horizontal="center" vertical="top" wrapText="1"/>
    </xf>
    <xf numFmtId="164" fontId="12" fillId="9" borderId="11" xfId="0" applyNumberFormat="1" applyFont="1" applyFill="1" applyBorder="1" applyAlignment="1">
      <alignment horizontal="center" vertical="top" wrapText="1"/>
    </xf>
    <xf numFmtId="164" fontId="5" fillId="3" borderId="42" xfId="1" applyNumberFormat="1" applyFont="1" applyFill="1" applyBorder="1" applyAlignment="1">
      <alignment horizontal="center" vertical="top"/>
    </xf>
    <xf numFmtId="164" fontId="5" fillId="6" borderId="10" xfId="1" applyNumberFormat="1" applyFont="1" applyFill="1" applyBorder="1" applyAlignment="1">
      <alignment horizontal="center" vertical="top"/>
    </xf>
    <xf numFmtId="164" fontId="5" fillId="3" borderId="12" xfId="1" applyNumberFormat="1" applyFont="1" applyFill="1" applyBorder="1" applyAlignment="1">
      <alignment horizontal="center" vertical="top"/>
    </xf>
    <xf numFmtId="164" fontId="5" fillId="3" borderId="10" xfId="1" applyNumberFormat="1" applyFont="1" applyFill="1" applyBorder="1" applyAlignment="1">
      <alignment horizontal="center" vertical="top"/>
    </xf>
    <xf numFmtId="164" fontId="6" fillId="5" borderId="12" xfId="0" applyNumberFormat="1" applyFont="1" applyFill="1" applyBorder="1" applyAlignment="1">
      <alignment horizontal="center" vertical="top"/>
    </xf>
    <xf numFmtId="164" fontId="5" fillId="3" borderId="126" xfId="0" applyNumberFormat="1" applyFont="1" applyFill="1" applyBorder="1" applyAlignment="1">
      <alignment horizontal="center" vertical="top"/>
    </xf>
    <xf numFmtId="1" fontId="5" fillId="3" borderId="25" xfId="0" applyNumberFormat="1" applyFont="1" applyFill="1" applyBorder="1" applyAlignment="1">
      <alignment horizontal="center" vertical="top"/>
    </xf>
    <xf numFmtId="164" fontId="5" fillId="3" borderId="25" xfId="0" applyNumberFormat="1" applyFont="1" applyFill="1" applyBorder="1" applyAlignment="1">
      <alignment horizontal="center" vertical="top"/>
    </xf>
    <xf numFmtId="164" fontId="12" fillId="3" borderId="25" xfId="0" applyNumberFormat="1" applyFont="1" applyFill="1" applyBorder="1" applyAlignment="1">
      <alignment horizontal="center" vertical="top"/>
    </xf>
    <xf numFmtId="164" fontId="11" fillId="3" borderId="25" xfId="0" applyNumberFormat="1" applyFont="1" applyFill="1" applyBorder="1" applyAlignment="1">
      <alignment horizontal="center" vertical="top"/>
    </xf>
    <xf numFmtId="164" fontId="11" fillId="3" borderId="126" xfId="0" applyNumberFormat="1" applyFont="1" applyFill="1" applyBorder="1" applyAlignment="1">
      <alignment horizontal="center" vertical="top"/>
    </xf>
    <xf numFmtId="164" fontId="6" fillId="5" borderId="44" xfId="0" applyNumberFormat="1" applyFont="1" applyFill="1" applyBorder="1" applyAlignment="1">
      <alignment horizontal="center" vertical="top"/>
    </xf>
    <xf numFmtId="164" fontId="6" fillId="7" borderId="12" xfId="0" applyNumberFormat="1" applyFont="1" applyFill="1" applyBorder="1" applyAlignment="1">
      <alignment horizontal="center" vertical="top"/>
    </xf>
    <xf numFmtId="164" fontId="6" fillId="3" borderId="12" xfId="0" applyNumberFormat="1" applyFont="1" applyFill="1" applyBorder="1" applyAlignment="1">
      <alignment horizontal="center" vertical="top"/>
    </xf>
    <xf numFmtId="164" fontId="5" fillId="3" borderId="45" xfId="0" applyNumberFormat="1" applyFont="1" applyFill="1" applyBorder="1" applyAlignment="1">
      <alignment horizontal="center" vertical="top"/>
    </xf>
    <xf numFmtId="164" fontId="6" fillId="8" borderId="25" xfId="0" applyNumberFormat="1" applyFont="1" applyFill="1" applyBorder="1" applyAlignment="1">
      <alignment horizontal="center" vertical="top"/>
    </xf>
    <xf numFmtId="0" fontId="6" fillId="12" borderId="97" xfId="0" applyFont="1" applyFill="1" applyBorder="1" applyAlignment="1">
      <alignment horizontal="left" vertical="top" wrapText="1"/>
    </xf>
    <xf numFmtId="166" fontId="24" fillId="3" borderId="13" xfId="0" applyNumberFormat="1" applyFont="1" applyFill="1" applyBorder="1" applyAlignment="1">
      <alignment horizontal="center" vertical="top" wrapText="1"/>
    </xf>
    <xf numFmtId="164" fontId="24" fillId="3" borderId="127" xfId="0" applyNumberFormat="1" applyFont="1" applyFill="1" applyBorder="1" applyAlignment="1">
      <alignment horizontal="center" vertical="top" wrapText="1"/>
    </xf>
    <xf numFmtId="0" fontId="14" fillId="3" borderId="36" xfId="0" applyFont="1" applyFill="1" applyBorder="1"/>
    <xf numFmtId="0" fontId="14" fillId="3" borderId="102" xfId="0" applyFont="1" applyFill="1" applyBorder="1"/>
    <xf numFmtId="0" fontId="14" fillId="3" borderId="97" xfId="0" applyFont="1" applyFill="1" applyBorder="1"/>
    <xf numFmtId="0" fontId="14" fillId="3" borderId="33" xfId="0" applyFont="1" applyFill="1" applyBorder="1"/>
    <xf numFmtId="0" fontId="14" fillId="3" borderId="98" xfId="0" applyFont="1" applyFill="1" applyBorder="1"/>
    <xf numFmtId="0" fontId="31" fillId="3" borderId="36" xfId="0" applyFont="1" applyFill="1" applyBorder="1" applyAlignment="1">
      <alignment horizontal="center" vertical="top"/>
    </xf>
    <xf numFmtId="0" fontId="25" fillId="14" borderId="1" xfId="0" applyFont="1" applyFill="1" applyBorder="1" applyAlignment="1">
      <alignment horizontal="center" vertical="top" wrapText="1"/>
    </xf>
    <xf numFmtId="0" fontId="25" fillId="14" borderId="5" xfId="0" applyFont="1" applyFill="1" applyBorder="1" applyAlignment="1">
      <alignment horizontal="center" vertical="top" wrapText="1"/>
    </xf>
    <xf numFmtId="164" fontId="24" fillId="3" borderId="39" xfId="0" applyNumberFormat="1" applyFont="1" applyFill="1" applyBorder="1" applyAlignment="1">
      <alignment horizontal="center" vertical="top" wrapText="1"/>
    </xf>
    <xf numFmtId="168" fontId="11" fillId="3" borderId="97" xfId="1" applyNumberFormat="1" applyFont="1" applyFill="1" applyBorder="1" applyAlignment="1">
      <alignment horizontal="left" vertical="top" wrapText="1"/>
    </xf>
    <xf numFmtId="49" fontId="11" fillId="3" borderId="34" xfId="0" applyNumberFormat="1" applyFont="1" applyFill="1" applyBorder="1" applyAlignment="1">
      <alignment horizontal="center" vertical="top"/>
    </xf>
    <xf numFmtId="0" fontId="31" fillId="0" borderId="1" xfId="0" applyFont="1" applyBorder="1" applyAlignment="1">
      <alignment horizontal="center" vertical="top"/>
    </xf>
    <xf numFmtId="0" fontId="31" fillId="0" borderId="100" xfId="0" applyFont="1" applyBorder="1" applyAlignment="1">
      <alignment vertical="top"/>
    </xf>
    <xf numFmtId="164" fontId="24" fillId="0" borderId="17" xfId="0" applyNumberFormat="1" applyFont="1" applyBorder="1" applyAlignment="1">
      <alignment horizontal="center" vertical="top" wrapText="1"/>
    </xf>
    <xf numFmtId="164" fontId="24" fillId="0" borderId="14" xfId="0" applyNumberFormat="1" applyFont="1" applyBorder="1" applyAlignment="1">
      <alignment horizontal="center" vertical="top" wrapText="1"/>
    </xf>
    <xf numFmtId="164" fontId="11" fillId="0" borderId="6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 vertical="top" wrapText="1"/>
    </xf>
    <xf numFmtId="168" fontId="5" fillId="0" borderId="100" xfId="1" applyNumberFormat="1" applyFont="1" applyBorder="1" applyAlignment="1">
      <alignment horizontal="left" vertical="top" wrapText="1"/>
    </xf>
    <xf numFmtId="168" fontId="5" fillId="0" borderId="103" xfId="1" applyNumberFormat="1" applyFont="1" applyBorder="1" applyAlignment="1">
      <alignment horizontal="left" vertical="top" wrapText="1"/>
    </xf>
    <xf numFmtId="49" fontId="5" fillId="0" borderId="34" xfId="0" applyNumberFormat="1" applyFont="1" applyBorder="1" applyAlignment="1">
      <alignment horizontal="center" vertical="top"/>
    </xf>
    <xf numFmtId="0" fontId="11" fillId="0" borderId="6" xfId="0" applyFont="1" applyBorder="1" applyAlignment="1">
      <alignment vertical="top" wrapText="1"/>
    </xf>
    <xf numFmtId="49" fontId="5" fillId="3" borderId="15" xfId="0" applyNumberFormat="1" applyFont="1" applyFill="1" applyBorder="1" applyAlignment="1">
      <alignment horizontal="center" vertical="top"/>
    </xf>
    <xf numFmtId="0" fontId="14" fillId="0" borderId="103" xfId="0" applyFont="1" applyBorder="1"/>
    <xf numFmtId="49" fontId="5" fillId="3" borderId="31" xfId="0" applyNumberFormat="1" applyFont="1" applyFill="1" applyBorder="1" applyAlignment="1">
      <alignment horizontal="center" vertical="top"/>
    </xf>
    <xf numFmtId="3" fontId="5" fillId="3" borderId="134" xfId="0" applyNumberFormat="1" applyFont="1" applyFill="1" applyBorder="1" applyAlignment="1">
      <alignment horizontal="left" vertical="top" wrapText="1"/>
    </xf>
    <xf numFmtId="0" fontId="5" fillId="0" borderId="135" xfId="0" applyFont="1" applyBorder="1" applyAlignment="1">
      <alignment horizontal="center" vertical="top" wrapText="1"/>
    </xf>
    <xf numFmtId="0" fontId="11" fillId="0" borderId="136" xfId="0" applyFont="1" applyBorder="1" applyAlignment="1">
      <alignment horizontal="left" vertical="top" wrapText="1"/>
    </xf>
    <xf numFmtId="49" fontId="11" fillId="0" borderId="139" xfId="0" applyNumberFormat="1" applyFont="1" applyBorder="1" applyAlignment="1">
      <alignment horizontal="center" vertical="top"/>
    </xf>
    <xf numFmtId="0" fontId="11" fillId="0" borderId="140" xfId="0" applyFont="1" applyBorder="1" applyAlignment="1">
      <alignment horizontal="center" vertical="top" wrapText="1"/>
    </xf>
    <xf numFmtId="0" fontId="5" fillId="0" borderId="141" xfId="0" applyFont="1" applyBorder="1" applyAlignment="1">
      <alignment horizontal="center" vertical="top" wrapText="1"/>
    </xf>
    <xf numFmtId="49" fontId="5" fillId="0" borderId="14" xfId="0" applyNumberFormat="1" applyFont="1" applyBorder="1" applyAlignment="1">
      <alignment horizontal="center" vertical="top"/>
    </xf>
    <xf numFmtId="3" fontId="5" fillId="3" borderId="95" xfId="0" applyNumberFormat="1" applyFont="1" applyFill="1" applyBorder="1" applyAlignment="1">
      <alignment horizontal="left" vertical="top" wrapText="1"/>
    </xf>
    <xf numFmtId="49" fontId="5" fillId="3" borderId="16" xfId="0" applyNumberFormat="1" applyFont="1" applyFill="1" applyBorder="1" applyAlignment="1">
      <alignment horizontal="center" vertical="top"/>
    </xf>
    <xf numFmtId="0" fontId="14" fillId="0" borderId="6" xfId="0" applyFont="1" applyBorder="1"/>
    <xf numFmtId="3" fontId="11" fillId="3" borderId="136" xfId="0" applyNumberFormat="1" applyFont="1" applyFill="1" applyBorder="1" applyAlignment="1">
      <alignment vertical="top" wrapText="1"/>
    </xf>
    <xf numFmtId="49" fontId="11" fillId="3" borderId="139" xfId="0" applyNumberFormat="1" applyFont="1" applyFill="1" applyBorder="1" applyAlignment="1">
      <alignment horizontal="center" vertical="top"/>
    </xf>
    <xf numFmtId="0" fontId="14" fillId="0" borderId="139" xfId="0" applyFont="1" applyBorder="1"/>
    <xf numFmtId="0" fontId="14" fillId="0" borderId="140" xfId="0" applyFont="1" applyBorder="1"/>
    <xf numFmtId="3" fontId="5" fillId="3" borderId="133" xfId="0" applyNumberFormat="1" applyFont="1" applyFill="1" applyBorder="1" applyAlignment="1">
      <alignment vertical="top" wrapText="1"/>
    </xf>
    <xf numFmtId="49" fontId="5" fillId="3" borderId="128" xfId="0" applyNumberFormat="1" applyFont="1" applyFill="1" applyBorder="1" applyAlignment="1">
      <alignment horizontal="center" vertical="top"/>
    </xf>
    <xf numFmtId="49" fontId="11" fillId="0" borderId="128" xfId="0" applyNumberFormat="1" applyFont="1" applyBorder="1" applyAlignment="1">
      <alignment horizontal="center" vertical="top"/>
    </xf>
    <xf numFmtId="0" fontId="11" fillId="0" borderId="141" xfId="0" applyFont="1" applyBorder="1" applyAlignment="1">
      <alignment horizontal="center" vertical="top" wrapText="1"/>
    </xf>
    <xf numFmtId="3" fontId="5" fillId="3" borderId="108" xfId="0" applyNumberFormat="1" applyFont="1" applyFill="1" applyBorder="1" applyAlignment="1">
      <alignment vertical="top" wrapText="1"/>
    </xf>
    <xf numFmtId="0" fontId="11" fillId="3" borderId="136" xfId="0" applyFont="1" applyFill="1" applyBorder="1" applyAlignment="1">
      <alignment horizontal="left" vertical="top" wrapText="1"/>
    </xf>
    <xf numFmtId="0" fontId="5" fillId="3" borderId="106" xfId="0" applyFont="1" applyFill="1" applyBorder="1" applyAlignment="1">
      <alignment horizontal="left" vertical="top" wrapText="1"/>
    </xf>
    <xf numFmtId="0" fontId="5" fillId="3" borderId="118" xfId="0" applyFont="1" applyFill="1" applyBorder="1" applyAlignment="1">
      <alignment vertical="top" wrapText="1"/>
    </xf>
    <xf numFmtId="0" fontId="5" fillId="3" borderId="108" xfId="0" applyFont="1" applyFill="1" applyBorder="1" applyAlignment="1">
      <alignment vertical="top" wrapText="1"/>
    </xf>
    <xf numFmtId="0" fontId="30" fillId="3" borderId="136" xfId="0" applyFont="1" applyFill="1" applyBorder="1" applyAlignment="1">
      <alignment vertical="top" wrapText="1"/>
    </xf>
    <xf numFmtId="49" fontId="30" fillId="3" borderId="139" xfId="0" applyNumberFormat="1" applyFont="1" applyFill="1" applyBorder="1" applyAlignment="1">
      <alignment horizontal="center" vertical="top"/>
    </xf>
    <xf numFmtId="0" fontId="29" fillId="3" borderId="133" xfId="0" applyFont="1" applyFill="1" applyBorder="1" applyAlignment="1">
      <alignment vertical="top" wrapText="1"/>
    </xf>
    <xf numFmtId="49" fontId="29" fillId="3" borderId="128" xfId="0" applyNumberFormat="1" applyFont="1" applyFill="1" applyBorder="1" applyAlignment="1">
      <alignment horizontal="center" vertical="top"/>
    </xf>
    <xf numFmtId="0" fontId="23" fillId="0" borderId="108" xfId="0" applyFont="1" applyBorder="1" applyAlignment="1">
      <alignment vertical="top"/>
    </xf>
    <xf numFmtId="3" fontId="11" fillId="3" borderId="136" xfId="0" applyNumberFormat="1" applyFont="1" applyFill="1" applyBorder="1" applyAlignment="1">
      <alignment horizontal="left" vertical="top" wrapText="1"/>
    </xf>
    <xf numFmtId="49" fontId="19" fillId="3" borderId="139" xfId="0" applyNumberFormat="1" applyFont="1" applyFill="1" applyBorder="1" applyAlignment="1">
      <alignment horizontal="center" vertical="top"/>
    </xf>
    <xf numFmtId="164" fontId="11" fillId="3" borderId="140" xfId="0" applyNumberFormat="1" applyFont="1" applyFill="1" applyBorder="1" applyAlignment="1">
      <alignment horizontal="center" vertical="top" wrapText="1"/>
    </xf>
    <xf numFmtId="3" fontId="5" fillId="3" borderId="133" xfId="0" applyNumberFormat="1" applyFont="1" applyFill="1" applyBorder="1" applyAlignment="1">
      <alignment horizontal="left" vertical="top" wrapText="1"/>
    </xf>
    <xf numFmtId="49" fontId="1" fillId="3" borderId="128" xfId="0" applyNumberFormat="1" applyFont="1" applyFill="1" applyBorder="1" applyAlignment="1">
      <alignment horizontal="center" vertical="top"/>
    </xf>
    <xf numFmtId="164" fontId="5" fillId="3" borderId="141" xfId="0" applyNumberFormat="1" applyFont="1" applyFill="1" applyBorder="1" applyAlignment="1">
      <alignment horizontal="center" vertical="top" wrapText="1"/>
    </xf>
    <xf numFmtId="0" fontId="11" fillId="3" borderId="6" xfId="0" applyFont="1" applyFill="1" applyBorder="1" applyAlignment="1">
      <alignment horizontal="center" vertical="top" wrapText="1"/>
    </xf>
    <xf numFmtId="0" fontId="14" fillId="7" borderId="90" xfId="0" applyFont="1" applyFill="1" applyBorder="1"/>
    <xf numFmtId="0" fontId="14" fillId="7" borderId="131" xfId="0" applyFont="1" applyFill="1" applyBorder="1"/>
    <xf numFmtId="0" fontId="14" fillId="7" borderId="132" xfId="0" applyFont="1" applyFill="1" applyBorder="1"/>
    <xf numFmtId="3" fontId="11" fillId="3" borderId="106" xfId="0" applyNumberFormat="1" applyFont="1" applyFill="1" applyBorder="1" applyAlignment="1">
      <alignment vertical="top" wrapText="1"/>
    </xf>
    <xf numFmtId="0" fontId="14" fillId="0" borderId="107" xfId="0" applyFont="1" applyBorder="1"/>
    <xf numFmtId="0" fontId="5" fillId="3" borderId="128" xfId="0" applyFont="1" applyFill="1" applyBorder="1" applyAlignment="1">
      <alignment horizontal="center" vertical="top" wrapText="1"/>
    </xf>
    <xf numFmtId="0" fontId="5" fillId="3" borderId="141" xfId="0" applyFont="1" applyFill="1" applyBorder="1" applyAlignment="1">
      <alignment horizontal="center" vertical="top" wrapText="1"/>
    </xf>
    <xf numFmtId="0" fontId="11" fillId="0" borderId="136" xfId="0" applyFont="1" applyBorder="1" applyAlignment="1">
      <alignment vertical="top" wrapText="1"/>
    </xf>
    <xf numFmtId="0" fontId="11" fillId="3" borderId="139" xfId="0" applyFont="1" applyFill="1" applyBorder="1" applyAlignment="1">
      <alignment horizontal="center" vertical="top" wrapText="1"/>
    </xf>
    <xf numFmtId="0" fontId="14" fillId="0" borderId="142" xfId="0" applyFont="1" applyBorder="1"/>
    <xf numFmtId="0" fontId="11" fillId="0" borderId="106" xfId="0" applyFont="1" applyBorder="1" applyAlignment="1">
      <alignment vertical="top" wrapText="1"/>
    </xf>
    <xf numFmtId="0" fontId="5" fillId="0" borderId="133" xfId="0" applyFont="1" applyBorder="1" applyAlignment="1">
      <alignment vertical="top" wrapText="1"/>
    </xf>
    <xf numFmtId="0" fontId="5" fillId="0" borderId="143" xfId="0" applyFont="1" applyBorder="1" applyAlignment="1">
      <alignment vertical="top" wrapText="1"/>
    </xf>
    <xf numFmtId="0" fontId="5" fillId="3" borderId="109" xfId="0" applyFont="1" applyFill="1" applyBorder="1" applyAlignment="1">
      <alignment horizontal="center" vertical="top" wrapText="1"/>
    </xf>
    <xf numFmtId="0" fontId="14" fillId="8" borderId="111" xfId="0" applyFont="1" applyFill="1" applyBorder="1"/>
    <xf numFmtId="49" fontId="11" fillId="8" borderId="6" xfId="0" applyNumberFormat="1" applyFont="1" applyFill="1" applyBorder="1" applyAlignment="1">
      <alignment horizontal="center" vertical="top"/>
    </xf>
    <xf numFmtId="0" fontId="14" fillId="7" borderId="94" xfId="0" applyFont="1" applyFill="1" applyBorder="1"/>
    <xf numFmtId="3" fontId="11" fillId="8" borderId="106" xfId="0" applyNumberFormat="1" applyFont="1" applyFill="1" applyBorder="1" applyAlignment="1">
      <alignment vertical="top" wrapText="1"/>
    </xf>
    <xf numFmtId="0" fontId="14" fillId="7" borderId="136" xfId="0" applyFont="1" applyFill="1" applyBorder="1"/>
    <xf numFmtId="0" fontId="14" fillId="7" borderId="139" xfId="0" applyFont="1" applyFill="1" applyBorder="1"/>
    <xf numFmtId="0" fontId="14" fillId="7" borderId="140" xfId="0" applyFont="1" applyFill="1" applyBorder="1"/>
    <xf numFmtId="0" fontId="14" fillId="8" borderId="107" xfId="0" applyFont="1" applyFill="1" applyBorder="1"/>
    <xf numFmtId="0" fontId="14" fillId="0" borderId="106" xfId="0" applyFont="1" applyBorder="1"/>
    <xf numFmtId="4" fontId="12" fillId="3" borderId="10" xfId="0" applyNumberFormat="1" applyFont="1" applyFill="1" applyBorder="1" applyAlignment="1">
      <alignment horizontal="center" vertical="top" wrapText="1"/>
    </xf>
    <xf numFmtId="4" fontId="12" fillId="3" borderId="1" xfId="0" applyNumberFormat="1" applyFont="1" applyFill="1" applyBorder="1" applyAlignment="1">
      <alignment horizontal="center" vertical="top" wrapText="1"/>
    </xf>
    <xf numFmtId="0" fontId="27" fillId="3" borderId="4" xfId="0" applyFont="1" applyFill="1" applyBorder="1" applyAlignment="1">
      <alignment vertical="top" wrapText="1"/>
    </xf>
    <xf numFmtId="164" fontId="14" fillId="0" borderId="5" xfId="0" applyNumberFormat="1" applyFont="1" applyBorder="1"/>
    <xf numFmtId="0" fontId="14" fillId="0" borderId="5" xfId="0" applyFont="1" applyBorder="1"/>
    <xf numFmtId="0" fontId="14" fillId="0" borderId="111" xfId="0" applyFont="1" applyBorder="1"/>
    <xf numFmtId="164" fontId="5" fillId="0" borderId="126" xfId="0" applyNumberFormat="1" applyFont="1" applyBorder="1" applyAlignment="1">
      <alignment horizontal="center" vertical="top"/>
    </xf>
    <xf numFmtId="0" fontId="5" fillId="3" borderId="15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12" fillId="9" borderId="33" xfId="0" applyFont="1" applyFill="1" applyBorder="1" applyAlignment="1">
      <alignment vertical="top" wrapText="1"/>
    </xf>
    <xf numFmtId="0" fontId="20" fillId="3" borderId="58" xfId="0" applyFont="1" applyFill="1" applyBorder="1" applyAlignment="1">
      <alignment vertical="top" wrapText="1"/>
    </xf>
    <xf numFmtId="166" fontId="20" fillId="3" borderId="16" xfId="0" applyNumberFormat="1" applyFont="1" applyFill="1" applyBorder="1" applyAlignment="1">
      <alignment horizontal="center" vertical="top"/>
    </xf>
    <xf numFmtId="164" fontId="20" fillId="3" borderId="4" xfId="0" applyNumberFormat="1" applyFont="1" applyFill="1" applyBorder="1" applyAlignment="1">
      <alignment horizontal="center" vertical="top"/>
    </xf>
    <xf numFmtId="164" fontId="20" fillId="3" borderId="16" xfId="0" applyNumberFormat="1" applyFont="1" applyFill="1" applyBorder="1" applyAlignment="1">
      <alignment horizontal="center" vertical="top"/>
    </xf>
    <xf numFmtId="164" fontId="20" fillId="3" borderId="25" xfId="0" applyNumberFormat="1" applyFont="1" applyFill="1" applyBorder="1" applyAlignment="1">
      <alignment horizontal="center" vertical="top"/>
    </xf>
    <xf numFmtId="0" fontId="21" fillId="0" borderId="95" xfId="0" applyFont="1" applyBorder="1"/>
    <xf numFmtId="0" fontId="21" fillId="0" borderId="4" xfId="0" applyFont="1" applyBorder="1"/>
    <xf numFmtId="164" fontId="19" fillId="0" borderId="72" xfId="0" applyNumberFormat="1" applyFont="1" applyBorder="1" applyAlignment="1">
      <alignment horizontal="left" vertical="top" wrapText="1"/>
    </xf>
    <xf numFmtId="0" fontId="1" fillId="3" borderId="41" xfId="0" applyFont="1" applyFill="1" applyBorder="1" applyAlignment="1">
      <alignment vertical="top" wrapText="1"/>
    </xf>
    <xf numFmtId="166" fontId="19" fillId="3" borderId="57" xfId="0" applyNumberFormat="1" applyFont="1" applyFill="1" applyBorder="1" applyAlignment="1">
      <alignment horizontal="center" vertical="top"/>
    </xf>
    <xf numFmtId="164" fontId="19" fillId="3" borderId="33" xfId="0" applyNumberFormat="1" applyFont="1" applyFill="1" applyBorder="1" applyAlignment="1">
      <alignment horizontal="center" vertical="top"/>
    </xf>
    <xf numFmtId="164" fontId="19" fillId="3" borderId="34" xfId="0" applyNumberFormat="1" applyFont="1" applyFill="1" applyBorder="1" applyAlignment="1">
      <alignment horizontal="center" vertical="top"/>
    </xf>
    <xf numFmtId="164" fontId="19" fillId="3" borderId="126" xfId="0" applyNumberFormat="1" applyFont="1" applyFill="1" applyBorder="1" applyAlignment="1">
      <alignment horizontal="center" vertical="top"/>
    </xf>
    <xf numFmtId="0" fontId="1" fillId="3" borderId="97" xfId="0" applyFont="1" applyFill="1" applyBorder="1" applyAlignment="1">
      <alignment horizontal="left" vertical="top" wrapText="1"/>
    </xf>
    <xf numFmtId="0" fontId="1" fillId="3" borderId="34" xfId="0" applyFont="1" applyFill="1" applyBorder="1" applyAlignment="1">
      <alignment vertical="center"/>
    </xf>
    <xf numFmtId="0" fontId="1" fillId="3" borderId="34" xfId="0" applyFont="1" applyFill="1" applyBorder="1" applyAlignment="1">
      <alignment horizontal="center" vertical="top"/>
    </xf>
    <xf numFmtId="0" fontId="27" fillId="3" borderId="6" xfId="0" applyFont="1" applyFill="1" applyBorder="1" applyAlignment="1">
      <alignment vertical="top" wrapText="1"/>
    </xf>
    <xf numFmtId="0" fontId="19" fillId="3" borderId="76" xfId="0" applyFont="1" applyFill="1" applyBorder="1" applyAlignment="1">
      <alignment horizontal="left" vertical="top" wrapText="1"/>
    </xf>
    <xf numFmtId="0" fontId="20" fillId="3" borderId="17" xfId="0" applyFont="1" applyFill="1" applyBorder="1" applyAlignment="1">
      <alignment vertical="top" wrapText="1"/>
    </xf>
    <xf numFmtId="0" fontId="19" fillId="3" borderId="75" xfId="0" applyFont="1" applyFill="1" applyBorder="1" applyAlignment="1">
      <alignment horizontal="left" vertical="top" wrapText="1"/>
    </xf>
    <xf numFmtId="0" fontId="19" fillId="3" borderId="60" xfId="0" applyFont="1" applyFill="1" applyBorder="1" applyAlignment="1">
      <alignment vertical="top" wrapText="1"/>
    </xf>
    <xf numFmtId="164" fontId="1" fillId="3" borderId="33" xfId="0" applyNumberFormat="1" applyFont="1" applyFill="1" applyBorder="1" applyAlignment="1">
      <alignment horizontal="center" vertical="top" wrapText="1"/>
    </xf>
    <xf numFmtId="0" fontId="20" fillId="3" borderId="36" xfId="0" applyFont="1" applyFill="1" applyBorder="1" applyAlignment="1">
      <alignment vertical="top" wrapText="1"/>
    </xf>
    <xf numFmtId="0" fontId="19" fillId="3" borderId="33" xfId="0" applyFont="1" applyFill="1" applyBorder="1" applyAlignment="1">
      <alignment vertical="top" wrapText="1"/>
    </xf>
    <xf numFmtId="164" fontId="20" fillId="3" borderId="4" xfId="0" applyNumberFormat="1" applyFont="1" applyFill="1" applyBorder="1" applyAlignment="1">
      <alignment horizontal="center" vertical="top" wrapText="1"/>
    </xf>
    <xf numFmtId="164" fontId="20" fillId="3" borderId="12" xfId="0" applyNumberFormat="1" applyFont="1" applyFill="1" applyBorder="1" applyAlignment="1">
      <alignment horizontal="center" vertical="top" wrapText="1"/>
    </xf>
    <xf numFmtId="0" fontId="19" fillId="3" borderId="136" xfId="0" applyFont="1" applyFill="1" applyBorder="1" applyAlignment="1">
      <alignment horizontal="left" vertical="top" wrapText="1"/>
    </xf>
    <xf numFmtId="0" fontId="19" fillId="3" borderId="133" xfId="0" applyFont="1" applyFill="1" applyBorder="1" applyAlignment="1">
      <alignment horizontal="left" vertical="top" wrapText="1"/>
    </xf>
    <xf numFmtId="0" fontId="1" fillId="3" borderId="72" xfId="0" applyFont="1" applyFill="1" applyBorder="1" applyAlignment="1">
      <alignment horizontal="left" vertical="top" wrapText="1"/>
    </xf>
    <xf numFmtId="0" fontId="1" fillId="0" borderId="45" xfId="0" applyFont="1" applyBorder="1" applyAlignment="1">
      <alignment vertical="top" wrapText="1"/>
    </xf>
    <xf numFmtId="166" fontId="1" fillId="3" borderId="33" xfId="0" applyNumberFormat="1" applyFont="1" applyFill="1" applyBorder="1" applyAlignment="1">
      <alignment horizontal="center" vertical="top" wrapText="1"/>
    </xf>
    <xf numFmtId="164" fontId="1" fillId="3" borderId="42" xfId="0" applyNumberFormat="1" applyFont="1" applyFill="1" applyBorder="1" applyAlignment="1">
      <alignment horizontal="center" vertical="top" wrapText="1"/>
    </xf>
    <xf numFmtId="168" fontId="1" fillId="3" borderId="134" xfId="1" applyNumberFormat="1" applyFont="1" applyFill="1" applyBorder="1" applyAlignment="1">
      <alignment horizontal="left" vertical="top" wrapText="1"/>
    </xf>
    <xf numFmtId="49" fontId="1" fillId="3" borderId="31" xfId="0" applyNumberFormat="1" applyFont="1" applyFill="1" applyBorder="1" applyAlignment="1">
      <alignment horizontal="center" vertical="top"/>
    </xf>
    <xf numFmtId="49" fontId="1" fillId="0" borderId="31" xfId="0" applyNumberFormat="1" applyFont="1" applyBorder="1" applyAlignment="1">
      <alignment horizontal="center" vertical="top"/>
    </xf>
    <xf numFmtId="164" fontId="1" fillId="0" borderId="135" xfId="0" applyNumberFormat="1" applyFont="1" applyBorder="1" applyAlignment="1">
      <alignment horizontal="center" vertical="top" wrapText="1"/>
    </xf>
    <xf numFmtId="0" fontId="20" fillId="3" borderId="36" xfId="0" applyFont="1" applyFill="1" applyBorder="1" applyAlignment="1">
      <alignment horizontal="left" vertical="top" wrapText="1"/>
    </xf>
    <xf numFmtId="166" fontId="19" fillId="3" borderId="36" xfId="0" applyNumberFormat="1" applyFont="1" applyFill="1" applyBorder="1" applyAlignment="1">
      <alignment horizontal="center" vertical="top" wrapText="1"/>
    </xf>
    <xf numFmtId="164" fontId="19" fillId="3" borderId="36" xfId="0" applyNumberFormat="1" applyFont="1" applyFill="1" applyBorder="1" applyAlignment="1">
      <alignment horizontal="center" vertical="top" wrapText="1"/>
    </xf>
    <xf numFmtId="164" fontId="19" fillId="3" borderId="54" xfId="0" applyNumberFormat="1" applyFont="1" applyFill="1" applyBorder="1" applyAlignment="1">
      <alignment horizontal="center" vertical="top" wrapText="1"/>
    </xf>
    <xf numFmtId="168" fontId="19" fillId="3" borderId="129" xfId="1" applyNumberFormat="1" applyFont="1" applyFill="1" applyBorder="1" applyAlignment="1">
      <alignment horizontal="left" vertical="top" wrapText="1"/>
    </xf>
    <xf numFmtId="49" fontId="19" fillId="3" borderId="130" xfId="0" applyNumberFormat="1" applyFont="1" applyFill="1" applyBorder="1" applyAlignment="1">
      <alignment horizontal="center" vertical="top"/>
    </xf>
    <xf numFmtId="1" fontId="19" fillId="0" borderId="130" xfId="0" applyNumberFormat="1" applyFont="1" applyBorder="1" applyAlignment="1">
      <alignment horizontal="center" vertical="top"/>
    </xf>
    <xf numFmtId="0" fontId="1" fillId="0" borderId="131" xfId="0" applyFont="1" applyBorder="1" applyAlignment="1">
      <alignment horizontal="center" vertical="top"/>
    </xf>
    <xf numFmtId="0" fontId="21" fillId="0" borderId="132" xfId="0" applyFont="1" applyBorder="1"/>
    <xf numFmtId="0" fontId="19" fillId="3" borderId="37" xfId="0" applyFont="1" applyFill="1" applyBorder="1" applyAlignment="1">
      <alignment horizontal="left" vertical="top" wrapText="1"/>
    </xf>
    <xf numFmtId="166" fontId="19" fillId="3" borderId="33" xfId="0" applyNumberFormat="1" applyFont="1" applyFill="1" applyBorder="1" applyAlignment="1">
      <alignment horizontal="center" vertical="top" wrapText="1"/>
    </xf>
    <xf numFmtId="164" fontId="19" fillId="0" borderId="33" xfId="0" applyNumberFormat="1" applyFont="1" applyBorder="1" applyAlignment="1">
      <alignment horizontal="center" vertical="top" wrapText="1"/>
    </xf>
    <xf numFmtId="164" fontId="19" fillId="0" borderId="42" xfId="0" applyNumberFormat="1" applyFont="1" applyBorder="1" applyAlignment="1">
      <alignment horizontal="center" vertical="top" wrapText="1"/>
    </xf>
    <xf numFmtId="168" fontId="1" fillId="3" borderId="108" xfId="1" applyNumberFormat="1" applyFont="1" applyFill="1" applyBorder="1" applyAlignment="1">
      <alignment horizontal="left" vertical="top" wrapText="1"/>
    </xf>
    <xf numFmtId="1" fontId="1" fillId="0" borderId="31" xfId="0" applyNumberFormat="1" applyFont="1" applyBorder="1" applyAlignment="1">
      <alignment horizontal="center" vertical="top"/>
    </xf>
    <xf numFmtId="0" fontId="20" fillId="0" borderId="38" xfId="0" applyFont="1" applyBorder="1" applyAlignment="1">
      <alignment horizontal="left" vertical="top" wrapText="1"/>
    </xf>
    <xf numFmtId="166" fontId="19" fillId="3" borderId="38" xfId="0" applyNumberFormat="1" applyFont="1" applyFill="1" applyBorder="1" applyAlignment="1">
      <alignment horizontal="center" vertical="top" wrapText="1"/>
    </xf>
    <xf numFmtId="164" fontId="19" fillId="3" borderId="38" xfId="0" applyNumberFormat="1" applyFont="1" applyFill="1" applyBorder="1" applyAlignment="1">
      <alignment horizontal="center" vertical="top" wrapText="1"/>
    </xf>
    <xf numFmtId="164" fontId="19" fillId="3" borderId="40" xfId="0" applyNumberFormat="1" applyFont="1" applyFill="1" applyBorder="1" applyAlignment="1">
      <alignment horizontal="center" vertical="top" wrapText="1"/>
    </xf>
    <xf numFmtId="164" fontId="19" fillId="3" borderId="43" xfId="0" applyNumberFormat="1" applyFont="1" applyFill="1" applyBorder="1" applyAlignment="1">
      <alignment horizontal="center" vertical="top" wrapText="1"/>
    </xf>
    <xf numFmtId="168" fontId="19" fillId="0" borderId="136" xfId="1" applyNumberFormat="1" applyFont="1" applyBorder="1" applyAlignment="1">
      <alignment horizontal="left" vertical="top" wrapText="1"/>
    </xf>
    <xf numFmtId="0" fontId="21" fillId="0" borderId="93" xfId="0" applyFont="1" applyBorder="1"/>
    <xf numFmtId="164" fontId="21" fillId="0" borderId="137" xfId="0" applyNumberFormat="1" applyFont="1" applyBorder="1"/>
    <xf numFmtId="0" fontId="21" fillId="0" borderId="137" xfId="0" applyFont="1" applyBorder="1"/>
    <xf numFmtId="0" fontId="1" fillId="0" borderId="137" xfId="0" applyFont="1" applyBorder="1" applyAlignment="1">
      <alignment horizontal="center" vertical="top"/>
    </xf>
    <xf numFmtId="0" fontId="21" fillId="0" borderId="94" xfId="0" applyFont="1" applyBorder="1"/>
    <xf numFmtId="0" fontId="19" fillId="3" borderId="74" xfId="0" applyFont="1" applyFill="1" applyBorder="1" applyAlignment="1">
      <alignment horizontal="left" vertical="top" wrapText="1"/>
    </xf>
    <xf numFmtId="0" fontId="19" fillId="0" borderId="39" xfId="0" applyFont="1" applyBorder="1" applyAlignment="1">
      <alignment horizontal="left" vertical="top" wrapText="1"/>
    </xf>
    <xf numFmtId="166" fontId="19" fillId="3" borderId="39" xfId="0" applyNumberFormat="1" applyFont="1" applyFill="1" applyBorder="1" applyAlignment="1">
      <alignment horizontal="center" vertical="top" wrapText="1"/>
    </xf>
    <xf numFmtId="164" fontId="19" fillId="3" borderId="39" xfId="0" applyNumberFormat="1" applyFont="1" applyFill="1" applyBorder="1" applyAlignment="1">
      <alignment horizontal="center" vertical="top" wrapText="1"/>
    </xf>
    <xf numFmtId="164" fontId="19" fillId="0" borderId="34" xfId="0" applyNumberFormat="1" applyFont="1" applyBorder="1" applyAlignment="1">
      <alignment horizontal="center" vertical="top" wrapText="1"/>
    </xf>
    <xf numFmtId="168" fontId="1" fillId="0" borderId="133" xfId="1" applyNumberFormat="1" applyFont="1" applyBorder="1" applyAlignment="1">
      <alignment horizontal="left" vertical="top" wrapText="1"/>
    </xf>
    <xf numFmtId="49" fontId="1" fillId="0" borderId="138" xfId="0" applyNumberFormat="1" applyFont="1" applyBorder="1" applyAlignment="1">
      <alignment horizontal="center" vertical="top"/>
    </xf>
    <xf numFmtId="1" fontId="1" fillId="0" borderId="138" xfId="0" applyNumberFormat="1" applyFont="1" applyBorder="1" applyAlignment="1">
      <alignment horizontal="center" vertical="top"/>
    </xf>
    <xf numFmtId="164" fontId="1" fillId="0" borderId="122" xfId="0" applyNumberFormat="1" applyFont="1" applyBorder="1" applyAlignment="1">
      <alignment horizontal="center" vertical="top" wrapText="1"/>
    </xf>
    <xf numFmtId="0" fontId="1" fillId="3" borderId="71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68" fontId="1" fillId="3" borderId="100" xfId="1" applyNumberFormat="1" applyFont="1" applyFill="1" applyBorder="1" applyAlignment="1">
      <alignment horizontal="left" vertical="top" wrapText="1"/>
    </xf>
    <xf numFmtId="49" fontId="1" fillId="3" borderId="5" xfId="0" applyNumberFormat="1" applyFont="1" applyFill="1" applyBorder="1" applyAlignment="1">
      <alignment horizontal="center" vertical="top"/>
    </xf>
    <xf numFmtId="1" fontId="1" fillId="3" borderId="5" xfId="0" applyNumberFormat="1" applyFont="1" applyFill="1" applyBorder="1" applyAlignment="1">
      <alignment horizontal="center" vertical="top"/>
    </xf>
    <xf numFmtId="49" fontId="1" fillId="0" borderId="5" xfId="0" applyNumberFormat="1" applyFont="1" applyBorder="1" applyAlignment="1">
      <alignment horizontal="center" vertical="top"/>
    </xf>
    <xf numFmtId="0" fontId="1" fillId="3" borderId="101" xfId="0" applyFont="1" applyFill="1" applyBorder="1" applyAlignment="1">
      <alignment horizontal="left" vertical="top" wrapText="1"/>
    </xf>
    <xf numFmtId="0" fontId="1" fillId="0" borderId="71" xfId="0" applyFont="1" applyBorder="1" applyAlignment="1">
      <alignment horizontal="left" vertical="top" wrapText="1"/>
    </xf>
    <xf numFmtId="0" fontId="1" fillId="0" borderId="72" xfId="0" applyFont="1" applyBorder="1" applyAlignment="1">
      <alignment horizontal="left" vertical="top" wrapText="1"/>
    </xf>
    <xf numFmtId="0" fontId="6" fillId="3" borderId="21" xfId="0" applyFont="1" applyFill="1" applyBorder="1" applyAlignment="1">
      <alignment vertical="top" wrapText="1"/>
    </xf>
    <xf numFmtId="0" fontId="1" fillId="0" borderId="68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vertical="top" wrapText="1"/>
    </xf>
    <xf numFmtId="0" fontId="1" fillId="3" borderId="83" xfId="0" applyFont="1" applyFill="1" applyBorder="1" applyAlignment="1">
      <alignment horizontal="left" vertical="top" wrapText="1"/>
    </xf>
    <xf numFmtId="0" fontId="3" fillId="3" borderId="12" xfId="0" applyFont="1" applyFill="1" applyBorder="1" applyAlignment="1">
      <alignment vertical="top" wrapText="1"/>
    </xf>
    <xf numFmtId="0" fontId="1" fillId="3" borderId="100" xfId="0" applyFont="1" applyFill="1" applyBorder="1" applyAlignment="1">
      <alignment vertical="top" wrapText="1"/>
    </xf>
    <xf numFmtId="0" fontId="1" fillId="3" borderId="5" xfId="0" applyFont="1" applyFill="1" applyBorder="1" applyAlignment="1">
      <alignment horizontal="center" vertical="top"/>
    </xf>
    <xf numFmtId="0" fontId="1" fillId="3" borderId="5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vertical="top" wrapText="1"/>
    </xf>
    <xf numFmtId="0" fontId="1" fillId="3" borderId="3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top" wrapText="1"/>
    </xf>
    <xf numFmtId="0" fontId="1" fillId="3" borderId="0" xfId="0" applyFont="1" applyFill="1" applyAlignment="1">
      <alignment vertical="top"/>
    </xf>
    <xf numFmtId="0" fontId="20" fillId="0" borderId="6" xfId="0" applyFont="1" applyBorder="1" applyAlignment="1">
      <alignment horizontal="left" vertical="top" wrapText="1"/>
    </xf>
    <xf numFmtId="164" fontId="20" fillId="3" borderId="6" xfId="0" applyNumberFormat="1" applyFont="1" applyFill="1" applyBorder="1" applyAlignment="1">
      <alignment horizontal="center" vertical="top" wrapText="1"/>
    </xf>
    <xf numFmtId="164" fontId="20" fillId="3" borderId="13" xfId="0" applyNumberFormat="1" applyFont="1" applyFill="1" applyBorder="1" applyAlignment="1">
      <alignment horizontal="center" vertical="top" wrapText="1"/>
    </xf>
    <xf numFmtId="0" fontId="20" fillId="3" borderId="39" xfId="0" applyFont="1" applyFill="1" applyBorder="1" applyAlignment="1">
      <alignment vertical="top" wrapText="1"/>
    </xf>
    <xf numFmtId="164" fontId="3" fillId="3" borderId="6" xfId="0" applyNumberFormat="1" applyFont="1" applyFill="1" applyBorder="1" applyAlignment="1">
      <alignment horizontal="center" vertical="top" wrapText="1"/>
    </xf>
    <xf numFmtId="0" fontId="1" fillId="0" borderId="84" xfId="0" applyFont="1" applyBorder="1" applyAlignment="1">
      <alignment horizontal="left" vertical="top" wrapText="1"/>
    </xf>
    <xf numFmtId="0" fontId="3" fillId="0" borderId="36" xfId="0" applyFont="1" applyBorder="1" applyAlignment="1">
      <alignment vertical="top" wrapText="1"/>
    </xf>
    <xf numFmtId="164" fontId="1" fillId="3" borderId="36" xfId="0" applyNumberFormat="1" applyFont="1" applyFill="1" applyBorder="1" applyAlignment="1">
      <alignment horizontal="center" vertical="top" wrapText="1"/>
    </xf>
    <xf numFmtId="164" fontId="1" fillId="0" borderId="36" xfId="0" applyNumberFormat="1" applyFont="1" applyBorder="1" applyAlignment="1">
      <alignment horizontal="center" vertical="top" wrapText="1"/>
    </xf>
    <xf numFmtId="164" fontId="1" fillId="0" borderId="54" xfId="0" applyNumberFormat="1" applyFont="1" applyBorder="1" applyAlignment="1">
      <alignment horizontal="center" vertical="top" wrapText="1"/>
    </xf>
    <xf numFmtId="0" fontId="1" fillId="9" borderId="33" xfId="0" applyFont="1" applyFill="1" applyBorder="1" applyAlignment="1">
      <alignment horizontal="center" vertical="top" wrapText="1"/>
    </xf>
    <xf numFmtId="0" fontId="1" fillId="3" borderId="42" xfId="0" applyFont="1" applyFill="1" applyBorder="1" applyAlignment="1">
      <alignment vertical="top" wrapText="1"/>
    </xf>
    <xf numFmtId="164" fontId="1" fillId="3" borderId="37" xfId="0" applyNumberFormat="1" applyFont="1" applyFill="1" applyBorder="1" applyAlignment="1">
      <alignment horizontal="center" vertical="top" wrapText="1"/>
    </xf>
    <xf numFmtId="164" fontId="1" fillId="0" borderId="37" xfId="0" applyNumberFormat="1" applyFont="1" applyBorder="1" applyAlignment="1">
      <alignment horizontal="center" vertical="top" wrapText="1"/>
    </xf>
    <xf numFmtId="164" fontId="1" fillId="0" borderId="44" xfId="0" applyNumberFormat="1" applyFont="1" applyBorder="1" applyAlignment="1">
      <alignment horizontal="center" vertical="top" wrapText="1"/>
    </xf>
    <xf numFmtId="0" fontId="23" fillId="9" borderId="2" xfId="0" applyFont="1" applyFill="1" applyBorder="1" applyAlignment="1">
      <alignment horizontal="center" vertical="top" wrapText="1"/>
    </xf>
    <xf numFmtId="0" fontId="24" fillId="9" borderId="84" xfId="0" applyFont="1" applyFill="1" applyBorder="1" applyAlignment="1">
      <alignment vertical="top" wrapText="1"/>
    </xf>
    <xf numFmtId="0" fontId="24" fillId="9" borderId="36" xfId="0" applyFont="1" applyFill="1" applyBorder="1" applyAlignment="1">
      <alignment horizontal="center" vertical="top" wrapText="1"/>
    </xf>
    <xf numFmtId="0" fontId="23" fillId="9" borderId="69" xfId="0" applyFont="1" applyFill="1" applyBorder="1" applyAlignment="1">
      <alignment vertical="top" wrapText="1"/>
    </xf>
    <xf numFmtId="0" fontId="5" fillId="0" borderId="145" xfId="0" applyFont="1" applyBorder="1" applyAlignment="1">
      <alignment wrapText="1"/>
    </xf>
    <xf numFmtId="0" fontId="23" fillId="9" borderId="70" xfId="0" applyFont="1" applyFill="1" applyBorder="1" applyAlignment="1">
      <alignment vertical="top" wrapText="1"/>
    </xf>
    <xf numFmtId="0" fontId="5" fillId="9" borderId="11" xfId="0" applyFont="1" applyFill="1" applyBorder="1" applyAlignment="1">
      <alignment horizontal="center" vertical="top" wrapText="1"/>
    </xf>
    <xf numFmtId="0" fontId="5" fillId="0" borderId="146" xfId="0" applyFont="1" applyBorder="1" applyAlignment="1">
      <alignment horizontal="center" vertical="top"/>
    </xf>
    <xf numFmtId="0" fontId="5" fillId="9" borderId="15" xfId="0" applyFont="1" applyFill="1" applyBorder="1" applyAlignment="1">
      <alignment horizontal="center" vertical="top" wrapText="1"/>
    </xf>
    <xf numFmtId="0" fontId="5" fillId="0" borderId="147" xfId="0" applyFont="1" applyBorder="1" applyAlignment="1">
      <alignment wrapText="1"/>
    </xf>
    <xf numFmtId="0" fontId="1" fillId="9" borderId="36" xfId="0" applyFont="1" applyFill="1" applyBorder="1" applyAlignment="1">
      <alignment horizontal="center" vertical="top" wrapText="1"/>
    </xf>
    <xf numFmtId="0" fontId="1" fillId="0" borderId="36" xfId="0" applyFont="1" applyBorder="1" applyAlignment="1">
      <alignment horizontal="center" vertical="top"/>
    </xf>
    <xf numFmtId="0" fontId="1" fillId="0" borderId="144" xfId="0" applyFont="1" applyBorder="1" applyAlignment="1">
      <alignment wrapText="1"/>
    </xf>
    <xf numFmtId="0" fontId="1" fillId="0" borderId="69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center" vertical="top"/>
    </xf>
    <xf numFmtId="0" fontId="1" fillId="0" borderId="145" xfId="0" applyFont="1" applyBorder="1" applyAlignment="1">
      <alignment wrapText="1"/>
    </xf>
    <xf numFmtId="0" fontId="5" fillId="9" borderId="110" xfId="0" applyFont="1" applyFill="1" applyBorder="1" applyAlignment="1">
      <alignment vertical="top" wrapText="1"/>
    </xf>
    <xf numFmtId="0" fontId="5" fillId="9" borderId="3" xfId="0" applyFont="1" applyFill="1" applyBorder="1" applyAlignment="1">
      <alignment horizontal="center" vertical="top" wrapText="1"/>
    </xf>
    <xf numFmtId="0" fontId="5" fillId="9" borderId="7" xfId="0" applyFont="1" applyFill="1" applyBorder="1" applyAlignment="1">
      <alignment horizontal="center" vertical="top" wrapText="1"/>
    </xf>
    <xf numFmtId="0" fontId="5" fillId="9" borderId="14" xfId="0" applyFont="1" applyFill="1" applyBorder="1" applyAlignment="1">
      <alignment horizontal="center" vertical="top" wrapText="1"/>
    </xf>
    <xf numFmtId="0" fontId="5" fillId="0" borderId="109" xfId="0" applyFont="1" applyBorder="1" applyAlignment="1">
      <alignment wrapText="1"/>
    </xf>
    <xf numFmtId="0" fontId="24" fillId="9" borderId="68" xfId="0" applyFont="1" applyFill="1" applyBorder="1" applyAlignment="1">
      <alignment vertical="top" wrapText="1"/>
    </xf>
    <xf numFmtId="0" fontId="24" fillId="9" borderId="4" xfId="0" applyFont="1" applyFill="1" applyBorder="1" applyAlignment="1">
      <alignment horizontal="center" vertical="top" wrapText="1"/>
    </xf>
    <xf numFmtId="0" fontId="14" fillId="0" borderId="148" xfId="0" applyFont="1" applyBorder="1"/>
    <xf numFmtId="0" fontId="11" fillId="0" borderId="144" xfId="0" applyFont="1" applyBorder="1" applyAlignment="1">
      <alignment wrapText="1"/>
    </xf>
    <xf numFmtId="0" fontId="18" fillId="2" borderId="69" xfId="0" applyFont="1" applyFill="1" applyBorder="1" applyAlignment="1">
      <alignment horizontal="center" vertical="center" wrapText="1"/>
    </xf>
    <xf numFmtId="0" fontId="3" fillId="4" borderId="68" xfId="0" applyFont="1" applyFill="1" applyBorder="1" applyAlignment="1">
      <alignment horizontal="left" vertical="top" wrapText="1"/>
    </xf>
    <xf numFmtId="0" fontId="3" fillId="12" borderId="68" xfId="0" applyFont="1" applyFill="1" applyBorder="1" applyAlignment="1">
      <alignment horizontal="left" vertical="top" wrapText="1"/>
    </xf>
    <xf numFmtId="0" fontId="3" fillId="12" borderId="69" xfId="0" applyFont="1" applyFill="1" applyBorder="1" applyAlignment="1">
      <alignment horizontal="left" vertical="top" wrapText="1"/>
    </xf>
    <xf numFmtId="0" fontId="3" fillId="7" borderId="68" xfId="0" applyFont="1" applyFill="1" applyBorder="1" applyAlignment="1">
      <alignment vertical="top" wrapText="1"/>
    </xf>
    <xf numFmtId="0" fontId="19" fillId="0" borderId="72" xfId="0" applyFont="1" applyBorder="1" applyAlignment="1">
      <alignment horizontal="left" vertical="top" wrapText="1"/>
    </xf>
    <xf numFmtId="0" fontId="19" fillId="0" borderId="71" xfId="0" applyFont="1" applyBorder="1" applyAlignment="1">
      <alignment horizontal="left" vertical="top" wrapText="1"/>
    </xf>
    <xf numFmtId="0" fontId="1" fillId="0" borderId="77" xfId="0" applyFont="1" applyBorder="1" applyAlignment="1">
      <alignment horizontal="left" vertical="top" wrapText="1"/>
    </xf>
    <xf numFmtId="0" fontId="1" fillId="0" borderId="80" xfId="0" applyFont="1" applyBorder="1" applyAlignment="1">
      <alignment horizontal="left" vertical="top" wrapText="1"/>
    </xf>
    <xf numFmtId="0" fontId="19" fillId="0" borderId="69" xfId="0" applyFont="1" applyBorder="1" applyAlignment="1">
      <alignment horizontal="left" vertical="top" wrapText="1"/>
    </xf>
    <xf numFmtId="0" fontId="3" fillId="8" borderId="68" xfId="0" applyFont="1" applyFill="1" applyBorder="1" applyAlignment="1">
      <alignment horizontal="left" vertical="top" wrapText="1"/>
    </xf>
    <xf numFmtId="0" fontId="3" fillId="0" borderId="69" xfId="0" applyFont="1" applyBorder="1" applyAlignment="1">
      <alignment horizontal="left" vertical="top" wrapText="1"/>
    </xf>
    <xf numFmtId="0" fontId="3" fillId="7" borderId="68" xfId="0" applyFont="1" applyFill="1" applyBorder="1" applyAlignment="1">
      <alignment horizontal="justify" vertical="top" wrapText="1"/>
    </xf>
    <xf numFmtId="0" fontId="19" fillId="3" borderId="70" xfId="0" applyFont="1" applyFill="1" applyBorder="1" applyAlignment="1">
      <alignment vertical="top" wrapText="1"/>
    </xf>
    <xf numFmtId="0" fontId="1" fillId="3" borderId="72" xfId="0" applyFont="1" applyFill="1" applyBorder="1" applyAlignment="1">
      <alignment vertical="top" wrapText="1"/>
    </xf>
    <xf numFmtId="0" fontId="1" fillId="8" borderId="68" xfId="0" applyFont="1" applyFill="1" applyBorder="1" applyAlignment="1">
      <alignment vertical="top" wrapText="1"/>
    </xf>
    <xf numFmtId="0" fontId="1" fillId="8" borderId="81" xfId="0" applyFont="1" applyFill="1" applyBorder="1" applyAlignment="1">
      <alignment vertical="top" wrapText="1"/>
    </xf>
    <xf numFmtId="0" fontId="1" fillId="0" borderId="69" xfId="0" applyFont="1" applyBorder="1" applyAlignment="1">
      <alignment horizontal="center" vertical="top" wrapText="1"/>
    </xf>
    <xf numFmtId="0" fontId="1" fillId="8" borderId="81" xfId="0" applyFont="1" applyFill="1" applyBorder="1" applyAlignment="1">
      <alignment horizontal="justify" vertical="top" wrapText="1"/>
    </xf>
    <xf numFmtId="0" fontId="1" fillId="8" borderId="70" xfId="0" applyFont="1" applyFill="1" applyBorder="1" applyAlignment="1">
      <alignment vertical="top" wrapText="1"/>
    </xf>
    <xf numFmtId="0" fontId="20" fillId="7" borderId="76" xfId="0" applyFont="1" applyFill="1" applyBorder="1" applyAlignment="1">
      <alignment horizontal="justify" vertical="top" wrapText="1"/>
    </xf>
    <xf numFmtId="0" fontId="19" fillId="8" borderId="74" xfId="0" applyFont="1" applyFill="1" applyBorder="1" applyAlignment="1">
      <alignment vertical="top" wrapText="1"/>
    </xf>
    <xf numFmtId="0" fontId="20" fillId="7" borderId="68" xfId="0" applyFont="1" applyFill="1" applyBorder="1" applyAlignment="1">
      <alignment horizontal="justify" vertical="top" wrapText="1"/>
    </xf>
    <xf numFmtId="0" fontId="19" fillId="8" borderId="81" xfId="0" applyFont="1" applyFill="1" applyBorder="1" applyAlignment="1">
      <alignment vertical="top" wrapText="1"/>
    </xf>
    <xf numFmtId="0" fontId="19" fillId="8" borderId="86" xfId="0" applyFont="1" applyFill="1" applyBorder="1" applyAlignment="1">
      <alignment horizontal="justify" vertical="top" wrapText="1"/>
    </xf>
    <xf numFmtId="0" fontId="3" fillId="3" borderId="70" xfId="0" applyFont="1" applyFill="1" applyBorder="1" applyAlignment="1">
      <alignment horizontal="justify" vertical="top" wrapText="1"/>
    </xf>
    <xf numFmtId="0" fontId="1" fillId="3" borderId="68" xfId="0" applyFont="1" applyFill="1" applyBorder="1" applyAlignment="1">
      <alignment horizontal="left" vertical="top" wrapText="1"/>
    </xf>
    <xf numFmtId="0" fontId="1" fillId="0" borderId="71" xfId="0" applyFont="1" applyBorder="1" applyAlignment="1">
      <alignment vertical="top" wrapText="1"/>
    </xf>
    <xf numFmtId="0" fontId="3" fillId="8" borderId="87" xfId="0" applyFont="1" applyFill="1" applyBorder="1" applyAlignment="1">
      <alignment horizontal="left" vertical="top" wrapText="1"/>
    </xf>
    <xf numFmtId="0" fontId="3" fillId="7" borderId="81" xfId="0" applyFont="1" applyFill="1" applyBorder="1" applyAlignment="1">
      <alignment horizontal="justify" vertical="top" wrapText="1"/>
    </xf>
    <xf numFmtId="0" fontId="19" fillId="8" borderId="71" xfId="0" applyFont="1" applyFill="1" applyBorder="1" applyAlignment="1">
      <alignment vertical="top" wrapText="1"/>
    </xf>
    <xf numFmtId="0" fontId="3" fillId="7" borderId="76" xfId="0" applyFont="1" applyFill="1" applyBorder="1" applyAlignment="1">
      <alignment horizontal="left" vertical="top" wrapText="1"/>
    </xf>
    <xf numFmtId="0" fontId="0" fillId="0" borderId="89" xfId="0" applyBorder="1" applyAlignment="1">
      <alignment horizontal="left" vertical="top" wrapText="1"/>
    </xf>
    <xf numFmtId="164" fontId="1" fillId="8" borderId="68" xfId="0" applyNumberFormat="1" applyFont="1" applyFill="1" applyBorder="1" applyAlignment="1">
      <alignment horizontal="left" vertical="top" wrapText="1"/>
    </xf>
    <xf numFmtId="164" fontId="1" fillId="0" borderId="72" xfId="0" applyNumberFormat="1" applyFont="1" applyBorder="1" applyAlignment="1">
      <alignment horizontal="left" vertical="top" wrapText="1"/>
    </xf>
    <xf numFmtId="164" fontId="3" fillId="7" borderId="69" xfId="0" applyNumberFormat="1" applyFont="1" applyFill="1" applyBorder="1" applyAlignment="1">
      <alignment horizontal="left" vertical="top" wrapText="1"/>
    </xf>
    <xf numFmtId="164" fontId="19" fillId="0" borderId="71" xfId="0" applyNumberFormat="1" applyFont="1" applyBorder="1" applyAlignment="1">
      <alignment horizontal="left" vertical="top" wrapText="1"/>
    </xf>
    <xf numFmtId="164" fontId="3" fillId="8" borderId="68" xfId="0" applyNumberFormat="1" applyFont="1" applyFill="1" applyBorder="1" applyAlignment="1">
      <alignment horizontal="left" vertical="top" wrapText="1"/>
    </xf>
    <xf numFmtId="164" fontId="3" fillId="7" borderId="68" xfId="0" applyNumberFormat="1" applyFont="1" applyFill="1" applyBorder="1" applyAlignment="1">
      <alignment horizontal="left" vertical="top" wrapText="1"/>
    </xf>
    <xf numFmtId="164" fontId="3" fillId="8" borderId="81" xfId="0" applyNumberFormat="1" applyFont="1" applyFill="1" applyBorder="1" applyAlignment="1">
      <alignment vertical="top" wrapText="1"/>
    </xf>
    <xf numFmtId="164" fontId="3" fillId="3" borderId="71" xfId="0" applyNumberFormat="1" applyFont="1" applyFill="1" applyBorder="1" applyAlignment="1">
      <alignment vertical="top" wrapText="1"/>
    </xf>
    <xf numFmtId="164" fontId="3" fillId="3" borderId="72" xfId="0" applyNumberFormat="1" applyFont="1" applyFill="1" applyBorder="1" applyAlignment="1">
      <alignment vertical="top" wrapText="1"/>
    </xf>
    <xf numFmtId="164" fontId="3" fillId="7" borderId="68" xfId="0" applyNumberFormat="1" applyFont="1" applyFill="1" applyBorder="1" applyAlignment="1">
      <alignment vertical="top" wrapText="1"/>
    </xf>
    <xf numFmtId="0" fontId="1" fillId="8" borderId="71" xfId="0" applyFont="1" applyFill="1" applyBorder="1" applyAlignment="1">
      <alignment horizontal="justify" vertical="top" wrapText="1"/>
    </xf>
    <xf numFmtId="0" fontId="1" fillId="0" borderId="0" xfId="0" applyFont="1" applyAlignment="1">
      <alignment horizontal="justify" vertical="top" wrapText="1"/>
    </xf>
    <xf numFmtId="0" fontId="21" fillId="0" borderId="0" xfId="0" applyFont="1" applyAlignment="1">
      <alignment vertical="top"/>
    </xf>
    <xf numFmtId="3" fontId="1" fillId="3" borderId="110" xfId="0" applyNumberFormat="1" applyFont="1" applyFill="1" applyBorder="1" applyAlignment="1">
      <alignment vertical="top" wrapText="1"/>
    </xf>
    <xf numFmtId="0" fontId="1" fillId="3" borderId="9" xfId="0" applyFont="1" applyFill="1" applyBorder="1" applyAlignment="1">
      <alignment horizontal="center" vertical="top" wrapText="1"/>
    </xf>
    <xf numFmtId="0" fontId="45" fillId="0" borderId="15" xfId="0" applyFont="1" applyBorder="1" applyAlignment="1">
      <alignment horizontal="center" vertical="top" wrapText="1"/>
    </xf>
    <xf numFmtId="3" fontId="1" fillId="3" borderId="106" xfId="0" applyNumberFormat="1" applyFont="1" applyFill="1" applyBorder="1" applyAlignment="1">
      <alignment vertical="top" wrapText="1"/>
    </xf>
    <xf numFmtId="0" fontId="1" fillId="3" borderId="6" xfId="0" applyFont="1" applyFill="1" applyBorder="1" applyAlignment="1">
      <alignment horizontal="center" vertical="top" wrapText="1"/>
    </xf>
    <xf numFmtId="0" fontId="45" fillId="0" borderId="6" xfId="0" applyFont="1" applyBorder="1" applyAlignment="1">
      <alignment horizontal="center" vertical="top" wrapText="1"/>
    </xf>
    <xf numFmtId="3" fontId="1" fillId="3" borderId="112" xfId="0" applyNumberFormat="1" applyFont="1" applyFill="1" applyBorder="1" applyAlignment="1">
      <alignment vertical="top" wrapText="1"/>
    </xf>
    <xf numFmtId="0" fontId="1" fillId="3" borderId="39" xfId="0" applyFont="1" applyFill="1" applyBorder="1" applyAlignment="1">
      <alignment horizontal="center" vertical="top" wrapText="1"/>
    </xf>
    <xf numFmtId="3" fontId="1" fillId="3" borderId="103" xfId="0" applyNumberFormat="1" applyFont="1" applyFill="1" applyBorder="1" applyAlignment="1">
      <alignment vertical="top" wrapText="1"/>
    </xf>
    <xf numFmtId="0" fontId="1" fillId="3" borderId="2" xfId="0" applyFont="1" applyFill="1" applyBorder="1" applyAlignment="1">
      <alignment horizontal="center" vertical="top" wrapText="1"/>
    </xf>
    <xf numFmtId="0" fontId="1" fillId="3" borderId="118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29" fillId="0" borderId="149" xfId="0" applyFont="1" applyBorder="1" applyAlignment="1">
      <alignment horizontal="center" vertical="top" wrapText="1"/>
    </xf>
    <xf numFmtId="3" fontId="11" fillId="3" borderId="84" xfId="0" applyNumberFormat="1" applyFont="1" applyFill="1" applyBorder="1" applyAlignment="1">
      <alignment vertical="top" wrapText="1"/>
    </xf>
    <xf numFmtId="0" fontId="11" fillId="3" borderId="36" xfId="0" applyFont="1" applyFill="1" applyBorder="1" applyAlignment="1">
      <alignment horizontal="center" vertical="top" wrapText="1"/>
    </xf>
    <xf numFmtId="0" fontId="11" fillId="0" borderId="144" xfId="0" applyFont="1" applyBorder="1" applyAlignment="1">
      <alignment horizontal="center" vertical="top" wrapText="1"/>
    </xf>
    <xf numFmtId="3" fontId="5" fillId="3" borderId="69" xfId="0" applyNumberFormat="1" applyFont="1" applyFill="1" applyBorder="1" applyAlignment="1">
      <alignment vertical="top" wrapText="1"/>
    </xf>
    <xf numFmtId="0" fontId="5" fillId="0" borderId="145" xfId="0" applyFont="1" applyBorder="1" applyAlignment="1">
      <alignment horizontal="center" vertical="top" wrapText="1"/>
    </xf>
    <xf numFmtId="3" fontId="5" fillId="3" borderId="150" xfId="0" applyNumberFormat="1" applyFont="1" applyFill="1" applyBorder="1" applyAlignment="1">
      <alignment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149" xfId="0" applyFont="1" applyBorder="1" applyAlignment="1">
      <alignment horizontal="center" vertical="top" wrapText="1"/>
    </xf>
    <xf numFmtId="0" fontId="11" fillId="0" borderId="36" xfId="0" applyFont="1" applyBorder="1" applyAlignment="1">
      <alignment horizontal="center" vertical="top" wrapText="1"/>
    </xf>
    <xf numFmtId="0" fontId="1" fillId="0" borderId="107" xfId="0" applyFont="1" applyBorder="1" applyAlignment="1">
      <alignment horizontal="center" vertical="top" wrapText="1"/>
    </xf>
    <xf numFmtId="3" fontId="1" fillId="3" borderId="108" xfId="0" applyNumberFormat="1" applyFont="1" applyFill="1" applyBorder="1" applyAlignment="1">
      <alignment vertical="top" wrapText="1"/>
    </xf>
    <xf numFmtId="0" fontId="1" fillId="3" borderId="14" xfId="0" applyFont="1" applyFill="1" applyBorder="1" applyAlignment="1">
      <alignment horizontal="center" vertical="top" wrapText="1"/>
    </xf>
    <xf numFmtId="0" fontId="1" fillId="0" borderId="109" xfId="0" applyFont="1" applyBorder="1" applyAlignment="1">
      <alignment horizontal="center" vertical="top" wrapText="1"/>
    </xf>
    <xf numFmtId="0" fontId="21" fillId="0" borderId="100" xfId="0" applyFont="1" applyBorder="1" applyAlignment="1">
      <alignment vertical="top" wrapText="1"/>
    </xf>
    <xf numFmtId="0" fontId="21" fillId="0" borderId="1" xfId="0" applyFont="1" applyBorder="1"/>
    <xf numFmtId="0" fontId="21" fillId="0" borderId="96" xfId="0" applyFont="1" applyBorder="1"/>
    <xf numFmtId="0" fontId="21" fillId="0" borderId="97" xfId="0" applyFont="1" applyBorder="1" applyAlignment="1">
      <alignment vertical="top" wrapText="1"/>
    </xf>
    <xf numFmtId="0" fontId="21" fillId="0" borderId="33" xfId="0" applyFont="1" applyBorder="1"/>
    <xf numFmtId="0" fontId="21" fillId="0" borderId="98" xfId="0" applyFont="1" applyBorder="1"/>
    <xf numFmtId="0" fontId="1" fillId="0" borderId="34" xfId="0" applyFont="1" applyBorder="1" applyAlignment="1">
      <alignment vertical="top"/>
    </xf>
    <xf numFmtId="0" fontId="1" fillId="0" borderId="39" xfId="0" applyFont="1" applyBorder="1" applyAlignment="1">
      <alignment horizontal="left" vertical="top"/>
    </xf>
    <xf numFmtId="0" fontId="1" fillId="0" borderId="39" xfId="0" applyFont="1" applyBorder="1" applyAlignment="1">
      <alignment vertical="top"/>
    </xf>
    <xf numFmtId="0" fontId="1" fillId="3" borderId="9" xfId="0" applyFont="1" applyFill="1" applyBorder="1" applyAlignment="1">
      <alignment vertical="top" wrapText="1"/>
    </xf>
    <xf numFmtId="0" fontId="3" fillId="12" borderId="1" xfId="0" applyFont="1" applyFill="1" applyBorder="1" applyAlignment="1">
      <alignment horizontal="center" vertical="top"/>
    </xf>
    <xf numFmtId="0" fontId="19" fillId="3" borderId="2" xfId="0" applyFont="1" applyFill="1" applyBorder="1" applyAlignment="1">
      <alignment horizontal="center" vertical="top" wrapText="1"/>
    </xf>
    <xf numFmtId="0" fontId="0" fillId="0" borderId="37" xfId="0" applyBorder="1" applyAlignment="1">
      <alignment horizontal="center" vertical="top" wrapText="1"/>
    </xf>
    <xf numFmtId="0" fontId="1" fillId="0" borderId="70" xfId="0" applyFont="1" applyBorder="1" applyAlignment="1">
      <alignment horizontal="left" vertical="top" wrapText="1"/>
    </xf>
    <xf numFmtId="0" fontId="1" fillId="0" borderId="71" xfId="0" applyFont="1" applyBorder="1" applyAlignment="1">
      <alignment horizontal="left" vertical="top" wrapText="1"/>
    </xf>
    <xf numFmtId="0" fontId="1" fillId="0" borderId="72" xfId="0" applyFont="1" applyBorder="1" applyAlignment="1">
      <alignment horizontal="left" vertical="top" wrapText="1"/>
    </xf>
    <xf numFmtId="0" fontId="1" fillId="0" borderId="81" xfId="0" applyFont="1" applyBorder="1" applyAlignment="1">
      <alignment horizontal="center" vertical="top" wrapText="1"/>
    </xf>
    <xf numFmtId="0" fontId="1" fillId="0" borderId="81" xfId="0" applyFont="1" applyBorder="1" applyAlignment="1">
      <alignment horizontal="justify" vertical="top" wrapText="1"/>
    </xf>
    <xf numFmtId="0" fontId="1" fillId="0" borderId="69" xfId="0" applyFont="1" applyBorder="1" applyAlignment="1">
      <alignment horizontal="justify" vertical="top" wrapText="1"/>
    </xf>
    <xf numFmtId="0" fontId="19" fillId="0" borderId="81" xfId="0" applyFont="1" applyBorder="1" applyAlignment="1">
      <alignment horizontal="justify" vertical="top" wrapText="1"/>
    </xf>
    <xf numFmtId="0" fontId="19" fillId="0" borderId="69" xfId="0" applyFont="1" applyBorder="1" applyAlignment="1">
      <alignment horizontal="justify" vertical="top" wrapText="1"/>
    </xf>
    <xf numFmtId="0" fontId="24" fillId="3" borderId="35" xfId="0" applyFont="1" applyFill="1" applyBorder="1" applyAlignment="1">
      <alignment horizontal="center" vertical="top" wrapText="1"/>
    </xf>
    <xf numFmtId="0" fontId="0" fillId="3" borderId="3" xfId="0" applyFill="1" applyBorder="1" applyAlignment="1">
      <alignment horizontal="center" vertical="top" wrapText="1"/>
    </xf>
    <xf numFmtId="0" fontId="19" fillId="0" borderId="85" xfId="0" applyFont="1" applyBorder="1" applyAlignment="1">
      <alignment horizontal="center" vertical="top" wrapText="1"/>
    </xf>
    <xf numFmtId="0" fontId="19" fillId="0" borderId="77" xfId="0" applyFont="1" applyBorder="1" applyAlignment="1">
      <alignment horizontal="center" vertical="top" wrapText="1"/>
    </xf>
    <xf numFmtId="0" fontId="5" fillId="0" borderId="35" xfId="0" applyFont="1" applyBorder="1" applyAlignment="1">
      <alignment horizontal="center" vertical="top" wrapText="1"/>
    </xf>
    <xf numFmtId="0" fontId="5" fillId="0" borderId="37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7" xfId="0" applyFont="1" applyBorder="1" applyAlignment="1">
      <alignment horizontal="center" vertical="top" wrapText="1"/>
    </xf>
    <xf numFmtId="0" fontId="24" fillId="3" borderId="37" xfId="0" applyFont="1" applyFill="1" applyBorder="1" applyAlignment="1">
      <alignment horizontal="center" vertical="top" wrapText="1"/>
    </xf>
    <xf numFmtId="0" fontId="1" fillId="3" borderId="66" xfId="0" applyFont="1" applyFill="1" applyBorder="1" applyAlignment="1">
      <alignment horizontal="left" vertical="top" wrapText="1"/>
    </xf>
    <xf numFmtId="0" fontId="1" fillId="3" borderId="71" xfId="0" applyFont="1" applyFill="1" applyBorder="1" applyAlignment="1">
      <alignment horizontal="left" vertical="top" wrapText="1"/>
    </xf>
    <xf numFmtId="0" fontId="1" fillId="3" borderId="72" xfId="0" applyFont="1" applyFill="1" applyBorder="1" applyAlignment="1">
      <alignment horizontal="left" vertical="top" wrapText="1"/>
    </xf>
    <xf numFmtId="0" fontId="19" fillId="0" borderId="26" xfId="0" applyFont="1" applyBorder="1" applyAlignment="1">
      <alignment horizontal="center" vertical="top" wrapText="1"/>
    </xf>
    <xf numFmtId="0" fontId="19" fillId="0" borderId="55" xfId="0" applyFont="1" applyBorder="1" applyAlignment="1">
      <alignment horizontal="center" vertical="top" wrapText="1"/>
    </xf>
    <xf numFmtId="0" fontId="3" fillId="0" borderId="70" xfId="0" applyFont="1" applyBorder="1" applyAlignment="1">
      <alignment horizontal="left" vertical="top" wrapText="1"/>
    </xf>
    <xf numFmtId="0" fontId="3" fillId="0" borderId="71" xfId="0" applyFont="1" applyBorder="1" applyAlignment="1">
      <alignment horizontal="left" vertical="top" wrapText="1"/>
    </xf>
    <xf numFmtId="0" fontId="3" fillId="0" borderId="68" xfId="0" applyFont="1" applyBorder="1" applyAlignment="1">
      <alignment horizontal="left" vertical="top" wrapText="1"/>
    </xf>
    <xf numFmtId="0" fontId="1" fillId="3" borderId="48" xfId="0" applyFont="1" applyFill="1" applyBorder="1" applyAlignment="1">
      <alignment horizontal="center" vertical="top" wrapText="1"/>
    </xf>
    <xf numFmtId="0" fontId="1" fillId="3" borderId="49" xfId="0" applyFont="1" applyFill="1" applyBorder="1" applyAlignment="1">
      <alignment horizontal="center" vertical="top" wrapText="1"/>
    </xf>
    <xf numFmtId="0" fontId="32" fillId="3" borderId="35" xfId="0" applyFont="1" applyFill="1" applyBorder="1" applyAlignment="1">
      <alignment horizontal="center" vertical="top" wrapText="1"/>
    </xf>
    <xf numFmtId="0" fontId="24" fillId="3" borderId="3" xfId="0" applyFont="1" applyFill="1" applyBorder="1" applyAlignment="1">
      <alignment horizontal="center" vertical="top" wrapText="1"/>
    </xf>
    <xf numFmtId="0" fontId="24" fillId="3" borderId="9" xfId="0" applyFont="1" applyFill="1" applyBorder="1" applyAlignment="1">
      <alignment horizontal="center" vertical="top" wrapText="1"/>
    </xf>
    <xf numFmtId="0" fontId="1" fillId="0" borderId="69" xfId="0" applyFont="1" applyBorder="1" applyAlignment="1">
      <alignment horizontal="center" vertical="top" wrapText="1"/>
    </xf>
    <xf numFmtId="0" fontId="19" fillId="0" borderId="74" xfId="0" applyFont="1" applyBorder="1" applyAlignment="1">
      <alignment horizontal="center" vertical="top" wrapText="1"/>
    </xf>
    <xf numFmtId="0" fontId="19" fillId="0" borderId="75" xfId="0" applyFont="1" applyBorder="1" applyAlignment="1">
      <alignment horizontal="center" vertical="top" wrapText="1"/>
    </xf>
    <xf numFmtId="0" fontId="44" fillId="0" borderId="66" xfId="0" applyFont="1" applyBorder="1" applyAlignment="1">
      <alignment horizontal="left" vertical="top" wrapText="1"/>
    </xf>
    <xf numFmtId="0" fontId="44" fillId="0" borderId="71" xfId="0" applyFont="1" applyBorder="1" applyAlignment="1">
      <alignment horizontal="left" vertical="top" wrapText="1"/>
    </xf>
    <xf numFmtId="0" fontId="44" fillId="0" borderId="72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center" vertical="top" wrapText="1"/>
    </xf>
    <xf numFmtId="0" fontId="1" fillId="3" borderId="28" xfId="0" applyFont="1" applyFill="1" applyBorder="1" applyAlignment="1">
      <alignment horizontal="center" vertical="top" wrapText="1"/>
    </xf>
    <xf numFmtId="0" fontId="1" fillId="3" borderId="22" xfId="0" applyFont="1" applyFill="1" applyBorder="1" applyAlignment="1">
      <alignment horizontal="center" vertical="top" wrapText="1"/>
    </xf>
    <xf numFmtId="0" fontId="1" fillId="3" borderId="27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37" xfId="0" applyFont="1" applyFill="1" applyBorder="1" applyAlignment="1">
      <alignment horizontal="center" vertical="top" wrapText="1"/>
    </xf>
    <xf numFmtId="0" fontId="19" fillId="0" borderId="66" xfId="0" applyFont="1" applyBorder="1" applyAlignment="1">
      <alignment horizontal="left" vertical="top" wrapText="1"/>
    </xf>
    <xf numFmtId="0" fontId="19" fillId="0" borderId="72" xfId="0" applyFont="1" applyBorder="1" applyAlignment="1">
      <alignment horizontal="left" vertical="top" wrapText="1"/>
    </xf>
    <xf numFmtId="0" fontId="1" fillId="0" borderId="73" xfId="0" applyFont="1" applyBorder="1" applyAlignment="1">
      <alignment horizontal="left" vertical="top" wrapText="1"/>
    </xf>
    <xf numFmtId="0" fontId="1" fillId="0" borderId="74" xfId="0" applyFont="1" applyBorder="1" applyAlignment="1">
      <alignment horizontal="left" vertical="top" wrapText="1"/>
    </xf>
    <xf numFmtId="0" fontId="1" fillId="0" borderId="75" xfId="0" applyFont="1" applyBorder="1" applyAlignment="1">
      <alignment horizontal="left" vertical="top" wrapText="1"/>
    </xf>
    <xf numFmtId="0" fontId="1" fillId="0" borderId="66" xfId="0" applyFont="1" applyBorder="1" applyAlignment="1">
      <alignment horizontal="left" vertical="top" wrapText="1"/>
    </xf>
    <xf numFmtId="0" fontId="1" fillId="0" borderId="76" xfId="0" applyFont="1" applyBorder="1" applyAlignment="1">
      <alignment horizontal="left" vertical="top" wrapText="1"/>
    </xf>
    <xf numFmtId="0" fontId="1" fillId="0" borderId="78" xfId="0" applyFont="1" applyBorder="1" applyAlignment="1">
      <alignment horizontal="left" vertical="top" wrapText="1"/>
    </xf>
    <xf numFmtId="0" fontId="1" fillId="0" borderId="79" xfId="0" applyFont="1" applyBorder="1" applyAlignment="1">
      <alignment horizontal="left" vertical="top" wrapText="1"/>
    </xf>
    <xf numFmtId="0" fontId="1" fillId="0" borderId="80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top" wrapText="1"/>
    </xf>
    <xf numFmtId="0" fontId="1" fillId="0" borderId="35" xfId="0" applyFont="1" applyBorder="1" applyAlignment="1">
      <alignment horizontal="center" vertical="top" wrapText="1"/>
    </xf>
    <xf numFmtId="0" fontId="5" fillId="3" borderId="35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1" fillId="0" borderId="81" xfId="0" applyFont="1" applyBorder="1" applyAlignment="1">
      <alignment horizontal="left" vertical="top" wrapText="1"/>
    </xf>
    <xf numFmtId="0" fontId="0" fillId="0" borderId="81" xfId="0" applyBorder="1" applyAlignment="1">
      <alignment horizontal="left" vertical="top" wrapText="1"/>
    </xf>
    <xf numFmtId="0" fontId="0" fillId="0" borderId="69" xfId="0" applyBorder="1" applyAlignment="1">
      <alignment horizontal="left" vertical="top" wrapText="1"/>
    </xf>
    <xf numFmtId="0" fontId="0" fillId="0" borderId="3" xfId="0" applyBorder="1" applyAlignment="1">
      <alignment horizontal="center" vertical="top" wrapText="1"/>
    </xf>
    <xf numFmtId="0" fontId="1" fillId="0" borderId="82" xfId="0" applyFont="1" applyBorder="1" applyAlignment="1">
      <alignment horizontal="left" vertical="top" wrapText="1"/>
    </xf>
    <xf numFmtId="0" fontId="1" fillId="0" borderId="83" xfId="0" applyFont="1" applyBorder="1" applyAlignment="1">
      <alignment horizontal="left" vertical="top" wrapText="1"/>
    </xf>
    <xf numFmtId="0" fontId="1" fillId="0" borderId="77" xfId="0" applyFont="1" applyBorder="1" applyAlignment="1">
      <alignment horizontal="left" vertical="top" wrapText="1"/>
    </xf>
    <xf numFmtId="0" fontId="24" fillId="3" borderId="64" xfId="0" applyFont="1" applyFill="1" applyBorder="1" applyAlignment="1">
      <alignment vertical="center" wrapText="1"/>
    </xf>
    <xf numFmtId="0" fontId="0" fillId="0" borderId="65" xfId="0" applyBorder="1" applyAlignment="1">
      <alignment vertical="center" wrapText="1"/>
    </xf>
    <xf numFmtId="0" fontId="35" fillId="3" borderId="6" xfId="0" applyFont="1" applyFill="1" applyBorder="1" applyAlignment="1">
      <alignment horizontal="center" vertical="top" wrapText="1"/>
    </xf>
    <xf numFmtId="0" fontId="35" fillId="3" borderId="39" xfId="0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24" fillId="3" borderId="2" xfId="0" applyFont="1" applyFill="1" applyBorder="1" applyAlignment="1">
      <alignment horizontal="center" vertical="top" wrapText="1"/>
    </xf>
    <xf numFmtId="0" fontId="24" fillId="3" borderId="4" xfId="0" applyFont="1" applyFill="1" applyBorder="1" applyAlignment="1">
      <alignment horizontal="center" vertical="top" wrapText="1"/>
    </xf>
    <xf numFmtId="0" fontId="5" fillId="0" borderId="4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44" xfId="0" applyFont="1" applyBorder="1" applyAlignment="1">
      <alignment horizontal="center" vertical="top" wrapText="1"/>
    </xf>
    <xf numFmtId="0" fontId="24" fillId="5" borderId="8" xfId="0" applyFont="1" applyFill="1" applyBorder="1" applyAlignment="1">
      <alignment horizontal="center" vertical="top" wrapText="1"/>
    </xf>
    <xf numFmtId="0" fontId="24" fillId="5" borderId="37" xfId="0" applyFont="1" applyFill="1" applyBorder="1" applyAlignment="1">
      <alignment horizontal="center" vertical="top" wrapText="1"/>
    </xf>
    <xf numFmtId="0" fontId="19" fillId="0" borderId="71" xfId="0" applyFont="1" applyBorder="1" applyAlignment="1">
      <alignment horizontal="left" vertical="top" wrapText="1"/>
    </xf>
    <xf numFmtId="0" fontId="19" fillId="0" borderId="74" xfId="0" applyFont="1" applyBorder="1" applyAlignment="1">
      <alignment horizontal="left" vertical="top" wrapText="1"/>
    </xf>
    <xf numFmtId="0" fontId="19" fillId="0" borderId="75" xfId="0" applyFont="1" applyBorder="1" applyAlignment="1">
      <alignment horizontal="left" vertical="top" wrapText="1"/>
    </xf>
    <xf numFmtId="0" fontId="1" fillId="3" borderId="78" xfId="0" applyFont="1" applyFill="1" applyBorder="1" applyAlignment="1">
      <alignment horizontal="left" vertical="top" wrapText="1"/>
    </xf>
    <xf numFmtId="0" fontId="1" fillId="3" borderId="80" xfId="0" applyFont="1" applyFill="1" applyBorder="1" applyAlignment="1">
      <alignment horizontal="left" vertical="top" wrapText="1"/>
    </xf>
    <xf numFmtId="0" fontId="1" fillId="3" borderId="70" xfId="0" applyFont="1" applyFill="1" applyBorder="1" applyAlignment="1">
      <alignment horizontal="left" vertical="top" wrapText="1"/>
    </xf>
    <xf numFmtId="0" fontId="1" fillId="0" borderId="68" xfId="0" applyFont="1" applyBorder="1" applyAlignment="1">
      <alignment horizontal="left" vertical="top" wrapText="1"/>
    </xf>
    <xf numFmtId="0" fontId="3" fillId="3" borderId="88" xfId="0" applyFont="1" applyFill="1" applyBorder="1" applyAlignment="1">
      <alignment horizontal="left" vertical="top" wrapText="1"/>
    </xf>
    <xf numFmtId="0" fontId="3" fillId="3" borderId="71" xfId="0" applyFont="1" applyFill="1" applyBorder="1" applyAlignment="1">
      <alignment horizontal="left" vertical="top" wrapText="1"/>
    </xf>
    <xf numFmtId="0" fontId="3" fillId="3" borderId="68" xfId="0" applyFont="1" applyFill="1" applyBorder="1" applyAlignment="1">
      <alignment horizontal="left" vertical="top" wrapText="1"/>
    </xf>
    <xf numFmtId="0" fontId="19" fillId="3" borderId="66" xfId="0" applyFont="1" applyFill="1" applyBorder="1" applyAlignment="1">
      <alignment horizontal="left" vertical="top" wrapText="1"/>
    </xf>
    <xf numFmtId="0" fontId="19" fillId="3" borderId="72" xfId="0" applyFont="1" applyFill="1" applyBorder="1" applyAlignment="1">
      <alignment horizontal="left" vertical="top" wrapText="1"/>
    </xf>
    <xf numFmtId="0" fontId="3" fillId="3" borderId="70" xfId="0" applyFont="1" applyFill="1" applyBorder="1" applyAlignment="1">
      <alignment horizontal="left" vertical="top" wrapText="1"/>
    </xf>
    <xf numFmtId="0" fontId="0" fillId="0" borderId="68" xfId="0" applyBorder="1" applyAlignment="1">
      <alignment horizontal="left" vertical="top" wrapText="1"/>
    </xf>
    <xf numFmtId="0" fontId="23" fillId="3" borderId="15" xfId="0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47" xfId="0" applyBorder="1" applyAlignment="1">
      <alignment horizontal="center" vertical="top" wrapText="1"/>
    </xf>
    <xf numFmtId="0" fontId="24" fillId="0" borderId="11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164" fontId="19" fillId="0" borderId="71" xfId="0" applyNumberFormat="1" applyFont="1" applyBorder="1" applyAlignment="1">
      <alignment horizontal="left" vertical="top" wrapText="1"/>
    </xf>
    <xf numFmtId="164" fontId="19" fillId="0" borderId="68" xfId="0" applyNumberFormat="1" applyFont="1" applyBorder="1" applyAlignment="1">
      <alignment horizontal="left" vertical="top" wrapText="1"/>
    </xf>
    <xf numFmtId="0" fontId="5" fillId="3" borderId="31" xfId="0" applyFont="1" applyFill="1" applyBorder="1" applyAlignment="1">
      <alignment horizontal="center" vertical="top" wrapText="1"/>
    </xf>
    <xf numFmtId="0" fontId="5" fillId="3" borderId="9" xfId="0" applyFont="1" applyFill="1" applyBorder="1" applyAlignment="1">
      <alignment horizontal="center" vertical="top" wrapText="1"/>
    </xf>
    <xf numFmtId="0" fontId="5" fillId="3" borderId="16" xfId="0" applyFont="1" applyFill="1" applyBorder="1" applyAlignment="1">
      <alignment horizontal="center" vertical="top" wrapText="1"/>
    </xf>
    <xf numFmtId="0" fontId="45" fillId="3" borderId="66" xfId="0" applyFont="1" applyFill="1" applyBorder="1" applyAlignment="1">
      <alignment horizontal="left" vertical="top" wrapText="1"/>
    </xf>
    <xf numFmtId="0" fontId="45" fillId="3" borderId="71" xfId="0" applyFont="1" applyFill="1" applyBorder="1" applyAlignment="1">
      <alignment horizontal="left" vertical="top" wrapText="1"/>
    </xf>
    <xf numFmtId="0" fontId="45" fillId="3" borderId="72" xfId="0" applyFont="1" applyFill="1" applyBorder="1" applyAlignment="1">
      <alignment horizontal="left" vertical="top" wrapText="1"/>
    </xf>
    <xf numFmtId="0" fontId="1" fillId="3" borderId="83" xfId="0" applyFont="1" applyFill="1" applyBorder="1" applyAlignment="1">
      <alignment horizontal="left" vertical="top" wrapText="1"/>
    </xf>
    <xf numFmtId="0" fontId="0" fillId="0" borderId="87" xfId="0" applyBorder="1" applyAlignment="1">
      <alignment horizontal="left" vertical="top" wrapText="1"/>
    </xf>
    <xf numFmtId="0" fontId="1" fillId="0" borderId="19" xfId="0" applyFont="1" applyBorder="1" applyAlignment="1">
      <alignment horizontal="center" vertical="top" wrapText="1"/>
    </xf>
    <xf numFmtId="164" fontId="1" fillId="0" borderId="66" xfId="0" applyNumberFormat="1" applyFont="1" applyBorder="1" applyAlignment="1">
      <alignment horizontal="left" vertical="top" wrapText="1"/>
    </xf>
    <xf numFmtId="164" fontId="1" fillId="0" borderId="72" xfId="0" applyNumberFormat="1" applyFont="1" applyBorder="1" applyAlignment="1">
      <alignment horizontal="left" vertical="top" wrapText="1"/>
    </xf>
    <xf numFmtId="164" fontId="1" fillId="0" borderId="70" xfId="0" applyNumberFormat="1" applyFont="1" applyBorder="1" applyAlignment="1">
      <alignment horizontal="left" vertical="top" wrapText="1"/>
    </xf>
    <xf numFmtId="164" fontId="1" fillId="0" borderId="71" xfId="0" applyNumberFormat="1" applyFont="1" applyBorder="1" applyAlignment="1">
      <alignment horizontal="left" vertical="top" wrapText="1"/>
    </xf>
    <xf numFmtId="164" fontId="1" fillId="0" borderId="68" xfId="0" applyNumberFormat="1" applyFont="1" applyBorder="1" applyAlignment="1">
      <alignment horizontal="left" vertical="top" wrapText="1"/>
    </xf>
    <xf numFmtId="0" fontId="5" fillId="3" borderId="15" xfId="0" applyFont="1" applyFill="1" applyBorder="1" applyAlignment="1">
      <alignment horizontal="center" vertical="top" wrapText="1"/>
    </xf>
    <xf numFmtId="0" fontId="0" fillId="0" borderId="9" xfId="0" applyBorder="1" applyAlignment="1">
      <alignment wrapText="1"/>
    </xf>
    <xf numFmtId="0" fontId="0" fillId="0" borderId="16" xfId="0" applyBorder="1" applyAlignment="1">
      <alignment wrapText="1"/>
    </xf>
    <xf numFmtId="0" fontId="23" fillId="3" borderId="2" xfId="0" applyFont="1" applyFill="1" applyBorder="1" applyAlignment="1">
      <alignment horizontal="center" vertical="top" wrapText="1"/>
    </xf>
    <xf numFmtId="0" fontId="19" fillId="3" borderId="71" xfId="0" applyFont="1" applyFill="1" applyBorder="1" applyAlignment="1">
      <alignment horizontal="left" vertical="top" wrapText="1"/>
    </xf>
    <xf numFmtId="0" fontId="1" fillId="3" borderId="68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3" borderId="85" xfId="0" applyFont="1" applyFill="1" applyBorder="1" applyAlignment="1">
      <alignment horizontal="left" vertical="top" wrapText="1"/>
    </xf>
    <xf numFmtId="0" fontId="0" fillId="0" borderId="77" xfId="0" applyBorder="1" applyAlignment="1">
      <alignment horizontal="left" vertical="top" wrapText="1"/>
    </xf>
    <xf numFmtId="49" fontId="5" fillId="0" borderId="2" xfId="0" applyNumberFormat="1" applyFont="1" applyBorder="1" applyAlignment="1">
      <alignment horizontal="center" vertical="top" wrapText="1"/>
    </xf>
    <xf numFmtId="49" fontId="5" fillId="0" borderId="37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164" fontId="3" fillId="0" borderId="70" xfId="0" applyNumberFormat="1" applyFont="1" applyBorder="1" applyAlignment="1">
      <alignment horizontal="left" vertical="top" wrapText="1"/>
    </xf>
    <xf numFmtId="164" fontId="3" fillId="0" borderId="71" xfId="0" applyNumberFormat="1" applyFont="1" applyBorder="1" applyAlignment="1">
      <alignment horizontal="left" vertical="top" wrapText="1"/>
    </xf>
    <xf numFmtId="164" fontId="3" fillId="0" borderId="72" xfId="0" applyNumberFormat="1" applyFont="1" applyBorder="1" applyAlignment="1">
      <alignment horizontal="left" vertical="top" wrapText="1"/>
    </xf>
    <xf numFmtId="49" fontId="19" fillId="3" borderId="19" xfId="0" applyNumberFormat="1" applyFont="1" applyFill="1" applyBorder="1" applyAlignment="1">
      <alignment horizontal="center" vertical="top" wrapText="1"/>
    </xf>
    <xf numFmtId="49" fontId="19" fillId="3" borderId="17" xfId="0" applyNumberFormat="1" applyFont="1" applyFill="1" applyBorder="1" applyAlignment="1">
      <alignment horizontal="center" vertical="top" wrapText="1"/>
    </xf>
    <xf numFmtId="164" fontId="19" fillId="0" borderId="66" xfId="0" applyNumberFormat="1" applyFont="1" applyBorder="1" applyAlignment="1">
      <alignment horizontal="left" vertical="top" wrapText="1"/>
    </xf>
    <xf numFmtId="164" fontId="19" fillId="0" borderId="72" xfId="0" applyNumberFormat="1" applyFont="1" applyBorder="1" applyAlignment="1">
      <alignment horizontal="left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51" xfId="0" applyFont="1" applyBorder="1" applyAlignment="1">
      <alignment horizontal="center" vertical="top" wrapText="1"/>
    </xf>
    <xf numFmtId="0" fontId="5" fillId="3" borderId="0" xfId="0" applyFont="1" applyFill="1" applyAlignment="1">
      <alignment horizontal="left" vertical="top" wrapText="1"/>
    </xf>
    <xf numFmtId="164" fontId="1" fillId="3" borderId="70" xfId="0" applyNumberFormat="1" applyFont="1" applyFill="1" applyBorder="1" applyAlignment="1">
      <alignment horizontal="left" vertical="top" wrapText="1"/>
    </xf>
    <xf numFmtId="164" fontId="1" fillId="3" borderId="72" xfId="0" applyNumberFormat="1" applyFont="1" applyFill="1" applyBorder="1" applyAlignment="1">
      <alignment horizontal="left" vertical="top" wrapText="1"/>
    </xf>
    <xf numFmtId="0" fontId="11" fillId="3" borderId="11" xfId="0" applyFont="1" applyFill="1" applyBorder="1" applyAlignment="1">
      <alignment horizontal="center" vertical="top" wrapText="1"/>
    </xf>
    <xf numFmtId="0" fontId="11" fillId="3" borderId="7" xfId="0" applyFont="1" applyFill="1" applyBorder="1" applyAlignment="1">
      <alignment horizontal="center" vertical="top" wrapText="1"/>
    </xf>
    <xf numFmtId="0" fontId="11" fillId="3" borderId="12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164" fontId="3" fillId="3" borderId="70" xfId="0" applyNumberFormat="1" applyFont="1" applyFill="1" applyBorder="1" applyAlignment="1">
      <alignment horizontal="left" vertical="top" wrapText="1"/>
    </xf>
    <xf numFmtId="164" fontId="3" fillId="3" borderId="71" xfId="0" applyNumberFormat="1" applyFont="1" applyFill="1" applyBorder="1" applyAlignment="1">
      <alignment horizontal="left" vertical="top" wrapText="1"/>
    </xf>
    <xf numFmtId="164" fontId="3" fillId="3" borderId="72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49" fontId="5" fillId="3" borderId="6" xfId="0" applyNumberFormat="1" applyFont="1" applyFill="1" applyBorder="1" applyAlignment="1">
      <alignment horizontal="center" vertical="top" wrapText="1"/>
    </xf>
    <xf numFmtId="0" fontId="19" fillId="0" borderId="40" xfId="0" applyFont="1" applyBorder="1" applyAlignment="1">
      <alignment horizontal="center" vertical="top" wrapText="1"/>
    </xf>
    <xf numFmtId="0" fontId="19" fillId="0" borderId="47" xfId="0" applyFont="1" applyBorder="1" applyAlignment="1">
      <alignment horizontal="center" vertical="top" wrapText="1"/>
    </xf>
    <xf numFmtId="49" fontId="11" fillId="3" borderId="3" xfId="0" applyNumberFormat="1" applyFont="1" applyFill="1" applyBorder="1" applyAlignment="1">
      <alignment horizontal="center" vertical="top" wrapText="1"/>
    </xf>
    <xf numFmtId="0" fontId="19" fillId="3" borderId="35" xfId="0" applyFont="1" applyFill="1" applyBorder="1" applyAlignment="1">
      <alignment horizontal="center" vertical="top" wrapText="1"/>
    </xf>
    <xf numFmtId="0" fontId="19" fillId="3" borderId="37" xfId="0" applyFont="1" applyFill="1" applyBorder="1" applyAlignment="1">
      <alignment horizontal="center" vertical="top" wrapText="1"/>
    </xf>
    <xf numFmtId="0" fontId="1" fillId="3" borderId="87" xfId="0" applyFont="1" applyFill="1" applyBorder="1" applyAlignment="1">
      <alignment horizontal="left" vertical="top" wrapText="1"/>
    </xf>
    <xf numFmtId="0" fontId="24" fillId="3" borderId="40" xfId="0" applyFont="1" applyFill="1" applyBorder="1" applyAlignment="1">
      <alignment horizontal="center" vertical="top" wrapText="1"/>
    </xf>
    <xf numFmtId="0" fontId="24" fillId="3" borderId="47" xfId="0" applyFont="1" applyFill="1" applyBorder="1" applyAlignment="1">
      <alignment horizontal="center" vertical="top" wrapText="1"/>
    </xf>
    <xf numFmtId="0" fontId="24" fillId="3" borderId="15" xfId="0" applyFont="1" applyFill="1" applyBorder="1" applyAlignment="1">
      <alignment horizontal="center" vertical="top" wrapText="1"/>
    </xf>
    <xf numFmtId="0" fontId="32" fillId="3" borderId="9" xfId="0" applyFont="1" applyFill="1" applyBorder="1" applyAlignment="1">
      <alignment horizontal="center" vertical="top" wrapText="1"/>
    </xf>
    <xf numFmtId="0" fontId="45" fillId="3" borderId="70" xfId="0" applyFont="1" applyFill="1" applyBorder="1" applyAlignment="1">
      <alignment horizontal="left" vertical="top" wrapText="1"/>
    </xf>
    <xf numFmtId="0" fontId="45" fillId="3" borderId="73" xfId="0" applyFont="1" applyFill="1" applyBorder="1" applyAlignment="1">
      <alignment horizontal="left" vertical="top" wrapText="1"/>
    </xf>
    <xf numFmtId="0" fontId="45" fillId="3" borderId="75" xfId="0" applyFont="1" applyFill="1" applyBorder="1" applyAlignment="1">
      <alignment horizontal="left" vertical="top" wrapText="1"/>
    </xf>
    <xf numFmtId="0" fontId="1" fillId="0" borderId="85" xfId="0" applyFont="1" applyBorder="1" applyAlignment="1">
      <alignment horizontal="center" vertical="top" wrapText="1"/>
    </xf>
    <xf numFmtId="0" fontId="1" fillId="0" borderId="77" xfId="0" applyFont="1" applyBorder="1" applyAlignment="1">
      <alignment horizontal="center" vertical="top" wrapText="1"/>
    </xf>
    <xf numFmtId="164" fontId="3" fillId="3" borderId="70" xfId="0" applyNumberFormat="1" applyFont="1" applyFill="1" applyBorder="1" applyAlignment="1">
      <alignment horizontal="center" vertical="top" wrapText="1"/>
    </xf>
    <xf numFmtId="164" fontId="3" fillId="3" borderId="71" xfId="0" applyNumberFormat="1" applyFont="1" applyFill="1" applyBorder="1" applyAlignment="1">
      <alignment horizontal="center" vertical="top" wrapText="1"/>
    </xf>
    <xf numFmtId="164" fontId="3" fillId="3" borderId="72" xfId="0" applyNumberFormat="1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/>
    <xf numFmtId="0" fontId="3" fillId="2" borderId="66" xfId="0" applyFont="1" applyFill="1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4" fontId="6" fillId="2" borderId="43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6" fillId="2" borderId="91" xfId="0" applyFont="1" applyFill="1" applyBorder="1" applyAlignment="1">
      <alignment horizontal="center" vertical="top" wrapText="1"/>
    </xf>
    <xf numFmtId="0" fontId="6" fillId="2" borderId="92" xfId="0" applyFont="1" applyFill="1" applyBorder="1" applyAlignment="1">
      <alignment horizontal="center" vertical="top" wrapText="1"/>
    </xf>
    <xf numFmtId="0" fontId="6" fillId="2" borderId="93" xfId="0" applyFont="1" applyFill="1" applyBorder="1" applyAlignment="1">
      <alignment horizontal="center" vertical="top" wrapText="1"/>
    </xf>
    <xf numFmtId="0" fontId="6" fillId="2" borderId="94" xfId="0" applyFont="1" applyFill="1" applyBorder="1" applyAlignment="1">
      <alignment horizontal="center" vertical="top" wrapText="1"/>
    </xf>
    <xf numFmtId="0" fontId="6" fillId="2" borderId="96" xfId="0" applyFont="1" applyFill="1" applyBorder="1" applyAlignment="1">
      <alignment horizontal="center" vertical="top" wrapText="1"/>
    </xf>
    <xf numFmtId="166" fontId="6" fillId="2" borderId="35" xfId="0" applyNumberFormat="1" applyFont="1" applyFill="1" applyBorder="1" applyAlignment="1">
      <alignment horizontal="center" vertical="center" wrapText="1"/>
    </xf>
    <xf numFmtId="164" fontId="6" fillId="2" borderId="35" xfId="0" applyNumberFormat="1" applyFont="1" applyFill="1" applyBorder="1" applyAlignment="1">
      <alignment horizontal="center" vertical="center" wrapText="1"/>
    </xf>
    <xf numFmtId="0" fontId="6" fillId="2" borderId="90" xfId="0" applyFont="1" applyFill="1" applyBorder="1" applyAlignment="1">
      <alignment horizontal="center" vertical="top" wrapText="1"/>
    </xf>
    <xf numFmtId="0" fontId="0" fillId="0" borderId="95" xfId="0" applyBorder="1" applyAlignment="1">
      <alignment horizontal="center" vertical="top" wrapText="1"/>
    </xf>
    <xf numFmtId="0" fontId="19" fillId="0" borderId="73" xfId="0" applyFont="1" applyBorder="1" applyAlignment="1">
      <alignment horizontal="left" vertical="top" wrapText="1"/>
    </xf>
    <xf numFmtId="0" fontId="0" fillId="0" borderId="72" xfId="0" applyBorder="1" applyAlignment="1">
      <alignment horizontal="left" vertical="top" wrapText="1"/>
    </xf>
    <xf numFmtId="0" fontId="1" fillId="0" borderId="70" xfId="0" applyFont="1" applyBorder="1" applyAlignment="1">
      <alignment horizontal="center" vertical="top" wrapText="1"/>
    </xf>
    <xf numFmtId="0" fontId="1" fillId="0" borderId="71" xfId="0" applyFont="1" applyBorder="1" applyAlignment="1">
      <alignment horizontal="center" vertical="top" wrapText="1"/>
    </xf>
    <xf numFmtId="0" fontId="1" fillId="0" borderId="72" xfId="0" applyFont="1" applyBorder="1" applyAlignment="1">
      <alignment horizontal="center" vertical="top" wrapText="1"/>
    </xf>
    <xf numFmtId="0" fontId="8" fillId="7" borderId="1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vertical="top"/>
    </xf>
    <xf numFmtId="3" fontId="14" fillId="3" borderId="0" xfId="0" applyNumberFormat="1" applyFont="1" applyFill="1"/>
    <xf numFmtId="0" fontId="34" fillId="3" borderId="0" xfId="0" applyFont="1" applyFill="1" applyAlignment="1">
      <alignment vertical="top"/>
    </xf>
    <xf numFmtId="0" fontId="41" fillId="3" borderId="0" xfId="0" applyFont="1" applyFill="1"/>
    <xf numFmtId="0" fontId="14" fillId="3" borderId="0" xfId="0" applyFont="1" applyFill="1" applyAlignment="1">
      <alignment wrapText="1"/>
    </xf>
    <xf numFmtId="0" fontId="42" fillId="3" borderId="0" xfId="0" applyFont="1" applyFill="1" applyAlignment="1">
      <alignment wrapText="1"/>
    </xf>
    <xf numFmtId="0" fontId="34" fillId="3" borderId="0" xfId="0" applyFont="1" applyFill="1"/>
    <xf numFmtId="0" fontId="5" fillId="3" borderId="0" xfId="0" applyFont="1" applyFill="1"/>
    <xf numFmtId="0" fontId="14" fillId="0" borderId="84" xfId="0" applyFont="1" applyBorder="1"/>
    <xf numFmtId="0" fontId="14" fillId="0" borderId="144" xfId="0" applyFont="1" applyBorder="1"/>
    <xf numFmtId="0" fontId="5" fillId="13" borderId="103" xfId="0" applyFont="1" applyFill="1" applyBorder="1" applyAlignment="1">
      <alignment vertical="top" wrapText="1"/>
    </xf>
    <xf numFmtId="3" fontId="24" fillId="3" borderId="84" xfId="0" applyNumberFormat="1" applyFont="1" applyFill="1" applyBorder="1" applyAlignment="1">
      <alignment vertical="top" wrapText="1"/>
    </xf>
    <xf numFmtId="3" fontId="23" fillId="3" borderId="70" xfId="0" applyNumberFormat="1" applyFont="1" applyFill="1" applyBorder="1" applyAlignment="1">
      <alignment vertical="top" wrapText="1"/>
    </xf>
    <xf numFmtId="0" fontId="5" fillId="0" borderId="147" xfId="0" applyFont="1" applyBorder="1" applyAlignment="1">
      <alignment horizontal="center" vertical="top" wrapText="1"/>
    </xf>
    <xf numFmtId="0" fontId="11" fillId="3" borderId="2" xfId="0" applyFont="1" applyFill="1" applyBorder="1" applyAlignment="1">
      <alignment horizontal="center" vertical="top" wrapText="1"/>
    </xf>
    <xf numFmtId="49" fontId="31" fillId="3" borderId="36" xfId="0" applyNumberFormat="1" applyFont="1" applyFill="1" applyBorder="1" applyAlignment="1">
      <alignment horizontal="center" vertical="top" wrapText="1"/>
    </xf>
    <xf numFmtId="3" fontId="5" fillId="3" borderId="70" xfId="0" applyNumberFormat="1" applyFont="1" applyFill="1" applyBorder="1" applyAlignment="1">
      <alignment vertical="top" wrapText="1"/>
    </xf>
    <xf numFmtId="49" fontId="31" fillId="3" borderId="2" xfId="0" applyNumberFormat="1" applyFont="1" applyFill="1" applyBorder="1" applyAlignment="1">
      <alignment horizontal="center" vertical="top" wrapText="1"/>
    </xf>
    <xf numFmtId="0" fontId="11" fillId="9" borderId="84" xfId="0" applyFont="1" applyFill="1" applyBorder="1" applyAlignment="1">
      <alignment vertical="top" wrapText="1"/>
    </xf>
    <xf numFmtId="0" fontId="5" fillId="9" borderId="69" xfId="0" applyFont="1" applyFill="1" applyBorder="1" applyAlignment="1">
      <alignment vertical="top" wrapText="1"/>
    </xf>
    <xf numFmtId="0" fontId="11" fillId="3" borderId="1" xfId="0" applyFont="1" applyFill="1" applyBorder="1" applyAlignment="1">
      <alignment horizontal="center" vertical="top" wrapText="1"/>
    </xf>
    <xf numFmtId="0" fontId="11" fillId="3" borderId="84" xfId="0" applyFont="1" applyFill="1" applyBorder="1" applyAlignment="1">
      <alignment vertical="top" wrapText="1"/>
    </xf>
    <xf numFmtId="0" fontId="5" fillId="3" borderId="69" xfId="0" applyFont="1" applyFill="1" applyBorder="1" applyAlignment="1">
      <alignment vertical="top" wrapText="1"/>
    </xf>
    <xf numFmtId="3" fontId="5" fillId="3" borderId="5" xfId="0" applyNumberFormat="1" applyFont="1" applyFill="1" applyBorder="1" applyAlignment="1">
      <alignment horizontal="left" vertical="top" wrapText="1"/>
    </xf>
    <xf numFmtId="3" fontId="5" fillId="3" borderId="34" xfId="0" applyNumberFormat="1" applyFont="1" applyFill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 wrapText="1"/>
    </xf>
    <xf numFmtId="166" fontId="6" fillId="0" borderId="4" xfId="0" applyNumberFormat="1" applyFont="1" applyBorder="1" applyAlignment="1">
      <alignment horizontal="center" vertical="top" wrapText="1"/>
    </xf>
    <xf numFmtId="164" fontId="6" fillId="0" borderId="4" xfId="0" applyNumberFormat="1" applyFont="1" applyBorder="1" applyAlignment="1">
      <alignment horizontal="center" vertical="top" wrapText="1"/>
    </xf>
    <xf numFmtId="164" fontId="6" fillId="0" borderId="12" xfId="0" applyNumberFormat="1" applyFont="1" applyBorder="1" applyAlignment="1">
      <alignment horizontal="center" vertical="top" wrapText="1"/>
    </xf>
    <xf numFmtId="0" fontId="3" fillId="8" borderId="151" xfId="0" applyFont="1" applyFill="1" applyBorder="1" applyAlignment="1">
      <alignment horizontal="left" vertical="top" wrapText="1"/>
    </xf>
    <xf numFmtId="0" fontId="6" fillId="8" borderId="152" xfId="0" applyFont="1" applyFill="1" applyBorder="1" applyAlignment="1">
      <alignment vertical="top" wrapText="1"/>
    </xf>
    <xf numFmtId="0" fontId="6" fillId="8" borderId="152" xfId="0" applyFont="1" applyFill="1" applyBorder="1" applyAlignment="1">
      <alignment horizontal="center" vertical="top" wrapText="1"/>
    </xf>
    <xf numFmtId="4" fontId="6" fillId="8" borderId="152" xfId="0" applyNumberFormat="1" applyFont="1" applyFill="1" applyBorder="1" applyAlignment="1">
      <alignment horizontal="center" vertical="top" wrapText="1"/>
    </xf>
    <xf numFmtId="164" fontId="6" fillId="8" borderId="152" xfId="0" applyNumberFormat="1" applyFont="1" applyFill="1" applyBorder="1" applyAlignment="1">
      <alignment horizontal="center" vertical="top" wrapText="1"/>
    </xf>
    <xf numFmtId="164" fontId="6" fillId="8" borderId="153" xfId="0" applyNumberFormat="1" applyFont="1" applyFill="1" applyBorder="1" applyAlignment="1">
      <alignment horizontal="center" vertical="top" wrapText="1"/>
    </xf>
    <xf numFmtId="0" fontId="14" fillId="8" borderId="154" xfId="0" applyFont="1" applyFill="1" applyBorder="1"/>
    <xf numFmtId="0" fontId="14" fillId="8" borderId="152" xfId="0" applyFont="1" applyFill="1" applyBorder="1"/>
    <xf numFmtId="0" fontId="14" fillId="8" borderId="155" xfId="0" applyFont="1" applyFill="1" applyBorder="1"/>
    <xf numFmtId="164" fontId="14" fillId="0" borderId="2" xfId="0" applyNumberFormat="1" applyFont="1" applyBorder="1"/>
    <xf numFmtId="0" fontId="11" fillId="0" borderId="95" xfId="0" applyFont="1" applyBorder="1" applyAlignment="1">
      <alignment vertical="top" wrapText="1"/>
    </xf>
    <xf numFmtId="0" fontId="11" fillId="0" borderId="4" xfId="0" applyFont="1" applyBorder="1" applyAlignment="1">
      <alignment horizontal="center" vertical="top" wrapText="1"/>
    </xf>
    <xf numFmtId="164" fontId="11" fillId="3" borderId="99" xfId="0" applyNumberFormat="1" applyFont="1" applyFill="1" applyBorder="1" applyAlignment="1">
      <alignment horizontal="center" vertical="top" wrapText="1"/>
    </xf>
    <xf numFmtId="0" fontId="14" fillId="7" borderId="84" xfId="0" applyFont="1" applyFill="1" applyBorder="1"/>
    <xf numFmtId="0" fontId="14" fillId="7" borderId="36" xfId="0" applyFont="1" applyFill="1" applyBorder="1"/>
    <xf numFmtId="0" fontId="14" fillId="7" borderId="144" xfId="0" applyFont="1" applyFill="1" applyBorder="1"/>
    <xf numFmtId="3" fontId="11" fillId="3" borderId="81" xfId="0" applyNumberFormat="1" applyFont="1" applyFill="1" applyBorder="1" applyAlignment="1">
      <alignment vertical="top" wrapText="1"/>
    </xf>
    <xf numFmtId="0" fontId="11" fillId="0" borderId="156" xfId="0" applyFont="1" applyBorder="1" applyAlignment="1">
      <alignment horizontal="center" vertical="top" wrapText="1"/>
    </xf>
    <xf numFmtId="3" fontId="5" fillId="8" borderId="81" xfId="0" applyNumberFormat="1" applyFont="1" applyFill="1" applyBorder="1" applyAlignment="1">
      <alignment horizontal="left" vertical="top" wrapText="1"/>
    </xf>
    <xf numFmtId="0" fontId="5" fillId="8" borderId="156" xfId="0" applyFont="1" applyFill="1" applyBorder="1" applyAlignment="1">
      <alignment horizontal="center" vertical="top" wrapText="1"/>
    </xf>
    <xf numFmtId="3" fontId="1" fillId="3" borderId="81" xfId="0" applyNumberFormat="1" applyFont="1" applyFill="1" applyBorder="1" applyAlignment="1">
      <alignment horizontal="left" vertical="top" wrapText="1"/>
    </xf>
    <xf numFmtId="0" fontId="5" fillId="0" borderId="156" xfId="0" applyFont="1" applyBorder="1" applyAlignment="1">
      <alignment horizontal="center" vertical="top" wrapText="1"/>
    </xf>
    <xf numFmtId="0" fontId="14" fillId="0" borderId="81" xfId="0" applyFont="1" applyBorder="1"/>
    <xf numFmtId="0" fontId="14" fillId="0" borderId="156" xfId="0" applyFont="1" applyBorder="1"/>
    <xf numFmtId="0" fontId="34" fillId="0" borderId="69" xfId="0" applyFont="1" applyBorder="1"/>
    <xf numFmtId="0" fontId="14" fillId="0" borderId="145" xfId="0" applyFont="1" applyBorder="1"/>
    <xf numFmtId="164" fontId="11" fillId="3" borderId="98" xfId="0" applyNumberFormat="1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center" vertical="top" wrapText="1"/>
    </xf>
    <xf numFmtId="0" fontId="11" fillId="3" borderId="4" xfId="0" applyFont="1" applyFill="1" applyBorder="1" applyAlignment="1">
      <alignment horizontal="center" vertical="top" wrapText="1"/>
    </xf>
    <xf numFmtId="0" fontId="11" fillId="3" borderId="35" xfId="0" applyFont="1" applyFill="1" applyBorder="1" applyAlignment="1">
      <alignment horizontal="center" vertical="top" wrapText="1"/>
    </xf>
    <xf numFmtId="0" fontId="6" fillId="12" borderId="33" xfId="0" applyFont="1" applyFill="1" applyBorder="1" applyAlignment="1">
      <alignment horizontal="center" vertical="top"/>
    </xf>
    <xf numFmtId="0" fontId="14" fillId="7" borderId="150" xfId="0" applyFont="1" applyFill="1" applyBorder="1"/>
    <xf numFmtId="0" fontId="14" fillId="7" borderId="3" xfId="0" applyFont="1" applyFill="1" applyBorder="1"/>
    <xf numFmtId="0" fontId="14" fillId="7" borderId="149" xfId="0" applyFont="1" applyFill="1" applyBorder="1"/>
    <xf numFmtId="49" fontId="11" fillId="3" borderId="36" xfId="0" applyNumberFormat="1" applyFont="1" applyFill="1" applyBorder="1" applyAlignment="1">
      <alignment horizontal="center" vertical="top"/>
    </xf>
    <xf numFmtId="0" fontId="11" fillId="3" borderId="36" xfId="0" applyFont="1" applyFill="1" applyBorder="1" applyAlignment="1">
      <alignment horizontal="center" vertical="top"/>
    </xf>
    <xf numFmtId="0" fontId="11" fillId="3" borderId="144" xfId="0" applyFont="1" applyFill="1" applyBorder="1" applyAlignment="1">
      <alignment horizontal="center" vertical="top" wrapText="1"/>
    </xf>
    <xf numFmtId="49" fontId="5" fillId="3" borderId="33" xfId="0" applyNumberFormat="1" applyFont="1" applyFill="1" applyBorder="1" applyAlignment="1">
      <alignment horizontal="center" vertical="top"/>
    </xf>
    <xf numFmtId="0" fontId="5" fillId="3" borderId="145" xfId="0" applyFont="1" applyFill="1" applyBorder="1" applyAlignment="1">
      <alignment horizontal="center" vertical="top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  <color rgb="FF99FF99"/>
      <color rgb="FF99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sheetPr>
    <pageSetUpPr fitToPage="1"/>
  </sheetPr>
  <dimension ref="A1:R442"/>
  <sheetViews>
    <sheetView tabSelected="1" zoomScaleNormal="100" zoomScaleSheetLayoutView="80" workbookViewId="0">
      <selection activeCell="B4" sqref="B4:N4"/>
    </sheetView>
  </sheetViews>
  <sheetFormatPr defaultColWidth="9.140625" defaultRowHeight="12.75" x14ac:dyDescent="0.2"/>
  <cols>
    <col min="1" max="1" width="2.5703125" style="55" customWidth="1"/>
    <col min="2" max="2" width="13.85546875" style="1135" customWidth="1"/>
    <col min="3" max="3" width="44.5703125" style="53" customWidth="1"/>
    <col min="4" max="4" width="14.42578125" style="126" customWidth="1"/>
    <col min="5" max="5" width="12.140625" style="160" customWidth="1"/>
    <col min="6" max="8" width="12.140625" style="127" customWidth="1"/>
    <col min="9" max="9" width="47.85546875" style="55" customWidth="1"/>
    <col min="10" max="13" width="9.140625" style="55"/>
    <col min="14" max="14" width="11.7109375" style="55" customWidth="1"/>
    <col min="15" max="18" width="9.140625" style="56"/>
    <col min="19" max="16384" width="9.140625" style="55"/>
  </cols>
  <sheetData>
    <row r="1" spans="2:14" ht="15.75" customHeight="1" x14ac:dyDescent="0.25">
      <c r="B1" s="1"/>
      <c r="D1" s="54"/>
      <c r="E1" s="54"/>
      <c r="F1" s="203"/>
      <c r="G1" s="203"/>
      <c r="H1" s="278"/>
      <c r="M1" s="203"/>
      <c r="N1" s="278" t="s">
        <v>0</v>
      </c>
    </row>
    <row r="2" spans="2:14" ht="15.75" customHeight="1" x14ac:dyDescent="0.25">
      <c r="B2" s="1"/>
      <c r="D2" s="54"/>
      <c r="E2" s="54"/>
      <c r="F2" s="203"/>
      <c r="G2" s="203"/>
      <c r="H2" s="278"/>
      <c r="K2" s="202"/>
      <c r="N2" s="278" t="s">
        <v>1</v>
      </c>
    </row>
    <row r="3" spans="2:14" ht="15.75" customHeight="1" x14ac:dyDescent="0.25">
      <c r="B3" s="1"/>
      <c r="D3" s="54"/>
      <c r="E3" s="54"/>
      <c r="F3" s="203"/>
      <c r="G3" s="203"/>
      <c r="H3" s="204"/>
    </row>
    <row r="4" spans="2:14" ht="34.15" customHeight="1" x14ac:dyDescent="0.25">
      <c r="B4" s="1339" t="s">
        <v>2</v>
      </c>
      <c r="C4" s="1339"/>
      <c r="D4" s="1339"/>
      <c r="E4" s="1339"/>
      <c r="F4" s="1339"/>
      <c r="G4" s="1339"/>
      <c r="H4" s="1339"/>
      <c r="I4" s="1340"/>
      <c r="J4" s="1340"/>
      <c r="K4" s="1340"/>
      <c r="L4" s="1340"/>
      <c r="M4" s="1340"/>
      <c r="N4" s="1340"/>
    </row>
    <row r="5" spans="2:14" ht="60" customHeight="1" x14ac:dyDescent="0.2">
      <c r="B5" s="1341" t="s">
        <v>3</v>
      </c>
      <c r="C5" s="1343" t="s">
        <v>4</v>
      </c>
      <c r="D5" s="1343" t="s">
        <v>5</v>
      </c>
      <c r="E5" s="1352" t="s">
        <v>6</v>
      </c>
      <c r="F5" s="1353" t="s">
        <v>7</v>
      </c>
      <c r="G5" s="1353" t="s">
        <v>8</v>
      </c>
      <c r="H5" s="1345" t="s">
        <v>9</v>
      </c>
      <c r="I5" s="1354" t="s">
        <v>10</v>
      </c>
      <c r="J5" s="1347" t="s">
        <v>11</v>
      </c>
      <c r="K5" s="1348"/>
      <c r="L5" s="1348"/>
      <c r="M5" s="1349"/>
      <c r="N5" s="1350" t="s">
        <v>12</v>
      </c>
    </row>
    <row r="6" spans="2:14" ht="27.6" customHeight="1" x14ac:dyDescent="0.2">
      <c r="B6" s="1342"/>
      <c r="C6" s="1344"/>
      <c r="D6" s="1344"/>
      <c r="E6" s="1344"/>
      <c r="F6" s="1344"/>
      <c r="G6" s="1344"/>
      <c r="H6" s="1346"/>
      <c r="I6" s="1355"/>
      <c r="J6" s="281" t="s">
        <v>13</v>
      </c>
      <c r="K6" s="281" t="s">
        <v>14</v>
      </c>
      <c r="L6" s="281" t="s">
        <v>15</v>
      </c>
      <c r="M6" s="281" t="s">
        <v>16</v>
      </c>
      <c r="N6" s="1351"/>
    </row>
    <row r="7" spans="2:14" ht="15" customHeight="1" thickBot="1" x14ac:dyDescent="0.25">
      <c r="B7" s="1090">
        <v>1</v>
      </c>
      <c r="C7" s="300">
        <v>2</v>
      </c>
      <c r="D7" s="300">
        <v>3</v>
      </c>
      <c r="E7" s="301">
        <v>5</v>
      </c>
      <c r="F7" s="302">
        <v>5</v>
      </c>
      <c r="G7" s="303">
        <v>6</v>
      </c>
      <c r="H7" s="780">
        <v>7</v>
      </c>
      <c r="I7" s="641">
        <v>8</v>
      </c>
      <c r="J7" s="300">
        <v>9</v>
      </c>
      <c r="K7" s="300">
        <v>10</v>
      </c>
      <c r="L7" s="300">
        <v>11</v>
      </c>
      <c r="M7" s="300">
        <v>12</v>
      </c>
      <c r="N7" s="642">
        <v>13</v>
      </c>
    </row>
    <row r="8" spans="2:14" ht="28.5" customHeight="1" x14ac:dyDescent="0.2">
      <c r="B8" s="1091" t="s">
        <v>17</v>
      </c>
      <c r="C8" s="84" t="s">
        <v>18</v>
      </c>
      <c r="D8" s="84"/>
      <c r="E8" s="279"/>
      <c r="F8" s="280"/>
      <c r="G8" s="280"/>
      <c r="H8" s="571"/>
      <c r="I8" s="643"/>
      <c r="J8" s="299"/>
      <c r="K8" s="299"/>
      <c r="L8" s="299"/>
      <c r="M8" s="299"/>
      <c r="N8" s="644"/>
    </row>
    <row r="9" spans="2:14" ht="32.450000000000003" customHeight="1" x14ac:dyDescent="0.2">
      <c r="B9" s="1092"/>
      <c r="C9" s="283"/>
      <c r="D9" s="283"/>
      <c r="E9" s="284"/>
      <c r="F9" s="285"/>
      <c r="G9" s="285"/>
      <c r="H9" s="781"/>
      <c r="I9" s="645" t="s">
        <v>19</v>
      </c>
      <c r="J9" s="286">
        <v>3402</v>
      </c>
      <c r="K9" s="286">
        <v>3369</v>
      </c>
      <c r="L9" s="286">
        <v>3369</v>
      </c>
      <c r="M9" s="286">
        <v>3369</v>
      </c>
      <c r="N9" s="646" t="s">
        <v>20</v>
      </c>
    </row>
    <row r="10" spans="2:14" ht="40.5" customHeight="1" x14ac:dyDescent="0.2">
      <c r="B10" s="1092"/>
      <c r="C10" s="283"/>
      <c r="D10" s="283"/>
      <c r="E10" s="284"/>
      <c r="F10" s="285"/>
      <c r="G10" s="285"/>
      <c r="H10" s="781"/>
      <c r="I10" s="645" t="s">
        <v>21</v>
      </c>
      <c r="J10" s="286">
        <v>13.5</v>
      </c>
      <c r="K10" s="286">
        <v>13.2</v>
      </c>
      <c r="L10" s="286">
        <v>13.2</v>
      </c>
      <c r="M10" s="286">
        <v>13.2</v>
      </c>
      <c r="N10" s="646" t="s">
        <v>22</v>
      </c>
    </row>
    <row r="11" spans="2:14" ht="36" customHeight="1" x14ac:dyDescent="0.2">
      <c r="B11" s="1092"/>
      <c r="C11" s="283"/>
      <c r="D11" s="283"/>
      <c r="E11" s="284"/>
      <c r="F11" s="285"/>
      <c r="G11" s="285"/>
      <c r="H11" s="781"/>
      <c r="I11" s="645" t="s">
        <v>542</v>
      </c>
      <c r="J11" s="288"/>
      <c r="K11" s="1173">
        <v>200</v>
      </c>
      <c r="L11" s="1173">
        <v>200</v>
      </c>
      <c r="M11" s="1173">
        <v>200</v>
      </c>
      <c r="N11" s="646" t="s">
        <v>23</v>
      </c>
    </row>
    <row r="12" spans="2:14" ht="24" customHeight="1" x14ac:dyDescent="0.2">
      <c r="B12" s="1092"/>
      <c r="C12" s="283"/>
      <c r="D12" s="283"/>
      <c r="E12" s="284"/>
      <c r="F12" s="285"/>
      <c r="G12" s="285"/>
      <c r="H12" s="781"/>
      <c r="I12" s="645" t="s">
        <v>24</v>
      </c>
      <c r="J12" s="287">
        <v>79.7</v>
      </c>
      <c r="K12" s="869" t="s">
        <v>25</v>
      </c>
      <c r="L12" s="870" t="s">
        <v>26</v>
      </c>
      <c r="M12" s="869" t="s">
        <v>26</v>
      </c>
      <c r="N12" s="647"/>
    </row>
    <row r="13" spans="2:14" ht="42.75" customHeight="1" x14ac:dyDescent="0.2">
      <c r="B13" s="1092"/>
      <c r="C13" s="283"/>
      <c r="D13" s="283"/>
      <c r="E13" s="284"/>
      <c r="F13" s="285"/>
      <c r="G13" s="285"/>
      <c r="H13" s="781"/>
      <c r="I13" s="645" t="s">
        <v>27</v>
      </c>
      <c r="J13" s="287">
        <v>65</v>
      </c>
      <c r="K13" s="287">
        <v>70</v>
      </c>
      <c r="L13" s="287">
        <v>70</v>
      </c>
      <c r="M13" s="287">
        <v>70</v>
      </c>
      <c r="N13" s="647"/>
    </row>
    <row r="14" spans="2:14" ht="29.25" customHeight="1" x14ac:dyDescent="0.2">
      <c r="B14" s="1093"/>
      <c r="C14" s="295"/>
      <c r="D14" s="295"/>
      <c r="E14" s="296"/>
      <c r="F14" s="297"/>
      <c r="G14" s="297"/>
      <c r="H14" s="782"/>
      <c r="I14" s="860" t="s">
        <v>28</v>
      </c>
      <c r="J14" s="298">
        <v>79.8</v>
      </c>
      <c r="K14" s="298">
        <v>79.099999999999994</v>
      </c>
      <c r="L14" s="298">
        <v>79.099999999999994</v>
      </c>
      <c r="M14" s="298">
        <v>79.099999999999994</v>
      </c>
      <c r="N14" s="649"/>
    </row>
    <row r="15" spans="2:14" ht="30" customHeight="1" x14ac:dyDescent="0.2">
      <c r="B15" s="1094" t="s">
        <v>29</v>
      </c>
      <c r="C15" s="290" t="s">
        <v>30</v>
      </c>
      <c r="D15" s="291"/>
      <c r="E15" s="292"/>
      <c r="F15" s="293"/>
      <c r="G15" s="293"/>
      <c r="H15" s="783"/>
      <c r="I15" s="650"/>
      <c r="J15" s="294"/>
      <c r="K15" s="294"/>
      <c r="L15" s="294"/>
      <c r="M15" s="294"/>
      <c r="N15" s="651"/>
    </row>
    <row r="16" spans="2:14" ht="29.25" customHeight="1" x14ac:dyDescent="0.2">
      <c r="B16" s="1176" t="s">
        <v>31</v>
      </c>
      <c r="C16" s="39" t="s">
        <v>32</v>
      </c>
      <c r="D16" s="1216" t="s">
        <v>33</v>
      </c>
      <c r="E16" s="128"/>
      <c r="F16" s="31"/>
      <c r="G16" s="31"/>
      <c r="H16" s="784"/>
      <c r="I16" s="652" t="s">
        <v>34</v>
      </c>
      <c r="J16" s="59">
        <v>41</v>
      </c>
      <c r="K16" s="87">
        <v>42</v>
      </c>
      <c r="L16" s="87">
        <v>42</v>
      </c>
      <c r="M16" s="87">
        <v>42</v>
      </c>
      <c r="N16" s="653"/>
    </row>
    <row r="17" spans="2:18" ht="28.15" customHeight="1" x14ac:dyDescent="0.2">
      <c r="B17" s="1177"/>
      <c r="C17" s="37" t="s">
        <v>35</v>
      </c>
      <c r="D17" s="1231"/>
      <c r="E17" s="167">
        <f>36056.5-1070.3-935.1+35.7+64.2</f>
        <v>34150.999999999993</v>
      </c>
      <c r="F17" s="8">
        <f>36462.6+388</f>
        <v>36850.6</v>
      </c>
      <c r="G17" s="8">
        <f t="shared" ref="G17:H17" si="0">36462.5+386.1</f>
        <v>36848.6</v>
      </c>
      <c r="H17" s="785">
        <f t="shared" si="0"/>
        <v>36848.6</v>
      </c>
      <c r="I17" s="654" t="s">
        <v>36</v>
      </c>
      <c r="J17" s="59">
        <v>7438</v>
      </c>
      <c r="K17" s="87">
        <v>6943</v>
      </c>
      <c r="L17" s="87">
        <v>6943</v>
      </c>
      <c r="M17" s="87">
        <v>6943</v>
      </c>
      <c r="N17" s="655" t="s">
        <v>37</v>
      </c>
    </row>
    <row r="18" spans="2:18" ht="41.45" customHeight="1" x14ac:dyDescent="0.2">
      <c r="B18" s="1177"/>
      <c r="C18" s="37" t="s">
        <v>38</v>
      </c>
      <c r="D18" s="1231"/>
      <c r="E18" s="29">
        <f>21318.7+73+669.2+33.4</f>
        <v>22094.300000000003</v>
      </c>
      <c r="F18" s="29">
        <f t="shared" ref="F18:H18" si="1">21318.7+73+669.2+33.4</f>
        <v>22094.300000000003</v>
      </c>
      <c r="G18" s="29">
        <f t="shared" si="1"/>
        <v>22094.300000000003</v>
      </c>
      <c r="H18" s="786">
        <f t="shared" si="1"/>
        <v>22094.300000000003</v>
      </c>
      <c r="I18" s="656" t="s">
        <v>39</v>
      </c>
      <c r="J18" s="87">
        <v>96.5</v>
      </c>
      <c r="K18" s="304">
        <v>96.5</v>
      </c>
      <c r="L18" s="304">
        <v>96.5</v>
      </c>
      <c r="M18" s="304">
        <v>96.5</v>
      </c>
      <c r="N18" s="653"/>
    </row>
    <row r="19" spans="2:18" ht="39" customHeight="1" x14ac:dyDescent="0.2">
      <c r="B19" s="1177"/>
      <c r="C19" s="37" t="s">
        <v>40</v>
      </c>
      <c r="D19" s="1231"/>
      <c r="E19" s="29">
        <v>5312.1</v>
      </c>
      <c r="F19" s="29">
        <v>4939.8</v>
      </c>
      <c r="G19" s="29">
        <v>4939.8</v>
      </c>
      <c r="H19" s="786">
        <v>4939.8</v>
      </c>
      <c r="I19" s="657" t="s">
        <v>41</v>
      </c>
      <c r="J19" s="87">
        <v>100</v>
      </c>
      <c r="K19" s="304">
        <v>100</v>
      </c>
      <c r="L19" s="304">
        <v>100</v>
      </c>
      <c r="M19" s="304">
        <v>100</v>
      </c>
      <c r="N19" s="653"/>
    </row>
    <row r="20" spans="2:18" ht="21" customHeight="1" x14ac:dyDescent="0.2">
      <c r="B20" s="1258"/>
      <c r="C20" s="37" t="s">
        <v>42</v>
      </c>
      <c r="D20" s="1231"/>
      <c r="E20" s="29">
        <v>405.8</v>
      </c>
      <c r="F20" s="29">
        <v>469.1</v>
      </c>
      <c r="G20" s="29">
        <v>469.1</v>
      </c>
      <c r="H20" s="786">
        <v>469.1</v>
      </c>
      <c r="I20" s="658"/>
      <c r="J20" s="282"/>
      <c r="K20" s="282"/>
      <c r="L20" s="282"/>
      <c r="M20" s="282"/>
      <c r="N20" s="659"/>
    </row>
    <row r="21" spans="2:18" s="53" customFormat="1" ht="19.5" customHeight="1" thickBot="1" x14ac:dyDescent="0.3">
      <c r="B21" s="1078"/>
      <c r="C21" s="1169" t="s">
        <v>43</v>
      </c>
      <c r="D21" s="1231"/>
      <c r="E21" s="305"/>
      <c r="F21" s="978">
        <v>37</v>
      </c>
      <c r="G21" s="978">
        <v>10.5</v>
      </c>
      <c r="H21" s="988">
        <v>9.8000000000000007</v>
      </c>
      <c r="I21" s="660"/>
      <c r="J21" s="306"/>
      <c r="K21" s="306"/>
      <c r="L21" s="306"/>
      <c r="M21" s="306"/>
      <c r="N21" s="661"/>
      <c r="O21" s="1362"/>
      <c r="P21" s="1362"/>
      <c r="Q21" s="1362"/>
      <c r="R21" s="1362"/>
    </row>
    <row r="22" spans="2:18" ht="36" customHeight="1" x14ac:dyDescent="0.2">
      <c r="B22" s="1223" t="s">
        <v>44</v>
      </c>
      <c r="C22" s="307" t="s">
        <v>45</v>
      </c>
      <c r="D22" s="1231"/>
      <c r="E22" s="90"/>
      <c r="F22" s="90"/>
      <c r="G22" s="90"/>
      <c r="H22" s="787"/>
      <c r="I22" s="652" t="s">
        <v>34</v>
      </c>
      <c r="J22" s="87">
        <v>10</v>
      </c>
      <c r="K22" s="87">
        <v>8</v>
      </c>
      <c r="L22" s="87">
        <v>8</v>
      </c>
      <c r="M22" s="87">
        <v>8</v>
      </c>
      <c r="N22" s="653"/>
    </row>
    <row r="23" spans="2:18" ht="20.45" customHeight="1" thickBot="1" x14ac:dyDescent="0.25">
      <c r="B23" s="1178"/>
      <c r="C23" s="308" t="s">
        <v>38</v>
      </c>
      <c r="D23" s="1231"/>
      <c r="E23" s="309">
        <f>1223.2+19.4</f>
        <v>1242.6000000000001</v>
      </c>
      <c r="F23" s="309">
        <f t="shared" ref="F23:H23" si="2">1223.2+19.4</f>
        <v>1242.6000000000001</v>
      </c>
      <c r="G23" s="309">
        <f t="shared" si="2"/>
        <v>1242.6000000000001</v>
      </c>
      <c r="H23" s="493">
        <f t="shared" si="2"/>
        <v>1242.6000000000001</v>
      </c>
      <c r="I23" s="679" t="s">
        <v>36</v>
      </c>
      <c r="J23" s="42">
        <v>419</v>
      </c>
      <c r="K23" s="42">
        <v>277</v>
      </c>
      <c r="L23" s="42">
        <v>277</v>
      </c>
      <c r="M23" s="42">
        <v>277</v>
      </c>
      <c r="N23" s="742" t="s">
        <v>37</v>
      </c>
    </row>
    <row r="24" spans="2:18" ht="34.5" customHeight="1" x14ac:dyDescent="0.2">
      <c r="B24" s="1223" t="s">
        <v>46</v>
      </c>
      <c r="C24" s="307" t="s">
        <v>47</v>
      </c>
      <c r="D24" s="1231"/>
      <c r="E24" s="90"/>
      <c r="F24" s="90"/>
      <c r="G24" s="90"/>
      <c r="H24" s="787"/>
      <c r="I24" s="1370"/>
      <c r="J24" s="335"/>
      <c r="K24" s="335"/>
      <c r="L24" s="335"/>
      <c r="M24" s="335"/>
      <c r="N24" s="1371"/>
    </row>
    <row r="25" spans="2:18" ht="28.15" customHeight="1" thickBot="1" x14ac:dyDescent="0.25">
      <c r="B25" s="1178"/>
      <c r="C25" s="308" t="s">
        <v>35</v>
      </c>
      <c r="D25" s="1231"/>
      <c r="E25" s="309">
        <f>401+62.2</f>
        <v>463.2</v>
      </c>
      <c r="F25" s="311">
        <v>463</v>
      </c>
      <c r="G25" s="311">
        <v>463</v>
      </c>
      <c r="H25" s="402">
        <v>463</v>
      </c>
      <c r="I25" s="1153" t="s">
        <v>48</v>
      </c>
      <c r="J25" s="312">
        <v>25</v>
      </c>
      <c r="K25" s="312">
        <v>30</v>
      </c>
      <c r="L25" s="312">
        <v>30</v>
      </c>
      <c r="M25" s="312">
        <v>30</v>
      </c>
      <c r="N25" s="1154"/>
    </row>
    <row r="26" spans="2:18" ht="41.25" customHeight="1" x14ac:dyDescent="0.2">
      <c r="B26" s="1177" t="s">
        <v>49</v>
      </c>
      <c r="C26" s="45" t="s">
        <v>50</v>
      </c>
      <c r="D26" s="1231"/>
      <c r="E26" s="90"/>
      <c r="F26" s="90"/>
      <c r="G26" s="90"/>
      <c r="H26" s="787"/>
      <c r="I26" s="654" t="s">
        <v>34</v>
      </c>
      <c r="J26" s="87">
        <v>4</v>
      </c>
      <c r="K26" s="87">
        <v>4</v>
      </c>
      <c r="L26" s="87">
        <v>4</v>
      </c>
      <c r="M26" s="87">
        <v>4</v>
      </c>
      <c r="N26" s="655"/>
    </row>
    <row r="27" spans="2:18" ht="31.9" customHeight="1" x14ac:dyDescent="0.2">
      <c r="B27" s="1177"/>
      <c r="C27" s="37" t="s">
        <v>35</v>
      </c>
      <c r="D27" s="28"/>
      <c r="E27" s="29">
        <f>2481.8-4.5+24.6</f>
        <v>2501.9</v>
      </c>
      <c r="F27" s="8">
        <v>2594.1999999999998</v>
      </c>
      <c r="G27" s="8">
        <v>2615.1</v>
      </c>
      <c r="H27" s="785">
        <v>2615.1</v>
      </c>
      <c r="I27" s="652" t="s">
        <v>36</v>
      </c>
      <c r="J27" s="87">
        <v>1209</v>
      </c>
      <c r="K27" s="87">
        <v>1166</v>
      </c>
      <c r="L27" s="87">
        <v>1166</v>
      </c>
      <c r="M27" s="87">
        <v>1166</v>
      </c>
      <c r="N27" s="655"/>
    </row>
    <row r="28" spans="2:18" ht="18" customHeight="1" x14ac:dyDescent="0.2">
      <c r="B28" s="1177"/>
      <c r="C28" s="37" t="s">
        <v>38</v>
      </c>
      <c r="D28" s="28"/>
      <c r="E28" s="32">
        <f>3574.2+44.1</f>
        <v>3618.2999999999997</v>
      </c>
      <c r="F28" s="32">
        <f t="shared" ref="F28" si="3">3574.2+44.1</f>
        <v>3618.2999999999997</v>
      </c>
      <c r="G28" s="32">
        <f>3574.2+44.1</f>
        <v>3618.2999999999997</v>
      </c>
      <c r="H28" s="487">
        <f>3574.2+44.1</f>
        <v>3618.2999999999997</v>
      </c>
      <c r="I28" s="654" t="s">
        <v>51</v>
      </c>
      <c r="J28" s="87">
        <v>902</v>
      </c>
      <c r="K28" s="87">
        <v>922</v>
      </c>
      <c r="L28" s="87">
        <v>922</v>
      </c>
      <c r="M28" s="87">
        <v>922</v>
      </c>
      <c r="N28" s="655"/>
    </row>
    <row r="29" spans="2:18" ht="16.899999999999999" customHeight="1" x14ac:dyDescent="0.2">
      <c r="B29" s="1177"/>
      <c r="C29" s="37" t="s">
        <v>40</v>
      </c>
      <c r="D29" s="28"/>
      <c r="E29" s="32">
        <v>563.29999999999995</v>
      </c>
      <c r="F29" s="32">
        <v>572.9</v>
      </c>
      <c r="G29" s="32">
        <v>572.9</v>
      </c>
      <c r="H29" s="487">
        <v>572.9</v>
      </c>
      <c r="I29" s="658"/>
      <c r="J29" s="282"/>
      <c r="K29" s="282"/>
      <c r="L29" s="282"/>
      <c r="M29" s="282"/>
      <c r="N29" s="659"/>
    </row>
    <row r="30" spans="2:18" ht="18" customHeight="1" x14ac:dyDescent="0.2">
      <c r="B30" s="1258"/>
      <c r="C30" s="37" t="s">
        <v>42</v>
      </c>
      <c r="D30" s="28"/>
      <c r="E30" s="29">
        <v>39.1</v>
      </c>
      <c r="F30" s="29">
        <v>37.9</v>
      </c>
      <c r="G30" s="34">
        <v>37.9</v>
      </c>
      <c r="H30" s="788">
        <v>37.9</v>
      </c>
      <c r="I30" s="658"/>
      <c r="J30" s="282"/>
      <c r="K30" s="282"/>
      <c r="L30" s="282"/>
      <c r="M30" s="282"/>
      <c r="N30" s="659"/>
    </row>
    <row r="31" spans="2:18" s="53" customFormat="1" ht="18" customHeight="1" thickBot="1" x14ac:dyDescent="0.3">
      <c r="B31" s="1078"/>
      <c r="C31" s="1169" t="s">
        <v>43</v>
      </c>
      <c r="D31" s="28"/>
      <c r="E31" s="309"/>
      <c r="F31" s="978">
        <v>14.9</v>
      </c>
      <c r="G31" s="978">
        <v>15.3</v>
      </c>
      <c r="H31" s="988">
        <v>15.3</v>
      </c>
      <c r="I31" s="660"/>
      <c r="J31" s="306"/>
      <c r="K31" s="306"/>
      <c r="L31" s="306"/>
      <c r="M31" s="306"/>
      <c r="N31" s="661"/>
      <c r="O31" s="1362"/>
      <c r="P31" s="1362"/>
      <c r="Q31" s="1362"/>
      <c r="R31" s="1362"/>
    </row>
    <row r="32" spans="2:18" ht="46.5" customHeight="1" x14ac:dyDescent="0.2">
      <c r="B32" s="1223" t="s">
        <v>52</v>
      </c>
      <c r="C32" s="314" t="s">
        <v>53</v>
      </c>
      <c r="D32" s="28"/>
      <c r="E32" s="90"/>
      <c r="F32" s="90"/>
      <c r="G32" s="90"/>
      <c r="H32" s="787"/>
      <c r="I32" s="652" t="s">
        <v>34</v>
      </c>
      <c r="J32" s="59">
        <v>3</v>
      </c>
      <c r="K32" s="59">
        <v>3</v>
      </c>
      <c r="L32" s="59">
        <v>3</v>
      </c>
      <c r="M32" s="59">
        <v>3</v>
      </c>
      <c r="N32" s="653"/>
    </row>
    <row r="33" spans="2:18" ht="18" customHeight="1" thickBot="1" x14ac:dyDescent="0.25">
      <c r="B33" s="1178"/>
      <c r="C33" s="308" t="s">
        <v>38</v>
      </c>
      <c r="D33" s="28"/>
      <c r="E33" s="309">
        <f>654.7+4.6</f>
        <v>659.30000000000007</v>
      </c>
      <c r="F33" s="309">
        <v>659.3</v>
      </c>
      <c r="G33" s="315">
        <v>659.3</v>
      </c>
      <c r="H33" s="523">
        <v>659.3</v>
      </c>
      <c r="I33" s="662" t="s">
        <v>36</v>
      </c>
      <c r="J33" s="312">
        <v>180</v>
      </c>
      <c r="K33" s="310">
        <v>193</v>
      </c>
      <c r="L33" s="310">
        <v>193</v>
      </c>
      <c r="M33" s="310">
        <v>193</v>
      </c>
      <c r="N33" s="664"/>
    </row>
    <row r="34" spans="2:18" ht="31.5" customHeight="1" x14ac:dyDescent="0.2">
      <c r="B34" s="1356" t="s">
        <v>54</v>
      </c>
      <c r="C34" s="317" t="s">
        <v>55</v>
      </c>
      <c r="D34" s="219"/>
      <c r="E34" s="32"/>
      <c r="F34" s="32"/>
      <c r="G34" s="32"/>
      <c r="H34" s="487"/>
      <c r="I34" s="654" t="s">
        <v>34</v>
      </c>
      <c r="J34" s="87">
        <v>32</v>
      </c>
      <c r="K34" s="87">
        <v>32</v>
      </c>
      <c r="L34" s="87">
        <v>32</v>
      </c>
      <c r="M34" s="87">
        <v>32</v>
      </c>
      <c r="N34" s="653"/>
    </row>
    <row r="35" spans="2:18" ht="31.5" customHeight="1" x14ac:dyDescent="0.2">
      <c r="B35" s="1253"/>
      <c r="C35" s="218" t="s">
        <v>35</v>
      </c>
      <c r="D35" s="219"/>
      <c r="E35" s="29">
        <f>16609-3.2+157.3+18</f>
        <v>16781.099999999999</v>
      </c>
      <c r="F35" s="40">
        <v>17756.8</v>
      </c>
      <c r="G35" s="40">
        <v>17756.8</v>
      </c>
      <c r="H35" s="789">
        <v>17756.8</v>
      </c>
      <c r="I35" s="654" t="s">
        <v>36</v>
      </c>
      <c r="J35" s="316">
        <v>20480</v>
      </c>
      <c r="K35" s="316">
        <v>20691</v>
      </c>
      <c r="L35" s="316">
        <v>20691</v>
      </c>
      <c r="M35" s="316">
        <v>20691</v>
      </c>
      <c r="N35" s="653"/>
      <c r="O35" s="1363"/>
    </row>
    <row r="36" spans="2:18" ht="23.25" customHeight="1" x14ac:dyDescent="0.2">
      <c r="B36" s="1253"/>
      <c r="C36" s="88" t="s">
        <v>38</v>
      </c>
      <c r="D36" s="219"/>
      <c r="E36" s="29">
        <f>66794.6+2278.9+2553.5</f>
        <v>71627</v>
      </c>
      <c r="F36" s="29">
        <f t="shared" ref="F36:H36" si="4">66794.6+2278.9+2553.5</f>
        <v>71627</v>
      </c>
      <c r="G36" s="29">
        <f>66794.6+2278.9+2553.5</f>
        <v>71627</v>
      </c>
      <c r="H36" s="786">
        <f t="shared" si="4"/>
        <v>71627</v>
      </c>
      <c r="I36" s="654" t="s">
        <v>51</v>
      </c>
      <c r="J36" s="316">
        <v>20383</v>
      </c>
      <c r="K36" s="316">
        <v>20594</v>
      </c>
      <c r="L36" s="316">
        <v>20594</v>
      </c>
      <c r="M36" s="316">
        <v>20594</v>
      </c>
      <c r="N36" s="653"/>
    </row>
    <row r="37" spans="2:18" ht="43.5" customHeight="1" x14ac:dyDescent="0.2">
      <c r="B37" s="1253"/>
      <c r="C37" s="88" t="s">
        <v>40</v>
      </c>
      <c r="D37" s="219"/>
      <c r="E37" s="29">
        <v>1556.7</v>
      </c>
      <c r="F37" s="29">
        <v>1659.5</v>
      </c>
      <c r="G37" s="29">
        <v>1659.5</v>
      </c>
      <c r="H37" s="786">
        <v>1659.5</v>
      </c>
      <c r="I37" s="656" t="s">
        <v>56</v>
      </c>
      <c r="J37" s="87">
        <v>100</v>
      </c>
      <c r="K37" s="87">
        <v>100</v>
      </c>
      <c r="L37" s="87">
        <v>100</v>
      </c>
      <c r="M37" s="87">
        <v>100</v>
      </c>
      <c r="N37" s="653"/>
    </row>
    <row r="38" spans="2:18" ht="32.25" customHeight="1" x14ac:dyDescent="0.2">
      <c r="B38" s="1253"/>
      <c r="C38" s="88" t="s">
        <v>42</v>
      </c>
      <c r="D38" s="219"/>
      <c r="E38" s="29">
        <v>212.2</v>
      </c>
      <c r="F38" s="29">
        <v>215.7</v>
      </c>
      <c r="G38" s="29">
        <v>215.7</v>
      </c>
      <c r="H38" s="786">
        <v>215.7</v>
      </c>
      <c r="I38" s="657" t="s">
        <v>57</v>
      </c>
      <c r="J38" s="87">
        <v>13.2</v>
      </c>
      <c r="K38" s="87">
        <v>13.2</v>
      </c>
      <c r="L38" s="87">
        <v>13.2</v>
      </c>
      <c r="M38" s="87">
        <v>13.2</v>
      </c>
      <c r="N38" s="653"/>
    </row>
    <row r="39" spans="2:18" s="53" customFormat="1" ht="71.25" customHeight="1" thickBot="1" x14ac:dyDescent="0.3">
      <c r="B39" s="1254"/>
      <c r="C39" s="1171" t="s">
        <v>43</v>
      </c>
      <c r="D39" s="1172"/>
      <c r="E39" s="978"/>
      <c r="F39" s="978">
        <v>240.1</v>
      </c>
      <c r="G39" s="978">
        <v>240.1</v>
      </c>
      <c r="H39" s="988">
        <v>240.1</v>
      </c>
      <c r="I39" s="1372" t="s">
        <v>58</v>
      </c>
      <c r="J39" s="42">
        <v>10</v>
      </c>
      <c r="K39" s="42">
        <v>10</v>
      </c>
      <c r="L39" s="42">
        <v>10</v>
      </c>
      <c r="M39" s="42">
        <v>10</v>
      </c>
      <c r="N39" s="680"/>
      <c r="O39" s="1362"/>
      <c r="P39" s="1362"/>
      <c r="Q39" s="1362"/>
      <c r="R39" s="1362"/>
    </row>
    <row r="40" spans="2:18" ht="35.25" customHeight="1" x14ac:dyDescent="0.2">
      <c r="B40" s="1218" t="s">
        <v>59</v>
      </c>
      <c r="C40" s="318" t="s">
        <v>60</v>
      </c>
      <c r="D40" s="28"/>
      <c r="E40" s="32"/>
      <c r="F40" s="32"/>
      <c r="G40" s="32"/>
      <c r="H40" s="487"/>
      <c r="I40" s="1373" t="s">
        <v>61</v>
      </c>
      <c r="J40" s="1158">
        <v>1</v>
      </c>
      <c r="K40" s="1158">
        <v>1</v>
      </c>
      <c r="L40" s="1158"/>
      <c r="M40" s="1158"/>
      <c r="N40" s="1152"/>
    </row>
    <row r="41" spans="2:18" ht="33" customHeight="1" thickBot="1" x14ac:dyDescent="0.25">
      <c r="B41" s="1219"/>
      <c r="C41" s="319" t="s">
        <v>35</v>
      </c>
      <c r="D41" s="28"/>
      <c r="E41" s="309">
        <v>5.6</v>
      </c>
      <c r="F41" s="309">
        <v>9</v>
      </c>
      <c r="G41" s="309"/>
      <c r="H41" s="493"/>
      <c r="I41" s="1374"/>
      <c r="J41" s="954"/>
      <c r="K41" s="954"/>
      <c r="L41" s="954"/>
      <c r="M41" s="954"/>
      <c r="N41" s="1375"/>
    </row>
    <row r="42" spans="2:18" ht="55.5" customHeight="1" x14ac:dyDescent="0.2">
      <c r="B42" s="1209"/>
      <c r="C42" s="322" t="s">
        <v>62</v>
      </c>
      <c r="D42" s="28"/>
      <c r="E42" s="32"/>
      <c r="F42" s="32"/>
      <c r="G42" s="32"/>
      <c r="H42" s="487"/>
      <c r="I42" s="1373" t="s">
        <v>61</v>
      </c>
      <c r="J42" s="1158">
        <v>1</v>
      </c>
      <c r="K42" s="335"/>
      <c r="L42" s="335"/>
      <c r="M42" s="335"/>
      <c r="N42" s="1371"/>
    </row>
    <row r="43" spans="2:18" ht="28.5" customHeight="1" thickBot="1" x14ac:dyDescent="0.25">
      <c r="B43" s="1211"/>
      <c r="C43" s="319" t="s">
        <v>35</v>
      </c>
      <c r="D43" s="28"/>
      <c r="E43" s="309">
        <v>8.4</v>
      </c>
      <c r="F43" s="309"/>
      <c r="G43" s="309"/>
      <c r="H43" s="493"/>
      <c r="I43" s="1374"/>
      <c r="J43" s="954"/>
      <c r="K43" s="954"/>
      <c r="L43" s="954"/>
      <c r="M43" s="954"/>
      <c r="N43" s="1375"/>
    </row>
    <row r="44" spans="2:18" ht="44.25" customHeight="1" x14ac:dyDescent="0.2">
      <c r="B44" s="1209"/>
      <c r="C44" s="322" t="s">
        <v>63</v>
      </c>
      <c r="D44" s="28"/>
      <c r="E44" s="32"/>
      <c r="F44" s="32"/>
      <c r="G44" s="32"/>
      <c r="H44" s="487"/>
      <c r="I44" s="1373" t="s">
        <v>61</v>
      </c>
      <c r="J44" s="1158">
        <v>1</v>
      </c>
      <c r="K44" s="1158"/>
      <c r="L44" s="335"/>
      <c r="M44" s="335"/>
      <c r="N44" s="1371"/>
    </row>
    <row r="45" spans="2:18" ht="28.5" customHeight="1" thickBot="1" x14ac:dyDescent="0.25">
      <c r="B45" s="1211"/>
      <c r="C45" s="319" t="s">
        <v>35</v>
      </c>
      <c r="D45" s="28"/>
      <c r="E45" s="309">
        <v>6.4</v>
      </c>
      <c r="F45" s="309"/>
      <c r="G45" s="309"/>
      <c r="H45" s="493"/>
      <c r="I45" s="1374"/>
      <c r="J45" s="954"/>
      <c r="K45" s="954"/>
      <c r="L45" s="954"/>
      <c r="M45" s="954"/>
      <c r="N45" s="1375"/>
    </row>
    <row r="46" spans="2:18" ht="42" customHeight="1" x14ac:dyDescent="0.2">
      <c r="B46" s="1223"/>
      <c r="C46" s="322" t="s">
        <v>64</v>
      </c>
      <c r="D46" s="28"/>
      <c r="E46" s="32"/>
      <c r="F46" s="32"/>
      <c r="G46" s="32"/>
      <c r="H46" s="487"/>
      <c r="I46" s="1150" t="s">
        <v>61</v>
      </c>
      <c r="J46" s="1158">
        <v>1</v>
      </c>
      <c r="K46" s="335"/>
      <c r="L46" s="335"/>
      <c r="M46" s="335"/>
      <c r="N46" s="1371"/>
    </row>
    <row r="47" spans="2:18" ht="31.15" customHeight="1" thickBot="1" x14ac:dyDescent="0.25">
      <c r="B47" s="1219"/>
      <c r="C47" s="308" t="s">
        <v>35</v>
      </c>
      <c r="D47" s="329"/>
      <c r="E47" s="309">
        <f>3-0.7</f>
        <v>2.2999999999999998</v>
      </c>
      <c r="F47" s="309"/>
      <c r="G47" s="309"/>
      <c r="H47" s="493"/>
      <c r="I47" s="1153"/>
      <c r="J47" s="312"/>
      <c r="K47" s="312"/>
      <c r="L47" s="324"/>
      <c r="M47" s="312"/>
      <c r="N47" s="1154"/>
    </row>
    <row r="48" spans="2:18" ht="31.15" customHeight="1" x14ac:dyDescent="0.2">
      <c r="B48" s="1177" t="s">
        <v>517</v>
      </c>
      <c r="C48" s="313" t="s">
        <v>65</v>
      </c>
      <c r="D48" s="1204" t="s">
        <v>33</v>
      </c>
      <c r="E48" s="323"/>
      <c r="F48" s="323"/>
      <c r="G48" s="323"/>
      <c r="H48" s="790"/>
      <c r="I48" s="684" t="s">
        <v>34</v>
      </c>
      <c r="J48" s="955">
        <v>6</v>
      </c>
      <c r="K48" s="955">
        <v>6</v>
      </c>
      <c r="L48" s="955"/>
      <c r="M48" s="955"/>
      <c r="N48" s="667"/>
    </row>
    <row r="49" spans="2:14" ht="18" customHeight="1" x14ac:dyDescent="0.2">
      <c r="B49" s="1252"/>
      <c r="C49" s="37" t="s">
        <v>38</v>
      </c>
      <c r="D49" s="1204"/>
      <c r="E49" s="168">
        <f>1038.4-1038.4</f>
        <v>0</v>
      </c>
      <c r="F49" s="34"/>
      <c r="G49" s="168"/>
      <c r="H49" s="791"/>
      <c r="I49" s="654"/>
      <c r="J49" s="59"/>
      <c r="K49" s="59"/>
      <c r="L49" s="59"/>
      <c r="M49" s="59"/>
      <c r="N49" s="653"/>
    </row>
    <row r="50" spans="2:14" ht="29.25" customHeight="1" x14ac:dyDescent="0.2">
      <c r="B50" s="1252"/>
      <c r="C50" s="37" t="s">
        <v>66</v>
      </c>
      <c r="D50" s="1204"/>
      <c r="E50" s="168">
        <f>5437.8-0.1-1207.5+1038.4+233.8</f>
        <v>5502.4000000000005</v>
      </c>
      <c r="F50" s="34">
        <v>1659.6</v>
      </c>
      <c r="G50" s="168"/>
      <c r="H50" s="791"/>
      <c r="I50" s="668"/>
      <c r="J50" s="325"/>
      <c r="K50" s="282"/>
      <c r="L50" s="282"/>
      <c r="M50" s="282"/>
      <c r="N50" s="659"/>
    </row>
    <row r="51" spans="2:14" ht="29.25" customHeight="1" x14ac:dyDescent="0.2">
      <c r="B51" s="1252"/>
      <c r="C51" s="37" t="s">
        <v>35</v>
      </c>
      <c r="D51" s="1204"/>
      <c r="E51" s="168">
        <f>53.1+2.3</f>
        <v>55.4</v>
      </c>
      <c r="F51" s="34">
        <v>55.4</v>
      </c>
      <c r="G51" s="252"/>
      <c r="H51" s="792"/>
      <c r="I51" s="669"/>
      <c r="J51" s="326"/>
      <c r="K51" s="282"/>
      <c r="L51" s="282"/>
      <c r="M51" s="282"/>
      <c r="N51" s="659"/>
    </row>
    <row r="52" spans="2:14" ht="20.25" customHeight="1" x14ac:dyDescent="0.2">
      <c r="B52" s="1252"/>
      <c r="C52" s="163" t="s">
        <v>42</v>
      </c>
      <c r="D52" s="1245"/>
      <c r="E52" s="168">
        <v>1207.5</v>
      </c>
      <c r="F52" s="168">
        <v>778</v>
      </c>
      <c r="G52" s="168"/>
      <c r="H52" s="791"/>
      <c r="I52" s="668"/>
      <c r="J52" s="325"/>
      <c r="K52" s="282"/>
      <c r="L52" s="282"/>
      <c r="M52" s="282"/>
      <c r="N52" s="659"/>
    </row>
    <row r="53" spans="2:14" ht="18.600000000000001" customHeight="1" x14ac:dyDescent="0.2">
      <c r="B53" s="1252"/>
      <c r="C53" s="37" t="s">
        <v>38</v>
      </c>
      <c r="D53" s="1244" t="s">
        <v>67</v>
      </c>
      <c r="E53" s="168">
        <f>436.6-436.6</f>
        <v>0</v>
      </c>
      <c r="F53" s="168"/>
      <c r="G53" s="168"/>
      <c r="H53" s="791"/>
      <c r="I53" s="658"/>
      <c r="J53" s="282"/>
      <c r="K53" s="282"/>
      <c r="L53" s="282"/>
      <c r="M53" s="282"/>
      <c r="N53" s="659"/>
    </row>
    <row r="54" spans="2:14" ht="26.45" customHeight="1" x14ac:dyDescent="0.2">
      <c r="B54" s="1252"/>
      <c r="C54" s="37" t="s">
        <v>66</v>
      </c>
      <c r="D54" s="1204"/>
      <c r="E54" s="168">
        <f>2078.6-195+436.6-233.8</f>
        <v>2086.3999999999996</v>
      </c>
      <c r="F54" s="168">
        <f>1166.8+245.1-780</f>
        <v>631.89999999999986</v>
      </c>
      <c r="G54" s="168"/>
      <c r="H54" s="791"/>
      <c r="I54" s="658"/>
      <c r="J54" s="282"/>
      <c r="K54" s="282"/>
      <c r="L54" s="282"/>
      <c r="M54" s="282"/>
      <c r="N54" s="659"/>
    </row>
    <row r="55" spans="2:14" ht="26.45" customHeight="1" x14ac:dyDescent="0.2">
      <c r="B55" s="1252"/>
      <c r="C55" s="37" t="s">
        <v>35</v>
      </c>
      <c r="D55" s="1204"/>
      <c r="E55" s="168">
        <f>300-39.8-47-13.3-2.3</f>
        <v>197.59999999999997</v>
      </c>
      <c r="F55" s="168">
        <v>66.400000000000006</v>
      </c>
      <c r="G55" s="168"/>
      <c r="H55" s="791"/>
      <c r="I55" s="658"/>
      <c r="J55" s="282"/>
      <c r="K55" s="282"/>
      <c r="L55" s="282"/>
      <c r="M55" s="282"/>
      <c r="N55" s="659"/>
    </row>
    <row r="56" spans="2:14" ht="22.5" customHeight="1" x14ac:dyDescent="0.2">
      <c r="B56" s="1252"/>
      <c r="C56" s="163" t="s">
        <v>42</v>
      </c>
      <c r="D56" s="170"/>
      <c r="E56" s="168">
        <v>195</v>
      </c>
      <c r="F56" s="168">
        <v>780</v>
      </c>
      <c r="G56" s="168"/>
      <c r="H56" s="791"/>
      <c r="I56" s="658"/>
      <c r="J56" s="282"/>
      <c r="K56" s="282"/>
      <c r="L56" s="282"/>
      <c r="M56" s="282"/>
      <c r="N56" s="659"/>
    </row>
    <row r="57" spans="2:14" ht="31.5" customHeight="1" x14ac:dyDescent="0.2">
      <c r="B57" s="1252"/>
      <c r="C57" s="37" t="s">
        <v>66</v>
      </c>
      <c r="D57" s="1250" t="s">
        <v>68</v>
      </c>
      <c r="E57" s="168">
        <f>156.2-5</f>
        <v>151.19999999999999</v>
      </c>
      <c r="F57" s="168">
        <v>25.8</v>
      </c>
      <c r="G57" s="168"/>
      <c r="H57" s="791"/>
      <c r="I57" s="670"/>
      <c r="J57" s="321"/>
      <c r="K57" s="321"/>
      <c r="L57" s="282"/>
      <c r="M57" s="282"/>
      <c r="N57" s="659"/>
    </row>
    <row r="58" spans="2:14" ht="27.6" customHeight="1" thickBot="1" x14ac:dyDescent="0.25">
      <c r="B58" s="1219"/>
      <c r="C58" s="308" t="s">
        <v>42</v>
      </c>
      <c r="D58" s="1251"/>
      <c r="E58" s="327">
        <v>5</v>
      </c>
      <c r="F58" s="327">
        <v>20</v>
      </c>
      <c r="G58" s="327"/>
      <c r="H58" s="793"/>
      <c r="I58" s="671"/>
      <c r="J58" s="328"/>
      <c r="K58" s="328"/>
      <c r="L58" s="328"/>
      <c r="M58" s="328"/>
      <c r="N58" s="672"/>
    </row>
    <row r="59" spans="2:14" ht="30" customHeight="1" x14ac:dyDescent="0.2">
      <c r="B59" s="1223" t="s">
        <v>518</v>
      </c>
      <c r="C59" s="307" t="s">
        <v>69</v>
      </c>
      <c r="D59" s="1184" t="s">
        <v>33</v>
      </c>
      <c r="E59" s="331"/>
      <c r="F59" s="331"/>
      <c r="G59" s="331"/>
      <c r="H59" s="794"/>
      <c r="I59" s="673" t="s">
        <v>34</v>
      </c>
      <c r="J59" s="332">
        <v>7</v>
      </c>
      <c r="K59" s="333">
        <v>7</v>
      </c>
      <c r="L59" s="333">
        <v>7</v>
      </c>
      <c r="M59" s="333">
        <v>7</v>
      </c>
      <c r="N59" s="674"/>
    </row>
    <row r="60" spans="2:14" ht="48.75" customHeight="1" thickBot="1" x14ac:dyDescent="0.25">
      <c r="B60" s="1178"/>
      <c r="C60" s="308" t="s">
        <v>38</v>
      </c>
      <c r="D60" s="1192"/>
      <c r="E60" s="327">
        <f>5747+450.6</f>
        <v>6197.6</v>
      </c>
      <c r="F60" s="327">
        <f>5747+450.6</f>
        <v>6197.6</v>
      </c>
      <c r="G60" s="327">
        <f>5747+450.6</f>
        <v>6197.6</v>
      </c>
      <c r="H60" s="793">
        <f>5747+450.6</f>
        <v>6197.6</v>
      </c>
      <c r="I60" s="679" t="s">
        <v>36</v>
      </c>
      <c r="J60" s="42">
        <v>1659</v>
      </c>
      <c r="K60" s="42">
        <v>1767</v>
      </c>
      <c r="L60" s="1376">
        <v>1767</v>
      </c>
      <c r="M60" s="1376">
        <v>1767</v>
      </c>
      <c r="N60" s="680"/>
    </row>
    <row r="61" spans="2:14" ht="42" customHeight="1" x14ac:dyDescent="0.2">
      <c r="B61" s="1223" t="s">
        <v>519</v>
      </c>
      <c r="C61" s="307" t="s">
        <v>70</v>
      </c>
      <c r="D61" s="1184" t="s">
        <v>71</v>
      </c>
      <c r="E61" s="334"/>
      <c r="F61" s="334"/>
      <c r="G61" s="334"/>
      <c r="H61" s="795"/>
      <c r="I61" s="1150" t="s">
        <v>72</v>
      </c>
      <c r="J61" s="1158">
        <v>2200</v>
      </c>
      <c r="K61" s="1158">
        <v>2040</v>
      </c>
      <c r="L61" s="1377" t="s">
        <v>73</v>
      </c>
      <c r="M61" s="1377" t="s">
        <v>73</v>
      </c>
      <c r="N61" s="1371"/>
    </row>
    <row r="62" spans="2:14" ht="29.45" customHeight="1" thickBot="1" x14ac:dyDescent="0.25">
      <c r="B62" s="1178"/>
      <c r="C62" s="308" t="s">
        <v>35</v>
      </c>
      <c r="D62" s="1192"/>
      <c r="E62" s="327">
        <f>130.2-0.5-35</f>
        <v>94.699999999999989</v>
      </c>
      <c r="F62" s="327">
        <v>130.19999999999999</v>
      </c>
      <c r="G62" s="327">
        <v>130.19999999999999</v>
      </c>
      <c r="H62" s="793">
        <v>130.19999999999999</v>
      </c>
      <c r="I62" s="1378"/>
      <c r="J62" s="954"/>
      <c r="K62" s="954"/>
      <c r="L62" s="1379"/>
      <c r="M62" s="1379"/>
      <c r="N62" s="1375"/>
    </row>
    <row r="63" spans="2:14" ht="44.45" customHeight="1" x14ac:dyDescent="0.2">
      <c r="B63" s="1223" t="s">
        <v>520</v>
      </c>
      <c r="C63" s="307" t="s">
        <v>74</v>
      </c>
      <c r="D63" s="1246" t="s">
        <v>71</v>
      </c>
      <c r="E63" s="346"/>
      <c r="F63" s="346"/>
      <c r="G63" s="346"/>
      <c r="H63" s="522"/>
      <c r="I63" s="1380" t="s">
        <v>75</v>
      </c>
      <c r="J63" s="1158">
        <v>288</v>
      </c>
      <c r="K63" s="1158">
        <v>333</v>
      </c>
      <c r="L63" s="1158">
        <v>333</v>
      </c>
      <c r="M63" s="1158">
        <v>333</v>
      </c>
      <c r="N63" s="1152"/>
    </row>
    <row r="64" spans="2:14" ht="28.5" customHeight="1" thickBot="1" x14ac:dyDescent="0.25">
      <c r="B64" s="1178"/>
      <c r="C64" s="308" t="s">
        <v>35</v>
      </c>
      <c r="D64" s="1247"/>
      <c r="E64" s="315">
        <v>13.3</v>
      </c>
      <c r="F64" s="315">
        <v>13.6</v>
      </c>
      <c r="G64" s="315">
        <v>13.6</v>
      </c>
      <c r="H64" s="523">
        <v>13.6</v>
      </c>
      <c r="I64" s="1381"/>
      <c r="J64" s="312"/>
      <c r="K64" s="312"/>
      <c r="L64" s="312"/>
      <c r="M64" s="312"/>
      <c r="N64" s="1154"/>
    </row>
    <row r="65" spans="2:18" ht="48" customHeight="1" x14ac:dyDescent="0.2">
      <c r="B65" s="1220" t="s">
        <v>521</v>
      </c>
      <c r="C65" s="337" t="s">
        <v>76</v>
      </c>
      <c r="D65" s="1248"/>
      <c r="E65" s="336"/>
      <c r="F65" s="336"/>
      <c r="G65" s="336"/>
      <c r="H65" s="796"/>
      <c r="I65" s="684" t="s">
        <v>34</v>
      </c>
      <c r="J65" s="251">
        <v>6</v>
      </c>
      <c r="K65" s="251">
        <v>6</v>
      </c>
      <c r="L65" s="251">
        <v>6</v>
      </c>
      <c r="M65" s="251">
        <v>6</v>
      </c>
      <c r="N65" s="685"/>
    </row>
    <row r="66" spans="2:18" ht="27.75" customHeight="1" x14ac:dyDescent="0.2">
      <c r="B66" s="1253"/>
      <c r="C66" s="218" t="s">
        <v>35</v>
      </c>
      <c r="D66" s="1248"/>
      <c r="E66" s="156">
        <f>11709.9+308.7-82.9-553.9+84.6</f>
        <v>11466.400000000001</v>
      </c>
      <c r="F66" s="273">
        <v>12764.6</v>
      </c>
      <c r="G66" s="273">
        <v>12764.6</v>
      </c>
      <c r="H66" s="797">
        <v>12764.6</v>
      </c>
      <c r="I66" s="652" t="s">
        <v>36</v>
      </c>
      <c r="J66" s="87">
        <v>6000</v>
      </c>
      <c r="K66" s="87">
        <v>6021</v>
      </c>
      <c r="L66" s="87">
        <v>6021</v>
      </c>
      <c r="M66" s="87">
        <v>6021</v>
      </c>
      <c r="N66" s="653"/>
    </row>
    <row r="67" spans="2:18" ht="26.25" customHeight="1" x14ac:dyDescent="0.2">
      <c r="B67" s="1253"/>
      <c r="C67" s="218" t="s">
        <v>38</v>
      </c>
      <c r="D67" s="1248"/>
      <c r="E67" s="157">
        <f>160.2+15.5</f>
        <v>175.7</v>
      </c>
      <c r="F67" s="274">
        <v>185.9</v>
      </c>
      <c r="G67" s="274">
        <v>185.9</v>
      </c>
      <c r="H67" s="798">
        <v>185.9</v>
      </c>
      <c r="I67" s="654" t="s">
        <v>77</v>
      </c>
      <c r="J67" s="59">
        <v>180</v>
      </c>
      <c r="K67" s="87">
        <v>106</v>
      </c>
      <c r="L67" s="87">
        <v>106</v>
      </c>
      <c r="M67" s="87">
        <v>106</v>
      </c>
      <c r="N67" s="653"/>
    </row>
    <row r="68" spans="2:18" ht="22.5" customHeight="1" x14ac:dyDescent="0.2">
      <c r="B68" s="1253"/>
      <c r="C68" s="218" t="s">
        <v>40</v>
      </c>
      <c r="D68" s="1248"/>
      <c r="E68" s="33">
        <v>522.29999999999995</v>
      </c>
      <c r="F68" s="33">
        <v>565.1</v>
      </c>
      <c r="G68" s="33">
        <v>565.1</v>
      </c>
      <c r="H68" s="799">
        <v>565.1</v>
      </c>
      <c r="I68" s="654"/>
      <c r="J68" s="59"/>
      <c r="K68" s="87"/>
      <c r="L68" s="87"/>
      <c r="M68" s="87"/>
      <c r="N68" s="653"/>
    </row>
    <row r="69" spans="2:18" ht="18" customHeight="1" x14ac:dyDescent="0.2">
      <c r="B69" s="1253"/>
      <c r="C69" s="218" t="s">
        <v>42</v>
      </c>
      <c r="D69" s="1248"/>
      <c r="E69" s="34">
        <v>27.2</v>
      </c>
      <c r="F69" s="34">
        <v>73.900000000000006</v>
      </c>
      <c r="G69" s="34">
        <v>73.900000000000006</v>
      </c>
      <c r="H69" s="788">
        <v>73.900000000000006</v>
      </c>
      <c r="I69" s="668"/>
      <c r="J69" s="325"/>
      <c r="K69" s="282"/>
      <c r="L69" s="282"/>
      <c r="M69" s="282"/>
      <c r="N69" s="659"/>
    </row>
    <row r="70" spans="2:18" s="222" customFormat="1" ht="21" customHeight="1" thickBot="1" x14ac:dyDescent="0.3">
      <c r="B70" s="1254"/>
      <c r="C70" s="1170" t="s">
        <v>43</v>
      </c>
      <c r="D70" s="1248"/>
      <c r="E70" s="339"/>
      <c r="F70" s="365">
        <v>39.700000000000003</v>
      </c>
      <c r="G70" s="365">
        <v>39.700000000000003</v>
      </c>
      <c r="H70" s="803">
        <v>39.700000000000003</v>
      </c>
      <c r="I70" s="677"/>
      <c r="J70" s="340"/>
      <c r="K70" s="340"/>
      <c r="L70" s="340"/>
      <c r="M70" s="340"/>
      <c r="N70" s="678"/>
      <c r="O70" s="1364"/>
      <c r="P70" s="1364"/>
      <c r="Q70" s="1364"/>
      <c r="R70" s="1364"/>
    </row>
    <row r="71" spans="2:18" ht="30.75" customHeight="1" x14ac:dyDescent="0.2">
      <c r="B71" s="1223" t="s">
        <v>522</v>
      </c>
      <c r="C71" s="307" t="s">
        <v>78</v>
      </c>
      <c r="D71" s="1247"/>
      <c r="E71" s="338"/>
      <c r="F71" s="338"/>
      <c r="G71" s="338"/>
      <c r="H71" s="800"/>
      <c r="I71" s="654" t="s">
        <v>79</v>
      </c>
      <c r="J71" s="87">
        <v>15000</v>
      </c>
      <c r="K71" s="87">
        <v>15000</v>
      </c>
      <c r="L71" s="87">
        <v>15000</v>
      </c>
      <c r="M71" s="87">
        <v>15000</v>
      </c>
      <c r="N71" s="653" t="s">
        <v>80</v>
      </c>
    </row>
    <row r="72" spans="2:18" ht="26.25" customHeight="1" x14ac:dyDescent="0.2">
      <c r="B72" s="1177"/>
      <c r="C72" s="37" t="s">
        <v>35</v>
      </c>
      <c r="D72" s="1247"/>
      <c r="E72" s="34">
        <f>662+9.4-35.6-0.3</f>
        <v>635.5</v>
      </c>
      <c r="F72" s="34">
        <v>681.1</v>
      </c>
      <c r="G72" s="34">
        <v>681.1</v>
      </c>
      <c r="H72" s="788">
        <v>681.1</v>
      </c>
      <c r="I72" s="668"/>
      <c r="J72" s="282"/>
      <c r="K72" s="282"/>
      <c r="L72" s="282"/>
      <c r="M72" s="282"/>
      <c r="N72" s="659"/>
    </row>
    <row r="73" spans="2:18" ht="18" customHeight="1" x14ac:dyDescent="0.2">
      <c r="B73" s="1177"/>
      <c r="C73" s="30" t="s">
        <v>38</v>
      </c>
      <c r="D73" s="1247"/>
      <c r="E73" s="33">
        <v>1221.8</v>
      </c>
      <c r="F73" s="33">
        <v>1221.8</v>
      </c>
      <c r="G73" s="33">
        <v>1221.8</v>
      </c>
      <c r="H73" s="799">
        <v>1221.8</v>
      </c>
      <c r="I73" s="658"/>
      <c r="J73" s="282"/>
      <c r="K73" s="282"/>
      <c r="L73" s="282"/>
      <c r="M73" s="282"/>
      <c r="N73" s="659"/>
    </row>
    <row r="74" spans="2:18" ht="18" customHeight="1" x14ac:dyDescent="0.2">
      <c r="B74" s="1177"/>
      <c r="C74" s="30" t="s">
        <v>40</v>
      </c>
      <c r="D74" s="1247"/>
      <c r="E74" s="33">
        <v>22</v>
      </c>
      <c r="F74" s="33">
        <v>22</v>
      </c>
      <c r="G74" s="33">
        <v>22</v>
      </c>
      <c r="H74" s="799">
        <v>22</v>
      </c>
      <c r="I74" s="658"/>
      <c r="J74" s="282"/>
      <c r="K74" s="282"/>
      <c r="L74" s="282"/>
      <c r="M74" s="282"/>
      <c r="N74" s="659"/>
    </row>
    <row r="75" spans="2:18" ht="18" customHeight="1" thickBot="1" x14ac:dyDescent="0.25">
      <c r="B75" s="1178"/>
      <c r="C75" s="341" t="s">
        <v>42</v>
      </c>
      <c r="D75" s="1247"/>
      <c r="E75" s="315">
        <v>4.7</v>
      </c>
      <c r="F75" s="315">
        <v>0</v>
      </c>
      <c r="G75" s="315">
        <v>0</v>
      </c>
      <c r="H75" s="523">
        <v>0</v>
      </c>
      <c r="I75" s="886"/>
      <c r="J75" s="342"/>
      <c r="K75" s="342"/>
      <c r="L75" s="342"/>
      <c r="M75" s="342"/>
      <c r="N75" s="724"/>
    </row>
    <row r="76" spans="2:18" ht="42.6" customHeight="1" x14ac:dyDescent="0.2">
      <c r="B76" s="1223" t="s">
        <v>523</v>
      </c>
      <c r="C76" s="343" t="s">
        <v>81</v>
      </c>
      <c r="D76" s="1247"/>
      <c r="E76" s="338"/>
      <c r="F76" s="338"/>
      <c r="G76" s="338"/>
      <c r="H76" s="800"/>
      <c r="I76" s="1383" t="s">
        <v>82</v>
      </c>
      <c r="J76" s="1151">
        <v>75</v>
      </c>
      <c r="K76" s="1151">
        <v>100</v>
      </c>
      <c r="L76" s="1151"/>
      <c r="M76" s="1151"/>
      <c r="N76" s="1152"/>
    </row>
    <row r="77" spans="2:18" s="53" customFormat="1" ht="29.25" customHeight="1" thickBot="1" x14ac:dyDescent="0.3">
      <c r="B77" s="1178"/>
      <c r="C77" s="308" t="s">
        <v>35</v>
      </c>
      <c r="D77" s="1247"/>
      <c r="E77" s="315">
        <v>97</v>
      </c>
      <c r="F77" s="315">
        <v>55</v>
      </c>
      <c r="G77" s="315"/>
      <c r="H77" s="523"/>
      <c r="I77" s="1384"/>
      <c r="J77" s="310"/>
      <c r="K77" s="310"/>
      <c r="L77" s="310"/>
      <c r="M77" s="310"/>
      <c r="N77" s="1154"/>
      <c r="O77" s="1362"/>
      <c r="P77" s="1362"/>
      <c r="Q77" s="1362"/>
      <c r="R77" s="1362"/>
    </row>
    <row r="78" spans="2:18" ht="33" customHeight="1" x14ac:dyDescent="0.2">
      <c r="B78" s="1177" t="s">
        <v>524</v>
      </c>
      <c r="C78" s="91" t="s">
        <v>83</v>
      </c>
      <c r="D78" s="1247"/>
      <c r="E78" s="338"/>
      <c r="F78" s="338"/>
      <c r="G78" s="338"/>
      <c r="H78" s="800"/>
      <c r="I78" s="684" t="s">
        <v>36</v>
      </c>
      <c r="J78" s="251">
        <v>71</v>
      </c>
      <c r="K78" s="251">
        <v>63</v>
      </c>
      <c r="L78" s="251">
        <v>63</v>
      </c>
      <c r="M78" s="251">
        <v>63</v>
      </c>
      <c r="N78" s="685"/>
    </row>
    <row r="79" spans="2:18" ht="29.25" customHeight="1" x14ac:dyDescent="0.2">
      <c r="B79" s="1177"/>
      <c r="C79" s="37" t="s">
        <v>35</v>
      </c>
      <c r="D79" s="1247"/>
      <c r="E79" s="34">
        <f>949.9+0.5-27.7</f>
        <v>922.69999999999993</v>
      </c>
      <c r="F79" s="34">
        <v>980.4</v>
      </c>
      <c r="G79" s="34">
        <v>980.5</v>
      </c>
      <c r="H79" s="788">
        <v>980.5</v>
      </c>
      <c r="I79" s="679" t="s">
        <v>79</v>
      </c>
      <c r="J79" s="42">
        <v>149</v>
      </c>
      <c r="K79" s="42">
        <v>130</v>
      </c>
      <c r="L79" s="42">
        <v>130</v>
      </c>
      <c r="M79" s="42">
        <v>130</v>
      </c>
      <c r="N79" s="680"/>
    </row>
    <row r="80" spans="2:18" ht="19.5" customHeight="1" x14ac:dyDescent="0.2">
      <c r="B80" s="1177"/>
      <c r="C80" s="37" t="s">
        <v>38</v>
      </c>
      <c r="D80" s="1247"/>
      <c r="E80" s="33">
        <f>431+3.2+2.2</f>
        <v>436.4</v>
      </c>
      <c r="F80" s="33">
        <f t="shared" ref="F80:H80" si="5">431+3.2+2.2</f>
        <v>436.4</v>
      </c>
      <c r="G80" s="33">
        <f t="shared" si="5"/>
        <v>436.4</v>
      </c>
      <c r="H80" s="799">
        <f t="shared" si="5"/>
        <v>436.4</v>
      </c>
      <c r="I80" s="658"/>
      <c r="J80" s="282"/>
      <c r="K80" s="282"/>
      <c r="L80" s="282"/>
      <c r="M80" s="282"/>
      <c r="N80" s="659"/>
    </row>
    <row r="81" spans="2:18" ht="16.899999999999999" customHeight="1" x14ac:dyDescent="0.2">
      <c r="B81" s="1177"/>
      <c r="C81" s="37" t="s">
        <v>40</v>
      </c>
      <c r="D81" s="1247"/>
      <c r="E81" s="33">
        <v>57.9</v>
      </c>
      <c r="F81" s="33">
        <v>48.4</v>
      </c>
      <c r="G81" s="33">
        <v>48.4</v>
      </c>
      <c r="H81" s="799">
        <v>48.4</v>
      </c>
      <c r="I81" s="658"/>
      <c r="J81" s="282"/>
      <c r="K81" s="282"/>
      <c r="L81" s="282"/>
      <c r="M81" s="282"/>
      <c r="N81" s="659"/>
    </row>
    <row r="82" spans="2:18" ht="18" customHeight="1" x14ac:dyDescent="0.2">
      <c r="B82" s="1258"/>
      <c r="C82" s="37" t="s">
        <v>42</v>
      </c>
      <c r="D82" s="1247"/>
      <c r="E82" s="34">
        <v>0.3</v>
      </c>
      <c r="F82" s="34">
        <v>1.1000000000000001</v>
      </c>
      <c r="G82" s="34">
        <v>1.1000000000000001</v>
      </c>
      <c r="H82" s="788">
        <v>1.1000000000000001</v>
      </c>
      <c r="I82" s="658"/>
      <c r="J82" s="282"/>
      <c r="K82" s="282"/>
      <c r="L82" s="282"/>
      <c r="M82" s="282"/>
      <c r="N82" s="659"/>
    </row>
    <row r="83" spans="2:18" s="222" customFormat="1" ht="18" customHeight="1" thickBot="1" x14ac:dyDescent="0.3">
      <c r="B83" s="1078"/>
      <c r="C83" s="1169" t="s">
        <v>43</v>
      </c>
      <c r="D83" s="1247"/>
      <c r="E83" s="339"/>
      <c r="F83" s="365">
        <v>25</v>
      </c>
      <c r="G83" s="365">
        <v>27</v>
      </c>
      <c r="H83" s="803">
        <v>27</v>
      </c>
      <c r="I83" s="677"/>
      <c r="J83" s="340"/>
      <c r="K83" s="340"/>
      <c r="L83" s="340"/>
      <c r="M83" s="340"/>
      <c r="N83" s="678"/>
      <c r="O83" s="1364"/>
      <c r="P83" s="1364"/>
      <c r="Q83" s="1364"/>
      <c r="R83" s="1364"/>
    </row>
    <row r="84" spans="2:18" ht="33" customHeight="1" x14ac:dyDescent="0.2">
      <c r="B84" s="1177" t="s">
        <v>525</v>
      </c>
      <c r="C84" s="91" t="s">
        <v>84</v>
      </c>
      <c r="D84" s="1247"/>
      <c r="E84" s="338"/>
      <c r="F84" s="338"/>
      <c r="G84" s="338"/>
      <c r="H84" s="800"/>
      <c r="I84" s="654" t="s">
        <v>85</v>
      </c>
      <c r="J84" s="251">
        <v>220</v>
      </c>
      <c r="K84" s="251">
        <v>230</v>
      </c>
      <c r="L84" s="251">
        <v>230</v>
      </c>
      <c r="M84" s="251">
        <v>230</v>
      </c>
      <c r="N84" s="653"/>
    </row>
    <row r="85" spans="2:18" ht="28.5" customHeight="1" x14ac:dyDescent="0.2">
      <c r="B85" s="1177"/>
      <c r="C85" s="37" t="s">
        <v>35</v>
      </c>
      <c r="D85" s="1247"/>
      <c r="E85" s="34">
        <f>546.8+2.5</f>
        <v>549.29999999999995</v>
      </c>
      <c r="F85" s="34">
        <f>575.3+18</f>
        <v>593.29999999999995</v>
      </c>
      <c r="G85" s="34">
        <v>575.29999999999995</v>
      </c>
      <c r="H85" s="788">
        <v>575.29999999999995</v>
      </c>
      <c r="I85" s="654" t="s">
        <v>86</v>
      </c>
      <c r="J85" s="87">
        <v>15600</v>
      </c>
      <c r="K85" s="87">
        <v>16000</v>
      </c>
      <c r="L85" s="87">
        <v>16000</v>
      </c>
      <c r="M85" s="87">
        <v>16000</v>
      </c>
      <c r="N85" s="653" t="s">
        <v>87</v>
      </c>
    </row>
    <row r="86" spans="2:18" ht="18" customHeight="1" x14ac:dyDescent="0.2">
      <c r="B86" s="1177"/>
      <c r="C86" s="37" t="s">
        <v>40</v>
      </c>
      <c r="D86" s="1247"/>
      <c r="E86" s="33">
        <v>35</v>
      </c>
      <c r="F86" s="33">
        <v>253.4</v>
      </c>
      <c r="G86" s="33">
        <v>253.4</v>
      </c>
      <c r="H86" s="799">
        <v>253.4</v>
      </c>
      <c r="I86" s="658"/>
      <c r="J86" s="282"/>
      <c r="K86" s="282"/>
      <c r="L86" s="282"/>
      <c r="M86" s="344"/>
      <c r="N86" s="659"/>
    </row>
    <row r="87" spans="2:18" ht="17.45" customHeight="1" thickBot="1" x14ac:dyDescent="0.25">
      <c r="B87" s="1178"/>
      <c r="C87" s="308" t="s">
        <v>42</v>
      </c>
      <c r="D87" s="1249"/>
      <c r="E87" s="315">
        <v>1.2</v>
      </c>
      <c r="F87" s="315">
        <v>1.2</v>
      </c>
      <c r="G87" s="315">
        <v>1.2</v>
      </c>
      <c r="H87" s="523">
        <v>1.2</v>
      </c>
      <c r="I87" s="671"/>
      <c r="J87" s="328"/>
      <c r="K87" s="328"/>
      <c r="L87" s="328"/>
      <c r="M87" s="328"/>
      <c r="N87" s="672"/>
    </row>
    <row r="88" spans="2:18" ht="42.75" customHeight="1" x14ac:dyDescent="0.2">
      <c r="B88" s="1223"/>
      <c r="C88" s="307" t="s">
        <v>88</v>
      </c>
      <c r="D88" s="1188" t="s">
        <v>71</v>
      </c>
      <c r="E88" s="346"/>
      <c r="F88" s="346"/>
      <c r="G88" s="346"/>
      <c r="H88" s="801"/>
      <c r="I88" s="681" t="s">
        <v>89</v>
      </c>
      <c r="J88" s="332">
        <v>60</v>
      </c>
      <c r="K88" s="332"/>
      <c r="L88" s="332"/>
      <c r="M88" s="332"/>
      <c r="N88" s="674" t="s">
        <v>90</v>
      </c>
    </row>
    <row r="89" spans="2:18" ht="28.5" customHeight="1" thickBot="1" x14ac:dyDescent="0.25">
      <c r="B89" s="1178"/>
      <c r="C89" s="308" t="s">
        <v>35</v>
      </c>
      <c r="D89" s="1189"/>
      <c r="E89" s="315">
        <f>3-3</f>
        <v>0</v>
      </c>
      <c r="F89" s="348"/>
      <c r="G89" s="348"/>
      <c r="H89" s="802"/>
      <c r="I89" s="682" t="s">
        <v>91</v>
      </c>
      <c r="J89" s="310">
        <v>1</v>
      </c>
      <c r="K89" s="310"/>
      <c r="L89" s="310"/>
      <c r="M89" s="310"/>
      <c r="N89" s="664"/>
    </row>
    <row r="90" spans="2:18" ht="45" customHeight="1" x14ac:dyDescent="0.2">
      <c r="B90" s="1223" t="s">
        <v>526</v>
      </c>
      <c r="C90" s="350" t="s">
        <v>92</v>
      </c>
      <c r="D90" s="1188" t="s">
        <v>33</v>
      </c>
      <c r="E90" s="346"/>
      <c r="F90" s="346"/>
      <c r="G90" s="346"/>
      <c r="H90" s="801"/>
      <c r="I90" s="673" t="s">
        <v>34</v>
      </c>
      <c r="J90" s="356">
        <v>1</v>
      </c>
      <c r="K90" s="356">
        <v>1</v>
      </c>
      <c r="L90" s="356">
        <v>1</v>
      </c>
      <c r="M90" s="356">
        <v>1</v>
      </c>
      <c r="N90" s="674"/>
    </row>
    <row r="91" spans="2:18" ht="28.5" customHeight="1" thickBot="1" x14ac:dyDescent="0.25">
      <c r="B91" s="1178"/>
      <c r="C91" s="308" t="s">
        <v>35</v>
      </c>
      <c r="D91" s="1228"/>
      <c r="E91" s="315">
        <v>116.2</v>
      </c>
      <c r="F91" s="315">
        <v>114</v>
      </c>
      <c r="G91" s="315">
        <v>117.7</v>
      </c>
      <c r="H91" s="1417">
        <v>117.7</v>
      </c>
      <c r="I91" s="683" t="s">
        <v>75</v>
      </c>
      <c r="J91" s="351">
        <v>135</v>
      </c>
      <c r="K91" s="351">
        <v>120</v>
      </c>
      <c r="L91" s="351">
        <v>120</v>
      </c>
      <c r="M91" s="351">
        <v>120</v>
      </c>
      <c r="N91" s="664"/>
    </row>
    <row r="92" spans="2:18" ht="44.25" customHeight="1" x14ac:dyDescent="0.2">
      <c r="B92" s="1223" t="s">
        <v>527</v>
      </c>
      <c r="C92" s="343" t="s">
        <v>93</v>
      </c>
      <c r="D92" s="1228"/>
      <c r="E92" s="33"/>
      <c r="F92" s="33"/>
      <c r="G92" s="33"/>
      <c r="H92" s="33"/>
      <c r="I92" s="1385" t="s">
        <v>75</v>
      </c>
      <c r="J92" s="352">
        <v>280</v>
      </c>
      <c r="K92" s="352">
        <v>270</v>
      </c>
      <c r="L92" s="353" t="s">
        <v>94</v>
      </c>
      <c r="M92" s="353" t="s">
        <v>95</v>
      </c>
      <c r="N92" s="653"/>
    </row>
    <row r="93" spans="2:18" ht="36.75" customHeight="1" thickBot="1" x14ac:dyDescent="0.25">
      <c r="B93" s="1178"/>
      <c r="C93" s="308" t="s">
        <v>35</v>
      </c>
      <c r="D93" s="1228"/>
      <c r="E93" s="315">
        <f>166+15.4</f>
        <v>181.4</v>
      </c>
      <c r="F93" s="315">
        <v>210.1</v>
      </c>
      <c r="G93" s="315">
        <v>228.1</v>
      </c>
      <c r="H93" s="315">
        <v>242.1</v>
      </c>
      <c r="I93" s="1386" t="s">
        <v>96</v>
      </c>
      <c r="J93" s="355">
        <v>15</v>
      </c>
      <c r="K93" s="355">
        <v>14</v>
      </c>
      <c r="L93" s="355">
        <v>15</v>
      </c>
      <c r="M93" s="355">
        <v>15</v>
      </c>
      <c r="N93" s="664"/>
    </row>
    <row r="94" spans="2:18" ht="41.25" customHeight="1" x14ac:dyDescent="0.2">
      <c r="B94" s="1177" t="s">
        <v>528</v>
      </c>
      <c r="C94" s="91" t="s">
        <v>97</v>
      </c>
      <c r="D94" s="1228"/>
      <c r="E94" s="33"/>
      <c r="F94" s="33"/>
      <c r="G94" s="33"/>
      <c r="H94" s="804"/>
      <c r="I94" s="684" t="s">
        <v>98</v>
      </c>
      <c r="J94" s="277">
        <v>11.58</v>
      </c>
      <c r="K94" s="354">
        <v>12</v>
      </c>
      <c r="L94" s="354">
        <v>12</v>
      </c>
      <c r="M94" s="354">
        <v>12</v>
      </c>
      <c r="N94" s="685" t="s">
        <v>99</v>
      </c>
    </row>
    <row r="95" spans="2:18" ht="33.75" customHeight="1" thickBot="1" x14ac:dyDescent="0.25">
      <c r="B95" s="1178"/>
      <c r="C95" s="308" t="s">
        <v>35</v>
      </c>
      <c r="D95" s="1189"/>
      <c r="E95" s="315">
        <v>337</v>
      </c>
      <c r="F95" s="315">
        <v>336.6</v>
      </c>
      <c r="G95" s="315">
        <v>336.6</v>
      </c>
      <c r="H95" s="523">
        <v>336.6</v>
      </c>
      <c r="I95" s="662" t="s">
        <v>100</v>
      </c>
      <c r="J95" s="355">
        <v>928</v>
      </c>
      <c r="K95" s="355">
        <v>0</v>
      </c>
      <c r="L95" s="355">
        <v>0</v>
      </c>
      <c r="M95" s="355">
        <v>0</v>
      </c>
      <c r="N95" s="664"/>
    </row>
    <row r="96" spans="2:18" ht="33.75" customHeight="1" x14ac:dyDescent="0.2">
      <c r="B96" s="1223" t="s">
        <v>529</v>
      </c>
      <c r="C96" s="307" t="s">
        <v>101</v>
      </c>
      <c r="D96" s="276" t="s">
        <v>71</v>
      </c>
      <c r="E96" s="33"/>
      <c r="F96" s="33"/>
      <c r="G96" s="33"/>
      <c r="H96" s="799"/>
      <c r="I96" s="1139" t="s">
        <v>102</v>
      </c>
      <c r="J96" s="1140">
        <v>80</v>
      </c>
      <c r="K96" s="1140">
        <v>62</v>
      </c>
      <c r="L96" s="1140">
        <v>62</v>
      </c>
      <c r="M96" s="1140">
        <v>62</v>
      </c>
      <c r="N96" s="1159"/>
    </row>
    <row r="97" spans="2:14" ht="31.5" customHeight="1" x14ac:dyDescent="0.2">
      <c r="B97" s="1177"/>
      <c r="C97" s="37" t="s">
        <v>35</v>
      </c>
      <c r="D97" s="28"/>
      <c r="E97" s="34">
        <f>471.3-59.3+57.6</f>
        <v>469.6</v>
      </c>
      <c r="F97" s="34">
        <f>306.1+111.6</f>
        <v>417.70000000000005</v>
      </c>
      <c r="G97" s="34">
        <v>417.7</v>
      </c>
      <c r="H97" s="788">
        <v>417.7</v>
      </c>
      <c r="I97" s="1160" t="s">
        <v>541</v>
      </c>
      <c r="J97" s="1161">
        <v>18.75</v>
      </c>
      <c r="K97" s="1161">
        <v>23</v>
      </c>
      <c r="L97" s="1161">
        <v>23</v>
      </c>
      <c r="M97" s="1161">
        <v>23</v>
      </c>
      <c r="N97" s="1162"/>
    </row>
    <row r="98" spans="2:14" ht="18" customHeight="1" x14ac:dyDescent="0.2">
      <c r="B98" s="1177"/>
      <c r="C98" s="37" t="s">
        <v>42</v>
      </c>
      <c r="D98" s="28"/>
      <c r="E98" s="161"/>
      <c r="F98" s="34"/>
      <c r="G98" s="34"/>
      <c r="H98" s="788"/>
      <c r="I98" s="1163"/>
      <c r="J98" s="1164"/>
      <c r="K98" s="1164"/>
      <c r="L98" s="1164"/>
      <c r="M98" s="1164"/>
      <c r="N98" s="1165"/>
    </row>
    <row r="99" spans="2:14" ht="18" customHeight="1" thickBot="1" x14ac:dyDescent="0.25">
      <c r="B99" s="1178"/>
      <c r="C99" s="308" t="s">
        <v>38</v>
      </c>
      <c r="D99" s="28"/>
      <c r="E99" s="315">
        <v>295.39999999999998</v>
      </c>
      <c r="F99" s="315">
        <v>295.39999999999998</v>
      </c>
      <c r="G99" s="315">
        <v>295.39999999999998</v>
      </c>
      <c r="H99" s="523">
        <v>295.39999999999998</v>
      </c>
      <c r="I99" s="1166"/>
      <c r="J99" s="1167"/>
      <c r="K99" s="1167"/>
      <c r="L99" s="1167"/>
      <c r="M99" s="1167"/>
      <c r="N99" s="1168"/>
    </row>
    <row r="100" spans="2:14" ht="69.75" customHeight="1" x14ac:dyDescent="0.2">
      <c r="B100" s="1220" t="s">
        <v>530</v>
      </c>
      <c r="C100" s="363" t="s">
        <v>103</v>
      </c>
      <c r="D100" s="28"/>
      <c r="E100" s="33"/>
      <c r="F100" s="33"/>
      <c r="G100" s="33"/>
      <c r="H100" s="799"/>
      <c r="I100" s="688" t="s">
        <v>34</v>
      </c>
      <c r="J100" s="361">
        <v>2</v>
      </c>
      <c r="K100" s="361">
        <v>1</v>
      </c>
      <c r="L100" s="361">
        <v>1</v>
      </c>
      <c r="M100" s="361">
        <v>1</v>
      </c>
      <c r="N100" s="686"/>
    </row>
    <row r="101" spans="2:14" ht="29.25" customHeight="1" x14ac:dyDescent="0.2">
      <c r="B101" s="1221"/>
      <c r="C101" s="43" t="s">
        <v>35</v>
      </c>
      <c r="D101" s="28"/>
      <c r="E101" s="34">
        <f>107.5+21.3-65.4-30</f>
        <v>33.400000000000006</v>
      </c>
      <c r="F101" s="34">
        <v>47.2</v>
      </c>
      <c r="G101" s="34">
        <v>47.2</v>
      </c>
      <c r="H101" s="788">
        <v>47.2</v>
      </c>
      <c r="I101" s="689" t="s">
        <v>36</v>
      </c>
      <c r="J101" s="362">
        <f>720-49</f>
        <v>671</v>
      </c>
      <c r="K101" s="362">
        <v>245</v>
      </c>
      <c r="L101" s="362">
        <v>245</v>
      </c>
      <c r="M101" s="362">
        <v>245</v>
      </c>
      <c r="N101" s="690"/>
    </row>
    <row r="102" spans="2:14" ht="19.149999999999999" customHeight="1" thickBot="1" x14ac:dyDescent="0.25">
      <c r="B102" s="1222"/>
      <c r="C102" s="364" t="s">
        <v>38</v>
      </c>
      <c r="D102" s="28"/>
      <c r="E102" s="315"/>
      <c r="F102" s="315"/>
      <c r="G102" s="315"/>
      <c r="H102" s="523"/>
      <c r="I102" s="671"/>
      <c r="J102" s="328"/>
      <c r="K102" s="328"/>
      <c r="L102" s="328"/>
      <c r="M102" s="328"/>
      <c r="N102" s="672"/>
    </row>
    <row r="103" spans="2:14" ht="29.25" customHeight="1" x14ac:dyDescent="0.2">
      <c r="B103" s="1224" t="s">
        <v>531</v>
      </c>
      <c r="C103" s="360" t="s">
        <v>104</v>
      </c>
      <c r="D103" s="28"/>
      <c r="E103" s="338"/>
      <c r="F103" s="338"/>
      <c r="G103" s="338"/>
      <c r="H103" s="800"/>
      <c r="I103" s="652" t="s">
        <v>105</v>
      </c>
      <c r="J103" s="352">
        <v>45</v>
      </c>
      <c r="K103" s="352">
        <v>47</v>
      </c>
      <c r="L103" s="352">
        <v>47</v>
      </c>
      <c r="M103" s="352">
        <v>47</v>
      </c>
      <c r="N103" s="653"/>
    </row>
    <row r="104" spans="2:14" ht="32.25" customHeight="1" thickBot="1" x14ac:dyDescent="0.25">
      <c r="B104" s="1222"/>
      <c r="C104" s="364" t="s">
        <v>38</v>
      </c>
      <c r="D104" s="329"/>
      <c r="E104" s="315">
        <v>137.1</v>
      </c>
      <c r="F104" s="315">
        <v>121.8</v>
      </c>
      <c r="G104" s="315">
        <v>121.8</v>
      </c>
      <c r="H104" s="523">
        <v>121.8</v>
      </c>
      <c r="I104" s="774" t="s">
        <v>106</v>
      </c>
      <c r="J104" s="953">
        <v>65.2</v>
      </c>
      <c r="K104" s="953">
        <v>66.2</v>
      </c>
      <c r="L104" s="953">
        <v>66.2</v>
      </c>
      <c r="M104" s="953">
        <v>66.2</v>
      </c>
      <c r="N104" s="680"/>
    </row>
    <row r="105" spans="2:14" ht="20.25" customHeight="1" x14ac:dyDescent="0.2">
      <c r="B105" s="1223" t="s">
        <v>532</v>
      </c>
      <c r="C105" s="343" t="s">
        <v>107</v>
      </c>
      <c r="D105" s="1188" t="s">
        <v>33</v>
      </c>
      <c r="E105" s="346"/>
      <c r="F105" s="346"/>
      <c r="G105" s="346"/>
      <c r="H105" s="522"/>
      <c r="I105" s="1150" t="s">
        <v>36</v>
      </c>
      <c r="J105" s="1158">
        <v>1318</v>
      </c>
      <c r="K105" s="1151">
        <v>1318</v>
      </c>
      <c r="L105" s="1151">
        <v>1318</v>
      </c>
      <c r="M105" s="1151">
        <v>1318</v>
      </c>
      <c r="N105" s="1152"/>
    </row>
    <row r="106" spans="2:14" ht="54.75" customHeight="1" thickBot="1" x14ac:dyDescent="0.25">
      <c r="B106" s="1178"/>
      <c r="C106" s="308" t="s">
        <v>35</v>
      </c>
      <c r="D106" s="1189"/>
      <c r="E106" s="315">
        <f>588.9-64.2</f>
        <v>524.69999999999993</v>
      </c>
      <c r="F106" s="365">
        <v>514.5</v>
      </c>
      <c r="G106" s="365">
        <v>514.5</v>
      </c>
      <c r="H106" s="803">
        <v>514.5</v>
      </c>
      <c r="I106" s="1153"/>
      <c r="J106" s="312"/>
      <c r="K106" s="310"/>
      <c r="L106" s="310"/>
      <c r="M106" s="310"/>
      <c r="N106" s="1154"/>
    </row>
    <row r="107" spans="2:14" ht="40.5" customHeight="1" x14ac:dyDescent="0.2">
      <c r="B107" s="1177" t="s">
        <v>533</v>
      </c>
      <c r="C107" s="91" t="s">
        <v>108</v>
      </c>
      <c r="D107" s="1228" t="s">
        <v>71</v>
      </c>
      <c r="E107" s="345"/>
      <c r="F107" s="345"/>
      <c r="G107" s="345"/>
      <c r="H107" s="804"/>
      <c r="I107" s="1155" t="s">
        <v>109</v>
      </c>
      <c r="J107" s="1156">
        <v>7790</v>
      </c>
      <c r="K107" s="1156">
        <v>8900</v>
      </c>
      <c r="L107" s="1156">
        <v>8900</v>
      </c>
      <c r="M107" s="1156">
        <v>8900</v>
      </c>
      <c r="N107" s="1157"/>
    </row>
    <row r="108" spans="2:14" ht="27.75" customHeight="1" x14ac:dyDescent="0.2">
      <c r="B108" s="1177"/>
      <c r="C108" s="37" t="s">
        <v>35</v>
      </c>
      <c r="D108" s="1243"/>
      <c r="E108" s="34">
        <f>78+151.8</f>
        <v>229.8</v>
      </c>
      <c r="F108" s="34">
        <v>56</v>
      </c>
      <c r="G108" s="34">
        <v>56</v>
      </c>
      <c r="H108" s="788">
        <v>56</v>
      </c>
      <c r="I108" s="691" t="s">
        <v>110</v>
      </c>
      <c r="J108" s="359">
        <v>1</v>
      </c>
      <c r="K108" s="359"/>
      <c r="L108" s="359"/>
      <c r="M108" s="359"/>
      <c r="N108" s="687"/>
    </row>
    <row r="109" spans="2:14" ht="24.6" customHeight="1" thickBot="1" x14ac:dyDescent="0.25">
      <c r="B109" s="1097"/>
      <c r="C109" s="308"/>
      <c r="D109" s="347"/>
      <c r="E109" s="315"/>
      <c r="F109" s="315"/>
      <c r="G109" s="315"/>
      <c r="H109" s="523"/>
      <c r="I109" s="692" t="s">
        <v>111</v>
      </c>
      <c r="J109" s="366">
        <v>9</v>
      </c>
      <c r="K109" s="312"/>
      <c r="L109" s="312"/>
      <c r="M109" s="312"/>
      <c r="N109" s="664"/>
    </row>
    <row r="110" spans="2:14" ht="30.75" customHeight="1" x14ac:dyDescent="0.2">
      <c r="B110" s="1225" t="s">
        <v>534</v>
      </c>
      <c r="C110" s="363" t="s">
        <v>112</v>
      </c>
      <c r="D110" s="1230" t="s">
        <v>33</v>
      </c>
      <c r="E110" s="346"/>
      <c r="F110" s="346"/>
      <c r="G110" s="346"/>
      <c r="H110" s="522"/>
      <c r="I110" s="681" t="s">
        <v>113</v>
      </c>
      <c r="J110" s="333">
        <v>320</v>
      </c>
      <c r="K110" s="333">
        <v>340</v>
      </c>
      <c r="L110" s="333">
        <v>340</v>
      </c>
      <c r="M110" s="333">
        <v>340</v>
      </c>
      <c r="N110" s="674"/>
    </row>
    <row r="111" spans="2:14" ht="39" customHeight="1" x14ac:dyDescent="0.2">
      <c r="B111" s="1226"/>
      <c r="C111" s="37" t="s">
        <v>35</v>
      </c>
      <c r="D111" s="1231"/>
      <c r="E111" s="34">
        <f>282.2+62.6+22.2-32.8-1.2</f>
        <v>333</v>
      </c>
      <c r="F111" s="34">
        <f>318+104.9-50</f>
        <v>372.9</v>
      </c>
      <c r="G111" s="34">
        <f t="shared" ref="G111:H111" si="6">318+104.9</f>
        <v>422.9</v>
      </c>
      <c r="H111" s="788">
        <f t="shared" si="6"/>
        <v>422.9</v>
      </c>
      <c r="I111" s="654" t="s">
        <v>114</v>
      </c>
      <c r="J111" s="87">
        <v>3</v>
      </c>
      <c r="K111" s="87">
        <v>6</v>
      </c>
      <c r="L111" s="87">
        <v>6</v>
      </c>
      <c r="M111" s="87">
        <v>6</v>
      </c>
      <c r="N111" s="653"/>
    </row>
    <row r="112" spans="2:14" ht="28.9" customHeight="1" x14ac:dyDescent="0.2">
      <c r="B112" s="1226"/>
      <c r="C112" s="43" t="s">
        <v>38</v>
      </c>
      <c r="D112" s="1231"/>
      <c r="E112" s="34">
        <v>66.599999999999994</v>
      </c>
      <c r="F112" s="34">
        <v>66.599999999999994</v>
      </c>
      <c r="G112" s="34">
        <v>66.599999999999994</v>
      </c>
      <c r="H112" s="788">
        <v>66.599999999999994</v>
      </c>
      <c r="I112" s="654" t="s">
        <v>115</v>
      </c>
      <c r="J112" s="87">
        <v>10</v>
      </c>
      <c r="K112" s="87">
        <v>26</v>
      </c>
      <c r="L112" s="87">
        <v>26</v>
      </c>
      <c r="M112" s="87">
        <v>26</v>
      </c>
      <c r="N112" s="653"/>
    </row>
    <row r="113" spans="1:14" ht="30" customHeight="1" thickBot="1" x14ac:dyDescent="0.25">
      <c r="B113" s="1098"/>
      <c r="C113" s="364"/>
      <c r="D113" s="1175"/>
      <c r="E113" s="315"/>
      <c r="F113" s="315"/>
      <c r="G113" s="315"/>
      <c r="H113" s="523"/>
      <c r="I113" s="1144" t="s">
        <v>116</v>
      </c>
      <c r="J113" s="1145"/>
      <c r="K113" s="1145">
        <v>3</v>
      </c>
      <c r="L113" s="1145">
        <v>3</v>
      </c>
      <c r="M113" s="1145">
        <v>3</v>
      </c>
      <c r="N113" s="680"/>
    </row>
    <row r="114" spans="1:14" ht="46.5" customHeight="1" x14ac:dyDescent="0.2">
      <c r="B114" s="1225" t="s">
        <v>535</v>
      </c>
      <c r="C114" s="363" t="s">
        <v>117</v>
      </c>
      <c r="D114" s="1188" t="s">
        <v>118</v>
      </c>
      <c r="E114" s="367"/>
      <c r="F114" s="367"/>
      <c r="G114" s="367"/>
      <c r="H114" s="805"/>
      <c r="I114" s="1150" t="s">
        <v>34</v>
      </c>
      <c r="J114" s="1151">
        <v>50</v>
      </c>
      <c r="K114" s="1151">
        <v>50</v>
      </c>
      <c r="L114" s="1151">
        <v>50</v>
      </c>
      <c r="M114" s="1151">
        <v>50</v>
      </c>
      <c r="N114" s="1152"/>
    </row>
    <row r="115" spans="1:14" ht="30" customHeight="1" thickBot="1" x14ac:dyDescent="0.25">
      <c r="B115" s="1226"/>
      <c r="C115" s="308" t="s">
        <v>35</v>
      </c>
      <c r="D115" s="1189"/>
      <c r="E115" s="315">
        <f>66-12</f>
        <v>54</v>
      </c>
      <c r="F115" s="315">
        <v>66</v>
      </c>
      <c r="G115" s="315">
        <v>66</v>
      </c>
      <c r="H115" s="523">
        <v>66</v>
      </c>
      <c r="I115" s="1153"/>
      <c r="J115" s="310"/>
      <c r="K115" s="310"/>
      <c r="L115" s="310"/>
      <c r="M115" s="310"/>
      <c r="N115" s="1154"/>
    </row>
    <row r="116" spans="1:14" ht="48.75" customHeight="1" x14ac:dyDescent="0.2">
      <c r="B116" s="1232" t="s">
        <v>536</v>
      </c>
      <c r="C116" s="363" t="s">
        <v>119</v>
      </c>
      <c r="D116" s="1188" t="s">
        <v>71</v>
      </c>
      <c r="E116" s="369"/>
      <c r="F116" s="369"/>
      <c r="G116" s="369"/>
      <c r="H116" s="806"/>
      <c r="I116" s="1146" t="s">
        <v>120</v>
      </c>
      <c r="J116" s="1147"/>
      <c r="K116" s="1148">
        <v>200</v>
      </c>
      <c r="L116" s="1148">
        <v>200</v>
      </c>
      <c r="M116" s="1148">
        <v>200</v>
      </c>
      <c r="N116" s="1149"/>
    </row>
    <row r="117" spans="1:14" ht="27.75" customHeight="1" x14ac:dyDescent="0.2">
      <c r="B117" s="1232"/>
      <c r="C117" s="43" t="s">
        <v>35</v>
      </c>
      <c r="D117" s="1228"/>
      <c r="E117" s="177">
        <f>70.6+193.4+0.5+1.5+1.2</f>
        <v>267.2</v>
      </c>
      <c r="F117" s="198">
        <v>95.3</v>
      </c>
      <c r="G117" s="198">
        <v>95.3</v>
      </c>
      <c r="H117" s="807">
        <v>95.3</v>
      </c>
      <c r="I117" s="1136" t="s">
        <v>121</v>
      </c>
      <c r="J117" s="1137">
        <v>331</v>
      </c>
      <c r="K117" s="1138"/>
      <c r="L117" s="1138"/>
      <c r="M117" s="1138"/>
      <c r="N117" s="680" t="s">
        <v>122</v>
      </c>
    </row>
    <row r="118" spans="1:14" ht="22.15" customHeight="1" x14ac:dyDescent="0.2">
      <c r="B118" s="1233"/>
      <c r="C118" s="43"/>
      <c r="D118" s="1235"/>
      <c r="E118" s="368"/>
      <c r="F118" s="253"/>
      <c r="G118" s="253"/>
      <c r="H118" s="376"/>
      <c r="I118" s="1139" t="s">
        <v>123</v>
      </c>
      <c r="J118" s="1140">
        <v>117</v>
      </c>
      <c r="K118" s="1141"/>
      <c r="L118" s="1141"/>
      <c r="M118" s="1141"/>
      <c r="N118" s="693"/>
    </row>
    <row r="119" spans="1:14" ht="21" customHeight="1" thickBot="1" x14ac:dyDescent="0.25">
      <c r="B119" s="1234"/>
      <c r="C119" s="364"/>
      <c r="D119" s="1175"/>
      <c r="E119" s="370"/>
      <c r="F119" s="371"/>
      <c r="G119" s="371"/>
      <c r="H119" s="808"/>
      <c r="I119" s="1142" t="s">
        <v>124</v>
      </c>
      <c r="J119" s="1143"/>
      <c r="K119" s="1143">
        <v>1</v>
      </c>
      <c r="L119" s="1143">
        <v>1</v>
      </c>
      <c r="M119" s="1143">
        <v>1</v>
      </c>
      <c r="N119" s="694"/>
    </row>
    <row r="120" spans="1:14" ht="31.5" customHeight="1" x14ac:dyDescent="0.2">
      <c r="A120" s="60"/>
      <c r="B120" s="1236" t="s">
        <v>537</v>
      </c>
      <c r="C120" s="307" t="s">
        <v>125</v>
      </c>
      <c r="D120" s="1203" t="s">
        <v>68</v>
      </c>
      <c r="E120" s="380"/>
      <c r="F120" s="380"/>
      <c r="G120" s="380"/>
      <c r="H120" s="809"/>
      <c r="I120" s="695" t="s">
        <v>126</v>
      </c>
      <c r="J120" s="381">
        <v>600</v>
      </c>
      <c r="K120" s="381">
        <v>623</v>
      </c>
      <c r="L120" s="381">
        <v>623</v>
      </c>
      <c r="M120" s="381">
        <v>623</v>
      </c>
      <c r="N120" s="696" t="s">
        <v>127</v>
      </c>
    </row>
    <row r="121" spans="1:14" ht="30" customHeight="1" x14ac:dyDescent="0.2">
      <c r="A121" s="60"/>
      <c r="B121" s="1237"/>
      <c r="C121" s="223" t="s">
        <v>35</v>
      </c>
      <c r="D121" s="1204"/>
      <c r="E121" s="193">
        <f>81-81</f>
        <v>0</v>
      </c>
      <c r="F121" s="253">
        <v>5.8</v>
      </c>
      <c r="G121" s="253">
        <v>7.7</v>
      </c>
      <c r="H121" s="376">
        <v>5.8</v>
      </c>
      <c r="I121" s="697"/>
      <c r="J121" s="282"/>
      <c r="K121" s="282"/>
      <c r="L121" s="282"/>
      <c r="M121" s="282"/>
      <c r="N121" s="659"/>
    </row>
    <row r="122" spans="1:14" ht="30" customHeight="1" x14ac:dyDescent="0.2">
      <c r="A122" s="60"/>
      <c r="B122" s="1237"/>
      <c r="C122" s="373" t="s">
        <v>66</v>
      </c>
      <c r="D122" s="1205"/>
      <c r="E122" s="275"/>
      <c r="F122" s="372">
        <f>43.6+7.7</f>
        <v>51.300000000000004</v>
      </c>
      <c r="G122" s="372">
        <f>58.1+10.2</f>
        <v>68.3</v>
      </c>
      <c r="H122" s="377">
        <f>43.6+7.7</f>
        <v>51.300000000000004</v>
      </c>
      <c r="I122" s="697"/>
      <c r="J122" s="282"/>
      <c r="K122" s="282"/>
      <c r="L122" s="282"/>
      <c r="M122" s="282"/>
      <c r="N122" s="659"/>
    </row>
    <row r="123" spans="1:14" ht="23.25" customHeight="1" x14ac:dyDescent="0.2">
      <c r="A123" s="60"/>
      <c r="B123" s="1237"/>
      <c r="C123" s="218" t="s">
        <v>128</v>
      </c>
      <c r="D123" s="1205"/>
      <c r="E123" s="194">
        <v>791.7</v>
      </c>
      <c r="F123" s="194"/>
      <c r="G123" s="194"/>
      <c r="H123" s="634"/>
      <c r="I123" s="670"/>
      <c r="J123" s="321"/>
      <c r="K123" s="282"/>
      <c r="L123" s="282"/>
      <c r="M123" s="282"/>
      <c r="N123" s="659"/>
    </row>
    <row r="124" spans="1:14" ht="30.6" customHeight="1" x14ac:dyDescent="0.2">
      <c r="A124" s="60"/>
      <c r="B124" s="1237"/>
      <c r="C124" s="374" t="s">
        <v>35</v>
      </c>
      <c r="D124" s="1241" t="s">
        <v>33</v>
      </c>
      <c r="E124" s="375"/>
      <c r="F124" s="165">
        <v>82.1</v>
      </c>
      <c r="G124" s="165">
        <v>109.8</v>
      </c>
      <c r="H124" s="378">
        <v>82.1</v>
      </c>
      <c r="I124" s="670"/>
      <c r="J124" s="321"/>
      <c r="K124" s="282"/>
      <c r="L124" s="282"/>
      <c r="M124" s="282"/>
      <c r="N124" s="659"/>
    </row>
    <row r="125" spans="1:14" ht="40.15" customHeight="1" thickBot="1" x14ac:dyDescent="0.25">
      <c r="A125" s="60"/>
      <c r="B125" s="1238"/>
      <c r="C125" s="382" t="s">
        <v>66</v>
      </c>
      <c r="D125" s="1242"/>
      <c r="E125" s="383"/>
      <c r="F125" s="384">
        <f>621.8+109.7</f>
        <v>731.5</v>
      </c>
      <c r="G125" s="384">
        <f>830.8+146.6</f>
        <v>977.4</v>
      </c>
      <c r="H125" s="385">
        <f>621.8+109.7</f>
        <v>731.5</v>
      </c>
      <c r="I125" s="698"/>
      <c r="J125" s="386"/>
      <c r="K125" s="328"/>
      <c r="L125" s="328"/>
      <c r="M125" s="328"/>
      <c r="N125" s="672"/>
    </row>
    <row r="126" spans="1:14" ht="42" customHeight="1" x14ac:dyDescent="0.2">
      <c r="A126" s="60"/>
      <c r="B126" s="1225" t="s">
        <v>538</v>
      </c>
      <c r="C126" s="387" t="s">
        <v>129</v>
      </c>
      <c r="D126" s="1201" t="s">
        <v>33</v>
      </c>
      <c r="E126" s="388"/>
      <c r="F126" s="388"/>
      <c r="G126" s="388"/>
      <c r="H126" s="810"/>
      <c r="I126" s="699" t="s">
        <v>130</v>
      </c>
      <c r="J126" s="389">
        <v>9.1</v>
      </c>
      <c r="K126" s="389">
        <v>7.1</v>
      </c>
      <c r="L126" s="390">
        <v>7.1</v>
      </c>
      <c r="M126" s="391">
        <v>0</v>
      </c>
      <c r="N126" s="700" t="s">
        <v>127</v>
      </c>
    </row>
    <row r="127" spans="1:14" ht="35.25" customHeight="1" thickBot="1" x14ac:dyDescent="0.25">
      <c r="A127" s="60"/>
      <c r="B127" s="1227"/>
      <c r="C127" s="392" t="s">
        <v>66</v>
      </c>
      <c r="D127" s="1202"/>
      <c r="E127" s="384">
        <v>345.2</v>
      </c>
      <c r="F127" s="384">
        <v>345.2</v>
      </c>
      <c r="G127" s="384">
        <v>292.39999999999998</v>
      </c>
      <c r="H127" s="385">
        <v>0</v>
      </c>
      <c r="I127" s="1081" t="s">
        <v>131</v>
      </c>
      <c r="J127" s="1082">
        <v>33</v>
      </c>
      <c r="K127" s="1082">
        <v>33</v>
      </c>
      <c r="L127" s="1083">
        <v>33</v>
      </c>
      <c r="M127" s="1084">
        <v>0</v>
      </c>
      <c r="N127" s="1085" t="s">
        <v>127</v>
      </c>
    </row>
    <row r="128" spans="1:14" ht="29.45" customHeight="1" x14ac:dyDescent="0.2">
      <c r="A128" s="60"/>
      <c r="B128" s="1055" t="s">
        <v>539</v>
      </c>
      <c r="C128" s="393" t="s">
        <v>132</v>
      </c>
      <c r="D128" s="1184" t="s">
        <v>33</v>
      </c>
      <c r="E128" s="394"/>
      <c r="F128" s="394"/>
      <c r="G128" s="394"/>
      <c r="H128" s="395"/>
      <c r="I128" s="1066" t="s">
        <v>133</v>
      </c>
      <c r="J128" s="1067">
        <v>27.19</v>
      </c>
      <c r="K128" s="1067">
        <v>27.19</v>
      </c>
      <c r="L128" s="1067">
        <v>27.19</v>
      </c>
      <c r="M128" s="1067">
        <v>27.19</v>
      </c>
      <c r="N128" s="1089"/>
    </row>
    <row r="129" spans="1:14" ht="40.9" customHeight="1" thickBot="1" x14ac:dyDescent="0.25">
      <c r="A129" s="60"/>
      <c r="B129" s="1099"/>
      <c r="C129" s="396" t="s">
        <v>38</v>
      </c>
      <c r="D129" s="1192"/>
      <c r="E129" s="397">
        <v>642.5</v>
      </c>
      <c r="F129" s="397">
        <v>642.5</v>
      </c>
      <c r="G129" s="397">
        <v>642.5</v>
      </c>
      <c r="H129" s="811">
        <v>642.5</v>
      </c>
      <c r="I129" s="1068"/>
      <c r="J129" s="398"/>
      <c r="K129" s="398"/>
      <c r="L129" s="398"/>
      <c r="M129" s="398"/>
      <c r="N129" s="1069"/>
    </row>
    <row r="130" spans="1:14" ht="50.25" customHeight="1" x14ac:dyDescent="0.2">
      <c r="A130" s="60"/>
      <c r="B130" s="1055"/>
      <c r="C130" s="399" t="s">
        <v>134</v>
      </c>
      <c r="D130" s="1184" t="s">
        <v>33</v>
      </c>
      <c r="E130" s="394"/>
      <c r="F130" s="394"/>
      <c r="G130" s="394"/>
      <c r="H130" s="400"/>
      <c r="I130" s="1086" t="s">
        <v>34</v>
      </c>
      <c r="J130" s="1087">
        <v>56</v>
      </c>
      <c r="K130" s="320"/>
      <c r="L130" s="320"/>
      <c r="M130" s="320"/>
      <c r="N130" s="1088"/>
    </row>
    <row r="131" spans="1:14" ht="27.75" customHeight="1" thickBot="1" x14ac:dyDescent="0.25">
      <c r="A131" s="60"/>
      <c r="B131" s="1099"/>
      <c r="C131" s="396" t="s">
        <v>38</v>
      </c>
      <c r="D131" s="1192"/>
      <c r="E131" s="397">
        <v>2406</v>
      </c>
      <c r="F131" s="401"/>
      <c r="G131" s="401"/>
      <c r="H131" s="402"/>
      <c r="I131" s="1070"/>
      <c r="J131" s="1065"/>
      <c r="K131" s="1071"/>
      <c r="L131" s="1072"/>
      <c r="M131" s="1073"/>
      <c r="N131" s="1074"/>
    </row>
    <row r="132" spans="1:14" ht="49.5" customHeight="1" x14ac:dyDescent="0.2">
      <c r="A132" s="60"/>
      <c r="B132" s="1055" t="s">
        <v>135</v>
      </c>
      <c r="C132" s="1056" t="s">
        <v>136</v>
      </c>
      <c r="D132" s="1229" t="s">
        <v>33</v>
      </c>
      <c r="E132" s="1057"/>
      <c r="F132" s="1058"/>
      <c r="G132" s="1058"/>
      <c r="H132" s="1059"/>
      <c r="I132" s="1055" t="s">
        <v>137</v>
      </c>
      <c r="J132" s="1075"/>
      <c r="K132" s="1075">
        <v>2</v>
      </c>
      <c r="L132" s="1076">
        <v>2</v>
      </c>
      <c r="M132" s="1075">
        <v>2</v>
      </c>
      <c r="N132" s="1077"/>
    </row>
    <row r="133" spans="1:14" ht="29.25" customHeight="1" thickBot="1" x14ac:dyDescent="0.25">
      <c r="A133" s="60"/>
      <c r="B133" s="1037"/>
      <c r="C133" s="1061" t="s">
        <v>35</v>
      </c>
      <c r="D133" s="1191"/>
      <c r="E133" s="1062"/>
      <c r="F133" s="1063">
        <v>20</v>
      </c>
      <c r="G133" s="1063">
        <v>20</v>
      </c>
      <c r="H133" s="1064">
        <v>20</v>
      </c>
      <c r="I133" s="1078"/>
      <c r="J133" s="1060"/>
      <c r="K133" s="1060"/>
      <c r="L133" s="1079"/>
      <c r="M133" s="1060"/>
      <c r="N133" s="1080"/>
    </row>
    <row r="134" spans="1:14" ht="34.5" customHeight="1" thickBot="1" x14ac:dyDescent="0.25">
      <c r="B134" s="1391"/>
      <c r="C134" s="1392" t="s">
        <v>138</v>
      </c>
      <c r="D134" s="1393"/>
      <c r="E134" s="1394">
        <f>SUM(E135:E140)</f>
        <v>199571.19999999998</v>
      </c>
      <c r="F134" s="1395">
        <f>SUM(F135:F140)</f>
        <v>197644.59999999998</v>
      </c>
      <c r="G134" s="1395">
        <f>SUM(G135:G140)</f>
        <v>193875.9</v>
      </c>
      <c r="H134" s="1396">
        <f>SUM(H135:H140)</f>
        <v>193305</v>
      </c>
      <c r="I134" s="1397"/>
      <c r="J134" s="1398"/>
      <c r="K134" s="1398"/>
      <c r="L134" s="1398"/>
      <c r="M134" s="1398"/>
      <c r="N134" s="1399"/>
    </row>
    <row r="135" spans="1:14" ht="20.25" customHeight="1" x14ac:dyDescent="0.2">
      <c r="B135" s="1199"/>
      <c r="C135" s="45" t="s">
        <v>139</v>
      </c>
      <c r="D135" s="1387"/>
      <c r="E135" s="1388"/>
      <c r="F135" s="1389"/>
      <c r="G135" s="1389"/>
      <c r="H135" s="1390"/>
      <c r="I135" s="666"/>
      <c r="J135" s="320"/>
      <c r="K135" s="320"/>
      <c r="L135" s="320"/>
      <c r="M135" s="320"/>
      <c r="N135" s="667"/>
    </row>
    <row r="136" spans="1:14" ht="30" customHeight="1" x14ac:dyDescent="0.2">
      <c r="B136" s="1199"/>
      <c r="C136" s="36" t="s">
        <v>140</v>
      </c>
      <c r="D136" s="65"/>
      <c r="E136" s="3">
        <f>SUMIF(C16:C131,$C25,E16:E131)</f>
        <v>70498.099999999977</v>
      </c>
      <c r="F136" s="3">
        <f>SUMIF(C16:C133,$C17,F16:F133)</f>
        <v>75351.8</v>
      </c>
      <c r="G136" s="3">
        <f>SUMIF(C16:C133,$C17,G16:G133)</f>
        <v>75268.3</v>
      </c>
      <c r="H136" s="813">
        <f>SUMIF(C16:C133,$C17,H16:H133)</f>
        <v>75252.700000000012</v>
      </c>
      <c r="I136" s="658"/>
      <c r="J136" s="344"/>
      <c r="K136" s="282"/>
      <c r="L136" s="282"/>
      <c r="M136" s="282"/>
      <c r="N136" s="659"/>
    </row>
    <row r="137" spans="1:14" ht="27" customHeight="1" x14ac:dyDescent="0.2">
      <c r="B137" s="1199"/>
      <c r="C137" s="36" t="s">
        <v>141</v>
      </c>
      <c r="D137" s="65"/>
      <c r="E137" s="57">
        <f>SUMIF(C16:C131,C28,E16:E131)</f>
        <v>110820.6</v>
      </c>
      <c r="F137" s="57">
        <f>SUMIF(C16:C131,C18,F16:F131)</f>
        <v>108409.5</v>
      </c>
      <c r="G137" s="57">
        <f>SUMIF(C16:C131,C18,G16:G131)</f>
        <v>108409.5</v>
      </c>
      <c r="H137" s="812">
        <f>SUMIF(C16:C133,C18,H16:H133)</f>
        <v>108409.5</v>
      </c>
      <c r="I137" s="658"/>
      <c r="J137" s="344"/>
      <c r="K137" s="282"/>
      <c r="L137" s="282"/>
      <c r="M137" s="282"/>
      <c r="N137" s="659"/>
    </row>
    <row r="138" spans="1:14" ht="33" customHeight="1" x14ac:dyDescent="0.2">
      <c r="B138" s="1199"/>
      <c r="C138" s="36" t="s">
        <v>142</v>
      </c>
      <c r="D138" s="65"/>
      <c r="E138" s="57">
        <f>SUMIF(C16:C131,C127,E16:E131)</f>
        <v>8085.2</v>
      </c>
      <c r="F138" s="57">
        <f>SUMIF(C16:C131,C54,F16:F131)</f>
        <v>3445.3</v>
      </c>
      <c r="G138" s="57">
        <f>SUMIF(C16:C131,C54,G16:G131)</f>
        <v>1338.1</v>
      </c>
      <c r="H138" s="812">
        <f>SUMIF(C16:C131,C54,H16:H131)</f>
        <v>782.8</v>
      </c>
      <c r="I138" s="658"/>
      <c r="J138" s="344"/>
      <c r="K138" s="282"/>
      <c r="L138" s="282"/>
      <c r="M138" s="282"/>
      <c r="N138" s="659"/>
    </row>
    <row r="139" spans="1:14" ht="20.25" customHeight="1" x14ac:dyDescent="0.2">
      <c r="B139" s="1199"/>
      <c r="C139" s="36" t="s">
        <v>143</v>
      </c>
      <c r="D139" s="65"/>
      <c r="E139" s="57">
        <f>SUMIF(C16:C127,C19,E16:E127)</f>
        <v>8069.3</v>
      </c>
      <c r="F139" s="57">
        <f>SUMIF(C16:C127,C19,F16:F127)</f>
        <v>8061.0999999999995</v>
      </c>
      <c r="G139" s="57">
        <f>SUMIF(C16:C133,$C19,G16:G133)</f>
        <v>8061.0999999999995</v>
      </c>
      <c r="H139" s="812">
        <f>SUMIF(C16:C127,C19,H16:H131)</f>
        <v>8061.0999999999995</v>
      </c>
      <c r="I139" s="658"/>
      <c r="J139" s="344"/>
      <c r="K139" s="282"/>
      <c r="L139" s="282"/>
      <c r="M139" s="282"/>
      <c r="N139" s="659"/>
    </row>
    <row r="140" spans="1:14" ht="20.25" customHeight="1" x14ac:dyDescent="0.2">
      <c r="B140" s="1200"/>
      <c r="C140" s="36" t="s">
        <v>144</v>
      </c>
      <c r="D140" s="65"/>
      <c r="E140" s="57">
        <f>SUMIF(C16:C131,C30,E16:E131)</f>
        <v>2097.9999999999995</v>
      </c>
      <c r="F140" s="57">
        <f>SUMIF(C16:C131,C20,F16:F131)</f>
        <v>2376.8999999999996</v>
      </c>
      <c r="G140" s="57">
        <f>SUMIF(C16:C131,C20,G16:G131)</f>
        <v>798.90000000000009</v>
      </c>
      <c r="H140" s="812">
        <f>SUMIF(C16:C131,C20,H16:H131)</f>
        <v>798.90000000000009</v>
      </c>
      <c r="I140" s="658"/>
      <c r="J140" s="344"/>
      <c r="K140" s="282"/>
      <c r="L140" s="282"/>
      <c r="M140" s="282"/>
      <c r="N140" s="659"/>
    </row>
    <row r="141" spans="1:14" ht="18.75" customHeight="1" x14ac:dyDescent="0.2">
      <c r="B141" s="1100"/>
      <c r="C141" s="66" t="s">
        <v>145</v>
      </c>
      <c r="D141" s="67"/>
      <c r="E141" s="132">
        <f>E144</f>
        <v>791.7</v>
      </c>
      <c r="F141" s="64">
        <f>F144+F145</f>
        <v>356.7</v>
      </c>
      <c r="G141" s="64">
        <f>G144+G145</f>
        <v>332.59999999999997</v>
      </c>
      <c r="H141" s="814">
        <f>H144+H145</f>
        <v>331.9</v>
      </c>
      <c r="I141" s="703"/>
      <c r="J141" s="403"/>
      <c r="K141" s="403"/>
      <c r="L141" s="403"/>
      <c r="M141" s="403"/>
      <c r="N141" s="704"/>
    </row>
    <row r="142" spans="1:14" ht="18.75" customHeight="1" x14ac:dyDescent="0.2">
      <c r="B142" s="1198"/>
      <c r="C142" s="36" t="s">
        <v>146</v>
      </c>
      <c r="D142" s="65"/>
      <c r="E142" s="130"/>
      <c r="F142" s="57"/>
      <c r="G142" s="57"/>
      <c r="H142" s="812"/>
      <c r="I142" s="658"/>
      <c r="J142" s="282"/>
      <c r="K142" s="282"/>
      <c r="L142" s="282"/>
      <c r="M142" s="282"/>
      <c r="N142" s="659"/>
    </row>
    <row r="143" spans="1:14" ht="20.25" customHeight="1" x14ac:dyDescent="0.2">
      <c r="B143" s="1199"/>
      <c r="C143" s="36" t="s">
        <v>147</v>
      </c>
      <c r="D143" s="65"/>
      <c r="E143" s="130">
        <f>SUMIF(C16:C131,#REF!,E16:E131)</f>
        <v>0</v>
      </c>
      <c r="F143" s="57">
        <f>SUMIF(C16:C131,#REF!,F16:F131)</f>
        <v>0</v>
      </c>
      <c r="G143" s="57">
        <f>SUMIF(C16:C131,#REF!,G16:G131)</f>
        <v>0</v>
      </c>
      <c r="H143" s="812">
        <f>SUMIF(C16:C131,#REF!,H16:H131)</f>
        <v>0</v>
      </c>
      <c r="I143" s="658"/>
      <c r="J143" s="282"/>
      <c r="K143" s="282"/>
      <c r="L143" s="282"/>
      <c r="M143" s="282"/>
      <c r="N143" s="659"/>
    </row>
    <row r="144" spans="1:14" ht="31.5" customHeight="1" x14ac:dyDescent="0.2">
      <c r="B144" s="1200"/>
      <c r="C144" s="36" t="s">
        <v>148</v>
      </c>
      <c r="D144" s="65"/>
      <c r="E144" s="130">
        <f>SUMIF(C16:C131,C123,E16:E131)</f>
        <v>791.7</v>
      </c>
      <c r="F144" s="57">
        <f>SUMIF(C16:C131,C123,F16:F131)</f>
        <v>0</v>
      </c>
      <c r="G144" s="57">
        <f>SUMIF(C16:C131,C123,G16:G131)</f>
        <v>0</v>
      </c>
      <c r="H144" s="812">
        <f>SUMIF(C16:C131,C123,H16:H131)</f>
        <v>0</v>
      </c>
      <c r="I144" s="658"/>
      <c r="J144" s="344"/>
      <c r="K144" s="282"/>
      <c r="L144" s="282"/>
      <c r="M144" s="282"/>
      <c r="N144" s="659"/>
    </row>
    <row r="145" spans="2:14" ht="20.25" customHeight="1" thickBot="1" x14ac:dyDescent="0.25">
      <c r="B145" s="1101"/>
      <c r="C145" s="407" t="s">
        <v>149</v>
      </c>
      <c r="D145" s="408"/>
      <c r="E145" s="409"/>
      <c r="F145" s="410">
        <f>SUMIF(C16:C131,C21,F16:F131)</f>
        <v>356.7</v>
      </c>
      <c r="G145" s="410">
        <f>SUMIF(C16:C131,C21,G16:G131)</f>
        <v>332.59999999999997</v>
      </c>
      <c r="H145" s="815">
        <f>SUMIF(C16:C131,C21,H16:H131)</f>
        <v>331.9</v>
      </c>
      <c r="I145" s="886"/>
      <c r="J145" s="1400"/>
      <c r="K145" s="342"/>
      <c r="L145" s="342"/>
      <c r="M145" s="342"/>
      <c r="N145" s="724"/>
    </row>
    <row r="146" spans="2:14" ht="33.6" customHeight="1" x14ac:dyDescent="0.2">
      <c r="B146" s="1102" t="s">
        <v>150</v>
      </c>
      <c r="C146" s="290" t="s">
        <v>151</v>
      </c>
      <c r="D146" s="291"/>
      <c r="E146" s="405"/>
      <c r="F146" s="406"/>
      <c r="G146" s="406"/>
      <c r="H146" s="816"/>
      <c r="I146" s="1404"/>
      <c r="J146" s="1405"/>
      <c r="K146" s="1405"/>
      <c r="L146" s="1405"/>
      <c r="M146" s="1405"/>
      <c r="N146" s="1406"/>
    </row>
    <row r="147" spans="2:14" ht="40.5" customHeight="1" x14ac:dyDescent="0.2">
      <c r="B147" s="1103" t="s">
        <v>152</v>
      </c>
      <c r="C147" s="39" t="s">
        <v>153</v>
      </c>
      <c r="D147" s="1190" t="s">
        <v>516</v>
      </c>
      <c r="E147" s="38"/>
      <c r="F147" s="38"/>
      <c r="G147" s="38"/>
      <c r="H147" s="817"/>
      <c r="I147" s="1407" t="s">
        <v>36</v>
      </c>
      <c r="J147" s="1382">
        <v>3150</v>
      </c>
      <c r="K147" s="1382">
        <v>3146</v>
      </c>
      <c r="L147" s="1382">
        <v>3146</v>
      </c>
      <c r="M147" s="1382">
        <v>3146</v>
      </c>
      <c r="N147" s="1408"/>
    </row>
    <row r="148" spans="2:14" ht="72.75" customHeight="1" thickBot="1" x14ac:dyDescent="0.25">
      <c r="B148" s="1104"/>
      <c r="C148" s="341" t="s">
        <v>38</v>
      </c>
      <c r="D148" s="1191"/>
      <c r="E148" s="412">
        <f>348.5+76.8</f>
        <v>425.3</v>
      </c>
      <c r="F148" s="412">
        <f t="shared" ref="F148:H148" si="7">348.5+76.8</f>
        <v>425.3</v>
      </c>
      <c r="G148" s="412">
        <f t="shared" si="7"/>
        <v>425.3</v>
      </c>
      <c r="H148" s="818">
        <f t="shared" si="7"/>
        <v>425.3</v>
      </c>
      <c r="I148" s="1153"/>
      <c r="J148" s="310"/>
      <c r="K148" s="310"/>
      <c r="L148" s="310"/>
      <c r="M148" s="310"/>
      <c r="N148" s="1154"/>
    </row>
    <row r="149" spans="2:14" ht="16.899999999999999" customHeight="1" x14ac:dyDescent="0.2">
      <c r="B149" s="1193" t="s">
        <v>154</v>
      </c>
      <c r="C149" s="307" t="s">
        <v>155</v>
      </c>
      <c r="D149" s="1420" t="s">
        <v>71</v>
      </c>
      <c r="E149" s="210"/>
      <c r="F149" s="210"/>
      <c r="G149" s="210"/>
      <c r="H149" s="819"/>
      <c r="I149" s="1401" t="s">
        <v>156</v>
      </c>
      <c r="J149" s="1402">
        <v>125</v>
      </c>
      <c r="K149" s="1402">
        <v>140</v>
      </c>
      <c r="L149" s="1402">
        <v>140</v>
      </c>
      <c r="M149" s="1402">
        <v>140</v>
      </c>
      <c r="N149" s="1403" t="s">
        <v>157</v>
      </c>
    </row>
    <row r="150" spans="2:14" ht="19.5" customHeight="1" x14ac:dyDescent="0.2">
      <c r="B150" s="1194"/>
      <c r="C150" s="37" t="s">
        <v>42</v>
      </c>
      <c r="D150" s="1418"/>
      <c r="E150" s="38"/>
      <c r="F150" s="38"/>
      <c r="G150" s="38"/>
      <c r="H150" s="817"/>
      <c r="I150" s="705"/>
      <c r="J150" s="59"/>
      <c r="K150" s="59"/>
      <c r="L150" s="59"/>
      <c r="M150" s="59"/>
      <c r="N150" s="706"/>
    </row>
    <row r="151" spans="2:14" ht="28.5" customHeight="1" thickBot="1" x14ac:dyDescent="0.25">
      <c r="B151" s="1195"/>
      <c r="C151" s="308" t="s">
        <v>35</v>
      </c>
      <c r="D151" s="1418"/>
      <c r="E151" s="412">
        <v>400</v>
      </c>
      <c r="F151" s="412">
        <v>504</v>
      </c>
      <c r="G151" s="412">
        <v>504</v>
      </c>
      <c r="H151" s="818">
        <v>504</v>
      </c>
      <c r="I151" s="671"/>
      <c r="J151" s="328"/>
      <c r="K151" s="328"/>
      <c r="L151" s="328"/>
      <c r="M151" s="328"/>
      <c r="N151" s="672"/>
    </row>
    <row r="152" spans="2:14" ht="43.15" customHeight="1" x14ac:dyDescent="0.2">
      <c r="B152" s="1193" t="s">
        <v>158</v>
      </c>
      <c r="C152" s="307" t="s">
        <v>159</v>
      </c>
      <c r="D152" s="1418"/>
      <c r="E152" s="210"/>
      <c r="F152" s="210"/>
      <c r="G152" s="210"/>
      <c r="H152" s="819"/>
      <c r="I152" s="652" t="s">
        <v>156</v>
      </c>
      <c r="J152" s="352">
        <v>209</v>
      </c>
      <c r="K152" s="352">
        <v>229</v>
      </c>
      <c r="L152" s="352">
        <v>229</v>
      </c>
      <c r="M152" s="352">
        <v>229</v>
      </c>
      <c r="N152" s="653"/>
    </row>
    <row r="153" spans="2:14" ht="34.15" customHeight="1" thickBot="1" x14ac:dyDescent="0.25">
      <c r="B153" s="1195"/>
      <c r="C153" s="308" t="s">
        <v>38</v>
      </c>
      <c r="D153" s="1419"/>
      <c r="E153" s="412">
        <v>1757.9</v>
      </c>
      <c r="F153" s="412">
        <v>1757.9</v>
      </c>
      <c r="G153" s="412">
        <v>1757.9</v>
      </c>
      <c r="H153" s="818">
        <v>1757.9</v>
      </c>
      <c r="I153" s="707" t="s">
        <v>160</v>
      </c>
      <c r="J153" s="310">
        <v>7500</v>
      </c>
      <c r="K153" s="310">
        <v>8200</v>
      </c>
      <c r="L153" s="310">
        <v>8200</v>
      </c>
      <c r="M153" s="310">
        <v>8200</v>
      </c>
      <c r="N153" s="664" t="s">
        <v>161</v>
      </c>
    </row>
    <row r="154" spans="2:14" ht="34.5" customHeight="1" x14ac:dyDescent="0.2">
      <c r="B154" s="1105"/>
      <c r="C154" s="61" t="s">
        <v>138</v>
      </c>
      <c r="D154" s="67"/>
      <c r="E154" s="63">
        <f>SUM(E156:E158)</f>
        <v>2583.2000000000003</v>
      </c>
      <c r="F154" s="63">
        <f ca="1">SUM(F156:F158)</f>
        <v>2687.2000000000003</v>
      </c>
      <c r="G154" s="63">
        <f t="shared" ref="G154:H154" ca="1" si="8">SUM(G156:G158)</f>
        <v>2687.2000000000003</v>
      </c>
      <c r="H154" s="524">
        <f t="shared" ca="1" si="8"/>
        <v>2687.2000000000003</v>
      </c>
      <c r="I154" s="701"/>
      <c r="J154" s="404"/>
      <c r="K154" s="404"/>
      <c r="L154" s="404"/>
      <c r="M154" s="404"/>
      <c r="N154" s="702"/>
    </row>
    <row r="155" spans="2:14" ht="15.6" customHeight="1" x14ac:dyDescent="0.2">
      <c r="B155" s="1176"/>
      <c r="C155" s="36" t="s">
        <v>139</v>
      </c>
      <c r="D155" s="65"/>
      <c r="E155" s="68"/>
      <c r="F155" s="68"/>
      <c r="G155" s="68"/>
      <c r="H155" s="820"/>
      <c r="I155" s="658"/>
      <c r="J155" s="282"/>
      <c r="K155" s="282"/>
      <c r="L155" s="282"/>
      <c r="M155" s="282"/>
      <c r="N155" s="659"/>
    </row>
    <row r="156" spans="2:14" ht="30" customHeight="1" x14ac:dyDescent="0.2">
      <c r="B156" s="1177"/>
      <c r="C156" s="36" t="s">
        <v>140</v>
      </c>
      <c r="D156" s="65"/>
      <c r="E156" s="134">
        <f>SUMIF($C147:C153,$C151,E147:E153)</f>
        <v>400</v>
      </c>
      <c r="F156" s="69">
        <f ca="1">SUMIF($C147:D153,$C151,F147:F153)</f>
        <v>504</v>
      </c>
      <c r="G156" s="69">
        <f ca="1">SUMIF($C147:E153,$C151,G147:G153)</f>
        <v>504</v>
      </c>
      <c r="H156" s="821">
        <f ca="1">SUMIF($C147:F153,$C151,H147:H153)</f>
        <v>504</v>
      </c>
      <c r="I156" s="658"/>
      <c r="J156" s="282"/>
      <c r="K156" s="282"/>
      <c r="L156" s="282"/>
      <c r="M156" s="282"/>
      <c r="N156" s="659"/>
    </row>
    <row r="157" spans="2:14" ht="19.899999999999999" customHeight="1" x14ac:dyDescent="0.2">
      <c r="B157" s="1177"/>
      <c r="C157" s="36" t="s">
        <v>144</v>
      </c>
      <c r="D157" s="65"/>
      <c r="E157" s="134">
        <f>SUMIF(C147:C153,C150,E147:E153)</f>
        <v>0</v>
      </c>
      <c r="F157" s="69">
        <f>SUMIF(C147:C153,C150,F147:F153)</f>
        <v>0</v>
      </c>
      <c r="G157" s="69">
        <f>SUMIF(C147:C153,C150,G147:G153)</f>
        <v>0</v>
      </c>
      <c r="H157" s="821">
        <f>SUMIF(C147:C153,C150,H147:H153)</f>
        <v>0</v>
      </c>
      <c r="I157" s="658"/>
      <c r="J157" s="282"/>
      <c r="K157" s="282"/>
      <c r="L157" s="282"/>
      <c r="M157" s="282"/>
      <c r="N157" s="659"/>
    </row>
    <row r="158" spans="2:14" ht="34.5" customHeight="1" thickBot="1" x14ac:dyDescent="0.25">
      <c r="B158" s="1178"/>
      <c r="C158" s="407" t="s">
        <v>141</v>
      </c>
      <c r="D158" s="408"/>
      <c r="E158" s="414">
        <f>SUMIF(C147:C153,C148,E147:E153)</f>
        <v>2183.2000000000003</v>
      </c>
      <c r="F158" s="414">
        <f>SUMIF(C147:C153,C148,F147:F153)</f>
        <v>2183.2000000000003</v>
      </c>
      <c r="G158" s="414">
        <f>SUMIF(C147:C153,C148,G147:G153)</f>
        <v>2183.2000000000003</v>
      </c>
      <c r="H158" s="822">
        <f>SUMIF(C147:C153,C148,H147:H153)</f>
        <v>2183.2000000000003</v>
      </c>
      <c r="I158" s="671"/>
      <c r="J158" s="328"/>
      <c r="K158" s="328"/>
      <c r="L158" s="328"/>
      <c r="M158" s="328"/>
      <c r="N158" s="672"/>
    </row>
    <row r="159" spans="2:14" s="56" customFormat="1" ht="43.9" customHeight="1" x14ac:dyDescent="0.2">
      <c r="B159" s="1102" t="s">
        <v>162</v>
      </c>
      <c r="C159" s="290" t="s">
        <v>163</v>
      </c>
      <c r="D159" s="291" t="s">
        <v>164</v>
      </c>
      <c r="E159" s="292"/>
      <c r="F159" s="293"/>
      <c r="G159" s="293"/>
      <c r="H159" s="783"/>
      <c r="I159" s="650"/>
      <c r="J159" s="294"/>
      <c r="K159" s="294"/>
      <c r="L159" s="294"/>
      <c r="M159" s="294"/>
      <c r="N159" s="651"/>
    </row>
    <row r="160" spans="2:14" ht="16.899999999999999" customHeight="1" x14ac:dyDescent="0.2">
      <c r="B160" s="1106"/>
      <c r="C160" s="66" t="s">
        <v>138</v>
      </c>
      <c r="D160" s="70"/>
      <c r="E160" s="132">
        <f>SUM(E162:E162)</f>
        <v>3.9</v>
      </c>
      <c r="F160" s="64">
        <f>SUM(F162:F162)</f>
        <v>3.9</v>
      </c>
      <c r="G160" s="64">
        <f t="shared" ref="G160:H160" si="9">SUM(G162:G162)</f>
        <v>3.9</v>
      </c>
      <c r="H160" s="814">
        <f t="shared" si="9"/>
        <v>3.9</v>
      </c>
      <c r="I160" s="708" t="s">
        <v>165</v>
      </c>
      <c r="J160" s="418">
        <v>3</v>
      </c>
      <c r="K160" s="418">
        <v>3</v>
      </c>
      <c r="L160" s="418">
        <v>3</v>
      </c>
      <c r="M160" s="418">
        <v>3</v>
      </c>
      <c r="N160" s="709"/>
    </row>
    <row r="161" spans="2:14" ht="18.600000000000001" customHeight="1" x14ac:dyDescent="0.2">
      <c r="B161" s="1179"/>
      <c r="C161" s="36" t="s">
        <v>139</v>
      </c>
      <c r="D161" s="65"/>
      <c r="E161" s="133"/>
      <c r="F161" s="68"/>
      <c r="G161" s="68"/>
      <c r="H161" s="820"/>
      <c r="I161" s="654" t="s">
        <v>75</v>
      </c>
      <c r="J161" s="416">
        <v>860</v>
      </c>
      <c r="K161" s="416">
        <v>860</v>
      </c>
      <c r="L161" s="416">
        <v>860</v>
      </c>
      <c r="M161" s="416">
        <v>860</v>
      </c>
      <c r="N161" s="653"/>
    </row>
    <row r="162" spans="2:14" ht="28.15" customHeight="1" x14ac:dyDescent="0.2">
      <c r="B162" s="1179"/>
      <c r="C162" s="39" t="s">
        <v>35</v>
      </c>
      <c r="D162" s="65"/>
      <c r="E162" s="128">
        <v>3.9</v>
      </c>
      <c r="F162" s="31">
        <v>3.9</v>
      </c>
      <c r="G162" s="31">
        <v>3.9</v>
      </c>
      <c r="H162" s="784">
        <v>3.9</v>
      </c>
      <c r="I162" s="710" t="s">
        <v>166</v>
      </c>
      <c r="J162" s="417">
        <v>3</v>
      </c>
      <c r="K162" s="417">
        <v>3</v>
      </c>
      <c r="L162" s="417">
        <v>3</v>
      </c>
      <c r="M162" s="417">
        <v>3</v>
      </c>
      <c r="N162" s="653"/>
    </row>
    <row r="163" spans="2:14" ht="33.75" customHeight="1" thickBot="1" x14ac:dyDescent="0.25">
      <c r="B163" s="1107"/>
      <c r="C163" s="419"/>
      <c r="D163" s="408"/>
      <c r="E163" s="420"/>
      <c r="F163" s="421"/>
      <c r="G163" s="421"/>
      <c r="H163" s="823"/>
      <c r="I163" s="711" t="s">
        <v>167</v>
      </c>
      <c r="J163" s="422">
        <v>190</v>
      </c>
      <c r="K163" s="422">
        <v>190</v>
      </c>
      <c r="L163" s="422">
        <v>190</v>
      </c>
      <c r="M163" s="422">
        <v>0</v>
      </c>
      <c r="N163" s="664"/>
    </row>
    <row r="164" spans="2:14" ht="73.5" customHeight="1" x14ac:dyDescent="0.2">
      <c r="B164" s="1102" t="s">
        <v>168</v>
      </c>
      <c r="C164" s="290" t="s">
        <v>169</v>
      </c>
      <c r="D164" s="291" t="s">
        <v>170</v>
      </c>
      <c r="E164" s="292"/>
      <c r="F164" s="293"/>
      <c r="G164" s="293"/>
      <c r="H164" s="783"/>
      <c r="I164" s="650"/>
      <c r="J164" s="294"/>
      <c r="K164" s="294"/>
      <c r="L164" s="294"/>
      <c r="M164" s="294"/>
      <c r="N164" s="651"/>
    </row>
    <row r="165" spans="2:14" ht="33.75" customHeight="1" x14ac:dyDescent="0.2">
      <c r="B165" s="1108"/>
      <c r="C165" s="66" t="s">
        <v>138</v>
      </c>
      <c r="D165" s="70"/>
      <c r="E165" s="132">
        <f t="shared" ref="E165" si="10">+E167</f>
        <v>66</v>
      </c>
      <c r="F165" s="64">
        <f t="shared" ref="F165:H165" si="11">+F167</f>
        <v>71.3</v>
      </c>
      <c r="G165" s="64">
        <f t="shared" si="11"/>
        <v>71.3</v>
      </c>
      <c r="H165" s="814">
        <f t="shared" si="11"/>
        <v>71.3</v>
      </c>
      <c r="I165" s="712" t="s">
        <v>171</v>
      </c>
      <c r="J165" s="424">
        <v>39</v>
      </c>
      <c r="K165" s="424">
        <v>39</v>
      </c>
      <c r="L165" s="424">
        <v>39</v>
      </c>
      <c r="M165" s="424">
        <v>39</v>
      </c>
      <c r="N165" s="713"/>
    </row>
    <row r="166" spans="2:14" ht="17.25" customHeight="1" x14ac:dyDescent="0.2">
      <c r="B166" s="1180"/>
      <c r="C166" s="36" t="s">
        <v>139</v>
      </c>
      <c r="D166" s="65"/>
      <c r="E166" s="133"/>
      <c r="F166" s="68"/>
      <c r="G166" s="68"/>
      <c r="H166" s="820"/>
      <c r="I166" s="658"/>
      <c r="J166" s="282"/>
      <c r="K166" s="282"/>
      <c r="L166" s="282"/>
      <c r="M166" s="282"/>
      <c r="N166" s="659"/>
    </row>
    <row r="167" spans="2:14" ht="33.75" customHeight="1" thickBot="1" x14ac:dyDescent="0.25">
      <c r="B167" s="1181"/>
      <c r="C167" s="419" t="s">
        <v>35</v>
      </c>
      <c r="D167" s="408"/>
      <c r="E167" s="420">
        <v>66</v>
      </c>
      <c r="F167" s="421">
        <v>71.3</v>
      </c>
      <c r="G167" s="421">
        <v>71.3</v>
      </c>
      <c r="H167" s="823">
        <v>71.3</v>
      </c>
      <c r="I167" s="671"/>
      <c r="J167" s="328"/>
      <c r="K167" s="328"/>
      <c r="L167" s="328"/>
      <c r="M167" s="328"/>
      <c r="N167" s="672"/>
    </row>
    <row r="168" spans="2:14" s="56" customFormat="1" ht="55.5" customHeight="1" x14ac:dyDescent="0.2">
      <c r="B168" s="1102" t="s">
        <v>172</v>
      </c>
      <c r="C168" s="290" t="s">
        <v>173</v>
      </c>
      <c r="D168" s="291" t="s">
        <v>118</v>
      </c>
      <c r="E168" s="292"/>
      <c r="F168" s="293"/>
      <c r="G168" s="293"/>
      <c r="H168" s="783"/>
      <c r="I168" s="650"/>
      <c r="J168" s="294"/>
      <c r="K168" s="294"/>
      <c r="L168" s="294"/>
      <c r="M168" s="294"/>
      <c r="N168" s="651"/>
    </row>
    <row r="169" spans="2:14" ht="27.75" customHeight="1" x14ac:dyDescent="0.2">
      <c r="B169" s="1108"/>
      <c r="C169" s="66" t="s">
        <v>138</v>
      </c>
      <c r="D169" s="70"/>
      <c r="E169" s="132">
        <f t="shared" ref="E169" si="12">+E171</f>
        <v>4.4000000000000004</v>
      </c>
      <c r="F169" s="64">
        <f t="shared" ref="F169:H169" si="13">+F171</f>
        <v>4.4000000000000004</v>
      </c>
      <c r="G169" s="64">
        <f t="shared" si="13"/>
        <v>4.4000000000000004</v>
      </c>
      <c r="H169" s="814">
        <f t="shared" si="13"/>
        <v>4.4000000000000004</v>
      </c>
      <c r="I169" s="712" t="s">
        <v>174</v>
      </c>
      <c r="J169" s="424">
        <v>1</v>
      </c>
      <c r="K169" s="424">
        <v>1</v>
      </c>
      <c r="L169" s="424">
        <v>1</v>
      </c>
      <c r="M169" s="424">
        <v>1</v>
      </c>
      <c r="N169" s="713"/>
    </row>
    <row r="170" spans="2:14" ht="21" customHeight="1" x14ac:dyDescent="0.2">
      <c r="B170" s="1180"/>
      <c r="C170" s="36" t="s">
        <v>139</v>
      </c>
      <c r="D170" s="65"/>
      <c r="E170" s="133"/>
      <c r="F170" s="68"/>
      <c r="G170" s="68"/>
      <c r="H170" s="820"/>
      <c r="I170" s="658"/>
      <c r="J170" s="282"/>
      <c r="K170" s="282"/>
      <c r="L170" s="282"/>
      <c r="M170" s="282"/>
      <c r="N170" s="659"/>
    </row>
    <row r="171" spans="2:14" ht="33.75" customHeight="1" thickBot="1" x14ac:dyDescent="0.25">
      <c r="B171" s="1181"/>
      <c r="C171" s="419" t="s">
        <v>35</v>
      </c>
      <c r="D171" s="408"/>
      <c r="E171" s="420">
        <v>4.4000000000000004</v>
      </c>
      <c r="F171" s="421">
        <v>4.4000000000000004</v>
      </c>
      <c r="G171" s="421">
        <v>4.4000000000000004</v>
      </c>
      <c r="H171" s="823">
        <v>4.4000000000000004</v>
      </c>
      <c r="I171" s="671"/>
      <c r="J171" s="328"/>
      <c r="K171" s="328"/>
      <c r="L171" s="328"/>
      <c r="M171" s="328"/>
      <c r="N171" s="672"/>
    </row>
    <row r="172" spans="2:14" ht="33.75" customHeight="1" x14ac:dyDescent="0.2">
      <c r="B172" s="1102" t="s">
        <v>175</v>
      </c>
      <c r="C172" s="290" t="s">
        <v>176</v>
      </c>
      <c r="D172" s="291" t="s">
        <v>71</v>
      </c>
      <c r="E172" s="292"/>
      <c r="F172" s="293"/>
      <c r="G172" s="293"/>
      <c r="H172" s="783"/>
      <c r="I172" s="650"/>
      <c r="J172" s="294"/>
      <c r="K172" s="294"/>
      <c r="L172" s="294"/>
      <c r="M172" s="294"/>
      <c r="N172" s="651"/>
    </row>
    <row r="173" spans="2:14" ht="16.899999999999999" customHeight="1" x14ac:dyDescent="0.2">
      <c r="B173" s="1106"/>
      <c r="C173" s="66" t="s">
        <v>138</v>
      </c>
      <c r="D173" s="70"/>
      <c r="E173" s="132">
        <f>SUM(E175:E175)</f>
        <v>19.399999999999999</v>
      </c>
      <c r="F173" s="64">
        <f t="shared" ref="F173:H173" si="14">SUM(F175:F175)</f>
        <v>19.399999999999999</v>
      </c>
      <c r="G173" s="64">
        <f t="shared" si="14"/>
        <v>20</v>
      </c>
      <c r="H173" s="814">
        <f t="shared" si="14"/>
        <v>20</v>
      </c>
      <c r="I173" s="712" t="s">
        <v>34</v>
      </c>
      <c r="J173" s="424">
        <v>86</v>
      </c>
      <c r="K173" s="424">
        <v>86</v>
      </c>
      <c r="L173" s="424">
        <v>86</v>
      </c>
      <c r="M173" s="424">
        <v>86</v>
      </c>
      <c r="N173" s="713"/>
    </row>
    <row r="174" spans="2:14" ht="21" customHeight="1" x14ac:dyDescent="0.2">
      <c r="B174" s="1179"/>
      <c r="C174" s="36" t="s">
        <v>139</v>
      </c>
      <c r="D174" s="65"/>
      <c r="E174" s="133"/>
      <c r="F174" s="68"/>
      <c r="G174" s="68"/>
      <c r="H174" s="820"/>
      <c r="I174" s="658"/>
      <c r="J174" s="282"/>
      <c r="K174" s="282"/>
      <c r="L174" s="282"/>
      <c r="M174" s="282"/>
      <c r="N174" s="659"/>
    </row>
    <row r="175" spans="2:14" ht="30.6" customHeight="1" thickBot="1" x14ac:dyDescent="0.25">
      <c r="B175" s="1206"/>
      <c r="C175" s="419" t="s">
        <v>35</v>
      </c>
      <c r="D175" s="408"/>
      <c r="E175" s="420">
        <v>19.399999999999999</v>
      </c>
      <c r="F175" s="421">
        <v>19.399999999999999</v>
      </c>
      <c r="G175" s="421">
        <v>20</v>
      </c>
      <c r="H175" s="823">
        <v>20</v>
      </c>
      <c r="I175" s="671"/>
      <c r="J175" s="328"/>
      <c r="K175" s="328"/>
      <c r="L175" s="328"/>
      <c r="M175" s="328"/>
      <c r="N175" s="672"/>
    </row>
    <row r="176" spans="2:14" ht="43.5" customHeight="1" x14ac:dyDescent="0.2">
      <c r="B176" s="1102" t="s">
        <v>177</v>
      </c>
      <c r="C176" s="290" t="s">
        <v>178</v>
      </c>
      <c r="D176" s="425"/>
      <c r="E176" s="292"/>
      <c r="F176" s="293"/>
      <c r="G176" s="293"/>
      <c r="H176" s="783"/>
      <c r="I176" s="650"/>
      <c r="J176" s="294"/>
      <c r="K176" s="294"/>
      <c r="L176" s="294"/>
      <c r="M176" s="294"/>
      <c r="N176" s="651"/>
    </row>
    <row r="177" spans="2:15" ht="30" customHeight="1" x14ac:dyDescent="0.2">
      <c r="B177" s="1109"/>
      <c r="C177" s="234" t="s">
        <v>138</v>
      </c>
      <c r="D177" s="70"/>
      <c r="E177" s="132">
        <f>+E179+E180</f>
        <v>335.3</v>
      </c>
      <c r="F177" s="64">
        <f>+F179+F180+F182+F183</f>
        <v>570</v>
      </c>
      <c r="G177" s="64">
        <f>+G179+G180+G182+G183</f>
        <v>344</v>
      </c>
      <c r="H177" s="814">
        <f>+H179+H182+H183</f>
        <v>0</v>
      </c>
      <c r="I177" s="714" t="s">
        <v>179</v>
      </c>
      <c r="J177" s="429">
        <v>190</v>
      </c>
      <c r="K177" s="429">
        <v>190</v>
      </c>
      <c r="L177" s="429">
        <v>190</v>
      </c>
      <c r="M177" s="429"/>
      <c r="N177" s="715"/>
    </row>
    <row r="178" spans="2:15" ht="16.899999999999999" customHeight="1" x14ac:dyDescent="0.2">
      <c r="B178" s="1207"/>
      <c r="C178" s="96" t="s">
        <v>139</v>
      </c>
      <c r="D178" s="233"/>
      <c r="E178" s="135"/>
      <c r="F178" s="71"/>
      <c r="G178" s="71"/>
      <c r="H178" s="427"/>
      <c r="I178" s="658"/>
      <c r="J178" s="282"/>
      <c r="K178" s="282"/>
      <c r="L178" s="282"/>
      <c r="M178" s="282"/>
      <c r="N178" s="659"/>
    </row>
    <row r="179" spans="2:15" ht="30.6" customHeight="1" x14ac:dyDescent="0.2">
      <c r="B179" s="1207"/>
      <c r="C179" s="96" t="s">
        <v>35</v>
      </c>
      <c r="D179" s="1213" t="s">
        <v>515</v>
      </c>
      <c r="E179" s="136">
        <v>35.299999999999997</v>
      </c>
      <c r="F179" s="72">
        <v>20</v>
      </c>
      <c r="G179" s="1054">
        <v>58</v>
      </c>
      <c r="H179" s="428">
        <v>0</v>
      </c>
      <c r="I179" s="658"/>
      <c r="J179" s="282"/>
      <c r="K179" s="282"/>
      <c r="L179" s="282"/>
      <c r="M179" s="282"/>
      <c r="N179" s="659"/>
      <c r="O179" s="1365"/>
    </row>
    <row r="180" spans="2:15" ht="30.6" customHeight="1" x14ac:dyDescent="0.2">
      <c r="B180" s="1207"/>
      <c r="C180" s="231" t="s">
        <v>66</v>
      </c>
      <c r="D180" s="1214"/>
      <c r="E180" s="178">
        <f>300</f>
        <v>300</v>
      </c>
      <c r="F180" s="72">
        <v>80</v>
      </c>
      <c r="G180" s="72">
        <v>95</v>
      </c>
      <c r="H180" s="428">
        <v>0</v>
      </c>
      <c r="I180" s="670"/>
      <c r="J180" s="282"/>
      <c r="K180" s="282"/>
      <c r="L180" s="282"/>
      <c r="M180" s="282"/>
      <c r="N180" s="659"/>
    </row>
    <row r="181" spans="2:15" ht="30.75" customHeight="1" x14ac:dyDescent="0.2">
      <c r="B181" s="1207"/>
      <c r="C181" s="232" t="s">
        <v>128</v>
      </c>
      <c r="D181" s="1215"/>
      <c r="E181" s="136"/>
      <c r="F181" s="72"/>
      <c r="G181" s="72"/>
      <c r="H181" s="428"/>
      <c r="I181" s="658"/>
      <c r="J181" s="282"/>
      <c r="K181" s="282"/>
      <c r="L181" s="282"/>
      <c r="M181" s="282"/>
      <c r="N181" s="659"/>
    </row>
    <row r="182" spans="2:15" ht="30.6" customHeight="1" x14ac:dyDescent="0.2">
      <c r="B182" s="1207"/>
      <c r="C182" s="1050" t="s">
        <v>66</v>
      </c>
      <c r="D182" s="1196" t="s">
        <v>180</v>
      </c>
      <c r="E182" s="1051"/>
      <c r="F182" s="1051">
        <v>351.7</v>
      </c>
      <c r="G182" s="1051">
        <v>191</v>
      </c>
      <c r="H182" s="1052">
        <v>0</v>
      </c>
      <c r="I182" s="697"/>
      <c r="J182" s="379"/>
      <c r="K182" s="379"/>
      <c r="L182" s="379"/>
      <c r="M182" s="321"/>
      <c r="N182" s="659"/>
    </row>
    <row r="183" spans="2:15" ht="48.75" customHeight="1" thickBot="1" x14ac:dyDescent="0.25">
      <c r="B183" s="1208"/>
      <c r="C183" s="1053" t="s">
        <v>42</v>
      </c>
      <c r="D183" s="1197"/>
      <c r="E183" s="440"/>
      <c r="F183" s="440">
        <v>118.3</v>
      </c>
      <c r="G183" s="440">
        <v>0</v>
      </c>
      <c r="H183" s="441">
        <v>0</v>
      </c>
      <c r="I183" s="716"/>
      <c r="J183" s="433"/>
      <c r="K183" s="433"/>
      <c r="L183" s="433"/>
      <c r="M183" s="386"/>
      <c r="N183" s="672"/>
    </row>
    <row r="184" spans="2:15" ht="67.5" customHeight="1" x14ac:dyDescent="0.2">
      <c r="B184" s="1110" t="s">
        <v>181</v>
      </c>
      <c r="C184" s="235" t="s">
        <v>182</v>
      </c>
      <c r="D184" s="291" t="s">
        <v>170</v>
      </c>
      <c r="E184" s="430"/>
      <c r="F184" s="431"/>
      <c r="G184" s="431"/>
      <c r="H184" s="432"/>
      <c r="I184" s="650"/>
      <c r="J184" s="294"/>
      <c r="K184" s="294"/>
      <c r="L184" s="294"/>
      <c r="M184" s="294"/>
      <c r="N184" s="651"/>
    </row>
    <row r="185" spans="2:15" ht="30.75" customHeight="1" x14ac:dyDescent="0.2">
      <c r="B185" s="1111"/>
      <c r="C185" s="73" t="s">
        <v>138</v>
      </c>
      <c r="D185" s="74"/>
      <c r="E185" s="137">
        <f>SUM(E187:E187)</f>
        <v>15</v>
      </c>
      <c r="F185" s="75">
        <f>SUM(F187:F187)</f>
        <v>18.3</v>
      </c>
      <c r="G185" s="75">
        <f>SUM(G187:G187)</f>
        <v>18.3</v>
      </c>
      <c r="H185" s="434">
        <f>SUM(H187:H187)</f>
        <v>18.3</v>
      </c>
      <c r="I185" s="717" t="s">
        <v>183</v>
      </c>
      <c r="J185" s="429">
        <v>5</v>
      </c>
      <c r="K185" s="429">
        <v>5</v>
      </c>
      <c r="L185" s="429">
        <v>5</v>
      </c>
      <c r="M185" s="429">
        <v>5</v>
      </c>
      <c r="N185" s="715"/>
    </row>
    <row r="186" spans="2:15" ht="23.25" customHeight="1" x14ac:dyDescent="0.2">
      <c r="B186" s="1186"/>
      <c r="C186" s="76" t="s">
        <v>139</v>
      </c>
      <c r="D186" s="185"/>
      <c r="E186" s="138"/>
      <c r="F186" s="77"/>
      <c r="G186" s="77"/>
      <c r="H186" s="436"/>
      <c r="I186" s="718" t="s">
        <v>184</v>
      </c>
      <c r="J186" s="423">
        <v>40</v>
      </c>
      <c r="K186" s="423">
        <v>60</v>
      </c>
      <c r="L186" s="423">
        <v>60</v>
      </c>
      <c r="M186" s="423">
        <v>60</v>
      </c>
      <c r="N186" s="653"/>
    </row>
    <row r="187" spans="2:15" ht="33" customHeight="1" thickBot="1" x14ac:dyDescent="0.25">
      <c r="B187" s="1187"/>
      <c r="C187" s="419" t="s">
        <v>35</v>
      </c>
      <c r="D187" s="437"/>
      <c r="E187" s="438">
        <v>15</v>
      </c>
      <c r="F187" s="439">
        <v>18.3</v>
      </c>
      <c r="G187" s="440">
        <v>18.3</v>
      </c>
      <c r="H187" s="441">
        <v>18.3</v>
      </c>
      <c r="I187" s="671"/>
      <c r="J187" s="328"/>
      <c r="K187" s="328"/>
      <c r="L187" s="328"/>
      <c r="M187" s="328"/>
      <c r="N187" s="672"/>
    </row>
    <row r="188" spans="2:15" ht="72.75" customHeight="1" x14ac:dyDescent="0.2">
      <c r="B188" s="1112"/>
      <c r="C188" s="243" t="s">
        <v>185</v>
      </c>
      <c r="D188" s="291" t="s">
        <v>71</v>
      </c>
      <c r="E188" s="139"/>
      <c r="F188" s="78"/>
      <c r="G188" s="78"/>
      <c r="H188" s="824"/>
      <c r="I188" s="719"/>
      <c r="J188" s="294"/>
      <c r="K188" s="294"/>
      <c r="L188" s="294"/>
      <c r="M188" s="294"/>
      <c r="N188" s="651"/>
    </row>
    <row r="189" spans="2:15" ht="35.25" customHeight="1" x14ac:dyDescent="0.2">
      <c r="B189" s="1113"/>
      <c r="C189" s="242" t="s">
        <v>138</v>
      </c>
      <c r="D189" s="79"/>
      <c r="E189" s="140">
        <f>E191</f>
        <v>21</v>
      </c>
      <c r="F189" s="140"/>
      <c r="G189" s="140"/>
      <c r="H189" s="825"/>
      <c r="I189" s="720" t="s">
        <v>34</v>
      </c>
      <c r="J189" s="426">
        <v>23</v>
      </c>
      <c r="K189" s="426"/>
      <c r="L189" s="426"/>
      <c r="M189" s="426"/>
      <c r="N189" s="721"/>
    </row>
    <row r="190" spans="2:15" ht="27.6" customHeight="1" x14ac:dyDescent="0.2">
      <c r="B190" s="1182"/>
      <c r="C190" s="80" t="s">
        <v>139</v>
      </c>
      <c r="D190" s="185"/>
      <c r="E190" s="141"/>
      <c r="F190" s="81"/>
      <c r="G190" s="81"/>
      <c r="H190" s="826"/>
      <c r="I190" s="722" t="s">
        <v>186</v>
      </c>
      <c r="J190" s="435">
        <v>100</v>
      </c>
      <c r="K190" s="435"/>
      <c r="L190" s="435"/>
      <c r="M190" s="435"/>
      <c r="N190" s="687"/>
    </row>
    <row r="191" spans="2:15" ht="33" customHeight="1" thickBot="1" x14ac:dyDescent="0.25">
      <c r="B191" s="1183"/>
      <c r="C191" s="419" t="s">
        <v>35</v>
      </c>
      <c r="D191" s="437"/>
      <c r="E191" s="444">
        <v>21</v>
      </c>
      <c r="F191" s="445"/>
      <c r="G191" s="445"/>
      <c r="H191" s="827"/>
      <c r="I191" s="671"/>
      <c r="J191" s="328"/>
      <c r="K191" s="328"/>
      <c r="L191" s="328"/>
      <c r="M191" s="328"/>
      <c r="N191" s="672"/>
    </row>
    <row r="192" spans="2:15" ht="42" customHeight="1" x14ac:dyDescent="0.2">
      <c r="B192" s="1110"/>
      <c r="C192" s="442" t="s">
        <v>187</v>
      </c>
      <c r="D192" s="443" t="s">
        <v>188</v>
      </c>
      <c r="E192" s="430"/>
      <c r="F192" s="431"/>
      <c r="G192" s="431"/>
      <c r="H192" s="432"/>
      <c r="I192" s="719"/>
      <c r="J192" s="294"/>
      <c r="K192" s="294"/>
      <c r="L192" s="294"/>
      <c r="M192" s="294"/>
      <c r="N192" s="651"/>
    </row>
    <row r="193" spans="2:14" ht="31.5" customHeight="1" x14ac:dyDescent="0.2">
      <c r="B193" s="1114"/>
      <c r="C193" s="82" t="s">
        <v>138</v>
      </c>
      <c r="D193" s="186"/>
      <c r="E193" s="142">
        <f t="shared" ref="E193" si="15">+E195</f>
        <v>1.8</v>
      </c>
      <c r="F193" s="83"/>
      <c r="G193" s="83"/>
      <c r="H193" s="828"/>
      <c r="I193" s="723" t="s">
        <v>189</v>
      </c>
      <c r="J193" s="429">
        <v>1</v>
      </c>
      <c r="K193" s="429"/>
      <c r="L193" s="429"/>
      <c r="M193" s="429"/>
      <c r="N193" s="715"/>
    </row>
    <row r="194" spans="2:14" ht="21" customHeight="1" x14ac:dyDescent="0.2">
      <c r="B194" s="1186"/>
      <c r="C194" s="76" t="s">
        <v>139</v>
      </c>
      <c r="D194" s="185"/>
      <c r="E194" s="131"/>
      <c r="F194" s="58"/>
      <c r="G194" s="58"/>
      <c r="H194" s="446"/>
      <c r="I194" s="658"/>
      <c r="J194" s="282"/>
      <c r="K194" s="282"/>
      <c r="L194" s="282"/>
      <c r="M194" s="282"/>
      <c r="N194" s="659"/>
    </row>
    <row r="195" spans="2:14" ht="32.25" customHeight="1" thickBot="1" x14ac:dyDescent="0.25">
      <c r="B195" s="1187"/>
      <c r="C195" s="419" t="s">
        <v>35</v>
      </c>
      <c r="D195" s="437"/>
      <c r="E195" s="438">
        <v>1.8</v>
      </c>
      <c r="F195" s="439"/>
      <c r="G195" s="439"/>
      <c r="H195" s="447"/>
      <c r="I195" s="671"/>
      <c r="J195" s="328"/>
      <c r="K195" s="328"/>
      <c r="L195" s="328"/>
      <c r="M195" s="328"/>
      <c r="N195" s="672"/>
    </row>
    <row r="196" spans="2:14" ht="33" customHeight="1" x14ac:dyDescent="0.2">
      <c r="B196" s="1091" t="s">
        <v>190</v>
      </c>
      <c r="C196" s="84" t="s">
        <v>191</v>
      </c>
      <c r="D196" s="85"/>
      <c r="E196" s="143"/>
      <c r="F196" s="86"/>
      <c r="G196" s="86"/>
      <c r="H196" s="829"/>
      <c r="I196" s="643"/>
      <c r="J196" s="299"/>
      <c r="K196" s="299"/>
      <c r="L196" s="299"/>
      <c r="M196" s="299"/>
      <c r="N196" s="644"/>
    </row>
    <row r="197" spans="2:14" ht="44.25" customHeight="1" x14ac:dyDescent="0.2">
      <c r="B197" s="1092"/>
      <c r="C197" s="283"/>
      <c r="D197" s="448"/>
      <c r="E197" s="449"/>
      <c r="F197" s="450"/>
      <c r="G197" s="450"/>
      <c r="H197" s="830"/>
      <c r="I197" s="645" t="s">
        <v>192</v>
      </c>
      <c r="J197" s="286" t="s">
        <v>193</v>
      </c>
      <c r="K197" s="286" t="s">
        <v>194</v>
      </c>
      <c r="L197" s="286" t="s">
        <v>195</v>
      </c>
      <c r="M197" s="286" t="s">
        <v>196</v>
      </c>
      <c r="N197" s="646" t="s">
        <v>197</v>
      </c>
    </row>
    <row r="198" spans="2:14" ht="33.75" customHeight="1" x14ac:dyDescent="0.2">
      <c r="B198" s="1092"/>
      <c r="C198" s="283"/>
      <c r="D198" s="448"/>
      <c r="E198" s="449"/>
      <c r="F198" s="450"/>
      <c r="G198" s="450"/>
      <c r="H198" s="830"/>
      <c r="I198" s="645" t="s">
        <v>198</v>
      </c>
      <c r="J198" s="451">
        <v>2260</v>
      </c>
      <c r="K198" s="451">
        <v>2380</v>
      </c>
      <c r="L198" s="452">
        <v>2500</v>
      </c>
      <c r="M198" s="452">
        <v>2500</v>
      </c>
      <c r="N198" s="646" t="s">
        <v>199</v>
      </c>
    </row>
    <row r="199" spans="2:14" ht="30.75" customHeight="1" thickBot="1" x14ac:dyDescent="0.25">
      <c r="B199" s="1093"/>
      <c r="C199" s="295"/>
      <c r="D199" s="456"/>
      <c r="E199" s="457"/>
      <c r="F199" s="458"/>
      <c r="G199" s="458"/>
      <c r="H199" s="831"/>
      <c r="I199" s="648" t="s">
        <v>200</v>
      </c>
      <c r="J199" s="459"/>
      <c r="K199" s="640">
        <v>2</v>
      </c>
      <c r="L199" s="640">
        <v>1</v>
      </c>
      <c r="M199" s="640">
        <v>1</v>
      </c>
      <c r="N199" s="649"/>
    </row>
    <row r="200" spans="2:14" ht="31.15" customHeight="1" x14ac:dyDescent="0.2">
      <c r="B200" s="1102" t="s">
        <v>201</v>
      </c>
      <c r="C200" s="290" t="s">
        <v>202</v>
      </c>
      <c r="D200" s="291" t="s">
        <v>203</v>
      </c>
      <c r="E200" s="292"/>
      <c r="F200" s="293"/>
      <c r="G200" s="293"/>
      <c r="H200" s="783"/>
      <c r="I200" s="1404"/>
      <c r="J200" s="1405"/>
      <c r="K200" s="1405"/>
      <c r="L200" s="1405"/>
      <c r="M200" s="1405"/>
      <c r="N200" s="1406"/>
    </row>
    <row r="201" spans="2:14" ht="27.75" customHeight="1" x14ac:dyDescent="0.2">
      <c r="B201" s="1106"/>
      <c r="C201" s="66" t="s">
        <v>138</v>
      </c>
      <c r="D201" s="70"/>
      <c r="E201" s="132">
        <f>SUM(E203:E203)</f>
        <v>304.8</v>
      </c>
      <c r="F201" s="64">
        <f>SUM(F203:F204)</f>
        <v>254</v>
      </c>
      <c r="G201" s="64">
        <f>SUM(G203:G204)</f>
        <v>0</v>
      </c>
      <c r="H201" s="814">
        <f>SUM(H203:H204)</f>
        <v>0</v>
      </c>
      <c r="I201" s="1409" t="s">
        <v>204</v>
      </c>
      <c r="J201" s="455" t="s">
        <v>205</v>
      </c>
      <c r="K201" s="455" t="s">
        <v>206</v>
      </c>
      <c r="L201" s="455"/>
      <c r="M201" s="455"/>
      <c r="N201" s="1410"/>
    </row>
    <row r="202" spans="2:14" ht="24" customHeight="1" x14ac:dyDescent="0.2">
      <c r="B202" s="1358"/>
      <c r="C202" s="36" t="s">
        <v>139</v>
      </c>
      <c r="D202" s="65"/>
      <c r="E202" s="130"/>
      <c r="F202" s="57"/>
      <c r="G202" s="57"/>
      <c r="H202" s="812"/>
      <c r="I202" s="1411" t="s">
        <v>207</v>
      </c>
      <c r="J202" s="1032"/>
      <c r="K202" s="1032" t="s">
        <v>206</v>
      </c>
      <c r="L202" s="453"/>
      <c r="M202" s="453"/>
      <c r="N202" s="1412"/>
    </row>
    <row r="203" spans="2:14" ht="29.45" customHeight="1" x14ac:dyDescent="0.2">
      <c r="B203" s="1359"/>
      <c r="C203" s="39" t="s">
        <v>35</v>
      </c>
      <c r="D203" s="65"/>
      <c r="E203" s="128">
        <f>71.8+233</f>
        <v>304.8</v>
      </c>
      <c r="F203" s="31">
        <v>0</v>
      </c>
      <c r="G203" s="31">
        <v>0</v>
      </c>
      <c r="H203" s="784">
        <v>0</v>
      </c>
      <c r="I203" s="1413"/>
      <c r="J203" s="282"/>
      <c r="K203" s="282"/>
      <c r="L203" s="282"/>
      <c r="M203" s="282"/>
      <c r="N203" s="1414"/>
    </row>
    <row r="204" spans="2:14" ht="29.45" customHeight="1" thickBot="1" x14ac:dyDescent="0.25">
      <c r="B204" s="1360"/>
      <c r="C204" s="419" t="s">
        <v>42</v>
      </c>
      <c r="D204" s="408"/>
      <c r="E204" s="420"/>
      <c r="F204" s="421">
        <v>254</v>
      </c>
      <c r="G204" s="421"/>
      <c r="H204" s="823"/>
      <c r="I204" s="1415"/>
      <c r="J204" s="328"/>
      <c r="K204" s="328"/>
      <c r="L204" s="328"/>
      <c r="M204" s="328"/>
      <c r="N204" s="1416"/>
    </row>
    <row r="205" spans="2:14" ht="30.75" customHeight="1" x14ac:dyDescent="0.2">
      <c r="B205" s="1102" t="s">
        <v>208</v>
      </c>
      <c r="C205" s="290" t="s">
        <v>209</v>
      </c>
      <c r="D205" s="291"/>
      <c r="E205" s="292"/>
      <c r="F205" s="293"/>
      <c r="G205" s="293"/>
      <c r="H205" s="783"/>
      <c r="I205" s="650"/>
      <c r="J205" s="294"/>
      <c r="K205" s="294"/>
      <c r="L205" s="294"/>
      <c r="M205" s="294"/>
      <c r="N205" s="651"/>
    </row>
    <row r="206" spans="2:14" ht="28.5" customHeight="1" x14ac:dyDescent="0.2">
      <c r="B206" s="1115"/>
      <c r="C206" s="39" t="s">
        <v>210</v>
      </c>
      <c r="D206" s="87"/>
      <c r="E206" s="128"/>
      <c r="F206" s="31"/>
      <c r="G206" s="31"/>
      <c r="H206" s="784"/>
      <c r="I206" s="658"/>
      <c r="J206" s="282"/>
      <c r="K206" s="282"/>
      <c r="L206" s="282"/>
      <c r="M206" s="282"/>
      <c r="N206" s="659"/>
    </row>
    <row r="207" spans="2:14" ht="44.45" customHeight="1" x14ac:dyDescent="0.2">
      <c r="B207" s="1257" t="s">
        <v>211</v>
      </c>
      <c r="C207" s="39" t="s">
        <v>212</v>
      </c>
      <c r="D207" s="1216" t="s">
        <v>213</v>
      </c>
      <c r="E207" s="129"/>
      <c r="F207" s="29"/>
      <c r="G207" s="29"/>
      <c r="H207" s="786"/>
      <c r="I207" s="727" t="s">
        <v>214</v>
      </c>
      <c r="J207" s="453" t="s">
        <v>215</v>
      </c>
      <c r="K207" s="282"/>
      <c r="L207" s="282"/>
      <c r="M207" s="282"/>
      <c r="N207" s="659"/>
    </row>
    <row r="208" spans="2:14" ht="30.75" customHeight="1" thickBot="1" x14ac:dyDescent="0.25">
      <c r="B208" s="1357"/>
      <c r="C208" s="308" t="s">
        <v>35</v>
      </c>
      <c r="D208" s="1217"/>
      <c r="E208" s="461"/>
      <c r="F208" s="309"/>
      <c r="G208" s="309"/>
      <c r="H208" s="493"/>
      <c r="I208" s="728"/>
      <c r="J208" s="462"/>
      <c r="K208" s="462"/>
      <c r="L208" s="462"/>
      <c r="M208" s="462"/>
      <c r="N208" s="664"/>
    </row>
    <row r="209" spans="2:14" ht="19.5" customHeight="1" x14ac:dyDescent="0.2">
      <c r="B209" s="1177" t="s">
        <v>216</v>
      </c>
      <c r="C209" s="45" t="s">
        <v>217</v>
      </c>
      <c r="D209" s="1212" t="s">
        <v>67</v>
      </c>
      <c r="E209" s="51"/>
      <c r="F209" s="32"/>
      <c r="G209" s="32"/>
      <c r="H209" s="487"/>
      <c r="I209" s="654" t="s">
        <v>218</v>
      </c>
      <c r="J209" s="631">
        <f>1</f>
        <v>1</v>
      </c>
      <c r="K209" s="463">
        <v>1</v>
      </c>
      <c r="L209" s="463">
        <v>1</v>
      </c>
      <c r="M209" s="463">
        <v>1</v>
      </c>
      <c r="N209" s="653"/>
    </row>
    <row r="210" spans="2:14" ht="30" customHeight="1" x14ac:dyDescent="0.2">
      <c r="B210" s="1177"/>
      <c r="C210" s="174" t="s">
        <v>35</v>
      </c>
      <c r="D210" s="1212"/>
      <c r="E210" s="129">
        <v>68.099999999999994</v>
      </c>
      <c r="F210" s="29">
        <f>1529-40</f>
        <v>1489</v>
      </c>
      <c r="G210" s="29">
        <v>1020</v>
      </c>
      <c r="H210" s="786">
        <v>727</v>
      </c>
      <c r="I210" s="654" t="s">
        <v>219</v>
      </c>
      <c r="J210" s="506">
        <f>1-1</f>
        <v>0</v>
      </c>
      <c r="K210" s="464">
        <v>1</v>
      </c>
      <c r="L210" s="464">
        <v>1</v>
      </c>
      <c r="M210" s="464">
        <v>1</v>
      </c>
      <c r="N210" s="729" t="s">
        <v>220</v>
      </c>
    </row>
    <row r="211" spans="2:14" ht="15.6" customHeight="1" x14ac:dyDescent="0.2">
      <c r="B211" s="1036"/>
      <c r="C211" s="174" t="s">
        <v>221</v>
      </c>
      <c r="D211" s="248"/>
      <c r="E211" s="129"/>
      <c r="F211" s="29">
        <f>1339+30</f>
        <v>1369</v>
      </c>
      <c r="G211" s="29"/>
      <c r="H211" s="786"/>
      <c r="I211" s="658"/>
      <c r="J211" s="282"/>
      <c r="K211" s="282"/>
      <c r="L211" s="282"/>
      <c r="M211" s="282"/>
      <c r="N211" s="659"/>
    </row>
    <row r="212" spans="2:14" ht="15" customHeight="1" x14ac:dyDescent="0.2">
      <c r="B212" s="1036"/>
      <c r="C212" s="174" t="s">
        <v>222</v>
      </c>
      <c r="D212" s="248"/>
      <c r="E212" s="129"/>
      <c r="F212" s="29">
        <v>40</v>
      </c>
      <c r="G212" s="29">
        <f>950+30</f>
        <v>980</v>
      </c>
      <c r="H212" s="786"/>
      <c r="I212" s="658"/>
      <c r="J212" s="282"/>
      <c r="K212" s="344"/>
      <c r="L212" s="282"/>
      <c r="M212" s="282"/>
      <c r="N212" s="659"/>
    </row>
    <row r="213" spans="2:14" ht="15" customHeight="1" x14ac:dyDescent="0.2">
      <c r="B213" s="1036"/>
      <c r="C213" s="174" t="s">
        <v>223</v>
      </c>
      <c r="D213" s="248"/>
      <c r="E213" s="129"/>
      <c r="F213" s="29"/>
      <c r="G213" s="29">
        <v>40</v>
      </c>
      <c r="H213" s="786">
        <f>657+30</f>
        <v>687</v>
      </c>
      <c r="I213" s="658"/>
      <c r="J213" s="282"/>
      <c r="K213" s="282"/>
      <c r="L213" s="282"/>
      <c r="M213" s="282"/>
      <c r="N213" s="659"/>
    </row>
    <row r="214" spans="2:14" ht="15.6" customHeight="1" x14ac:dyDescent="0.2">
      <c r="B214" s="1036"/>
      <c r="C214" s="174" t="s">
        <v>224</v>
      </c>
      <c r="D214" s="248"/>
      <c r="E214" s="129"/>
      <c r="F214" s="29">
        <v>80</v>
      </c>
      <c r="G214" s="29"/>
      <c r="H214" s="786"/>
      <c r="I214" s="658"/>
      <c r="J214" s="282"/>
      <c r="K214" s="282"/>
      <c r="L214" s="282"/>
      <c r="M214" s="282"/>
      <c r="N214" s="659"/>
    </row>
    <row r="215" spans="2:14" ht="17.45" customHeight="1" x14ac:dyDescent="0.2">
      <c r="B215" s="1037"/>
      <c r="C215" s="319" t="s">
        <v>225</v>
      </c>
      <c r="D215" s="411"/>
      <c r="E215" s="461"/>
      <c r="F215" s="465"/>
      <c r="G215" s="309"/>
      <c r="H215" s="493">
        <v>40</v>
      </c>
      <c r="I215" s="671"/>
      <c r="J215" s="328"/>
      <c r="K215" s="328"/>
      <c r="L215" s="328"/>
      <c r="M215" s="328"/>
      <c r="N215" s="672"/>
    </row>
    <row r="216" spans="2:14" ht="33" customHeight="1" x14ac:dyDescent="0.2">
      <c r="B216" s="1218" t="s">
        <v>226</v>
      </c>
      <c r="C216" s="948" t="s">
        <v>227</v>
      </c>
      <c r="D216" s="1230" t="s">
        <v>228</v>
      </c>
      <c r="E216" s="51"/>
      <c r="F216" s="32"/>
      <c r="G216" s="32"/>
      <c r="H216" s="487"/>
      <c r="I216" s="730" t="s">
        <v>229</v>
      </c>
      <c r="J216" s="632" t="s">
        <v>206</v>
      </c>
      <c r="K216" s="453"/>
      <c r="L216" s="453"/>
      <c r="M216" s="453"/>
      <c r="N216" s="729" t="s">
        <v>230</v>
      </c>
    </row>
    <row r="217" spans="2:14" ht="30.6" customHeight="1" x14ac:dyDescent="0.2">
      <c r="B217" s="1252"/>
      <c r="C217" s="37" t="s">
        <v>35</v>
      </c>
      <c r="D217" s="1231"/>
      <c r="E217" s="129">
        <v>693.6</v>
      </c>
      <c r="F217" s="29">
        <f>4044.1-4044.1+3994.1-212.9-3000</f>
        <v>781.19999999999982</v>
      </c>
      <c r="G217" s="29"/>
      <c r="H217" s="786"/>
      <c r="I217" s="731" t="s">
        <v>231</v>
      </c>
      <c r="J217" s="631">
        <v>15</v>
      </c>
      <c r="K217" s="631">
        <v>100</v>
      </c>
      <c r="L217" s="416"/>
      <c r="M217" s="466"/>
      <c r="N217" s="732" t="s">
        <v>127</v>
      </c>
    </row>
    <row r="218" spans="2:14" ht="17.25" customHeight="1" x14ac:dyDescent="0.2">
      <c r="B218" s="1252"/>
      <c r="C218" s="37" t="s">
        <v>42</v>
      </c>
      <c r="D218" s="1231"/>
      <c r="E218" s="191">
        <v>4.5999999999999996</v>
      </c>
      <c r="F218" s="192"/>
      <c r="G218" s="192"/>
      <c r="H218" s="832"/>
      <c r="I218" s="658"/>
      <c r="J218" s="344"/>
      <c r="K218" s="282"/>
      <c r="L218" s="282"/>
      <c r="M218" s="282"/>
      <c r="N218" s="659"/>
    </row>
    <row r="219" spans="2:14" ht="17.25" customHeight="1" x14ac:dyDescent="0.2">
      <c r="B219" s="1252"/>
      <c r="C219" s="19" t="s">
        <v>232</v>
      </c>
      <c r="D219" s="1338"/>
      <c r="E219" s="191"/>
      <c r="F219" s="192">
        <v>3000</v>
      </c>
      <c r="G219" s="192"/>
      <c r="H219" s="832"/>
      <c r="I219" s="658"/>
      <c r="J219" s="949"/>
      <c r="K219" s="950"/>
      <c r="L219" s="950"/>
      <c r="M219" s="950"/>
      <c r="N219" s="951"/>
    </row>
    <row r="220" spans="2:14" ht="52.5" customHeight="1" x14ac:dyDescent="0.2">
      <c r="B220" s="1252"/>
      <c r="C220" s="1048" t="s">
        <v>35</v>
      </c>
      <c r="D220" s="1174" t="s">
        <v>33</v>
      </c>
      <c r="E220" s="226"/>
      <c r="F220" s="8">
        <f>65.2+42</f>
        <v>107.2</v>
      </c>
      <c r="G220" s="221"/>
      <c r="H220" s="833"/>
      <c r="I220" s="1043" t="s">
        <v>233</v>
      </c>
      <c r="J220" s="1044"/>
      <c r="K220" s="1045">
        <v>100</v>
      </c>
      <c r="L220" s="416"/>
      <c r="M220" s="466"/>
      <c r="N220" s="732"/>
    </row>
    <row r="221" spans="2:14" ht="30" customHeight="1" x14ac:dyDescent="0.2">
      <c r="B221" s="1219"/>
      <c r="C221" s="1049"/>
      <c r="D221" s="1175"/>
      <c r="E221" s="467"/>
      <c r="F221" s="309"/>
      <c r="G221" s="305"/>
      <c r="H221" s="521"/>
      <c r="I221" s="1046" t="s">
        <v>234</v>
      </c>
      <c r="J221" s="972"/>
      <c r="K221" s="1047">
        <v>520</v>
      </c>
      <c r="L221" s="468"/>
      <c r="M221" s="469"/>
      <c r="N221" s="733"/>
    </row>
    <row r="222" spans="2:14" ht="30.6" customHeight="1" x14ac:dyDescent="0.2">
      <c r="B222" s="1209"/>
      <c r="C222" s="393" t="s">
        <v>235</v>
      </c>
      <c r="D222" s="1184" t="s">
        <v>228</v>
      </c>
      <c r="E222" s="470"/>
      <c r="F222" s="334"/>
      <c r="G222" s="334"/>
      <c r="H222" s="517"/>
      <c r="I222" s="734" t="s">
        <v>231</v>
      </c>
      <c r="J222" s="633" t="s">
        <v>236</v>
      </c>
      <c r="K222" s="472"/>
      <c r="L222" s="472"/>
      <c r="M222" s="472"/>
      <c r="N222" s="735" t="s">
        <v>230</v>
      </c>
    </row>
    <row r="223" spans="2:14" ht="30.6" customHeight="1" x14ac:dyDescent="0.2">
      <c r="B223" s="1210"/>
      <c r="C223" s="171" t="s">
        <v>35</v>
      </c>
      <c r="D223" s="1185"/>
      <c r="E223" s="169"/>
      <c r="F223" s="168"/>
      <c r="G223" s="168"/>
      <c r="H223" s="786"/>
      <c r="I223" s="658"/>
      <c r="J223" s="282"/>
      <c r="K223" s="282"/>
      <c r="L223" s="282"/>
      <c r="M223" s="282"/>
      <c r="N223" s="659"/>
    </row>
    <row r="224" spans="2:14" ht="19.5" customHeight="1" x14ac:dyDescent="0.2">
      <c r="B224" s="1210"/>
      <c r="C224" s="171" t="s">
        <v>42</v>
      </c>
      <c r="D224" s="1185"/>
      <c r="E224" s="168">
        <f>1780.3-150-28-42.6</f>
        <v>1559.7</v>
      </c>
      <c r="F224" s="168"/>
      <c r="G224" s="168"/>
      <c r="H224" s="786"/>
      <c r="I224" s="658"/>
      <c r="J224" s="282"/>
      <c r="K224" s="282"/>
      <c r="L224" s="282"/>
      <c r="M224" s="282"/>
      <c r="N224" s="659"/>
    </row>
    <row r="225" spans="2:15" ht="20.45" customHeight="1" x14ac:dyDescent="0.2">
      <c r="B225" s="1210"/>
      <c r="C225" s="171" t="s">
        <v>232</v>
      </c>
      <c r="D225" s="1185"/>
      <c r="E225" s="55"/>
      <c r="F225" s="168"/>
      <c r="G225" s="168"/>
      <c r="H225" s="786"/>
      <c r="I225" s="658"/>
      <c r="J225" s="282"/>
      <c r="K225" s="282"/>
      <c r="L225" s="282"/>
      <c r="M225" s="282"/>
      <c r="N225" s="659"/>
    </row>
    <row r="226" spans="2:15" ht="76.5" customHeight="1" thickBot="1" x14ac:dyDescent="0.25">
      <c r="B226" s="1211"/>
      <c r="C226" s="473" t="s">
        <v>42</v>
      </c>
      <c r="D226" s="474" t="s">
        <v>33</v>
      </c>
      <c r="E226" s="475">
        <v>28</v>
      </c>
      <c r="F226" s="327"/>
      <c r="G226" s="327"/>
      <c r="H226" s="493"/>
      <c r="I226" s="736" t="s">
        <v>237</v>
      </c>
      <c r="J226" s="476" t="s">
        <v>238</v>
      </c>
      <c r="K226" s="477"/>
      <c r="L226" s="462"/>
      <c r="M226" s="462"/>
      <c r="N226" s="737"/>
    </row>
    <row r="227" spans="2:15" ht="36" customHeight="1" x14ac:dyDescent="0.2">
      <c r="B227" s="1223" t="s">
        <v>514</v>
      </c>
      <c r="C227" s="393" t="s">
        <v>239</v>
      </c>
      <c r="D227" s="1184" t="s">
        <v>33</v>
      </c>
      <c r="E227" s="470"/>
      <c r="F227" s="480"/>
      <c r="G227" s="480"/>
      <c r="H227" s="834"/>
      <c r="I227" s="734" t="s">
        <v>240</v>
      </c>
      <c r="J227" s="472" t="s">
        <v>241</v>
      </c>
      <c r="K227" s="472"/>
      <c r="L227" s="472"/>
      <c r="M227" s="472"/>
      <c r="N227" s="738"/>
    </row>
    <row r="228" spans="2:15" ht="36" customHeight="1" x14ac:dyDescent="0.2">
      <c r="B228" s="1178"/>
      <c r="C228" s="473" t="s">
        <v>35</v>
      </c>
      <c r="D228" s="1192"/>
      <c r="E228" s="481">
        <f>528.9+3.1-18</f>
        <v>514</v>
      </c>
      <c r="F228" s="871">
        <v>211</v>
      </c>
      <c r="G228" s="871">
        <v>305.5</v>
      </c>
      <c r="H228" s="385">
        <v>205.5</v>
      </c>
      <c r="I228" s="739" t="s">
        <v>242</v>
      </c>
      <c r="J228" s="462" t="s">
        <v>243</v>
      </c>
      <c r="K228" s="462" t="s">
        <v>244</v>
      </c>
      <c r="L228" s="462" t="s">
        <v>238</v>
      </c>
      <c r="M228" s="462" t="s">
        <v>241</v>
      </c>
      <c r="N228" s="663"/>
    </row>
    <row r="229" spans="2:15" ht="28.5" customHeight="1" x14ac:dyDescent="0.2">
      <c r="B229" s="1036" t="s">
        <v>513</v>
      </c>
      <c r="C229" s="1042" t="s">
        <v>512</v>
      </c>
      <c r="D229" s="478"/>
      <c r="E229" s="479"/>
      <c r="F229" s="257"/>
      <c r="G229" s="257"/>
      <c r="H229" s="482"/>
      <c r="I229" s="740"/>
      <c r="J229" s="453"/>
      <c r="K229" s="453"/>
      <c r="L229" s="454"/>
      <c r="M229" s="454"/>
      <c r="N229" s="655"/>
    </row>
    <row r="230" spans="2:15" ht="30" customHeight="1" x14ac:dyDescent="0.2">
      <c r="B230" s="1096"/>
      <c r="C230" s="245" t="s">
        <v>35</v>
      </c>
      <c r="D230" s="260" t="s">
        <v>228</v>
      </c>
      <c r="E230" s="255">
        <f>320-257</f>
        <v>63</v>
      </c>
      <c r="F230" s="254">
        <f>F232+F234</f>
        <v>600</v>
      </c>
      <c r="G230" s="254">
        <f>G232+G234</f>
        <v>6685.4600000000009</v>
      </c>
      <c r="H230" s="835">
        <v>0</v>
      </c>
      <c r="I230" s="741"/>
      <c r="J230" s="453"/>
      <c r="K230" s="453"/>
      <c r="L230" s="483"/>
      <c r="M230" s="484"/>
      <c r="N230" s="655"/>
    </row>
    <row r="231" spans="2:15" ht="39.75" customHeight="1" x14ac:dyDescent="0.2">
      <c r="B231" s="1096"/>
      <c r="C231" s="245" t="s">
        <v>35</v>
      </c>
      <c r="D231" s="261" t="s">
        <v>245</v>
      </c>
      <c r="E231" s="861"/>
      <c r="F231" s="486">
        <f>F238+F240+F236+F237</f>
        <v>60</v>
      </c>
      <c r="G231" s="201">
        <f>G238+G240+G242+G243+F243+G236+G237</f>
        <v>963.3</v>
      </c>
      <c r="H231" s="862">
        <f>H242+H243+H244+H245+H238+H240</f>
        <v>1092.7</v>
      </c>
      <c r="I231" s="741"/>
      <c r="J231" s="453"/>
      <c r="K231" s="453"/>
      <c r="L231" s="484"/>
      <c r="M231" s="483"/>
      <c r="N231" s="742"/>
      <c r="O231" s="1366"/>
    </row>
    <row r="232" spans="2:15" ht="26.25" customHeight="1" x14ac:dyDescent="0.2">
      <c r="B232" s="1096"/>
      <c r="C232" s="1239" t="s">
        <v>246</v>
      </c>
      <c r="D232" s="259"/>
      <c r="E232" s="256">
        <v>31.5</v>
      </c>
      <c r="F232" s="876">
        <f>67.72+5+500+27.28-48.5</f>
        <v>551.5</v>
      </c>
      <c r="G232" s="257">
        <f>3000+18.5-3018.5+3093.9+45.78</f>
        <v>3139.6800000000003</v>
      </c>
      <c r="H232" s="376"/>
      <c r="I232" s="741" t="s">
        <v>247</v>
      </c>
      <c r="J232" s="453"/>
      <c r="K232" s="453" t="s">
        <v>206</v>
      </c>
      <c r="L232" s="454"/>
      <c r="M232" s="454"/>
      <c r="N232" s="655"/>
    </row>
    <row r="233" spans="2:15" ht="18" customHeight="1" x14ac:dyDescent="0.2">
      <c r="B233" s="1096"/>
      <c r="C233" s="1240"/>
      <c r="D233" s="259"/>
      <c r="E233" s="256"/>
      <c r="F233" s="876"/>
      <c r="G233" s="257"/>
      <c r="H233" s="376"/>
      <c r="I233" s="743" t="s">
        <v>248</v>
      </c>
      <c r="J233" s="453"/>
      <c r="K233" s="520" t="s">
        <v>249</v>
      </c>
      <c r="L233" s="453" t="s">
        <v>236</v>
      </c>
      <c r="M233" s="454"/>
      <c r="N233" s="744"/>
    </row>
    <row r="234" spans="2:15" ht="27" customHeight="1" x14ac:dyDescent="0.2">
      <c r="B234" s="1096"/>
      <c r="C234" s="1269" t="s">
        <v>221</v>
      </c>
      <c r="D234" s="258"/>
      <c r="E234" s="496">
        <v>31.5</v>
      </c>
      <c r="F234" s="877">
        <f>67.72+5+500+27.28-551.5</f>
        <v>48.5</v>
      </c>
      <c r="G234" s="497">
        <f>3000+18.5-3018.5+3500+45.78</f>
        <v>3545.78</v>
      </c>
      <c r="H234" s="836"/>
      <c r="I234" s="741" t="s">
        <v>250</v>
      </c>
      <c r="J234" s="453"/>
      <c r="K234" s="520" t="s">
        <v>206</v>
      </c>
      <c r="L234" s="454"/>
      <c r="M234" s="454"/>
      <c r="N234" s="655"/>
    </row>
    <row r="235" spans="2:15" ht="20.25" customHeight="1" x14ac:dyDescent="0.2">
      <c r="B235" s="1096"/>
      <c r="C235" s="1270"/>
      <c r="D235" s="171"/>
      <c r="E235" s="501"/>
      <c r="F235" s="502"/>
      <c r="G235" s="168"/>
      <c r="H235" s="786"/>
      <c r="I235" s="743" t="s">
        <v>251</v>
      </c>
      <c r="J235" s="453"/>
      <c r="K235" s="520" t="s">
        <v>252</v>
      </c>
      <c r="L235" s="453" t="s">
        <v>236</v>
      </c>
      <c r="M235" s="454"/>
      <c r="N235" s="655"/>
    </row>
    <row r="236" spans="2:15" ht="27" customHeight="1" x14ac:dyDescent="0.2">
      <c r="B236" s="1096"/>
      <c r="C236" s="498" t="s">
        <v>253</v>
      </c>
      <c r="D236" s="499"/>
      <c r="E236" s="500"/>
      <c r="F236" s="264">
        <v>30</v>
      </c>
      <c r="G236" s="264">
        <v>280</v>
      </c>
      <c r="H236" s="487"/>
      <c r="I236" s="741" t="s">
        <v>254</v>
      </c>
      <c r="J236" s="453"/>
      <c r="K236" s="453"/>
      <c r="L236" s="453" t="s">
        <v>206</v>
      </c>
      <c r="M236" s="52"/>
      <c r="N236" s="745"/>
    </row>
    <row r="237" spans="2:15" ht="27.75" customHeight="1" x14ac:dyDescent="0.2">
      <c r="B237" s="1096"/>
      <c r="C237" s="262" t="s">
        <v>255</v>
      </c>
      <c r="D237" s="259"/>
      <c r="E237" s="244"/>
      <c r="F237" s="265">
        <v>30</v>
      </c>
      <c r="G237" s="265">
        <v>280</v>
      </c>
      <c r="H237" s="164"/>
      <c r="I237" s="741" t="s">
        <v>256</v>
      </c>
      <c r="J237" s="453"/>
      <c r="K237" s="453"/>
      <c r="L237" s="453" t="s">
        <v>206</v>
      </c>
      <c r="M237" s="485"/>
      <c r="N237" s="745"/>
    </row>
    <row r="238" spans="2:15" ht="27" customHeight="1" x14ac:dyDescent="0.2">
      <c r="B238" s="1096"/>
      <c r="C238" s="1239" t="s">
        <v>257</v>
      </c>
      <c r="D238" s="259"/>
      <c r="E238" s="246"/>
      <c r="F238" s="201"/>
      <c r="G238" s="201">
        <v>208.5</v>
      </c>
      <c r="H238" s="486">
        <f>208.5+2.5</f>
        <v>211</v>
      </c>
      <c r="I238" s="741" t="s">
        <v>258</v>
      </c>
      <c r="J238" s="453"/>
      <c r="K238" s="453"/>
      <c r="L238" s="483"/>
      <c r="M238" s="483">
        <v>1</v>
      </c>
      <c r="N238" s="655"/>
    </row>
    <row r="239" spans="2:15" ht="29.25" customHeight="1" x14ac:dyDescent="0.2">
      <c r="B239" s="1096"/>
      <c r="C239" s="1240"/>
      <c r="D239" s="259"/>
      <c r="E239" s="246"/>
      <c r="F239" s="201"/>
      <c r="G239" s="201"/>
      <c r="H239" s="486"/>
      <c r="I239" s="881" t="s">
        <v>259</v>
      </c>
      <c r="J239" s="520"/>
      <c r="K239" s="520"/>
      <c r="L239" s="520"/>
      <c r="M239" s="520" t="s">
        <v>260</v>
      </c>
      <c r="N239" s="655"/>
    </row>
    <row r="240" spans="2:15" ht="27.75" customHeight="1" x14ac:dyDescent="0.2">
      <c r="B240" s="1096"/>
      <c r="C240" s="1239" t="s">
        <v>261</v>
      </c>
      <c r="D240" s="259"/>
      <c r="E240" s="246"/>
      <c r="F240" s="201"/>
      <c r="G240" s="201">
        <v>194.8</v>
      </c>
      <c r="H240" s="486">
        <f>194.9+2.5</f>
        <v>197.4</v>
      </c>
      <c r="I240" s="882" t="s">
        <v>262</v>
      </c>
      <c r="J240" s="520"/>
      <c r="K240" s="520"/>
      <c r="L240" s="483"/>
      <c r="M240" s="483">
        <v>1</v>
      </c>
      <c r="N240" s="655"/>
    </row>
    <row r="241" spans="2:15" ht="21" customHeight="1" x14ac:dyDescent="0.2">
      <c r="B241" s="1096"/>
      <c r="C241" s="1240"/>
      <c r="D241" s="259"/>
      <c r="E241" s="246"/>
      <c r="F241" s="201"/>
      <c r="G241" s="201"/>
      <c r="H241" s="486"/>
      <c r="I241" s="881" t="s">
        <v>263</v>
      </c>
      <c r="J241" s="520"/>
      <c r="K241" s="520"/>
      <c r="L241" s="520"/>
      <c r="M241" s="520" t="s">
        <v>260</v>
      </c>
      <c r="N241" s="655"/>
    </row>
    <row r="242" spans="2:15" ht="29.25" customHeight="1" x14ac:dyDescent="0.2">
      <c r="B242" s="1096"/>
      <c r="C242" s="245" t="s">
        <v>264</v>
      </c>
      <c r="D242" s="259"/>
      <c r="E242" s="246"/>
      <c r="F242" s="201"/>
      <c r="G242" s="201"/>
      <c r="H242" s="378">
        <f>93.7+5-98.7+93.7+2.5</f>
        <v>96.2</v>
      </c>
      <c r="I242" s="741" t="s">
        <v>265</v>
      </c>
      <c r="J242" s="453"/>
      <c r="K242" s="453"/>
      <c r="L242" s="484"/>
      <c r="M242" s="483"/>
      <c r="N242" s="742"/>
    </row>
    <row r="243" spans="2:15" ht="31.5" customHeight="1" x14ac:dyDescent="0.2">
      <c r="B243" s="1096"/>
      <c r="C243" s="245" t="s">
        <v>266</v>
      </c>
      <c r="D243" s="259"/>
      <c r="E243" s="246"/>
      <c r="F243" s="201"/>
      <c r="G243" s="201"/>
      <c r="H243" s="486">
        <f>185.6+2.5</f>
        <v>188.1</v>
      </c>
      <c r="I243" s="741" t="s">
        <v>267</v>
      </c>
      <c r="J243" s="453"/>
      <c r="K243" s="453"/>
      <c r="L243" s="484"/>
      <c r="M243" s="483"/>
      <c r="N243" s="742"/>
    </row>
    <row r="244" spans="2:15" ht="30.75" customHeight="1" x14ac:dyDescent="0.2">
      <c r="B244" s="1096"/>
      <c r="C244" s="245" t="s">
        <v>268</v>
      </c>
      <c r="D244" s="259"/>
      <c r="E244" s="247"/>
      <c r="F244" s="199"/>
      <c r="G244" s="199"/>
      <c r="H244" s="487">
        <v>200</v>
      </c>
      <c r="I244" s="741" t="s">
        <v>269</v>
      </c>
      <c r="J244" s="453"/>
      <c r="K244" s="453"/>
      <c r="L244" s="454"/>
      <c r="M244" s="454"/>
      <c r="N244" s="655"/>
    </row>
    <row r="245" spans="2:15" ht="32.25" customHeight="1" x14ac:dyDescent="0.2">
      <c r="B245" s="1095"/>
      <c r="C245" s="490" t="s">
        <v>270</v>
      </c>
      <c r="D245" s="491"/>
      <c r="E245" s="492"/>
      <c r="F245" s="327"/>
      <c r="G245" s="327"/>
      <c r="H245" s="493">
        <v>200</v>
      </c>
      <c r="I245" s="739" t="s">
        <v>271</v>
      </c>
      <c r="J245" s="462"/>
      <c r="K245" s="462"/>
      <c r="L245" s="477"/>
      <c r="M245" s="477"/>
      <c r="N245" s="663"/>
    </row>
    <row r="246" spans="2:15" ht="30.6" customHeight="1" x14ac:dyDescent="0.2">
      <c r="B246" s="1039"/>
      <c r="C246" s="91" t="s">
        <v>272</v>
      </c>
      <c r="D246" s="251"/>
      <c r="E246" s="488"/>
      <c r="F246" s="489"/>
      <c r="G246" s="489"/>
      <c r="H246" s="837"/>
      <c r="I246" s="666"/>
      <c r="J246" s="320"/>
      <c r="K246" s="320"/>
      <c r="L246" s="320"/>
      <c r="M246" s="320"/>
      <c r="N246" s="667"/>
    </row>
    <row r="247" spans="2:15" ht="60" customHeight="1" x14ac:dyDescent="0.2">
      <c r="B247" s="1257"/>
      <c r="C247" s="39" t="s">
        <v>273</v>
      </c>
      <c r="D247" s="1290" t="s">
        <v>68</v>
      </c>
      <c r="E247" s="129"/>
      <c r="F247" s="29"/>
      <c r="G247" s="29"/>
      <c r="H247" s="786"/>
      <c r="I247" s="658"/>
      <c r="J247" s="282"/>
      <c r="K247" s="282"/>
      <c r="L247" s="282"/>
      <c r="M247" s="282"/>
      <c r="N247" s="659"/>
    </row>
    <row r="248" spans="2:15" ht="31.15" customHeight="1" x14ac:dyDescent="0.2">
      <c r="B248" s="1194"/>
      <c r="C248" s="37" t="s">
        <v>66</v>
      </c>
      <c r="D248" s="1235"/>
      <c r="E248" s="129"/>
      <c r="F248" s="29"/>
      <c r="G248" s="29"/>
      <c r="H248" s="786"/>
      <c r="I248" s="658"/>
      <c r="J248" s="282"/>
      <c r="K248" s="282"/>
      <c r="L248" s="282"/>
      <c r="M248" s="282"/>
      <c r="N248" s="659"/>
    </row>
    <row r="249" spans="2:15" ht="24.75" customHeight="1" thickBot="1" x14ac:dyDescent="0.25">
      <c r="B249" s="1195"/>
      <c r="C249" s="308" t="s">
        <v>42</v>
      </c>
      <c r="D249" s="1175"/>
      <c r="E249" s="494">
        <f>85-5.7-60.9</f>
        <v>18.399999999999999</v>
      </c>
      <c r="F249" s="309"/>
      <c r="G249" s="309"/>
      <c r="H249" s="493"/>
      <c r="I249" s="739" t="s">
        <v>274</v>
      </c>
      <c r="J249" s="462" t="s">
        <v>236</v>
      </c>
      <c r="K249" s="462"/>
      <c r="L249" s="462"/>
      <c r="M249" s="462"/>
      <c r="N249" s="746" t="s">
        <v>230</v>
      </c>
    </row>
    <row r="250" spans="2:15" ht="30.6" customHeight="1" x14ac:dyDescent="0.2">
      <c r="B250" s="1116"/>
      <c r="C250" s="91" t="s">
        <v>275</v>
      </c>
      <c r="D250" s="320"/>
      <c r="E250" s="51"/>
      <c r="F250" s="32"/>
      <c r="G250" s="32"/>
      <c r="H250" s="487"/>
      <c r="I250" s="666"/>
      <c r="J250" s="320"/>
      <c r="K250" s="320"/>
      <c r="L250" s="320"/>
      <c r="M250" s="320"/>
      <c r="N250" s="667"/>
    </row>
    <row r="251" spans="2:15" ht="36.75" customHeight="1" x14ac:dyDescent="0.2">
      <c r="B251" s="1257" t="s">
        <v>511</v>
      </c>
      <c r="C251" s="1040" t="s">
        <v>510</v>
      </c>
      <c r="D251" s="1266" t="s">
        <v>228</v>
      </c>
      <c r="E251" s="129"/>
      <c r="F251" s="29"/>
      <c r="G251" s="29"/>
      <c r="H251" s="786"/>
      <c r="I251" s="670"/>
      <c r="J251" s="282"/>
      <c r="K251" s="282"/>
      <c r="L251" s="282"/>
      <c r="M251" s="282"/>
      <c r="N251" s="747" t="s">
        <v>230</v>
      </c>
    </row>
    <row r="252" spans="2:15" ht="28.5" customHeight="1" x14ac:dyDescent="0.2">
      <c r="B252" s="1194"/>
      <c r="C252" s="37" t="s">
        <v>35</v>
      </c>
      <c r="D252" s="1267"/>
      <c r="E252" s="40">
        <f>SUM(E254:E259)</f>
        <v>1163.8</v>
      </c>
      <c r="F252" s="29">
        <f>SUM(F254:F259)</f>
        <v>646.59</v>
      </c>
      <c r="G252" s="29">
        <f>SUM(G254:G259)</f>
        <v>4593</v>
      </c>
      <c r="H252" s="786">
        <f>SUM(H254:H259)</f>
        <v>2479.48</v>
      </c>
      <c r="I252" s="658"/>
      <c r="J252" s="282"/>
      <c r="K252" s="282"/>
      <c r="L252" s="282"/>
      <c r="M252" s="282"/>
      <c r="N252" s="659"/>
    </row>
    <row r="253" spans="2:15" ht="18" customHeight="1" x14ac:dyDescent="0.2">
      <c r="B253" s="1194"/>
      <c r="C253" s="41" t="s">
        <v>42</v>
      </c>
      <c r="D253" s="1267"/>
      <c r="E253" s="129"/>
      <c r="F253" s="29"/>
      <c r="G253" s="29"/>
      <c r="H253" s="786"/>
      <c r="I253" s="875" t="s">
        <v>218</v>
      </c>
      <c r="J253" s="282"/>
      <c r="K253" s="874">
        <v>5</v>
      </c>
      <c r="L253" s="282"/>
      <c r="M253" s="282"/>
      <c r="N253" s="659"/>
      <c r="O253" s="1367"/>
    </row>
    <row r="254" spans="2:15" ht="21" customHeight="1" x14ac:dyDescent="0.2">
      <c r="B254" s="1279"/>
      <c r="C254" s="88" t="s">
        <v>276</v>
      </c>
      <c r="D254" s="1267"/>
      <c r="E254" s="129">
        <v>763.8</v>
      </c>
      <c r="F254" s="50"/>
      <c r="G254" s="29"/>
      <c r="H254" s="786"/>
      <c r="I254" s="748" t="s">
        <v>277</v>
      </c>
      <c r="J254" s="453" t="s">
        <v>236</v>
      </c>
      <c r="K254" s="453"/>
      <c r="L254" s="453"/>
      <c r="M254" s="453"/>
      <c r="N254" s="706"/>
    </row>
    <row r="255" spans="2:15" ht="21.75" customHeight="1" x14ac:dyDescent="0.2">
      <c r="B255" s="1279"/>
      <c r="C255" s="89" t="s">
        <v>278</v>
      </c>
      <c r="D255" s="1267"/>
      <c r="E255" s="200">
        <v>50</v>
      </c>
      <c r="F255" s="878">
        <f>38+2.9</f>
        <v>40.9</v>
      </c>
      <c r="G255" s="879">
        <f>500+7.5-507.5</f>
        <v>0</v>
      </c>
      <c r="H255" s="789">
        <f>600+10+5.44-615.4+1100+11.7+5.5+30.6</f>
        <v>1147.8399999999999</v>
      </c>
      <c r="I255" s="748" t="s">
        <v>279</v>
      </c>
      <c r="J255" s="453"/>
      <c r="K255" s="520"/>
      <c r="L255" s="520"/>
      <c r="M255" s="453" t="s">
        <v>236</v>
      </c>
      <c r="N255" s="749"/>
    </row>
    <row r="256" spans="2:15" ht="21.75" customHeight="1" x14ac:dyDescent="0.2">
      <c r="B256" s="1279"/>
      <c r="C256" s="88" t="s">
        <v>280</v>
      </c>
      <c r="D256" s="1267"/>
      <c r="E256" s="200">
        <v>50</v>
      </c>
      <c r="F256" s="878">
        <f>38+2.9</f>
        <v>40.9</v>
      </c>
      <c r="G256" s="879">
        <f>500+7.5-507.5</f>
        <v>0</v>
      </c>
      <c r="H256" s="789">
        <f>600+10+5.44-615.4+1100+11.7+5.4+30.6</f>
        <v>1147.74</v>
      </c>
      <c r="I256" s="748" t="s">
        <v>281</v>
      </c>
      <c r="J256" s="453"/>
      <c r="K256" s="520"/>
      <c r="L256" s="520"/>
      <c r="M256" s="453" t="s">
        <v>236</v>
      </c>
      <c r="N256" s="749"/>
    </row>
    <row r="257" spans="2:15" ht="19.5" customHeight="1" x14ac:dyDescent="0.2">
      <c r="B257" s="1279"/>
      <c r="C257" s="884" t="s">
        <v>282</v>
      </c>
      <c r="D257" s="1267"/>
      <c r="E257" s="129">
        <v>100</v>
      </c>
      <c r="F257" s="345">
        <f>87.5+1000+4.83+7.5-500-599.8+75+2.9</f>
        <v>77.929999999999978</v>
      </c>
      <c r="G257" s="40">
        <f>500+12.1+500-1012.1+1500+5+12</f>
        <v>1517</v>
      </c>
      <c r="H257" s="789"/>
      <c r="I257" s="748" t="s">
        <v>283</v>
      </c>
      <c r="J257" s="520"/>
      <c r="K257" s="520"/>
      <c r="L257" s="520" t="s">
        <v>236</v>
      </c>
      <c r="M257" s="453"/>
      <c r="N257" s="706"/>
      <c r="O257" s="1368"/>
    </row>
    <row r="258" spans="2:15" ht="27" customHeight="1" x14ac:dyDescent="0.2">
      <c r="B258" s="1279"/>
      <c r="C258" s="88" t="s">
        <v>284</v>
      </c>
      <c r="D258" s="1267"/>
      <c r="E258" s="129">
        <v>100</v>
      </c>
      <c r="F258" s="880">
        <f>10.4+4.83-15.2+75+2.9</f>
        <v>77.930000000000007</v>
      </c>
      <c r="G258" s="40">
        <f>500-500+870.5+14.4+5</f>
        <v>889.9</v>
      </c>
      <c r="H258" s="789">
        <f>500+12.1+91.9-604+129.6+11.6+12.1+30.6</f>
        <v>183.89999999999998</v>
      </c>
      <c r="I258" s="748" t="s">
        <v>285</v>
      </c>
      <c r="J258" s="453"/>
      <c r="K258" s="520"/>
      <c r="L258" s="520" t="s">
        <v>286</v>
      </c>
      <c r="M258" s="453" t="s">
        <v>236</v>
      </c>
      <c r="N258" s="749"/>
      <c r="O258" s="1368"/>
    </row>
    <row r="259" spans="2:15" ht="17.25" customHeight="1" x14ac:dyDescent="0.2">
      <c r="B259" s="1325"/>
      <c r="C259" s="503" t="s">
        <v>287</v>
      </c>
      <c r="D259" s="1268"/>
      <c r="E259" s="461">
        <v>100</v>
      </c>
      <c r="F259" s="348">
        <f>18.9+1253.7+4.83+7.5-653.6-82.9-139.5</f>
        <v>408.93000000000006</v>
      </c>
      <c r="G259" s="495">
        <f>1246.4+12.1+14.4+653.6-1926.5+2029.5+12.1+5+139.5</f>
        <v>2186.1</v>
      </c>
      <c r="H259" s="839"/>
      <c r="I259" s="750" t="s">
        <v>288</v>
      </c>
      <c r="J259" s="462"/>
      <c r="K259" s="883" t="s">
        <v>289</v>
      </c>
      <c r="L259" s="883" t="s">
        <v>236</v>
      </c>
      <c r="M259" s="462"/>
      <c r="N259" s="751"/>
      <c r="O259" s="1368"/>
    </row>
    <row r="260" spans="2:15" ht="57" customHeight="1" x14ac:dyDescent="0.2">
      <c r="B260" s="1176" t="s">
        <v>509</v>
      </c>
      <c r="C260" s="307" t="s">
        <v>290</v>
      </c>
      <c r="D260" s="1230" t="s">
        <v>228</v>
      </c>
      <c r="E260" s="504"/>
      <c r="F260" s="471"/>
      <c r="G260" s="471"/>
      <c r="H260" s="517"/>
      <c r="I260" s="752" t="s">
        <v>291</v>
      </c>
      <c r="J260" s="505" t="s">
        <v>292</v>
      </c>
      <c r="K260" s="505" t="s">
        <v>236</v>
      </c>
      <c r="L260" s="505"/>
      <c r="M260" s="505"/>
      <c r="N260" s="735" t="s">
        <v>230</v>
      </c>
    </row>
    <row r="261" spans="2:15" ht="28.9" customHeight="1" x14ac:dyDescent="0.2">
      <c r="B261" s="1177"/>
      <c r="C261" s="37" t="s">
        <v>35</v>
      </c>
      <c r="D261" s="1231"/>
      <c r="E261" s="129">
        <f>1106.1-192.4</f>
        <v>913.69999999999993</v>
      </c>
      <c r="F261" s="40">
        <f>885-885+647.6-198.2</f>
        <v>449.40000000000003</v>
      </c>
      <c r="G261" s="29"/>
      <c r="H261" s="786"/>
      <c r="I261" s="658"/>
      <c r="J261" s="282"/>
      <c r="K261" s="282"/>
      <c r="L261" s="282"/>
      <c r="M261" s="282"/>
      <c r="N261" s="659"/>
    </row>
    <row r="262" spans="2:15" ht="18" customHeight="1" x14ac:dyDescent="0.2">
      <c r="B262" s="1177"/>
      <c r="C262" s="37" t="s">
        <v>232</v>
      </c>
      <c r="D262" s="1231"/>
      <c r="E262" s="29">
        <v>4217.3999999999996</v>
      </c>
      <c r="F262" s="29"/>
      <c r="G262" s="29"/>
      <c r="H262" s="786"/>
      <c r="I262" s="658"/>
      <c r="J262" s="282"/>
      <c r="K262" s="282"/>
      <c r="L262" s="282"/>
      <c r="M262" s="282"/>
      <c r="N262" s="659"/>
    </row>
    <row r="263" spans="2:15" ht="19.149999999999999" customHeight="1" thickBot="1" x14ac:dyDescent="0.25">
      <c r="B263" s="1258"/>
      <c r="C263" s="308" t="s">
        <v>42</v>
      </c>
      <c r="D263" s="1217"/>
      <c r="E263" s="461"/>
      <c r="F263" s="309"/>
      <c r="G263" s="309"/>
      <c r="H263" s="493"/>
      <c r="I263" s="671"/>
      <c r="J263" s="328"/>
      <c r="K263" s="328"/>
      <c r="L263" s="328"/>
      <c r="M263" s="328"/>
      <c r="N263" s="672"/>
    </row>
    <row r="264" spans="2:15" ht="46.5" customHeight="1" x14ac:dyDescent="0.2">
      <c r="B264" s="1257" t="s">
        <v>508</v>
      </c>
      <c r="C264" s="91" t="s">
        <v>293</v>
      </c>
      <c r="D264" s="1329" t="s">
        <v>294</v>
      </c>
      <c r="E264" s="51"/>
      <c r="F264" s="32"/>
      <c r="G264" s="32"/>
      <c r="H264" s="487"/>
      <c r="I264" s="710" t="s">
        <v>295</v>
      </c>
      <c r="J264" s="416">
        <v>0</v>
      </c>
      <c r="K264" s="416">
        <v>1</v>
      </c>
      <c r="L264" s="416"/>
      <c r="M264" s="416"/>
      <c r="N264" s="753" t="s">
        <v>230</v>
      </c>
    </row>
    <row r="265" spans="2:15" ht="27" customHeight="1" x14ac:dyDescent="0.2">
      <c r="B265" s="1194"/>
      <c r="C265" s="37" t="s">
        <v>35</v>
      </c>
      <c r="D265" s="1205"/>
      <c r="E265" s="144">
        <f>263-138.3</f>
        <v>124.69999999999999</v>
      </c>
      <c r="F265" s="29">
        <v>242.9</v>
      </c>
      <c r="G265" s="29">
        <v>802.6</v>
      </c>
      <c r="H265" s="786">
        <v>1129.0999999999999</v>
      </c>
      <c r="I265" s="754" t="s">
        <v>231</v>
      </c>
      <c r="J265" s="415">
        <v>0</v>
      </c>
      <c r="K265" s="415">
        <v>12</v>
      </c>
      <c r="L265" s="415">
        <v>66</v>
      </c>
      <c r="M265" s="415">
        <v>100</v>
      </c>
      <c r="N265" s="755" t="s">
        <v>127</v>
      </c>
    </row>
    <row r="266" spans="2:15" ht="63.75" customHeight="1" x14ac:dyDescent="0.2">
      <c r="B266" s="1028"/>
      <c r="C266" s="174" t="s">
        <v>42</v>
      </c>
      <c r="D266" s="1205"/>
      <c r="E266" s="144">
        <v>5.7</v>
      </c>
      <c r="F266" s="29"/>
      <c r="G266" s="29"/>
      <c r="H266" s="786"/>
      <c r="I266" s="754" t="s">
        <v>296</v>
      </c>
      <c r="J266" s="415"/>
      <c r="K266" s="415"/>
      <c r="L266" s="415"/>
      <c r="M266" s="506">
        <v>1068</v>
      </c>
      <c r="N266" s="755"/>
    </row>
    <row r="267" spans="2:15" ht="36" customHeight="1" x14ac:dyDescent="0.2">
      <c r="B267" s="1028"/>
      <c r="C267" s="37" t="s">
        <v>232</v>
      </c>
      <c r="D267" s="1205"/>
      <c r="E267" s="129"/>
      <c r="F267" s="29"/>
      <c r="G267" s="29"/>
      <c r="H267" s="786"/>
      <c r="I267" s="754" t="s">
        <v>297</v>
      </c>
      <c r="J267" s="415"/>
      <c r="K267" s="415"/>
      <c r="L267" s="415"/>
      <c r="M267" s="507">
        <v>41800</v>
      </c>
      <c r="N267" s="755"/>
    </row>
    <row r="268" spans="2:15" ht="20.25" customHeight="1" thickBot="1" x14ac:dyDescent="0.25">
      <c r="B268" s="985"/>
      <c r="C268" s="508" t="s">
        <v>128</v>
      </c>
      <c r="D268" s="1327"/>
      <c r="E268" s="461"/>
      <c r="F268" s="309">
        <v>650</v>
      </c>
      <c r="G268" s="309">
        <v>2750</v>
      </c>
      <c r="H268" s="493">
        <v>1761.8</v>
      </c>
      <c r="I268" s="671"/>
      <c r="J268" s="328"/>
      <c r="K268" s="328"/>
      <c r="L268" s="328"/>
      <c r="M268" s="328"/>
      <c r="N268" s="672"/>
    </row>
    <row r="269" spans="2:15" ht="19.899999999999999" customHeight="1" x14ac:dyDescent="0.2">
      <c r="B269" s="1223"/>
      <c r="C269" s="510" t="s">
        <v>298</v>
      </c>
      <c r="D269" s="511"/>
      <c r="E269" s="504"/>
      <c r="F269" s="471"/>
      <c r="G269" s="471"/>
      <c r="H269" s="517"/>
      <c r="I269" s="675"/>
      <c r="J269" s="335"/>
      <c r="K269" s="335"/>
      <c r="L269" s="335"/>
      <c r="M269" s="335"/>
      <c r="N269" s="676"/>
    </row>
    <row r="270" spans="2:15" ht="45" customHeight="1" x14ac:dyDescent="0.2">
      <c r="B270" s="1177"/>
      <c r="C270" s="1038" t="s">
        <v>507</v>
      </c>
      <c r="D270" s="1328" t="s">
        <v>245</v>
      </c>
      <c r="E270" s="145"/>
      <c r="F270" s="50"/>
      <c r="G270" s="50"/>
      <c r="H270" s="164"/>
      <c r="I270" s="756" t="s">
        <v>295</v>
      </c>
      <c r="J270" s="416"/>
      <c r="K270" s="416"/>
      <c r="L270" s="416"/>
      <c r="M270" s="509"/>
      <c r="N270" s="655"/>
    </row>
    <row r="271" spans="2:15" ht="30.6" customHeight="1" thickBot="1" x14ac:dyDescent="0.25">
      <c r="B271" s="1178"/>
      <c r="C271" s="308" t="s">
        <v>35</v>
      </c>
      <c r="D271" s="1327"/>
      <c r="E271" s="512">
        <f>60-38.6</f>
        <v>21.4</v>
      </c>
      <c r="F271" s="513"/>
      <c r="G271" s="514"/>
      <c r="H271" s="838"/>
      <c r="I271" s="739" t="s">
        <v>291</v>
      </c>
      <c r="J271" s="468"/>
      <c r="K271" s="468"/>
      <c r="L271" s="468"/>
      <c r="M271" s="468"/>
      <c r="N271" s="663"/>
    </row>
    <row r="272" spans="2:15" ht="35.25" customHeight="1" x14ac:dyDescent="0.2">
      <c r="B272" s="1117"/>
      <c r="C272" s="91" t="s">
        <v>299</v>
      </c>
      <c r="D272" s="170"/>
      <c r="E272" s="51"/>
      <c r="F272" s="32"/>
      <c r="G272" s="32"/>
      <c r="H272" s="487"/>
      <c r="I272" s="666"/>
      <c r="J272" s="320"/>
      <c r="K272" s="320"/>
      <c r="L272" s="320"/>
      <c r="M272" s="320"/>
      <c r="N272" s="667"/>
    </row>
    <row r="273" spans="2:14" ht="43.9" customHeight="1" x14ac:dyDescent="0.2">
      <c r="B273" s="1176" t="s">
        <v>504</v>
      </c>
      <c r="C273" s="36" t="s">
        <v>300</v>
      </c>
      <c r="D273" s="1244" t="s">
        <v>228</v>
      </c>
      <c r="E273" s="129"/>
      <c r="F273" s="29"/>
      <c r="G273" s="29"/>
      <c r="H273" s="786"/>
      <c r="I273" s="743" t="s">
        <v>291</v>
      </c>
      <c r="J273" s="453" t="s">
        <v>301</v>
      </c>
      <c r="K273" s="453" t="s">
        <v>236</v>
      </c>
      <c r="L273" s="453"/>
      <c r="M273" s="453"/>
      <c r="N273" s="729" t="s">
        <v>230</v>
      </c>
    </row>
    <row r="274" spans="2:14" ht="28.5" customHeight="1" x14ac:dyDescent="0.2">
      <c r="B274" s="1177"/>
      <c r="C274" s="37" t="s">
        <v>35</v>
      </c>
      <c r="D274" s="1204"/>
      <c r="E274" s="191">
        <f>311.6+18-329.6</f>
        <v>0</v>
      </c>
      <c r="F274" s="40">
        <f>772.5+73.3</f>
        <v>845.8</v>
      </c>
      <c r="G274" s="29"/>
      <c r="H274" s="786"/>
      <c r="I274" s="658"/>
      <c r="J274" s="282"/>
      <c r="K274" s="282"/>
      <c r="L274" s="282"/>
      <c r="M274" s="282"/>
      <c r="N274" s="659"/>
    </row>
    <row r="275" spans="2:14" ht="17.45" customHeight="1" x14ac:dyDescent="0.2">
      <c r="B275" s="1178"/>
      <c r="C275" s="308" t="s">
        <v>42</v>
      </c>
      <c r="D275" s="1192"/>
      <c r="E275" s="515">
        <f>2992.5+60.9+150-300.4</f>
        <v>2903</v>
      </c>
      <c r="F275" s="309"/>
      <c r="G275" s="309"/>
      <c r="H275" s="493"/>
      <c r="I275" s="671"/>
      <c r="J275" s="328"/>
      <c r="K275" s="328"/>
      <c r="L275" s="328"/>
      <c r="M275" s="328"/>
      <c r="N275" s="672"/>
    </row>
    <row r="276" spans="2:14" ht="43.5" customHeight="1" x14ac:dyDescent="0.2">
      <c r="B276" s="1223" t="s">
        <v>505</v>
      </c>
      <c r="C276" s="307" t="s">
        <v>302</v>
      </c>
      <c r="D276" s="1326" t="s">
        <v>245</v>
      </c>
      <c r="E276" s="504"/>
      <c r="F276" s="471"/>
      <c r="G276" s="471"/>
      <c r="H276" s="517"/>
      <c r="I276" s="872" t="s">
        <v>295</v>
      </c>
      <c r="J276" s="873"/>
      <c r="K276" s="873"/>
      <c r="L276" s="873" t="s">
        <v>206</v>
      </c>
      <c r="M276" s="873"/>
      <c r="N276" s="676"/>
    </row>
    <row r="277" spans="2:14" ht="29.25" customHeight="1" thickBot="1" x14ac:dyDescent="0.25">
      <c r="B277" s="1178"/>
      <c r="C277" s="308" t="s">
        <v>35</v>
      </c>
      <c r="D277" s="1327"/>
      <c r="E277" s="494">
        <f>50-35+15</f>
        <v>30</v>
      </c>
      <c r="F277" s="309">
        <v>89</v>
      </c>
      <c r="G277" s="309">
        <v>25</v>
      </c>
      <c r="H277" s="839"/>
      <c r="I277" s="739"/>
      <c r="J277" s="462"/>
      <c r="K277" s="462"/>
      <c r="L277" s="462"/>
      <c r="M277" s="462"/>
      <c r="N277" s="746"/>
    </row>
    <row r="278" spans="2:14" ht="57" customHeight="1" x14ac:dyDescent="0.2">
      <c r="B278" s="1223" t="s">
        <v>506</v>
      </c>
      <c r="C278" s="516" t="s">
        <v>303</v>
      </c>
      <c r="D278" s="1230" t="s">
        <v>203</v>
      </c>
      <c r="E278" s="504"/>
      <c r="F278" s="471"/>
      <c r="G278" s="471"/>
      <c r="H278" s="517"/>
      <c r="I278" s="1035" t="s">
        <v>304</v>
      </c>
      <c r="J278" s="863"/>
      <c r="K278" s="863"/>
      <c r="L278" s="868"/>
      <c r="M278" s="863"/>
      <c r="N278" s="864"/>
    </row>
    <row r="279" spans="2:14" ht="29.25" customHeight="1" thickBot="1" x14ac:dyDescent="0.25">
      <c r="B279" s="1178"/>
      <c r="C279" s="518" t="s">
        <v>35</v>
      </c>
      <c r="D279" s="1217"/>
      <c r="E279" s="461"/>
      <c r="F279" s="309"/>
      <c r="G279" s="309"/>
      <c r="H279" s="493"/>
      <c r="I279" s="865"/>
      <c r="J279" s="866"/>
      <c r="K279" s="866"/>
      <c r="L279" s="866"/>
      <c r="M279" s="866"/>
      <c r="N279" s="867"/>
    </row>
    <row r="280" spans="2:14" ht="22.5" customHeight="1" x14ac:dyDescent="0.2">
      <c r="B280" s="1194" t="s">
        <v>305</v>
      </c>
      <c r="C280" s="1029" t="s">
        <v>306</v>
      </c>
      <c r="D280" s="1231" t="s">
        <v>67</v>
      </c>
      <c r="E280" s="51"/>
      <c r="F280" s="32"/>
      <c r="G280" s="32"/>
      <c r="H280" s="487"/>
      <c r="I280" s="1031" t="s">
        <v>307</v>
      </c>
      <c r="J280" s="1032"/>
      <c r="K280" s="1033">
        <f>3-1</f>
        <v>2</v>
      </c>
      <c r="L280" s="519">
        <f>1</f>
        <v>1</v>
      </c>
      <c r="M280" s="453" t="s">
        <v>308</v>
      </c>
      <c r="N280" s="729"/>
    </row>
    <row r="281" spans="2:14" ht="29.25" customHeight="1" x14ac:dyDescent="0.2">
      <c r="B281" s="1194"/>
      <c r="C281" s="1030" t="s">
        <v>35</v>
      </c>
      <c r="D281" s="1231"/>
      <c r="E281" s="145"/>
      <c r="F281" s="50">
        <f>971-250-80</f>
        <v>641</v>
      </c>
      <c r="G281" s="239">
        <f>607+250-600-4</f>
        <v>253</v>
      </c>
      <c r="H281" s="164">
        <f>607+300</f>
        <v>907</v>
      </c>
      <c r="I281" s="1031" t="s">
        <v>309</v>
      </c>
      <c r="J281" s="1032"/>
      <c r="K281" s="1034" t="s">
        <v>215</v>
      </c>
      <c r="L281" s="520"/>
      <c r="M281" s="453"/>
      <c r="N281" s="729"/>
    </row>
    <row r="282" spans="2:14" ht="14.25" customHeight="1" x14ac:dyDescent="0.2">
      <c r="B282" s="1041"/>
      <c r="C282" s="249" t="s">
        <v>310</v>
      </c>
      <c r="D282" s="250"/>
      <c r="E282" s="145"/>
      <c r="F282" s="239">
        <v>17</v>
      </c>
      <c r="G282" s="239"/>
      <c r="H282" s="164"/>
      <c r="I282" s="658"/>
      <c r="J282" s="282"/>
      <c r="K282" s="282"/>
      <c r="L282" s="282"/>
      <c r="M282" s="282"/>
      <c r="N282" s="659"/>
    </row>
    <row r="283" spans="2:14" ht="14.25" customHeight="1" x14ac:dyDescent="0.2">
      <c r="B283" s="1041"/>
      <c r="C283" s="249" t="s">
        <v>311</v>
      </c>
      <c r="D283" s="250"/>
      <c r="E283" s="145"/>
      <c r="F283" s="239">
        <v>350</v>
      </c>
      <c r="G283" s="239"/>
      <c r="H283" s="164"/>
      <c r="I283" s="658"/>
      <c r="J283" s="282"/>
      <c r="K283" s="282"/>
      <c r="L283" s="282"/>
      <c r="M283" s="282"/>
      <c r="N283" s="659"/>
    </row>
    <row r="284" spans="2:14" ht="18" customHeight="1" x14ac:dyDescent="0.2">
      <c r="B284" s="1041"/>
      <c r="C284" s="249" t="s">
        <v>312</v>
      </c>
      <c r="D284" s="250"/>
      <c r="E284" s="145"/>
      <c r="F284" s="239">
        <f>350-250</f>
        <v>100</v>
      </c>
      <c r="G284" s="239">
        <f>0+250</f>
        <v>250</v>
      </c>
      <c r="H284" s="164"/>
      <c r="I284" s="757"/>
      <c r="J284" s="282"/>
      <c r="K284" s="282"/>
      <c r="L284" s="282"/>
      <c r="M284" s="282"/>
      <c r="N284" s="659"/>
    </row>
    <row r="285" spans="2:14" ht="14.25" customHeight="1" x14ac:dyDescent="0.2">
      <c r="B285" s="1041"/>
      <c r="C285" s="249" t="s">
        <v>313</v>
      </c>
      <c r="D285" s="250"/>
      <c r="E285" s="145"/>
      <c r="F285" s="50">
        <v>80</v>
      </c>
      <c r="G285" s="50"/>
      <c r="H285" s="164"/>
      <c r="I285" s="658"/>
      <c r="J285" s="282"/>
      <c r="K285" s="282"/>
      <c r="L285" s="282"/>
      <c r="M285" s="282"/>
      <c r="N285" s="659"/>
    </row>
    <row r="286" spans="2:14" ht="14.25" customHeight="1" x14ac:dyDescent="0.2">
      <c r="B286" s="1041"/>
      <c r="C286" s="249" t="s">
        <v>314</v>
      </c>
      <c r="D286" s="250"/>
      <c r="E286" s="145"/>
      <c r="F286" s="50">
        <v>40</v>
      </c>
      <c r="G286" s="50"/>
      <c r="H286" s="164"/>
      <c r="I286" s="658"/>
      <c r="J286" s="282"/>
      <c r="K286" s="282"/>
      <c r="L286" s="282"/>
      <c r="M286" s="282"/>
      <c r="N286" s="659"/>
    </row>
    <row r="287" spans="2:14" ht="14.25" customHeight="1" x14ac:dyDescent="0.2">
      <c r="B287" s="1041"/>
      <c r="C287" s="249" t="s">
        <v>315</v>
      </c>
      <c r="D287" s="250"/>
      <c r="E287" s="145"/>
      <c r="F287" s="50">
        <v>40</v>
      </c>
      <c r="G287" s="50"/>
      <c r="H287" s="164"/>
      <c r="I287" s="658"/>
      <c r="J287" s="282"/>
      <c r="K287" s="282"/>
      <c r="L287" s="282"/>
      <c r="M287" s="282"/>
      <c r="N287" s="659"/>
    </row>
    <row r="288" spans="2:14" ht="14.25" customHeight="1" x14ac:dyDescent="0.2">
      <c r="B288" s="1041"/>
      <c r="C288" s="249" t="s">
        <v>316</v>
      </c>
      <c r="D288" s="250"/>
      <c r="E288" s="145"/>
      <c r="F288" s="50"/>
      <c r="G288" s="50"/>
      <c r="H288" s="164">
        <v>300</v>
      </c>
      <c r="I288" s="658"/>
      <c r="J288" s="282"/>
      <c r="K288" s="282"/>
      <c r="L288" s="282"/>
      <c r="M288" s="282"/>
      <c r="N288" s="659"/>
    </row>
    <row r="289" spans="2:14" ht="14.25" customHeight="1" x14ac:dyDescent="0.2">
      <c r="B289" s="1041"/>
      <c r="C289" s="249" t="s">
        <v>317</v>
      </c>
      <c r="D289" s="250"/>
      <c r="E289" s="145"/>
      <c r="F289" s="50"/>
      <c r="G289" s="50"/>
      <c r="H289" s="164">
        <v>300</v>
      </c>
      <c r="I289" s="658"/>
      <c r="J289" s="282"/>
      <c r="K289" s="282"/>
      <c r="L289" s="282"/>
      <c r="M289" s="282"/>
      <c r="N289" s="659"/>
    </row>
    <row r="290" spans="2:14" ht="17.25" customHeight="1" x14ac:dyDescent="0.2">
      <c r="B290" s="1041"/>
      <c r="C290" s="249" t="s">
        <v>501</v>
      </c>
      <c r="D290" s="250"/>
      <c r="E290" s="145"/>
      <c r="F290" s="50"/>
      <c r="G290" s="50"/>
      <c r="H290" s="164">
        <v>300</v>
      </c>
      <c r="I290" s="658"/>
      <c r="J290" s="282"/>
      <c r="K290" s="282"/>
      <c r="L290" s="282"/>
      <c r="M290" s="282"/>
      <c r="N290" s="659"/>
    </row>
    <row r="291" spans="2:14" ht="14.25" customHeight="1" x14ac:dyDescent="0.2">
      <c r="B291" s="1041"/>
      <c r="C291" s="249" t="s">
        <v>318</v>
      </c>
      <c r="D291" s="250"/>
      <c r="E291" s="145"/>
      <c r="F291" s="50">
        <v>14</v>
      </c>
      <c r="G291" s="50">
        <v>3</v>
      </c>
      <c r="H291" s="164">
        <v>7</v>
      </c>
      <c r="I291" s="886"/>
      <c r="J291" s="342"/>
      <c r="K291" s="342"/>
      <c r="L291" s="342"/>
      <c r="M291" s="342"/>
      <c r="N291" s="724"/>
    </row>
    <row r="292" spans="2:14" ht="78.75" customHeight="1" x14ac:dyDescent="0.2">
      <c r="B292" s="985"/>
      <c r="C292" s="986" t="s">
        <v>35</v>
      </c>
      <c r="D292" s="474" t="s">
        <v>33</v>
      </c>
      <c r="E292" s="987"/>
      <c r="F292" s="978">
        <v>22.2</v>
      </c>
      <c r="G292" s="978">
        <v>49.6</v>
      </c>
      <c r="H292" s="988"/>
      <c r="I292" s="989" t="s">
        <v>309</v>
      </c>
      <c r="J292" s="990"/>
      <c r="K292" s="991" t="s">
        <v>308</v>
      </c>
      <c r="L292" s="991" t="s">
        <v>206</v>
      </c>
      <c r="M292" s="990"/>
      <c r="N292" s="992"/>
    </row>
    <row r="293" spans="2:14" ht="29.45" customHeight="1" x14ac:dyDescent="0.2">
      <c r="B293" s="1262" t="s">
        <v>319</v>
      </c>
      <c r="C293" s="993" t="s">
        <v>320</v>
      </c>
      <c r="D293" s="1323" t="s">
        <v>67</v>
      </c>
      <c r="E293" s="994"/>
      <c r="F293" s="995"/>
      <c r="G293" s="995"/>
      <c r="H293" s="996"/>
      <c r="I293" s="997" t="s">
        <v>291</v>
      </c>
      <c r="J293" s="998"/>
      <c r="K293" s="999"/>
      <c r="L293" s="999"/>
      <c r="M293" s="1000">
        <v>100</v>
      </c>
      <c r="N293" s="1001"/>
    </row>
    <row r="294" spans="2:14" ht="33" customHeight="1" x14ac:dyDescent="0.2">
      <c r="B294" s="1263"/>
      <c r="C294" s="1002" t="s">
        <v>35</v>
      </c>
      <c r="D294" s="1324"/>
      <c r="E294" s="1003"/>
      <c r="F294" s="365"/>
      <c r="G294" s="1004"/>
      <c r="H294" s="1005">
        <v>471.5</v>
      </c>
      <c r="I294" s="1006"/>
      <c r="J294" s="990"/>
      <c r="K294" s="1007"/>
      <c r="L294" s="1007"/>
      <c r="M294" s="990"/>
      <c r="N294" s="992"/>
    </row>
    <row r="295" spans="2:14" ht="33" customHeight="1" x14ac:dyDescent="0.2">
      <c r="B295" s="974" t="s">
        <v>321</v>
      </c>
      <c r="C295" s="1008" t="s">
        <v>322</v>
      </c>
      <c r="D295" s="1320" t="s">
        <v>245</v>
      </c>
      <c r="E295" s="1009"/>
      <c r="F295" s="1010"/>
      <c r="G295" s="1011"/>
      <c r="H295" s="1012"/>
      <c r="I295" s="1013" t="s">
        <v>295</v>
      </c>
      <c r="J295" s="1014"/>
      <c r="K295" s="1015"/>
      <c r="L295" s="1016"/>
      <c r="M295" s="1017">
        <v>1</v>
      </c>
      <c r="N295" s="1018"/>
    </row>
    <row r="296" spans="2:14" ht="33" customHeight="1" x14ac:dyDescent="0.2">
      <c r="B296" s="1019"/>
      <c r="C296" s="1020" t="s">
        <v>35</v>
      </c>
      <c r="D296" s="1321"/>
      <c r="E296" s="1021"/>
      <c r="F296" s="1022"/>
      <c r="G296" s="1023">
        <f>250-100</f>
        <v>150</v>
      </c>
      <c r="H296" s="1005">
        <f>260+100</f>
        <v>360</v>
      </c>
      <c r="I296" s="1024"/>
      <c r="J296" s="1025"/>
      <c r="K296" s="1026"/>
      <c r="L296" s="1026"/>
      <c r="M296" s="1026"/>
      <c r="N296" s="1027"/>
    </row>
    <row r="297" spans="2:14" ht="30.75" customHeight="1" x14ac:dyDescent="0.2">
      <c r="B297" s="1118"/>
      <c r="C297" s="269" t="s">
        <v>138</v>
      </c>
      <c r="D297" s="270"/>
      <c r="E297" s="271">
        <f>SUM(E298:E302)</f>
        <v>12329.099999999999</v>
      </c>
      <c r="F297" s="272">
        <f>SUM(F298:F302)</f>
        <v>9185.2899999999991</v>
      </c>
      <c r="G297" s="63">
        <f>SUM(G298:G302)</f>
        <v>14847.460000000001</v>
      </c>
      <c r="H297" s="524">
        <f t="shared" ref="H297" si="16">SUM(H298:H302)</f>
        <v>7372.2800000000007</v>
      </c>
      <c r="I297" s="701"/>
      <c r="J297" s="404"/>
      <c r="K297" s="404"/>
      <c r="L297" s="404"/>
      <c r="M297" s="404"/>
      <c r="N297" s="702"/>
    </row>
    <row r="298" spans="2:14" ht="18" customHeight="1" x14ac:dyDescent="0.2">
      <c r="B298" s="1259"/>
      <c r="C298" s="96" t="s">
        <v>139</v>
      </c>
      <c r="D298" s="227"/>
      <c r="E298" s="228"/>
      <c r="F298" s="229"/>
      <c r="G298" s="31"/>
      <c r="H298" s="784"/>
      <c r="I298" s="658"/>
      <c r="J298" s="282"/>
      <c r="K298" s="282"/>
      <c r="L298" s="282"/>
      <c r="M298" s="282"/>
      <c r="N298" s="659"/>
    </row>
    <row r="299" spans="2:14" ht="30" customHeight="1" x14ac:dyDescent="0.2">
      <c r="B299" s="1260"/>
      <c r="C299" s="45" t="s">
        <v>140</v>
      </c>
      <c r="D299" s="92"/>
      <c r="E299" s="230">
        <f>SUMIF($C207:$C281,$C265,E207:E281)</f>
        <v>3592.2999999999997</v>
      </c>
      <c r="F299" s="35">
        <f>SUMIF($C207:$C296,$C265,F207:F296)</f>
        <v>6185.2899999999991</v>
      </c>
      <c r="G299" s="35">
        <f>SUMIF($C207:$C296,$C265,G207:G296)</f>
        <v>14847.460000000001</v>
      </c>
      <c r="H299" s="35">
        <f>SUMIF($C207:$C296,$C265,H207:H296)</f>
        <v>7372.2800000000007</v>
      </c>
      <c r="I299" s="658"/>
      <c r="J299" s="282"/>
      <c r="K299" s="282"/>
      <c r="L299" s="282"/>
      <c r="M299" s="282"/>
      <c r="N299" s="659"/>
    </row>
    <row r="300" spans="2:14" ht="30" customHeight="1" x14ac:dyDescent="0.2">
      <c r="B300" s="1260"/>
      <c r="C300" s="93" t="s">
        <v>142</v>
      </c>
      <c r="D300" s="92"/>
      <c r="E300" s="180">
        <f>SUMIF($C207:$C292,$C248,E207:E292)</f>
        <v>0</v>
      </c>
      <c r="F300" s="947">
        <f>SUMIF($C207:$C292,$C248,F207:F292)</f>
        <v>0</v>
      </c>
      <c r="G300" s="947">
        <f>SUMIF($C207:$C292,$C248,G207:G292)</f>
        <v>0</v>
      </c>
      <c r="H300" s="947">
        <f>SUMIF($C207:$C292,$C248,H207:H292)</f>
        <v>0</v>
      </c>
      <c r="I300" s="658"/>
      <c r="J300" s="282"/>
      <c r="K300" s="282"/>
      <c r="L300" s="282"/>
      <c r="M300" s="282"/>
      <c r="N300" s="659"/>
    </row>
    <row r="301" spans="2:14" ht="19.149999999999999" customHeight="1" x14ac:dyDescent="0.2">
      <c r="B301" s="1260"/>
      <c r="C301" s="36" t="s">
        <v>323</v>
      </c>
      <c r="D301" s="92"/>
      <c r="E301" s="236">
        <f>SUMIF($C207:$C292,$C219,E207:E292)</f>
        <v>4217.3999999999996</v>
      </c>
      <c r="F301" s="946">
        <f>SUMIF($C207:$C292,$C219,F207:F292)</f>
        <v>3000</v>
      </c>
      <c r="G301" s="946">
        <f>SUMIF($C207:$C292,$C221,G207:G292)</f>
        <v>0</v>
      </c>
      <c r="H301" s="946">
        <f>SUMIF($C207:$C292,$C221,H207:H292)</f>
        <v>0</v>
      </c>
      <c r="I301" s="658"/>
      <c r="J301" s="282"/>
      <c r="K301" s="282"/>
      <c r="L301" s="282"/>
      <c r="M301" s="282"/>
      <c r="N301" s="659"/>
    </row>
    <row r="302" spans="2:14" ht="19.149999999999999" customHeight="1" x14ac:dyDescent="0.2">
      <c r="B302" s="1261"/>
      <c r="C302" s="36" t="s">
        <v>144</v>
      </c>
      <c r="D302" s="92"/>
      <c r="E302" s="180">
        <f>SUMIF($C207:$C292,$C275,E207:E292)</f>
        <v>4519.3999999999996</v>
      </c>
      <c r="F302" s="947">
        <f>SUMIF($C207:$C292,$C275,F207:F292)</f>
        <v>0</v>
      </c>
      <c r="G302" s="947">
        <f>SUMIF($C207:$C292,$C275,G207:G292)</f>
        <v>0</v>
      </c>
      <c r="H302" s="947">
        <f>SUMIF($C207:$C292,$C275,H207:H292)</f>
        <v>0</v>
      </c>
      <c r="I302" s="658"/>
      <c r="J302" s="282"/>
      <c r="K302" s="282"/>
      <c r="L302" s="282"/>
      <c r="M302" s="282"/>
      <c r="N302" s="659"/>
    </row>
    <row r="303" spans="2:14" ht="19.149999999999999" customHeight="1" x14ac:dyDescent="0.2">
      <c r="B303" s="1100"/>
      <c r="C303" s="635" t="s">
        <v>324</v>
      </c>
      <c r="D303" s="62"/>
      <c r="E303" s="179">
        <f t="shared" ref="E303" si="17">SUM(E305)</f>
        <v>0</v>
      </c>
      <c r="F303" s="64">
        <f t="shared" ref="F303:H303" si="18">SUM(F305)</f>
        <v>650</v>
      </c>
      <c r="G303" s="64">
        <f>SUM(G305)</f>
        <v>2750</v>
      </c>
      <c r="H303" s="814">
        <f t="shared" si="18"/>
        <v>1761.8</v>
      </c>
      <c r="I303" s="658"/>
      <c r="J303" s="282"/>
      <c r="K303" s="282"/>
      <c r="L303" s="282"/>
      <c r="M303" s="282"/>
      <c r="N303" s="659"/>
    </row>
    <row r="304" spans="2:14" ht="19.149999999999999" customHeight="1" x14ac:dyDescent="0.2">
      <c r="B304" s="1264"/>
      <c r="C304" s="94" t="s">
        <v>146</v>
      </c>
      <c r="D304" s="92"/>
      <c r="E304" s="180"/>
      <c r="F304" s="31"/>
      <c r="G304" s="31"/>
      <c r="H304" s="784"/>
      <c r="I304" s="658"/>
      <c r="J304" s="282"/>
      <c r="K304" s="282"/>
      <c r="L304" s="282"/>
      <c r="M304" s="282"/>
      <c r="N304" s="659"/>
    </row>
    <row r="305" spans="2:14" ht="32.25" customHeight="1" thickBot="1" x14ac:dyDescent="0.25">
      <c r="B305" s="1265"/>
      <c r="C305" s="956" t="s">
        <v>148</v>
      </c>
      <c r="D305" s="525"/>
      <c r="E305" s="526">
        <f>SUMIF($C207:$C292,$C268,E207:E292)</f>
        <v>0</v>
      </c>
      <c r="F305" s="421">
        <f>SUMIF($C207:$C281,$C268,F207:F281)</f>
        <v>650</v>
      </c>
      <c r="G305" s="421">
        <f>SUMIF($C207:$C281,$C268,G207:G281)</f>
        <v>2750</v>
      </c>
      <c r="H305" s="823">
        <f>SUMIF($C207:$C281,$C268,H207:H281)</f>
        <v>1761.8</v>
      </c>
      <c r="I305" s="671"/>
      <c r="J305" s="328"/>
      <c r="K305" s="328"/>
      <c r="L305" s="328"/>
      <c r="M305" s="328"/>
      <c r="N305" s="672"/>
    </row>
    <row r="306" spans="2:14" ht="31.15" customHeight="1" x14ac:dyDescent="0.2">
      <c r="B306" s="1119" t="s">
        <v>325</v>
      </c>
      <c r="C306" s="290" t="s">
        <v>326</v>
      </c>
      <c r="D306" s="291"/>
      <c r="E306" s="292"/>
      <c r="F306" s="293"/>
      <c r="G306" s="293"/>
      <c r="H306" s="783"/>
      <c r="I306" s="650"/>
      <c r="J306" s="294"/>
      <c r="K306" s="294"/>
      <c r="L306" s="294"/>
      <c r="M306" s="294"/>
      <c r="N306" s="651"/>
    </row>
    <row r="307" spans="2:14" ht="44.25" customHeight="1" x14ac:dyDescent="0.2">
      <c r="B307" s="1257" t="s">
        <v>327</v>
      </c>
      <c r="C307" s="39" t="s">
        <v>328</v>
      </c>
      <c r="D307" s="1287" t="s">
        <v>170</v>
      </c>
      <c r="E307" s="128"/>
      <c r="F307" s="31"/>
      <c r="G307" s="31"/>
      <c r="H307" s="784"/>
      <c r="I307" s="652" t="s">
        <v>329</v>
      </c>
      <c r="J307" s="520" t="s">
        <v>330</v>
      </c>
      <c r="K307" s="520" t="s">
        <v>331</v>
      </c>
      <c r="L307" s="520"/>
      <c r="M307" s="520"/>
      <c r="N307" s="653"/>
    </row>
    <row r="308" spans="2:14" ht="30.6" customHeight="1" x14ac:dyDescent="0.2">
      <c r="B308" s="1194"/>
      <c r="C308" s="37" t="s">
        <v>35</v>
      </c>
      <c r="D308" s="1274"/>
      <c r="E308" s="129">
        <f>270+298.7</f>
        <v>568.70000000000005</v>
      </c>
      <c r="F308" s="29">
        <v>293</v>
      </c>
      <c r="G308" s="29"/>
      <c r="H308" s="786"/>
      <c r="I308" s="652"/>
      <c r="J308" s="520"/>
      <c r="K308" s="520"/>
      <c r="L308" s="520"/>
      <c r="M308" s="520"/>
      <c r="N308" s="653"/>
    </row>
    <row r="309" spans="2:14" ht="23.25" customHeight="1" thickBot="1" x14ac:dyDescent="0.25">
      <c r="B309" s="1292"/>
      <c r="C309" s="308" t="s">
        <v>42</v>
      </c>
      <c r="D309" s="1288"/>
      <c r="E309" s="527">
        <v>111.7</v>
      </c>
      <c r="F309" s="309"/>
      <c r="G309" s="309"/>
      <c r="H309" s="493"/>
      <c r="I309" s="671"/>
      <c r="J309" s="328"/>
      <c r="K309" s="328"/>
      <c r="L309" s="328"/>
      <c r="M309" s="328"/>
      <c r="N309" s="672"/>
    </row>
    <row r="310" spans="2:14" ht="30.6" customHeight="1" x14ac:dyDescent="0.2">
      <c r="B310" s="1257" t="s">
        <v>332</v>
      </c>
      <c r="C310" s="91" t="s">
        <v>333</v>
      </c>
      <c r="D310" s="1288"/>
      <c r="E310" s="51"/>
      <c r="F310" s="32"/>
      <c r="G310" s="32"/>
      <c r="H310" s="487"/>
      <c r="I310" s="774" t="s">
        <v>34</v>
      </c>
      <c r="J310" s="885" t="s">
        <v>334</v>
      </c>
      <c r="K310" s="885" t="s">
        <v>335</v>
      </c>
      <c r="L310" s="885" t="s">
        <v>335</v>
      </c>
      <c r="M310" s="885" t="s">
        <v>335</v>
      </c>
      <c r="N310" s="680"/>
    </row>
    <row r="311" spans="2:14" ht="30.6" customHeight="1" x14ac:dyDescent="0.2">
      <c r="B311" s="1194"/>
      <c r="C311" s="308" t="s">
        <v>35</v>
      </c>
      <c r="D311" s="1288"/>
      <c r="E311" s="461">
        <f>497.6+94.1+32.8</f>
        <v>624.5</v>
      </c>
      <c r="F311" s="309">
        <v>624.5</v>
      </c>
      <c r="G311" s="309">
        <v>624</v>
      </c>
      <c r="H311" s="493">
        <v>624</v>
      </c>
      <c r="I311" s="888"/>
      <c r="J311" s="887"/>
      <c r="K311" s="887"/>
      <c r="L311" s="887"/>
      <c r="M311" s="887"/>
      <c r="N311" s="889"/>
    </row>
    <row r="312" spans="2:14" ht="49.5" customHeight="1" x14ac:dyDescent="0.2">
      <c r="B312" s="1330"/>
      <c r="C312" s="528" t="s">
        <v>336</v>
      </c>
      <c r="D312" s="1288"/>
      <c r="E312" s="330"/>
      <c r="F312" s="90"/>
      <c r="G312" s="90"/>
      <c r="H312" s="787"/>
      <c r="I312" s="890" t="s">
        <v>337</v>
      </c>
      <c r="J312" s="891" t="s">
        <v>338</v>
      </c>
      <c r="K312" s="891"/>
      <c r="L312" s="891"/>
      <c r="M312" s="891"/>
      <c r="N312" s="892"/>
    </row>
    <row r="313" spans="2:14" ht="30.6" customHeight="1" x14ac:dyDescent="0.2">
      <c r="B313" s="1278"/>
      <c r="C313" s="308" t="s">
        <v>35</v>
      </c>
      <c r="D313" s="1288"/>
      <c r="E313" s="461">
        <v>150</v>
      </c>
      <c r="F313" s="309"/>
      <c r="G313" s="309"/>
      <c r="H313" s="493"/>
      <c r="I313" s="722" t="s">
        <v>337</v>
      </c>
      <c r="J313" s="894" t="s">
        <v>338</v>
      </c>
      <c r="K313" s="894"/>
      <c r="L313" s="894"/>
      <c r="M313" s="894"/>
      <c r="N313" s="687"/>
    </row>
    <row r="314" spans="2:14" ht="30.75" customHeight="1" x14ac:dyDescent="0.2">
      <c r="B314" s="1262" t="s">
        <v>339</v>
      </c>
      <c r="C314" s="979" t="s">
        <v>340</v>
      </c>
      <c r="D314" s="1288"/>
      <c r="E314" s="330"/>
      <c r="F314" s="981"/>
      <c r="G314" s="981"/>
      <c r="H314" s="982"/>
      <c r="I314" s="983" t="s">
        <v>34</v>
      </c>
      <c r="J314" s="891"/>
      <c r="K314" s="891"/>
      <c r="L314" s="891" t="s">
        <v>215</v>
      </c>
      <c r="M314" s="891"/>
      <c r="N314" s="892"/>
    </row>
    <row r="315" spans="2:14" ht="30.6" customHeight="1" x14ac:dyDescent="0.2">
      <c r="B315" s="1263"/>
      <c r="C315" s="980" t="s">
        <v>35</v>
      </c>
      <c r="D315" s="1288"/>
      <c r="E315" s="461">
        <v>0</v>
      </c>
      <c r="F315" s="365">
        <v>0</v>
      </c>
      <c r="G315" s="365">
        <f>61+51</f>
        <v>112</v>
      </c>
      <c r="H315" s="803"/>
      <c r="I315" s="984"/>
      <c r="J315" s="904"/>
      <c r="K315" s="904"/>
      <c r="L315" s="904"/>
      <c r="M315" s="904"/>
      <c r="N315" s="905"/>
    </row>
    <row r="316" spans="2:14" ht="55.15" customHeight="1" x14ac:dyDescent="0.2">
      <c r="B316" s="1276"/>
      <c r="C316" s="307" t="s">
        <v>341</v>
      </c>
      <c r="D316" s="1288"/>
      <c r="E316" s="330"/>
      <c r="F316" s="90"/>
      <c r="G316" s="90"/>
      <c r="H316" s="787"/>
      <c r="I316" s="895" t="s">
        <v>342</v>
      </c>
      <c r="J316" s="896" t="s">
        <v>292</v>
      </c>
      <c r="K316" s="896"/>
      <c r="L316" s="896"/>
      <c r="M316" s="896"/>
      <c r="N316" s="685"/>
    </row>
    <row r="317" spans="2:14" ht="30.6" customHeight="1" x14ac:dyDescent="0.2">
      <c r="B317" s="1278"/>
      <c r="C317" s="308" t="s">
        <v>35</v>
      </c>
      <c r="D317" s="1288"/>
      <c r="E317" s="461">
        <v>181</v>
      </c>
      <c r="F317" s="309"/>
      <c r="G317" s="309"/>
      <c r="H317" s="493"/>
      <c r="I317" s="774" t="s">
        <v>343</v>
      </c>
      <c r="J317" s="885" t="s">
        <v>215</v>
      </c>
      <c r="K317" s="885"/>
      <c r="L317" s="885"/>
      <c r="M317" s="885"/>
      <c r="N317" s="680"/>
    </row>
    <row r="318" spans="2:14" ht="30.6" customHeight="1" x14ac:dyDescent="0.2">
      <c r="B318" s="1255" t="s">
        <v>503</v>
      </c>
      <c r="C318" s="363" t="s">
        <v>344</v>
      </c>
      <c r="D318" s="1288"/>
      <c r="E318" s="51"/>
      <c r="F318" s="32"/>
      <c r="G318" s="32"/>
      <c r="H318" s="487"/>
      <c r="I318" s="898" t="s">
        <v>34</v>
      </c>
      <c r="J318" s="899" t="s">
        <v>331</v>
      </c>
      <c r="K318" s="899" t="s">
        <v>206</v>
      </c>
      <c r="L318" s="899"/>
      <c r="M318" s="900"/>
      <c r="N318" s="901"/>
    </row>
    <row r="319" spans="2:14" ht="30.6" customHeight="1" x14ac:dyDescent="0.2">
      <c r="B319" s="1256"/>
      <c r="C319" s="364" t="s">
        <v>35</v>
      </c>
      <c r="D319" s="1288"/>
      <c r="E319" s="461">
        <f>87.4+87.4</f>
        <v>174.8</v>
      </c>
      <c r="F319" s="495">
        <v>9</v>
      </c>
      <c r="G319" s="309"/>
      <c r="H319" s="493"/>
      <c r="I319" s="906"/>
      <c r="J319" s="539"/>
      <c r="K319" s="539"/>
      <c r="L319" s="539"/>
      <c r="M319" s="539"/>
      <c r="N319" s="687"/>
    </row>
    <row r="320" spans="2:14" ht="49.5" customHeight="1" x14ac:dyDescent="0.2">
      <c r="B320" s="1276"/>
      <c r="C320" s="530" t="s">
        <v>345</v>
      </c>
      <c r="D320" s="1288"/>
      <c r="E320" s="51"/>
      <c r="F320" s="32"/>
      <c r="G320" s="32"/>
      <c r="H320" s="487"/>
      <c r="I320" s="907" t="s">
        <v>346</v>
      </c>
      <c r="J320" s="899" t="s">
        <v>206</v>
      </c>
      <c r="K320" s="900"/>
      <c r="L320" s="900"/>
      <c r="M320" s="900"/>
      <c r="N320" s="901"/>
    </row>
    <row r="321" spans="2:14" ht="30.6" customHeight="1" x14ac:dyDescent="0.2">
      <c r="B321" s="1277"/>
      <c r="C321" s="37" t="s">
        <v>35</v>
      </c>
      <c r="D321" s="1288"/>
      <c r="E321" s="129">
        <f>100-8</f>
        <v>92</v>
      </c>
      <c r="F321" s="29">
        <v>0</v>
      </c>
      <c r="G321" s="29"/>
      <c r="H321" s="786"/>
      <c r="I321" s="908"/>
      <c r="J321" s="529"/>
      <c r="K321" s="529"/>
      <c r="L321" s="529"/>
      <c r="M321" s="529"/>
      <c r="N321" s="686"/>
    </row>
    <row r="322" spans="2:14" ht="16.5" customHeight="1" x14ac:dyDescent="0.2">
      <c r="B322" s="1277"/>
      <c r="C322" s="37" t="s">
        <v>42</v>
      </c>
      <c r="D322" s="1288"/>
      <c r="E322" s="129"/>
      <c r="F322" s="29"/>
      <c r="G322" s="29"/>
      <c r="H322" s="786"/>
      <c r="I322" s="666"/>
      <c r="J322" s="320"/>
      <c r="K322" s="320"/>
      <c r="L322" s="320"/>
      <c r="M322" s="320"/>
      <c r="N322" s="667"/>
    </row>
    <row r="323" spans="2:14" ht="18" customHeight="1" x14ac:dyDescent="0.2">
      <c r="B323" s="1278"/>
      <c r="C323" s="413" t="s">
        <v>38</v>
      </c>
      <c r="D323" s="1288"/>
      <c r="E323" s="461">
        <v>68</v>
      </c>
      <c r="F323" s="309">
        <v>0</v>
      </c>
      <c r="G323" s="309"/>
      <c r="H323" s="493"/>
      <c r="I323" s="777"/>
      <c r="J323" s="778"/>
      <c r="K323" s="778"/>
      <c r="L323" s="778"/>
      <c r="M323" s="778"/>
      <c r="N323" s="779"/>
    </row>
    <row r="324" spans="2:14" ht="18.75" customHeight="1" x14ac:dyDescent="0.2">
      <c r="B324" s="1331"/>
      <c r="C324" s="387" t="s">
        <v>347</v>
      </c>
      <c r="D324" s="1288"/>
      <c r="E324" s="51"/>
      <c r="F324" s="32"/>
      <c r="G324" s="32"/>
      <c r="H324" s="487"/>
      <c r="I324" s="909" t="s">
        <v>34</v>
      </c>
      <c r="J324" s="542" t="s">
        <v>334</v>
      </c>
      <c r="K324" s="542"/>
      <c r="L324" s="542"/>
      <c r="M324" s="542"/>
      <c r="N324" s="762"/>
    </row>
    <row r="325" spans="2:14" ht="30.6" customHeight="1" x14ac:dyDescent="0.2">
      <c r="B325" s="1332"/>
      <c r="C325" s="308" t="s">
        <v>35</v>
      </c>
      <c r="D325" s="1288"/>
      <c r="E325" s="461">
        <v>294.5</v>
      </c>
      <c r="F325" s="309">
        <v>0</v>
      </c>
      <c r="G325" s="309"/>
      <c r="H325" s="493"/>
      <c r="I325" s="910" t="s">
        <v>348</v>
      </c>
      <c r="J325" s="539" t="s">
        <v>349</v>
      </c>
      <c r="K325" s="539"/>
      <c r="L325" s="539"/>
      <c r="M325" s="539"/>
      <c r="N325" s="687"/>
    </row>
    <row r="326" spans="2:14" ht="20.25" customHeight="1" x14ac:dyDescent="0.2">
      <c r="B326" s="974" t="s">
        <v>350</v>
      </c>
      <c r="C326" s="975" t="s">
        <v>351</v>
      </c>
      <c r="D326" s="1288"/>
      <c r="E326" s="531"/>
      <c r="F326" s="532"/>
      <c r="G326" s="532"/>
      <c r="H326" s="840"/>
      <c r="I326" s="911"/>
      <c r="J326" s="912"/>
      <c r="K326" s="912"/>
      <c r="L326" s="900"/>
      <c r="M326" s="900"/>
      <c r="N326" s="901"/>
    </row>
    <row r="327" spans="2:14" ht="30.6" customHeight="1" x14ac:dyDescent="0.2">
      <c r="B327" s="976"/>
      <c r="C327" s="977" t="s">
        <v>35</v>
      </c>
      <c r="D327" s="1289"/>
      <c r="E327" s="536"/>
      <c r="F327" s="978">
        <v>25.6</v>
      </c>
      <c r="G327" s="305"/>
      <c r="H327" s="521"/>
      <c r="I327" s="913"/>
      <c r="J327" s="914"/>
      <c r="K327" s="914"/>
      <c r="L327" s="903"/>
      <c r="M327" s="903"/>
      <c r="N327" s="893"/>
    </row>
    <row r="328" spans="2:14" ht="31.5" customHeight="1" x14ac:dyDescent="0.2">
      <c r="B328" s="1120"/>
      <c r="C328" s="95" t="s">
        <v>138</v>
      </c>
      <c r="D328" s="79"/>
      <c r="E328" s="534">
        <f>SUM(E330:E332)</f>
        <v>2265.1999999999998</v>
      </c>
      <c r="F328" s="535">
        <f>SUM(F330:F332)</f>
        <v>952.1</v>
      </c>
      <c r="G328" s="535">
        <f t="shared" ref="G328:H328" si="19">SUM(G330:G332)</f>
        <v>736</v>
      </c>
      <c r="H328" s="841">
        <f t="shared" si="19"/>
        <v>624</v>
      </c>
      <c r="I328" s="701"/>
      <c r="J328" s="404"/>
      <c r="K328" s="404"/>
      <c r="L328" s="404"/>
      <c r="M328" s="404"/>
      <c r="N328" s="702"/>
    </row>
    <row r="329" spans="2:14" ht="16.5" customHeight="1" x14ac:dyDescent="0.2">
      <c r="B329" s="1207"/>
      <c r="C329" s="76" t="s">
        <v>139</v>
      </c>
      <c r="D329" s="187"/>
      <c r="E329" s="181"/>
      <c r="F329" s="81"/>
      <c r="G329" s="81"/>
      <c r="H329" s="826"/>
      <c r="I329" s="658"/>
      <c r="J329" s="282"/>
      <c r="K329" s="282"/>
      <c r="L329" s="282"/>
      <c r="M329" s="282"/>
      <c r="N329" s="659"/>
    </row>
    <row r="330" spans="2:14" ht="27.75" customHeight="1" x14ac:dyDescent="0.2">
      <c r="B330" s="1207"/>
      <c r="C330" s="76" t="s">
        <v>140</v>
      </c>
      <c r="D330" s="187"/>
      <c r="E330" s="182">
        <f>SUMIF($C$307:$C$325,$C$308,E307:E325)</f>
        <v>2085.5</v>
      </c>
      <c r="F330" s="205">
        <f>SUMIF($C$307:$C$327,$C$308,F307:F327)</f>
        <v>952.1</v>
      </c>
      <c r="G330" s="205">
        <f>SUMIF($C$307:$C$327,$C$308,G307:G327)</f>
        <v>736</v>
      </c>
      <c r="H330" s="842">
        <f>SUMIF($C$307:$C$327,$C$308,H307:H327)</f>
        <v>624</v>
      </c>
      <c r="I330" s="658"/>
      <c r="J330" s="282"/>
      <c r="K330" s="282"/>
      <c r="L330" s="282"/>
      <c r="M330" s="282"/>
      <c r="N330" s="659"/>
    </row>
    <row r="331" spans="2:14" ht="27.75" customHeight="1" x14ac:dyDescent="0.2">
      <c r="B331" s="1207"/>
      <c r="C331" s="96" t="s">
        <v>141</v>
      </c>
      <c r="D331" s="187"/>
      <c r="E331" s="182">
        <f>SUMIF($C$308:$C$325,$C$323,E308:E325)</f>
        <v>68</v>
      </c>
      <c r="F331" s="205">
        <f>SUMIF($C$308:$C$325,$C$323,F308:F325)</f>
        <v>0</v>
      </c>
      <c r="G331" s="205">
        <f>SUMIF($C$308:$C$325,$C$323,G308:G325)</f>
        <v>0</v>
      </c>
      <c r="H331" s="842">
        <f>SUMIF($C$308:$C$327,$C$323,H308:H327)</f>
        <v>0</v>
      </c>
      <c r="I331" s="658"/>
      <c r="J331" s="282"/>
      <c r="K331" s="282"/>
      <c r="L331" s="282"/>
      <c r="M331" s="282"/>
      <c r="N331" s="659"/>
    </row>
    <row r="332" spans="2:14" ht="21" customHeight="1" x14ac:dyDescent="0.2">
      <c r="B332" s="1207"/>
      <c r="C332" s="96" t="s">
        <v>144</v>
      </c>
      <c r="D332" s="188"/>
      <c r="E332" s="183">
        <f>SUMIF($C$307:$C$325,$C$309,E307:E325)</f>
        <v>111.7</v>
      </c>
      <c r="F332" s="206">
        <f>SUMIF($C$307:$C$325,$C$309,F307:F325)</f>
        <v>0</v>
      </c>
      <c r="G332" s="206">
        <f>SUMIF($C$307:$C$325,$C$309,G307:G325)</f>
        <v>0</v>
      </c>
      <c r="H332" s="843">
        <f>SUMIF($C$307:$C$325,$C$309,H307:H325)</f>
        <v>0</v>
      </c>
      <c r="I332" s="658"/>
      <c r="J332" s="282"/>
      <c r="K332" s="282"/>
      <c r="L332" s="282"/>
      <c r="M332" s="282"/>
      <c r="N332" s="659"/>
    </row>
    <row r="333" spans="2:14" ht="21" customHeight="1" x14ac:dyDescent="0.2">
      <c r="B333" s="1121" t="s">
        <v>352</v>
      </c>
      <c r="C333" s="189" t="s">
        <v>353</v>
      </c>
      <c r="D333" s="97"/>
      <c r="E333" s="146"/>
      <c r="F333" s="98"/>
      <c r="G333" s="98"/>
      <c r="H333" s="537"/>
      <c r="I333" s="725"/>
      <c r="J333" s="289"/>
      <c r="K333" s="289"/>
      <c r="L333" s="289"/>
      <c r="M333" s="289"/>
      <c r="N333" s="726"/>
    </row>
    <row r="334" spans="2:14" ht="31.9" customHeight="1" x14ac:dyDescent="0.2">
      <c r="B334" s="1294" t="s">
        <v>354</v>
      </c>
      <c r="C334" s="973" t="s">
        <v>502</v>
      </c>
      <c r="D334" s="1273" t="s">
        <v>170</v>
      </c>
      <c r="E334" s="51"/>
      <c r="F334" s="32"/>
      <c r="G334" s="32"/>
      <c r="H334" s="487"/>
      <c r="I334" s="758" t="s">
        <v>34</v>
      </c>
      <c r="J334" s="529" t="s">
        <v>355</v>
      </c>
      <c r="K334" s="538" t="s">
        <v>252</v>
      </c>
      <c r="L334" s="529" t="s">
        <v>356</v>
      </c>
      <c r="M334" s="529" t="s">
        <v>260</v>
      </c>
      <c r="N334" s="686"/>
    </row>
    <row r="335" spans="2:14" ht="30.6" customHeight="1" thickBot="1" x14ac:dyDescent="0.25">
      <c r="B335" s="1295"/>
      <c r="C335" s="308" t="s">
        <v>35</v>
      </c>
      <c r="D335" s="1274"/>
      <c r="E335" s="461">
        <v>80.8</v>
      </c>
      <c r="F335" s="309">
        <v>0</v>
      </c>
      <c r="G335" s="309">
        <v>54.3</v>
      </c>
      <c r="H335" s="493">
        <f>21.6+71.7</f>
        <v>93.300000000000011</v>
      </c>
      <c r="I335" s="759" t="s">
        <v>357</v>
      </c>
      <c r="J335" s="533" t="s">
        <v>358</v>
      </c>
      <c r="K335" s="544" t="s">
        <v>252</v>
      </c>
      <c r="L335" s="533" t="s">
        <v>359</v>
      </c>
      <c r="M335" s="533" t="s">
        <v>335</v>
      </c>
      <c r="N335" s="760"/>
    </row>
    <row r="336" spans="2:14" ht="27.75" customHeight="1" x14ac:dyDescent="0.2">
      <c r="B336" s="1279" t="s">
        <v>360</v>
      </c>
      <c r="C336" s="541" t="s">
        <v>361</v>
      </c>
      <c r="D336" s="1274"/>
      <c r="E336" s="51"/>
      <c r="F336" s="32"/>
      <c r="G336" s="32"/>
      <c r="H336" s="487"/>
      <c r="I336" s="761" t="s">
        <v>34</v>
      </c>
      <c r="J336" s="542" t="s">
        <v>362</v>
      </c>
      <c r="K336" s="543" t="s">
        <v>363</v>
      </c>
      <c r="L336" s="543" t="s">
        <v>364</v>
      </c>
      <c r="M336" s="542"/>
      <c r="N336" s="762"/>
    </row>
    <row r="337" spans="2:14" ht="30.6" customHeight="1" x14ac:dyDescent="0.2">
      <c r="B337" s="1280"/>
      <c r="C337" s="37" t="s">
        <v>35</v>
      </c>
      <c r="D337" s="1274"/>
      <c r="E337" s="129">
        <f>426.3+43.1</f>
        <v>469.40000000000003</v>
      </c>
      <c r="F337" s="29">
        <v>225.5</v>
      </c>
      <c r="G337" s="2">
        <v>271</v>
      </c>
      <c r="H337" s="786">
        <v>0</v>
      </c>
      <c r="I337" s="763" t="s">
        <v>365</v>
      </c>
      <c r="J337" s="539" t="s">
        <v>289</v>
      </c>
      <c r="K337" s="540" t="s">
        <v>366</v>
      </c>
      <c r="L337" s="540" t="s">
        <v>367</v>
      </c>
      <c r="M337" s="539"/>
      <c r="N337" s="687"/>
    </row>
    <row r="338" spans="2:14" ht="30.6" customHeight="1" x14ac:dyDescent="0.2">
      <c r="B338" s="1122"/>
      <c r="C338" s="308"/>
      <c r="D338" s="1274"/>
      <c r="E338" s="461"/>
      <c r="F338" s="309"/>
      <c r="G338" s="311"/>
      <c r="H338" s="493"/>
      <c r="I338" s="915" t="s">
        <v>368</v>
      </c>
      <c r="J338" s="539" t="s">
        <v>236</v>
      </c>
      <c r="K338" s="539" t="s">
        <v>236</v>
      </c>
      <c r="L338" s="539" t="s">
        <v>236</v>
      </c>
      <c r="M338" s="539"/>
      <c r="N338" s="687"/>
    </row>
    <row r="339" spans="2:14" ht="23.25" customHeight="1" x14ac:dyDescent="0.2">
      <c r="B339" s="1193" t="s">
        <v>369</v>
      </c>
      <c r="C339" s="307" t="s">
        <v>370</v>
      </c>
      <c r="D339" s="1274"/>
      <c r="E339" s="330"/>
      <c r="F339" s="90"/>
      <c r="G339" s="90"/>
      <c r="H339" s="787"/>
      <c r="I339" s="916" t="s">
        <v>34</v>
      </c>
      <c r="J339" s="899" t="s">
        <v>308</v>
      </c>
      <c r="K339" s="917" t="s">
        <v>206</v>
      </c>
      <c r="L339" s="917" t="s">
        <v>206</v>
      </c>
      <c r="M339" s="917" t="s">
        <v>206</v>
      </c>
      <c r="N339" s="918" t="s">
        <v>371</v>
      </c>
    </row>
    <row r="340" spans="2:14" ht="30.6" customHeight="1" x14ac:dyDescent="0.2">
      <c r="B340" s="1195"/>
      <c r="C340" s="308" t="s">
        <v>35</v>
      </c>
      <c r="D340" s="1275"/>
      <c r="E340" s="129">
        <v>18</v>
      </c>
      <c r="F340" s="29">
        <v>17.899999999999999</v>
      </c>
      <c r="G340" s="29">
        <v>20</v>
      </c>
      <c r="H340" s="786">
        <v>20</v>
      </c>
      <c r="I340" s="919"/>
      <c r="J340" s="903"/>
      <c r="K340" s="920"/>
      <c r="L340" s="920"/>
      <c r="M340" s="920"/>
      <c r="N340" s="921"/>
    </row>
    <row r="341" spans="2:14" ht="31.5" customHeight="1" x14ac:dyDescent="0.2">
      <c r="B341" s="1105"/>
      <c r="C341" s="61" t="s">
        <v>138</v>
      </c>
      <c r="D341" s="70"/>
      <c r="E341" s="132">
        <f>SUM(E343:E343)</f>
        <v>568.20000000000005</v>
      </c>
      <c r="F341" s="64">
        <f>SUM(F343:F343)</f>
        <v>243.4</v>
      </c>
      <c r="G341" s="64">
        <f>SUM(G343:G343)</f>
        <v>345.3</v>
      </c>
      <c r="H341" s="814">
        <f>SUM(H343:H343)</f>
        <v>113.30000000000001</v>
      </c>
      <c r="I341" s="701"/>
      <c r="J341" s="404"/>
      <c r="K341" s="404"/>
      <c r="L341" s="404"/>
      <c r="M341" s="404"/>
      <c r="N341" s="702"/>
    </row>
    <row r="342" spans="2:14" ht="15.6" customHeight="1" x14ac:dyDescent="0.2">
      <c r="B342" s="1176"/>
      <c r="C342" s="36" t="s">
        <v>139</v>
      </c>
      <c r="D342" s="65"/>
      <c r="E342" s="130"/>
      <c r="F342" s="57"/>
      <c r="G342" s="57"/>
      <c r="H342" s="812"/>
      <c r="I342" s="658"/>
      <c r="J342" s="282"/>
      <c r="K342" s="282"/>
      <c r="L342" s="282"/>
      <c r="M342" s="282"/>
      <c r="N342" s="659"/>
    </row>
    <row r="343" spans="2:14" ht="32.25" customHeight="1" thickBot="1" x14ac:dyDescent="0.25">
      <c r="B343" s="1178"/>
      <c r="C343" s="407" t="s">
        <v>140</v>
      </c>
      <c r="D343" s="408"/>
      <c r="E343" s="409">
        <f>SUMIF($C$334:$C$340,$C$335,E334:E340)</f>
        <v>568.20000000000005</v>
      </c>
      <c r="F343" s="410">
        <f>SUMIF($C$334:$C$340,$C$335,F334:F340)</f>
        <v>243.4</v>
      </c>
      <c r="G343" s="410">
        <f>SUMIF($C$334:$C$340,$C$335,G334:G340)</f>
        <v>345.3</v>
      </c>
      <c r="H343" s="815">
        <f>SUMIF($C$334:$C$340,$C$335,H334:H340)</f>
        <v>113.30000000000001</v>
      </c>
      <c r="I343" s="671"/>
      <c r="J343" s="328"/>
      <c r="K343" s="328"/>
      <c r="L343" s="328"/>
      <c r="M343" s="328"/>
      <c r="N343" s="672"/>
    </row>
    <row r="344" spans="2:14" ht="32.25" customHeight="1" x14ac:dyDescent="0.2">
      <c r="B344" s="1091" t="s">
        <v>372</v>
      </c>
      <c r="C344" s="84" t="s">
        <v>373</v>
      </c>
      <c r="D344" s="84"/>
      <c r="E344" s="279"/>
      <c r="F344" s="280"/>
      <c r="G344" s="280"/>
      <c r="H344" s="571"/>
      <c r="I344" s="643"/>
      <c r="J344" s="299"/>
      <c r="K344" s="299"/>
      <c r="L344" s="299"/>
      <c r="M344" s="299"/>
      <c r="N344" s="644"/>
    </row>
    <row r="345" spans="2:14" ht="32.25" customHeight="1" x14ac:dyDescent="0.2">
      <c r="B345" s="1092"/>
      <c r="C345" s="283"/>
      <c r="D345" s="283"/>
      <c r="E345" s="284"/>
      <c r="F345" s="285"/>
      <c r="G345" s="285"/>
      <c r="H345" s="781"/>
      <c r="I345" s="764" t="s">
        <v>374</v>
      </c>
      <c r="J345" s="545"/>
      <c r="K345" s="545"/>
      <c r="L345" s="545"/>
      <c r="M345" s="545"/>
      <c r="N345" s="765" t="s">
        <v>375</v>
      </c>
    </row>
    <row r="346" spans="2:14" ht="32.25" customHeight="1" thickBot="1" x14ac:dyDescent="0.25">
      <c r="B346" s="1093"/>
      <c r="C346" s="295"/>
      <c r="D346" s="295"/>
      <c r="E346" s="296"/>
      <c r="F346" s="297"/>
      <c r="G346" s="297"/>
      <c r="H346" s="782"/>
      <c r="I346" s="648" t="s">
        <v>376</v>
      </c>
      <c r="J346" s="1421">
        <v>28</v>
      </c>
      <c r="K346" s="1421">
        <v>28.22</v>
      </c>
      <c r="L346" s="1421">
        <v>28.22</v>
      </c>
      <c r="M346" s="1421">
        <v>28.22</v>
      </c>
      <c r="N346" s="649"/>
    </row>
    <row r="347" spans="2:14" ht="33.75" customHeight="1" x14ac:dyDescent="0.2">
      <c r="B347" s="1102" t="s">
        <v>377</v>
      </c>
      <c r="C347" s="290" t="s">
        <v>378</v>
      </c>
      <c r="D347" s="291"/>
      <c r="E347" s="292"/>
      <c r="F347" s="293"/>
      <c r="G347" s="293"/>
      <c r="H347" s="783"/>
      <c r="I347" s="650"/>
      <c r="J347" s="294"/>
      <c r="K347" s="294"/>
      <c r="L347" s="294"/>
      <c r="M347" s="294"/>
      <c r="N347" s="651"/>
    </row>
    <row r="348" spans="2:14" ht="33" customHeight="1" x14ac:dyDescent="0.2">
      <c r="B348" s="1176" t="s">
        <v>379</v>
      </c>
      <c r="C348" s="36" t="s">
        <v>380</v>
      </c>
      <c r="D348" s="1311" t="s">
        <v>170</v>
      </c>
      <c r="E348" s="130"/>
      <c r="F348" s="57"/>
      <c r="G348" s="57"/>
      <c r="H348" s="812"/>
      <c r="I348" s="652" t="s">
        <v>34</v>
      </c>
      <c r="J348" s="357">
        <v>11</v>
      </c>
      <c r="K348" s="357">
        <v>13</v>
      </c>
      <c r="L348" s="357">
        <v>13</v>
      </c>
      <c r="M348" s="546">
        <v>13</v>
      </c>
      <c r="N348" s="766"/>
    </row>
    <row r="349" spans="2:14" ht="30.6" customHeight="1" thickBot="1" x14ac:dyDescent="0.25">
      <c r="B349" s="1178"/>
      <c r="C349" s="308" t="s">
        <v>35</v>
      </c>
      <c r="D349" s="1312"/>
      <c r="E349" s="547">
        <f>36.5+21.8</f>
        <v>58.3</v>
      </c>
      <c r="F349" s="412">
        <v>51.5</v>
      </c>
      <c r="G349" s="412">
        <v>50</v>
      </c>
      <c r="H349" s="818">
        <v>50</v>
      </c>
      <c r="I349" s="662" t="s">
        <v>381</v>
      </c>
      <c r="J349" s="548">
        <v>195</v>
      </c>
      <c r="K349" s="548">
        <v>160</v>
      </c>
      <c r="L349" s="548">
        <v>160</v>
      </c>
      <c r="M349" s="549">
        <v>160</v>
      </c>
      <c r="N349" s="767"/>
    </row>
    <row r="350" spans="2:14" ht="33" customHeight="1" x14ac:dyDescent="0.2">
      <c r="B350" s="1223" t="s">
        <v>382</v>
      </c>
      <c r="C350" s="307" t="s">
        <v>383</v>
      </c>
      <c r="D350" s="1312"/>
      <c r="E350" s="51"/>
      <c r="F350" s="32"/>
      <c r="G350" s="32"/>
      <c r="H350" s="487"/>
      <c r="I350" s="654" t="s">
        <v>34</v>
      </c>
      <c r="J350" s="352">
        <v>37</v>
      </c>
      <c r="K350" s="349">
        <v>30</v>
      </c>
      <c r="L350" s="349">
        <v>6</v>
      </c>
      <c r="M350" s="349">
        <v>6</v>
      </c>
      <c r="N350" s="653"/>
    </row>
    <row r="351" spans="2:14" ht="31.15" customHeight="1" thickBot="1" x14ac:dyDescent="0.25">
      <c r="B351" s="1178"/>
      <c r="C351" s="308" t="s">
        <v>35</v>
      </c>
      <c r="D351" s="1312"/>
      <c r="E351" s="461">
        <f>157.9+85.2</f>
        <v>243.10000000000002</v>
      </c>
      <c r="F351" s="309">
        <v>184.2</v>
      </c>
      <c r="G351" s="309">
        <v>21.2</v>
      </c>
      <c r="H351" s="493">
        <v>22</v>
      </c>
      <c r="I351" s="662" t="s">
        <v>384</v>
      </c>
      <c r="J351" s="355">
        <v>94</v>
      </c>
      <c r="K351" s="355">
        <v>49</v>
      </c>
      <c r="L351" s="355">
        <v>6</v>
      </c>
      <c r="M351" s="355">
        <v>6</v>
      </c>
      <c r="N351" s="663"/>
    </row>
    <row r="352" spans="2:14" ht="55.15" customHeight="1" x14ac:dyDescent="0.2">
      <c r="B352" s="1223" t="s">
        <v>385</v>
      </c>
      <c r="C352" s="550" t="s">
        <v>386</v>
      </c>
      <c r="D352" s="1312"/>
      <c r="E352" s="330"/>
      <c r="F352" s="90"/>
      <c r="G352" s="90"/>
      <c r="H352" s="787"/>
      <c r="I352" s="652" t="s">
        <v>387</v>
      </c>
      <c r="J352" s="87">
        <v>70</v>
      </c>
      <c r="K352" s="87">
        <v>5049</v>
      </c>
      <c r="L352" s="87"/>
      <c r="M352" s="87"/>
      <c r="N352" s="655"/>
    </row>
    <row r="353" spans="2:14" ht="30" customHeight="1" thickBot="1" x14ac:dyDescent="0.25">
      <c r="B353" s="1178"/>
      <c r="C353" s="308" t="s">
        <v>35</v>
      </c>
      <c r="D353" s="1312"/>
      <c r="E353" s="551">
        <f>628-328-275</f>
        <v>25</v>
      </c>
      <c r="F353" s="552">
        <v>608</v>
      </c>
      <c r="G353" s="553"/>
      <c r="H353" s="844"/>
      <c r="I353" s="683" t="s">
        <v>388</v>
      </c>
      <c r="J353" s="355">
        <v>0</v>
      </c>
      <c r="K353" s="355">
        <v>458</v>
      </c>
      <c r="L353" s="355"/>
      <c r="M353" s="355"/>
      <c r="N353" s="768"/>
    </row>
    <row r="354" spans="2:14" ht="48.75" customHeight="1" x14ac:dyDescent="0.2">
      <c r="B354" s="1193" t="s">
        <v>389</v>
      </c>
      <c r="C354" s="307" t="s">
        <v>390</v>
      </c>
      <c r="D354" s="1312"/>
      <c r="E354" s="330"/>
      <c r="F354" s="90"/>
      <c r="G354" s="90"/>
      <c r="H354" s="787"/>
      <c r="I354" s="657" t="s">
        <v>34</v>
      </c>
      <c r="J354" s="277">
        <v>9</v>
      </c>
      <c r="K354" s="277">
        <v>2</v>
      </c>
      <c r="L354" s="277">
        <v>5</v>
      </c>
      <c r="M354" s="277">
        <v>5</v>
      </c>
      <c r="N354" s="755" t="s">
        <v>127</v>
      </c>
    </row>
    <row r="355" spans="2:14" ht="32.25" customHeight="1" thickBot="1" x14ac:dyDescent="0.25">
      <c r="B355" s="1195"/>
      <c r="C355" s="308" t="s">
        <v>35</v>
      </c>
      <c r="D355" s="1312"/>
      <c r="E355" s="461">
        <v>160</v>
      </c>
      <c r="F355" s="309">
        <v>38.4</v>
      </c>
      <c r="G355" s="309">
        <v>80</v>
      </c>
      <c r="H355" s="493">
        <v>80</v>
      </c>
      <c r="I355" s="665" t="s">
        <v>391</v>
      </c>
      <c r="J355" s="355">
        <v>200</v>
      </c>
      <c r="K355" s="355">
        <v>48</v>
      </c>
      <c r="L355" s="355">
        <v>100</v>
      </c>
      <c r="M355" s="355">
        <v>100</v>
      </c>
      <c r="N355" s="733" t="s">
        <v>127</v>
      </c>
    </row>
    <row r="356" spans="2:14" ht="32.25" customHeight="1" x14ac:dyDescent="0.2">
      <c r="B356" s="1123"/>
      <c r="C356" s="61" t="s">
        <v>138</v>
      </c>
      <c r="D356" s="1312"/>
      <c r="E356" s="554">
        <f t="shared" ref="E356" si="20">SUM(E358:E359)</f>
        <v>486.40000000000003</v>
      </c>
      <c r="F356" s="554">
        <f t="shared" ref="F356:H356" si="21">SUM(F358:F359)</f>
        <v>882.1</v>
      </c>
      <c r="G356" s="554">
        <f t="shared" si="21"/>
        <v>151.19999999999999</v>
      </c>
      <c r="H356" s="555">
        <f t="shared" si="21"/>
        <v>152</v>
      </c>
      <c r="I356" s="701"/>
      <c r="J356" s="404"/>
      <c r="K356" s="404"/>
      <c r="L356" s="404"/>
      <c r="M356" s="404"/>
      <c r="N356" s="702"/>
    </row>
    <row r="357" spans="2:14" ht="18" customHeight="1" x14ac:dyDescent="0.2">
      <c r="B357" s="1284"/>
      <c r="C357" s="36" t="s">
        <v>139</v>
      </c>
      <c r="D357" s="1312"/>
      <c r="E357" s="240"/>
      <c r="F357" s="241"/>
      <c r="G357" s="241"/>
      <c r="H357" s="556"/>
      <c r="I357" s="658"/>
      <c r="J357" s="282"/>
      <c r="K357" s="282"/>
      <c r="L357" s="282"/>
      <c r="M357" s="282"/>
      <c r="N357" s="659"/>
    </row>
    <row r="358" spans="2:14" ht="28.9" customHeight="1" x14ac:dyDescent="0.2">
      <c r="B358" s="1285"/>
      <c r="C358" s="36" t="s">
        <v>140</v>
      </c>
      <c r="D358" s="1312"/>
      <c r="E358" s="166">
        <f>SUMIF($C$348:$C$355,$C$349,E348:E355)</f>
        <v>486.40000000000003</v>
      </c>
      <c r="F358" s="166">
        <f>SUMIF($C$348:$C$355,$C$349,F348:F355)</f>
        <v>882.1</v>
      </c>
      <c r="G358" s="166">
        <f>SUMIF($C$348:$C$355,$C$349,G348:G355)</f>
        <v>151.19999999999999</v>
      </c>
      <c r="H358" s="557">
        <f>SUMIF($C$348:$C$355,$C$349,H348:H355)</f>
        <v>152</v>
      </c>
      <c r="I358" s="658"/>
      <c r="J358" s="282"/>
      <c r="K358" s="282"/>
      <c r="L358" s="282"/>
      <c r="M358" s="282"/>
      <c r="N358" s="659"/>
    </row>
    <row r="359" spans="2:14" ht="19.149999999999999" customHeight="1" x14ac:dyDescent="0.2">
      <c r="B359" s="1286"/>
      <c r="C359" s="36" t="s">
        <v>144</v>
      </c>
      <c r="D359" s="1313"/>
      <c r="E359" s="561">
        <f>SUMIF($C$348:$C$355,#REF!,E348:E355)</f>
        <v>0</v>
      </c>
      <c r="F359" s="561">
        <f>SUMIF($C$348:$C$355,#REF!,F348:F355)</f>
        <v>0</v>
      </c>
      <c r="G359" s="561">
        <f>SUMIF($C$348:$C$355,#REF!,G348:G355)</f>
        <v>0</v>
      </c>
      <c r="H359" s="562">
        <f>SUMIF($C$348:$C$355,#REF!,H348:H355)</f>
        <v>0</v>
      </c>
      <c r="I359" s="886"/>
      <c r="J359" s="342"/>
      <c r="K359" s="342"/>
      <c r="L359" s="342"/>
      <c r="M359" s="342"/>
      <c r="N359" s="724"/>
    </row>
    <row r="360" spans="2:14" ht="31.9" customHeight="1" x14ac:dyDescent="0.2">
      <c r="B360" s="1119" t="s">
        <v>392</v>
      </c>
      <c r="C360" s="155" t="s">
        <v>393</v>
      </c>
      <c r="D360" s="48"/>
      <c r="E360" s="558"/>
      <c r="F360" s="559"/>
      <c r="G360" s="559"/>
      <c r="H360" s="560"/>
      <c r="I360" s="923"/>
      <c r="J360" s="924"/>
      <c r="K360" s="924"/>
      <c r="L360" s="924"/>
      <c r="M360" s="924"/>
      <c r="N360" s="925"/>
    </row>
    <row r="361" spans="2:14" ht="29.45" customHeight="1" x14ac:dyDescent="0.2">
      <c r="B361" s="1176"/>
      <c r="C361" s="36" t="s">
        <v>394</v>
      </c>
      <c r="D361" s="1298" t="s">
        <v>118</v>
      </c>
      <c r="E361" s="149"/>
      <c r="F361" s="99"/>
      <c r="G361" s="99"/>
      <c r="H361" s="845"/>
      <c r="I361" s="926" t="s">
        <v>34</v>
      </c>
      <c r="J361" s="922">
        <v>41</v>
      </c>
      <c r="K361" s="922"/>
      <c r="L361" s="922"/>
      <c r="M361" s="922"/>
      <c r="N361" s="927"/>
    </row>
    <row r="362" spans="2:14" ht="27.6" customHeight="1" x14ac:dyDescent="0.2">
      <c r="B362" s="1177"/>
      <c r="C362" s="30" t="s">
        <v>35</v>
      </c>
      <c r="D362" s="1228"/>
      <c r="E362" s="149"/>
      <c r="F362" s="99"/>
      <c r="G362" s="99"/>
      <c r="H362" s="845"/>
      <c r="I362" s="926" t="s">
        <v>395</v>
      </c>
      <c r="J362" s="922">
        <v>47</v>
      </c>
      <c r="K362" s="922"/>
      <c r="L362" s="922"/>
      <c r="M362" s="922"/>
      <c r="N362" s="745"/>
    </row>
    <row r="363" spans="2:14" ht="18" customHeight="1" x14ac:dyDescent="0.2">
      <c r="B363" s="1178"/>
      <c r="C363" s="341" t="s">
        <v>42</v>
      </c>
      <c r="D363" s="1228"/>
      <c r="E363" s="565">
        <v>141</v>
      </c>
      <c r="F363" s="553"/>
      <c r="G363" s="553"/>
      <c r="H363" s="844"/>
      <c r="I363" s="906"/>
      <c r="J363" s="358"/>
      <c r="K363" s="358"/>
      <c r="L363" s="358"/>
      <c r="M363" s="358"/>
      <c r="N363" s="936"/>
    </row>
    <row r="364" spans="2:14" ht="20.45" customHeight="1" x14ac:dyDescent="0.2">
      <c r="B364" s="1193" t="s">
        <v>540</v>
      </c>
      <c r="C364" s="307" t="s">
        <v>396</v>
      </c>
      <c r="D364" s="1228"/>
      <c r="E364" s="563"/>
      <c r="F364" s="564"/>
      <c r="G364" s="564"/>
      <c r="H364" s="846"/>
      <c r="I364" s="930" t="s">
        <v>34</v>
      </c>
      <c r="J364" s="931">
        <v>12</v>
      </c>
      <c r="K364" s="931">
        <v>6</v>
      </c>
      <c r="L364" s="931">
        <v>6</v>
      </c>
      <c r="M364" s="931"/>
      <c r="N364" s="932"/>
    </row>
    <row r="365" spans="2:14" ht="27.75" customHeight="1" x14ac:dyDescent="0.2">
      <c r="B365" s="1291"/>
      <c r="C365" s="37" t="s">
        <v>35</v>
      </c>
      <c r="D365" s="1228"/>
      <c r="E365" s="263">
        <v>60</v>
      </c>
      <c r="F365" s="49">
        <v>60</v>
      </c>
      <c r="G365" s="49">
        <v>60</v>
      </c>
      <c r="H365" s="847"/>
      <c r="I365" s="933" t="s">
        <v>397</v>
      </c>
      <c r="J365" s="922">
        <v>24</v>
      </c>
      <c r="K365" s="922">
        <v>12</v>
      </c>
      <c r="L365" s="922">
        <v>12</v>
      </c>
      <c r="M365" s="922"/>
      <c r="N365" s="770" t="s">
        <v>127</v>
      </c>
    </row>
    <row r="366" spans="2:14" ht="18.75" customHeight="1" x14ac:dyDescent="0.2">
      <c r="B366" s="1263"/>
      <c r="C366" s="566" t="s">
        <v>42</v>
      </c>
      <c r="D366" s="1243"/>
      <c r="E366" s="565">
        <v>51.8</v>
      </c>
      <c r="F366" s="553"/>
      <c r="G366" s="553"/>
      <c r="H366" s="844"/>
      <c r="I366" s="934"/>
      <c r="J366" s="928"/>
      <c r="K366" s="928"/>
      <c r="L366" s="928"/>
      <c r="M366" s="928"/>
      <c r="N366" s="935" t="s">
        <v>127</v>
      </c>
    </row>
    <row r="367" spans="2:14" ht="33" customHeight="1" x14ac:dyDescent="0.2">
      <c r="B367" s="1123"/>
      <c r="C367" s="61" t="s">
        <v>138</v>
      </c>
      <c r="D367" s="104"/>
      <c r="E367" s="147">
        <f>SUM(E369:E370)</f>
        <v>252.8</v>
      </c>
      <c r="F367" s="101">
        <f>SUM(F369:F370)</f>
        <v>60</v>
      </c>
      <c r="G367" s="101">
        <f t="shared" ref="G367" si="22">SUM(G369:G370)</f>
        <v>60</v>
      </c>
      <c r="H367" s="567">
        <f>SUM(H369:H370)</f>
        <v>0</v>
      </c>
      <c r="I367" s="701"/>
      <c r="J367" s="404"/>
      <c r="K367" s="404"/>
      <c r="L367" s="404"/>
      <c r="M367" s="404"/>
      <c r="N367" s="702"/>
    </row>
    <row r="368" spans="2:14" ht="15" customHeight="1" x14ac:dyDescent="0.2">
      <c r="B368" s="1284"/>
      <c r="C368" s="36" t="s">
        <v>139</v>
      </c>
      <c r="D368" s="102"/>
      <c r="E368" s="150"/>
      <c r="F368" s="105"/>
      <c r="G368" s="105"/>
      <c r="H368" s="568"/>
      <c r="I368" s="658"/>
      <c r="J368" s="282"/>
      <c r="K368" s="282"/>
      <c r="L368" s="282"/>
      <c r="M368" s="282"/>
      <c r="N368" s="659"/>
    </row>
    <row r="369" spans="2:14" ht="29.45" customHeight="1" x14ac:dyDescent="0.2">
      <c r="B369" s="1285"/>
      <c r="C369" s="36" t="s">
        <v>140</v>
      </c>
      <c r="D369" s="106"/>
      <c r="E369" s="151">
        <f>SUMIF(C361:C366,C365,E361:E366)</f>
        <v>60</v>
      </c>
      <c r="F369" s="107">
        <f>SUMIF(C361:C366,C365,F361:F366)</f>
        <v>60</v>
      </c>
      <c r="G369" s="107">
        <f>SUMIF(C361:C366,C365,G361:G366)</f>
        <v>60</v>
      </c>
      <c r="H369" s="569">
        <f>SUMIF(C361:C366,C365,H361:H366)</f>
        <v>0</v>
      </c>
      <c r="I369" s="658"/>
      <c r="J369" s="282"/>
      <c r="K369" s="282"/>
      <c r="L369" s="282"/>
      <c r="M369" s="282"/>
      <c r="N369" s="659"/>
    </row>
    <row r="370" spans="2:14" ht="16.899999999999999" customHeight="1" thickBot="1" x14ac:dyDescent="0.25">
      <c r="B370" s="1283"/>
      <c r="C370" s="407" t="s">
        <v>144</v>
      </c>
      <c r="D370" s="572"/>
      <c r="E370" s="573">
        <f>SUMIF(C361:C366,C366,E361:E366)</f>
        <v>192.8</v>
      </c>
      <c r="F370" s="574">
        <f>SUMIF(C361:C366,#REF!,F361:F366)</f>
        <v>0</v>
      </c>
      <c r="G370" s="574">
        <f>SUMIF(C361:C366,#REF!,G361:G366)</f>
        <v>0</v>
      </c>
      <c r="H370" s="575">
        <f>SUMIF(C361:C366,#REF!,H361:H366)</f>
        <v>0</v>
      </c>
      <c r="I370" s="671"/>
      <c r="J370" s="328"/>
      <c r="K370" s="328"/>
      <c r="L370" s="328"/>
      <c r="M370" s="328"/>
      <c r="N370" s="672"/>
    </row>
    <row r="371" spans="2:14" ht="40.5" customHeight="1" x14ac:dyDescent="0.2">
      <c r="B371" s="1091" t="s">
        <v>398</v>
      </c>
      <c r="C371" s="84" t="s">
        <v>399</v>
      </c>
      <c r="D371" s="570"/>
      <c r="E371" s="279"/>
      <c r="F371" s="280"/>
      <c r="G371" s="280"/>
      <c r="H371" s="571"/>
      <c r="I371" s="643"/>
      <c r="J371" s="299"/>
      <c r="K371" s="299"/>
      <c r="L371" s="299"/>
      <c r="M371" s="299"/>
      <c r="N371" s="644"/>
    </row>
    <row r="372" spans="2:14" ht="30" customHeight="1" thickBot="1" x14ac:dyDescent="0.25">
      <c r="B372" s="1125" t="s">
        <v>400</v>
      </c>
      <c r="C372" s="580" t="s">
        <v>401</v>
      </c>
      <c r="D372" s="581"/>
      <c r="E372" s="582"/>
      <c r="F372" s="583"/>
      <c r="G372" s="583"/>
      <c r="H372" s="584"/>
      <c r="I372" s="771"/>
      <c r="J372" s="585"/>
      <c r="K372" s="585"/>
      <c r="L372" s="585"/>
      <c r="M372" s="585"/>
      <c r="N372" s="772"/>
    </row>
    <row r="373" spans="2:14" ht="23.25" customHeight="1" x14ac:dyDescent="0.2">
      <c r="B373" s="1282" t="s">
        <v>402</v>
      </c>
      <c r="C373" s="343" t="s">
        <v>403</v>
      </c>
      <c r="D373" s="112"/>
      <c r="E373" s="153"/>
      <c r="F373" s="111"/>
      <c r="G373" s="111"/>
      <c r="H373" s="848"/>
      <c r="I373" s="666"/>
      <c r="J373" s="320"/>
      <c r="K373" s="320"/>
      <c r="L373" s="320"/>
      <c r="M373" s="320"/>
      <c r="N373" s="667"/>
    </row>
    <row r="374" spans="2:14" ht="27.6" customHeight="1" x14ac:dyDescent="0.2">
      <c r="B374" s="1285"/>
      <c r="C374" s="162" t="s">
        <v>35</v>
      </c>
      <c r="D374" s="1319" t="s">
        <v>67</v>
      </c>
      <c r="E374" s="224">
        <f>635-180+19.6</f>
        <v>474.6</v>
      </c>
      <c r="F374" s="38">
        <v>530</v>
      </c>
      <c r="G374" s="207">
        <v>555</v>
      </c>
      <c r="H374" s="577">
        <v>550</v>
      </c>
      <c r="I374" s="773" t="s">
        <v>404</v>
      </c>
      <c r="J374" s="576">
        <v>9</v>
      </c>
      <c r="K374" s="576">
        <v>9</v>
      </c>
      <c r="L374" s="576">
        <v>11</v>
      </c>
      <c r="M374" s="576">
        <v>10</v>
      </c>
      <c r="N374" s="653"/>
    </row>
    <row r="375" spans="2:14" ht="22.15" customHeight="1" x14ac:dyDescent="0.2">
      <c r="B375" s="1285"/>
      <c r="C375" s="223" t="s">
        <v>42</v>
      </c>
      <c r="D375" s="1319"/>
      <c r="E375" s="225" t="s">
        <v>127</v>
      </c>
      <c r="F375" s="208"/>
      <c r="G375" s="209"/>
      <c r="H375" s="578"/>
      <c r="I375" s="658"/>
      <c r="J375" s="282"/>
      <c r="K375" s="282"/>
      <c r="L375" s="282"/>
      <c r="M375" s="282"/>
      <c r="N375" s="659"/>
    </row>
    <row r="376" spans="2:14" ht="31.5" customHeight="1" x14ac:dyDescent="0.2">
      <c r="B376" s="1285"/>
      <c r="C376" s="162" t="s">
        <v>35</v>
      </c>
      <c r="D376" s="1306" t="s">
        <v>33</v>
      </c>
      <c r="E376" s="237"/>
      <c r="F376" s="238"/>
      <c r="G376" s="238"/>
      <c r="H376" s="579"/>
      <c r="I376" s="670"/>
      <c r="J376" s="282"/>
      <c r="K376" s="282"/>
      <c r="L376" s="282"/>
      <c r="M376" s="282"/>
      <c r="N376" s="659"/>
    </row>
    <row r="377" spans="2:14" ht="25.5" customHeight="1" thickBot="1" x14ac:dyDescent="0.25">
      <c r="B377" s="1283"/>
      <c r="C377" s="586" t="s">
        <v>42</v>
      </c>
      <c r="D377" s="1307"/>
      <c r="E377" s="587" t="s">
        <v>127</v>
      </c>
      <c r="F377" s="588"/>
      <c r="G377" s="588"/>
      <c r="H377" s="589"/>
      <c r="I377" s="671"/>
      <c r="J377" s="328"/>
      <c r="K377" s="328"/>
      <c r="L377" s="328"/>
      <c r="M377" s="328"/>
      <c r="N377" s="672"/>
    </row>
    <row r="378" spans="2:14" ht="32.25" customHeight="1" x14ac:dyDescent="0.2">
      <c r="B378" s="1282" t="s">
        <v>405</v>
      </c>
      <c r="C378" s="343" t="s">
        <v>406</v>
      </c>
      <c r="D378" s="1322" t="s">
        <v>67</v>
      </c>
      <c r="E378" s="47" t="s">
        <v>127</v>
      </c>
      <c r="F378" s="44"/>
      <c r="G378" s="184"/>
      <c r="H378" s="620"/>
      <c r="I378" s="666"/>
      <c r="J378" s="320"/>
      <c r="K378" s="320"/>
      <c r="L378" s="320"/>
      <c r="M378" s="320"/>
      <c r="N378" s="667"/>
    </row>
    <row r="379" spans="2:14" ht="29.45" customHeight="1" thickBot="1" x14ac:dyDescent="0.25">
      <c r="B379" s="1283"/>
      <c r="C379" s="308" t="s">
        <v>35</v>
      </c>
      <c r="D379" s="1322"/>
      <c r="E379" s="547">
        <f>93.7-44</f>
        <v>49.7</v>
      </c>
      <c r="F379" s="412">
        <v>93.7</v>
      </c>
      <c r="G379" s="590">
        <v>51.6</v>
      </c>
      <c r="H379" s="849">
        <v>59.6</v>
      </c>
      <c r="I379" s="774" t="s">
        <v>407</v>
      </c>
      <c r="J379" s="593">
        <v>95</v>
      </c>
      <c r="K379" s="594">
        <v>82</v>
      </c>
      <c r="L379" s="594">
        <v>82</v>
      </c>
      <c r="M379" s="594">
        <v>82</v>
      </c>
      <c r="N379" s="680"/>
    </row>
    <row r="380" spans="2:14" ht="30" customHeight="1" x14ac:dyDescent="0.2">
      <c r="B380" s="1282" t="s">
        <v>408</v>
      </c>
      <c r="C380" s="307" t="s">
        <v>409</v>
      </c>
      <c r="D380" s="266"/>
      <c r="E380" s="47" t="s">
        <v>127</v>
      </c>
      <c r="F380" s="44"/>
      <c r="G380" s="184"/>
      <c r="H380" s="620"/>
      <c r="I380" s="658"/>
      <c r="J380" s="282"/>
      <c r="K380" s="282"/>
      <c r="L380" s="282"/>
      <c r="M380" s="282"/>
      <c r="N380" s="659"/>
    </row>
    <row r="381" spans="2:14" ht="31.9" customHeight="1" thickBot="1" x14ac:dyDescent="0.25">
      <c r="B381" s="1283"/>
      <c r="C381" s="308" t="s">
        <v>35</v>
      </c>
      <c r="D381" s="266"/>
      <c r="E381" s="595">
        <f>190+62+50</f>
        <v>302</v>
      </c>
      <c r="F381" s="595">
        <v>260</v>
      </c>
      <c r="G381" s="596">
        <v>255</v>
      </c>
      <c r="H381" s="850">
        <v>250</v>
      </c>
      <c r="I381" s="769" t="s">
        <v>410</v>
      </c>
      <c r="J381" s="592">
        <v>42</v>
      </c>
      <c r="K381" s="592">
        <v>40</v>
      </c>
      <c r="L381" s="506">
        <v>40</v>
      </c>
      <c r="M381" s="506">
        <v>40</v>
      </c>
      <c r="N381" s="685"/>
    </row>
    <row r="382" spans="2:14" ht="28.15" customHeight="1" x14ac:dyDescent="0.2">
      <c r="B382" s="1282" t="s">
        <v>411</v>
      </c>
      <c r="C382" s="307" t="s">
        <v>412</v>
      </c>
      <c r="D382" s="266"/>
      <c r="E382" s="47" t="s">
        <v>127</v>
      </c>
      <c r="F382" s="44"/>
      <c r="G382" s="184"/>
      <c r="H382" s="620"/>
      <c r="I382" s="658"/>
      <c r="J382" s="282"/>
      <c r="K382" s="282"/>
      <c r="L382" s="282"/>
      <c r="M382" s="282"/>
      <c r="N382" s="659"/>
    </row>
    <row r="383" spans="2:14" ht="31.9" customHeight="1" x14ac:dyDescent="0.2">
      <c r="B383" s="1285"/>
      <c r="C383" s="37" t="s">
        <v>35</v>
      </c>
      <c r="D383" s="266"/>
      <c r="E383" s="46">
        <v>59</v>
      </c>
      <c r="F383" s="210">
        <v>67.099999999999994</v>
      </c>
      <c r="G383" s="211">
        <v>70</v>
      </c>
      <c r="H383" s="851">
        <v>70</v>
      </c>
      <c r="I383" s="652" t="s">
        <v>413</v>
      </c>
      <c r="J383" s="506">
        <f>4+2</f>
        <v>6</v>
      </c>
      <c r="K383" s="597">
        <v>4</v>
      </c>
      <c r="L383" s="597">
        <v>4</v>
      </c>
      <c r="M383" s="597">
        <v>4</v>
      </c>
      <c r="N383" s="653"/>
    </row>
    <row r="384" spans="2:14" ht="20.25" customHeight="1" thickBot="1" x14ac:dyDescent="0.25">
      <c r="B384" s="1283"/>
      <c r="C384" s="598" t="s">
        <v>42</v>
      </c>
      <c r="D384" s="266"/>
      <c r="E384" s="547">
        <v>69.400000000000006</v>
      </c>
      <c r="F384" s="412"/>
      <c r="G384" s="590"/>
      <c r="H384" s="849"/>
      <c r="I384" s="671"/>
      <c r="J384" s="328"/>
      <c r="K384" s="328"/>
      <c r="L384" s="328"/>
      <c r="M384" s="328"/>
      <c r="N384" s="672"/>
    </row>
    <row r="385" spans="2:14" ht="19.149999999999999" customHeight="1" x14ac:dyDescent="0.2">
      <c r="B385" s="1282" t="s">
        <v>414</v>
      </c>
      <c r="C385" s="307" t="s">
        <v>415</v>
      </c>
      <c r="D385" s="266"/>
      <c r="E385" s="47" t="s">
        <v>127</v>
      </c>
      <c r="F385" s="44"/>
      <c r="G385" s="184"/>
      <c r="H385" s="620"/>
      <c r="I385" s="666"/>
      <c r="J385" s="320"/>
      <c r="K385" s="320"/>
      <c r="L385" s="320"/>
      <c r="M385" s="320"/>
      <c r="N385" s="667"/>
    </row>
    <row r="386" spans="2:14" ht="30" customHeight="1" thickBot="1" x14ac:dyDescent="0.25">
      <c r="B386" s="1283"/>
      <c r="C386" s="308" t="s">
        <v>35</v>
      </c>
      <c r="D386" s="266"/>
      <c r="E386" s="547">
        <f>250-63.4</f>
        <v>186.6</v>
      </c>
      <c r="F386" s="412">
        <v>270</v>
      </c>
      <c r="G386" s="590">
        <v>100</v>
      </c>
      <c r="H386" s="849">
        <v>150</v>
      </c>
      <c r="I386" s="662" t="s">
        <v>407</v>
      </c>
      <c r="J386" s="591">
        <v>5</v>
      </c>
      <c r="K386" s="599">
        <v>1</v>
      </c>
      <c r="L386" s="599">
        <v>1</v>
      </c>
      <c r="M386" s="599">
        <v>1</v>
      </c>
      <c r="N386" s="664"/>
    </row>
    <row r="387" spans="2:14" ht="30.75" customHeight="1" x14ac:dyDescent="0.2">
      <c r="B387" s="1282" t="s">
        <v>416</v>
      </c>
      <c r="C387" s="307" t="s">
        <v>417</v>
      </c>
      <c r="D387" s="266"/>
      <c r="E387" s="47" t="s">
        <v>127</v>
      </c>
      <c r="F387" s="44"/>
      <c r="G387" s="184"/>
      <c r="H387" s="620"/>
      <c r="I387" s="666"/>
      <c r="J387" s="320"/>
      <c r="K387" s="320"/>
      <c r="L387" s="320"/>
      <c r="M387" s="320"/>
      <c r="N387" s="667"/>
    </row>
    <row r="388" spans="2:14" ht="30" customHeight="1" thickBot="1" x14ac:dyDescent="0.25">
      <c r="B388" s="1283"/>
      <c r="C388" s="308" t="s">
        <v>35</v>
      </c>
      <c r="D388" s="266"/>
      <c r="E388" s="547">
        <f>300-36.2</f>
        <v>263.8</v>
      </c>
      <c r="F388" s="412">
        <v>308</v>
      </c>
      <c r="G388" s="590">
        <v>300</v>
      </c>
      <c r="H388" s="849">
        <v>300</v>
      </c>
      <c r="I388" s="662" t="s">
        <v>407</v>
      </c>
      <c r="J388" s="591">
        <v>11</v>
      </c>
      <c r="K388" s="591">
        <v>10</v>
      </c>
      <c r="L388" s="591">
        <v>10</v>
      </c>
      <c r="M388" s="591">
        <v>10</v>
      </c>
      <c r="N388" s="664"/>
    </row>
    <row r="389" spans="2:14" ht="22.5" customHeight="1" x14ac:dyDescent="0.2">
      <c r="B389" s="1282" t="s">
        <v>418</v>
      </c>
      <c r="C389" s="343" t="s">
        <v>419</v>
      </c>
      <c r="D389" s="266"/>
      <c r="E389" s="47" t="s">
        <v>127</v>
      </c>
      <c r="F389" s="44"/>
      <c r="G389" s="184"/>
      <c r="H389" s="620"/>
      <c r="I389" s="666"/>
      <c r="J389" s="320"/>
      <c r="K389" s="320"/>
      <c r="L389" s="320"/>
      <c r="M389" s="320"/>
      <c r="N389" s="667"/>
    </row>
    <row r="390" spans="2:14" ht="30" customHeight="1" thickBot="1" x14ac:dyDescent="0.25">
      <c r="B390" s="1283"/>
      <c r="C390" s="308" t="s">
        <v>35</v>
      </c>
      <c r="D390" s="266"/>
      <c r="E390" s="547">
        <f>783-80</f>
        <v>703</v>
      </c>
      <c r="F390" s="412">
        <v>652</v>
      </c>
      <c r="G390" s="590">
        <v>650</v>
      </c>
      <c r="H390" s="849">
        <v>650</v>
      </c>
      <c r="I390" s="662" t="s">
        <v>407</v>
      </c>
      <c r="J390" s="591">
        <v>12</v>
      </c>
      <c r="K390" s="591">
        <v>8</v>
      </c>
      <c r="L390" s="591">
        <v>8</v>
      </c>
      <c r="M390" s="591">
        <v>8</v>
      </c>
      <c r="N390" s="664"/>
    </row>
    <row r="391" spans="2:14" ht="33" customHeight="1" x14ac:dyDescent="0.2">
      <c r="B391" s="1285" t="s">
        <v>420</v>
      </c>
      <c r="C391" s="91" t="s">
        <v>421</v>
      </c>
      <c r="D391" s="266"/>
      <c r="E391" s="47" t="s">
        <v>127</v>
      </c>
      <c r="F391" s="44"/>
      <c r="G391" s="184"/>
      <c r="H391" s="620"/>
      <c r="I391" s="666"/>
      <c r="J391" s="320"/>
      <c r="K391" s="320"/>
      <c r="L391" s="320"/>
      <c r="M391" s="320"/>
      <c r="N391" s="667"/>
    </row>
    <row r="392" spans="2:14" ht="29.25" customHeight="1" x14ac:dyDescent="0.2">
      <c r="B392" s="1285"/>
      <c r="C392" s="37" t="s">
        <v>35</v>
      </c>
      <c r="D392" s="266"/>
      <c r="E392" s="46">
        <f>826.3-330-30-26</f>
        <v>440.29999999999995</v>
      </c>
      <c r="F392" s="267">
        <f>397-202.5+100</f>
        <v>294.5</v>
      </c>
      <c r="G392" s="268">
        <f>374.5+202.5-100</f>
        <v>477</v>
      </c>
      <c r="H392" s="851">
        <v>52.5</v>
      </c>
      <c r="I392" s="652" t="s">
        <v>422</v>
      </c>
      <c r="J392" s="506">
        <v>2</v>
      </c>
      <c r="K392" s="506">
        <v>4</v>
      </c>
      <c r="L392" s="506">
        <v>1</v>
      </c>
      <c r="M392" s="506">
        <v>0</v>
      </c>
      <c r="N392" s="653"/>
    </row>
    <row r="393" spans="2:14" ht="24" customHeight="1" thickBot="1" x14ac:dyDescent="0.25">
      <c r="B393" s="1124"/>
      <c r="C393" s="308"/>
      <c r="D393" s="266"/>
      <c r="E393" s="547"/>
      <c r="F393" s="600"/>
      <c r="G393" s="601"/>
      <c r="H393" s="849"/>
      <c r="I393" s="683" t="s">
        <v>423</v>
      </c>
      <c r="J393" s="602">
        <v>4</v>
      </c>
      <c r="K393" s="603">
        <f>2-1</f>
        <v>1</v>
      </c>
      <c r="L393" s="603">
        <f>2+1</f>
        <v>3</v>
      </c>
      <c r="M393" s="602">
        <v>1</v>
      </c>
      <c r="N393" s="664"/>
    </row>
    <row r="394" spans="2:14" ht="19.899999999999999" customHeight="1" x14ac:dyDescent="0.2">
      <c r="B394" s="1282" t="s">
        <v>424</v>
      </c>
      <c r="C394" s="307" t="s">
        <v>425</v>
      </c>
      <c r="D394" s="266"/>
      <c r="E394" s="47" t="s">
        <v>127</v>
      </c>
      <c r="F394" s="44"/>
      <c r="G394" s="184"/>
      <c r="H394" s="620"/>
      <c r="I394" s="666"/>
      <c r="J394" s="320"/>
      <c r="K394" s="320"/>
      <c r="L394" s="320"/>
      <c r="M394" s="320"/>
      <c r="N394" s="667"/>
    </row>
    <row r="395" spans="2:14" ht="33" customHeight="1" thickBot="1" x14ac:dyDescent="0.25">
      <c r="B395" s="1283"/>
      <c r="C395" s="308" t="s">
        <v>35</v>
      </c>
      <c r="D395" s="266"/>
      <c r="E395" s="547">
        <f>150+48.5+60</f>
        <v>258.5</v>
      </c>
      <c r="F395" s="600">
        <f>333</f>
        <v>333</v>
      </c>
      <c r="G395" s="601">
        <f>333-55</f>
        <v>278</v>
      </c>
      <c r="H395" s="952">
        <f>168+55</f>
        <v>223</v>
      </c>
      <c r="I395" s="662" t="s">
        <v>407</v>
      </c>
      <c r="J395" s="591">
        <v>3</v>
      </c>
      <c r="K395" s="591">
        <v>6</v>
      </c>
      <c r="L395" s="591">
        <v>5</v>
      </c>
      <c r="M395" s="591">
        <v>4</v>
      </c>
      <c r="N395" s="664"/>
    </row>
    <row r="396" spans="2:14" ht="18" customHeight="1" x14ac:dyDescent="0.2">
      <c r="B396" s="1271" t="s">
        <v>426</v>
      </c>
      <c r="C396" s="604" t="s">
        <v>427</v>
      </c>
      <c r="D396" s="1281" t="s">
        <v>67</v>
      </c>
      <c r="E396" s="195" t="s">
        <v>127</v>
      </c>
      <c r="F396" s="212"/>
      <c r="G396" s="213"/>
      <c r="H396" s="852"/>
      <c r="I396" s="666"/>
      <c r="J396" s="320"/>
      <c r="K396" s="320"/>
      <c r="L396" s="320"/>
      <c r="M396" s="320"/>
      <c r="N396" s="667"/>
    </row>
    <row r="397" spans="2:14" ht="29.25" customHeight="1" x14ac:dyDescent="0.2">
      <c r="B397" s="1271"/>
      <c r="C397" s="162" t="s">
        <v>35</v>
      </c>
      <c r="D397" s="1281"/>
      <c r="E397" s="190">
        <v>346.7</v>
      </c>
      <c r="F397" s="214">
        <v>365.6</v>
      </c>
      <c r="G397" s="215">
        <v>365.6</v>
      </c>
      <c r="H397" s="853">
        <v>365.6</v>
      </c>
      <c r="I397" s="654" t="s">
        <v>428</v>
      </c>
      <c r="J397" s="506">
        <v>38</v>
      </c>
      <c r="K397" s="506">
        <v>38</v>
      </c>
      <c r="L397" s="506">
        <v>38</v>
      </c>
      <c r="M397" s="506">
        <v>38</v>
      </c>
      <c r="N397" s="653"/>
    </row>
    <row r="398" spans="2:14" ht="18" customHeight="1" x14ac:dyDescent="0.2">
      <c r="B398" s="1272"/>
      <c r="C398" s="196" t="s">
        <v>38</v>
      </c>
      <c r="D398" s="220"/>
      <c r="E398" s="190">
        <v>2.9</v>
      </c>
      <c r="F398" s="214">
        <v>3.5</v>
      </c>
      <c r="G398" s="215">
        <v>3.5</v>
      </c>
      <c r="H398" s="853">
        <v>3.5</v>
      </c>
      <c r="I398" s="710" t="s">
        <v>429</v>
      </c>
      <c r="J398" s="592">
        <v>102</v>
      </c>
      <c r="K398" s="592">
        <v>101</v>
      </c>
      <c r="L398" s="506">
        <v>101</v>
      </c>
      <c r="M398" s="506">
        <v>101</v>
      </c>
      <c r="N398" s="653"/>
    </row>
    <row r="399" spans="2:14" ht="18" customHeight="1" x14ac:dyDescent="0.2">
      <c r="B399" s="1126"/>
      <c r="C399" s="196"/>
      <c r="D399" s="220"/>
      <c r="E399" s="190"/>
      <c r="F399" s="214"/>
      <c r="G399" s="215"/>
      <c r="H399" s="853"/>
      <c r="I399" s="654" t="s">
        <v>430</v>
      </c>
      <c r="J399" s="506">
        <v>32</v>
      </c>
      <c r="K399" s="506">
        <v>32</v>
      </c>
      <c r="L399" s="506">
        <v>32</v>
      </c>
      <c r="M399" s="506">
        <v>32</v>
      </c>
      <c r="N399" s="653"/>
    </row>
    <row r="400" spans="2:14" ht="18" customHeight="1" thickBot="1" x14ac:dyDescent="0.25">
      <c r="B400" s="964"/>
      <c r="C400" s="608"/>
      <c r="D400" s="220"/>
      <c r="E400" s="609"/>
      <c r="F400" s="610"/>
      <c r="G400" s="611"/>
      <c r="H400" s="854"/>
      <c r="I400" s="662" t="s">
        <v>431</v>
      </c>
      <c r="J400" s="591">
        <v>93</v>
      </c>
      <c r="K400" s="591">
        <v>91</v>
      </c>
      <c r="L400" s="591">
        <v>91</v>
      </c>
      <c r="M400" s="591">
        <v>91</v>
      </c>
      <c r="N400" s="664"/>
    </row>
    <row r="401" spans="2:14" ht="18" customHeight="1" x14ac:dyDescent="0.2">
      <c r="B401" s="1304" t="s">
        <v>432</v>
      </c>
      <c r="C401" s="957" t="s">
        <v>433</v>
      </c>
      <c r="D401" s="1302"/>
      <c r="E401" s="958"/>
      <c r="F401" s="959"/>
      <c r="G401" s="960"/>
      <c r="H401" s="961"/>
      <c r="I401" s="962"/>
      <c r="J401" s="963"/>
      <c r="K401" s="963"/>
      <c r="L401" s="963"/>
      <c r="M401" s="963"/>
      <c r="N401" s="667"/>
    </row>
    <row r="402" spans="2:14" ht="33" customHeight="1" x14ac:dyDescent="0.2">
      <c r="B402" s="1305"/>
      <c r="C402" s="965" t="s">
        <v>35</v>
      </c>
      <c r="D402" s="1303"/>
      <c r="E402" s="966"/>
      <c r="F402" s="967">
        <v>117</v>
      </c>
      <c r="G402" s="968">
        <v>126</v>
      </c>
      <c r="H402" s="969">
        <v>146</v>
      </c>
      <c r="I402" s="970" t="s">
        <v>407</v>
      </c>
      <c r="J402" s="971" t="s">
        <v>127</v>
      </c>
      <c r="K402" s="972">
        <v>10</v>
      </c>
      <c r="L402" s="972">
        <v>11</v>
      </c>
      <c r="M402" s="972">
        <v>13</v>
      </c>
      <c r="N402" s="775"/>
    </row>
    <row r="403" spans="2:14" ht="33" customHeight="1" x14ac:dyDescent="0.2">
      <c r="B403" s="1127"/>
      <c r="C403" s="61" t="s">
        <v>138</v>
      </c>
      <c r="D403" s="109"/>
      <c r="E403" s="101">
        <f>SUM(E404:E407)</f>
        <v>3156.5</v>
      </c>
      <c r="F403" s="101">
        <f>SUM(F404:F407)</f>
        <v>3294.4</v>
      </c>
      <c r="G403" s="101">
        <f>SUM(G404:G407)</f>
        <v>3231.7</v>
      </c>
      <c r="H403" s="567">
        <f>SUM(H404:H407)</f>
        <v>2820.2</v>
      </c>
      <c r="I403" s="701"/>
      <c r="J403" s="404"/>
      <c r="K403" s="404"/>
      <c r="L403" s="404"/>
      <c r="M403" s="404"/>
      <c r="N403" s="702"/>
    </row>
    <row r="404" spans="2:14" ht="16.149999999999999" customHeight="1" x14ac:dyDescent="0.2">
      <c r="B404" s="1299"/>
      <c r="C404" s="36" t="s">
        <v>139</v>
      </c>
      <c r="D404" s="102"/>
      <c r="E404" s="103"/>
      <c r="F404" s="103"/>
      <c r="G404" s="103"/>
      <c r="H404" s="628"/>
      <c r="I404" s="658"/>
      <c r="J404" s="282"/>
      <c r="K404" s="282"/>
      <c r="L404" s="282"/>
      <c r="M404" s="282"/>
      <c r="N404" s="659"/>
    </row>
    <row r="405" spans="2:14" ht="31.9" customHeight="1" x14ac:dyDescent="0.2">
      <c r="B405" s="1300"/>
      <c r="C405" s="36" t="s">
        <v>140</v>
      </c>
      <c r="D405" s="110"/>
      <c r="E405" s="111">
        <f>SUMIF(C374:C402,C374,E374:E402)</f>
        <v>3084.2</v>
      </c>
      <c r="F405" s="111">
        <f>SUMIF(C374:C402,C374,F374:F402)</f>
        <v>3290.9</v>
      </c>
      <c r="G405" s="111">
        <f>SUMIF(C373:C402,C374,G373:G402)</f>
        <v>3228.2</v>
      </c>
      <c r="H405" s="848">
        <f>SUMIF(C374:C402,C374,H374:H402)</f>
        <v>2816.7</v>
      </c>
      <c r="I405" s="658"/>
      <c r="J405" s="282"/>
      <c r="K405" s="282"/>
      <c r="L405" s="282"/>
      <c r="M405" s="282"/>
      <c r="N405" s="659"/>
    </row>
    <row r="406" spans="2:14" ht="32.25" customHeight="1" x14ac:dyDescent="0.2">
      <c r="B406" s="1300"/>
      <c r="C406" s="36" t="s">
        <v>141</v>
      </c>
      <c r="D406" s="110"/>
      <c r="E406" s="111">
        <f>SUMIF(C373:C402,C398,E373:E402)</f>
        <v>2.9</v>
      </c>
      <c r="F406" s="111">
        <f>SUMIF(C373:C402,C398,F373:F402)</f>
        <v>3.5</v>
      </c>
      <c r="G406" s="111">
        <f>SUMIF(C373:C402,C398,G373:G402)</f>
        <v>3.5</v>
      </c>
      <c r="H406" s="848">
        <f>SUMIF(C373:C402,C398,H373:H402)</f>
        <v>3.5</v>
      </c>
      <c r="I406" s="658"/>
      <c r="J406" s="282"/>
      <c r="K406" s="282"/>
      <c r="L406" s="282"/>
      <c r="M406" s="282"/>
      <c r="N406" s="659"/>
    </row>
    <row r="407" spans="2:14" ht="18.75" customHeight="1" x14ac:dyDescent="0.2">
      <c r="B407" s="1301"/>
      <c r="C407" s="407" t="s">
        <v>144</v>
      </c>
      <c r="D407" s="614"/>
      <c r="E407" s="615">
        <f>SUMIF(C373:C402,C375,E373:E402)</f>
        <v>69.400000000000006</v>
      </c>
      <c r="F407" s="615">
        <f>SUMIF(C373:C402,C375,F373:F402)</f>
        <v>0</v>
      </c>
      <c r="G407" s="615">
        <f>SUMIF(C373:C402,C375,G373:G402)</f>
        <v>0</v>
      </c>
      <c r="H407" s="855">
        <f>SUMIF(C373:C402,C375,H373:H402)</f>
        <v>0</v>
      </c>
      <c r="I407" s="886"/>
      <c r="J407" s="342"/>
      <c r="K407" s="342"/>
      <c r="L407" s="342"/>
      <c r="M407" s="342"/>
      <c r="N407" s="724"/>
    </row>
    <row r="408" spans="2:14" ht="63" customHeight="1" x14ac:dyDescent="0.2">
      <c r="B408" s="1128" t="s">
        <v>434</v>
      </c>
      <c r="C408" s="612" t="s">
        <v>435</v>
      </c>
      <c r="D408" s="613" t="s">
        <v>170</v>
      </c>
      <c r="E408" s="152"/>
      <c r="F408" s="108"/>
      <c r="G408" s="108"/>
      <c r="H408" s="856"/>
      <c r="I408" s="923"/>
      <c r="J408" s="924"/>
      <c r="K408" s="924"/>
      <c r="L408" s="924"/>
      <c r="M408" s="924"/>
      <c r="N408" s="939"/>
    </row>
    <row r="409" spans="2:14" ht="31.5" customHeight="1" x14ac:dyDescent="0.2">
      <c r="B409" s="1129"/>
      <c r="C409" s="66" t="s">
        <v>138</v>
      </c>
      <c r="D409" s="100"/>
      <c r="E409" s="147">
        <f t="shared" ref="E409" si="23">E411</f>
        <v>29.4</v>
      </c>
      <c r="F409" s="101">
        <f t="shared" ref="F409:H409" si="24">F411</f>
        <v>27.8</v>
      </c>
      <c r="G409" s="101">
        <f t="shared" si="24"/>
        <v>27.8</v>
      </c>
      <c r="H409" s="567">
        <f t="shared" si="24"/>
        <v>27.8</v>
      </c>
      <c r="I409" s="940" t="s">
        <v>436</v>
      </c>
      <c r="J409" s="938" t="s">
        <v>437</v>
      </c>
      <c r="K409" s="938" t="s">
        <v>437</v>
      </c>
      <c r="L409" s="938" t="s">
        <v>437</v>
      </c>
      <c r="M409" s="938" t="s">
        <v>437</v>
      </c>
      <c r="N409" s="937"/>
    </row>
    <row r="410" spans="2:14" ht="18.600000000000001" customHeight="1" x14ac:dyDescent="0.2">
      <c r="B410" s="1130"/>
      <c r="C410" s="36" t="s">
        <v>139</v>
      </c>
      <c r="D410" s="113"/>
      <c r="E410" s="47"/>
      <c r="F410" s="44"/>
      <c r="G410" s="44"/>
      <c r="H410" s="857"/>
      <c r="I410" s="666"/>
      <c r="J410" s="320"/>
      <c r="K410" s="320"/>
      <c r="L410" s="320"/>
      <c r="M410" s="320"/>
      <c r="N410" s="659"/>
    </row>
    <row r="411" spans="2:14" ht="31.15" customHeight="1" x14ac:dyDescent="0.2">
      <c r="B411" s="1131"/>
      <c r="C411" s="419" t="s">
        <v>35</v>
      </c>
      <c r="D411" s="614"/>
      <c r="E411" s="616">
        <v>29.4</v>
      </c>
      <c r="F411" s="617">
        <v>27.8</v>
      </c>
      <c r="G411" s="617">
        <v>27.8</v>
      </c>
      <c r="H411" s="629">
        <v>27.8</v>
      </c>
      <c r="I411" s="679"/>
      <c r="J411" s="885"/>
      <c r="K411" s="885"/>
      <c r="L411" s="885"/>
      <c r="M411" s="885"/>
      <c r="N411" s="742"/>
    </row>
    <row r="412" spans="2:14" ht="31.9" customHeight="1" x14ac:dyDescent="0.2">
      <c r="B412" s="1132" t="s">
        <v>438</v>
      </c>
      <c r="C412" s="290" t="s">
        <v>439</v>
      </c>
      <c r="D412" s="114" t="s">
        <v>71</v>
      </c>
      <c r="E412" s="152"/>
      <c r="F412" s="108"/>
      <c r="G412" s="108"/>
      <c r="H412" s="856"/>
      <c r="I412" s="941"/>
      <c r="J412" s="942"/>
      <c r="K412" s="942"/>
      <c r="L412" s="942"/>
      <c r="M412" s="942"/>
      <c r="N412" s="943"/>
    </row>
    <row r="413" spans="2:14" ht="36" customHeight="1" x14ac:dyDescent="0.2">
      <c r="B413" s="1129"/>
      <c r="C413" s="66" t="s">
        <v>138</v>
      </c>
      <c r="D413" s="100"/>
      <c r="E413" s="147">
        <f>E415</f>
        <v>80</v>
      </c>
      <c r="F413" s="101">
        <f t="shared" ref="F413:H413" si="25">F415</f>
        <v>107.1</v>
      </c>
      <c r="G413" s="101">
        <f t="shared" si="25"/>
        <v>107.1</v>
      </c>
      <c r="H413" s="567">
        <f t="shared" si="25"/>
        <v>107.1</v>
      </c>
      <c r="I413" s="940" t="s">
        <v>440</v>
      </c>
      <c r="J413" s="938" t="s">
        <v>441</v>
      </c>
      <c r="K413" s="938" t="s">
        <v>442</v>
      </c>
      <c r="L413" s="938" t="s">
        <v>442</v>
      </c>
      <c r="M413" s="938" t="s">
        <v>442</v>
      </c>
      <c r="N413" s="944"/>
    </row>
    <row r="414" spans="2:14" ht="19.149999999999999" customHeight="1" x14ac:dyDescent="0.2">
      <c r="B414" s="1130"/>
      <c r="C414" s="36" t="s">
        <v>139</v>
      </c>
      <c r="D414" s="110"/>
      <c r="E414" s="153"/>
      <c r="F414" s="111"/>
      <c r="G414" s="111"/>
      <c r="H414" s="848"/>
      <c r="I414" s="945"/>
      <c r="J414" s="897"/>
      <c r="K414" s="897"/>
      <c r="L414" s="897"/>
      <c r="M414" s="897"/>
      <c r="N414" s="927"/>
    </row>
    <row r="415" spans="2:14" ht="31.15" customHeight="1" x14ac:dyDescent="0.2">
      <c r="B415" s="1131"/>
      <c r="C415" s="419" t="s">
        <v>35</v>
      </c>
      <c r="D415" s="614"/>
      <c r="E415" s="618">
        <v>80</v>
      </c>
      <c r="F415" s="617">
        <v>107.1</v>
      </c>
      <c r="G415" s="617">
        <v>107.1</v>
      </c>
      <c r="H415" s="629">
        <v>107.1</v>
      </c>
      <c r="I415" s="902"/>
      <c r="J415" s="903"/>
      <c r="K415" s="903"/>
      <c r="L415" s="903"/>
      <c r="M415" s="903"/>
      <c r="N415" s="929"/>
    </row>
    <row r="416" spans="2:14" ht="30.6" customHeight="1" thickBot="1" x14ac:dyDescent="0.25">
      <c r="B416" s="1132" t="s">
        <v>443</v>
      </c>
      <c r="C416" s="290" t="s">
        <v>444</v>
      </c>
      <c r="D416" s="115"/>
      <c r="E416" s="152"/>
      <c r="F416" s="108"/>
      <c r="G416" s="108"/>
      <c r="H416" s="856"/>
      <c r="I416" s="1422"/>
      <c r="J416" s="1423"/>
      <c r="K416" s="1423"/>
      <c r="L416" s="1423"/>
      <c r="M416" s="1423"/>
      <c r="N416" s="1424"/>
    </row>
    <row r="417" spans="2:18" ht="42.75" customHeight="1" x14ac:dyDescent="0.2">
      <c r="B417" s="1309" t="s">
        <v>445</v>
      </c>
      <c r="C417" s="36" t="s">
        <v>446</v>
      </c>
      <c r="D417" s="1296" t="s">
        <v>67</v>
      </c>
      <c r="E417" s="148"/>
      <c r="F417" s="103"/>
      <c r="G417" s="103"/>
      <c r="H417" s="628"/>
      <c r="I417" s="1383" t="s">
        <v>447</v>
      </c>
      <c r="J417" s="1425" t="s">
        <v>448</v>
      </c>
      <c r="K417" s="1426">
        <v>91</v>
      </c>
      <c r="L417" s="1426">
        <v>91</v>
      </c>
      <c r="M417" s="1426">
        <v>91</v>
      </c>
      <c r="N417" s="1427"/>
    </row>
    <row r="418" spans="2:18" ht="31.15" customHeight="1" thickBot="1" x14ac:dyDescent="0.25">
      <c r="B418" s="1310"/>
      <c r="C418" s="308" t="s">
        <v>35</v>
      </c>
      <c r="D418" s="1297"/>
      <c r="E418" s="605">
        <v>16</v>
      </c>
      <c r="F418" s="606">
        <v>14.5</v>
      </c>
      <c r="G418" s="607">
        <v>14.5</v>
      </c>
      <c r="H418" s="858">
        <v>15.7</v>
      </c>
      <c r="I418" s="1384"/>
      <c r="J418" s="1428"/>
      <c r="K418" s="422"/>
      <c r="L418" s="422"/>
      <c r="M418" s="422"/>
      <c r="N418" s="1429"/>
    </row>
    <row r="419" spans="2:18" ht="33" customHeight="1" x14ac:dyDescent="0.2">
      <c r="B419" s="1127"/>
      <c r="C419" s="116" t="s">
        <v>138</v>
      </c>
      <c r="D419" s="619"/>
      <c r="E419" s="154">
        <f>SUM(E421:E422)</f>
        <v>16</v>
      </c>
      <c r="F419" s="117">
        <f>SUM(F421:F422)</f>
        <v>14.5</v>
      </c>
      <c r="G419" s="117">
        <f>SUM(G421:G422)</f>
        <v>14.5</v>
      </c>
      <c r="H419" s="859">
        <f>SUM(H421:H422)</f>
        <v>15.7</v>
      </c>
      <c r="I419" s="701"/>
      <c r="J419" s="404"/>
      <c r="K419" s="404"/>
      <c r="L419" s="404"/>
      <c r="M419" s="404"/>
      <c r="N419" s="702"/>
    </row>
    <row r="420" spans="2:18" ht="20.45" customHeight="1" x14ac:dyDescent="0.2">
      <c r="B420" s="1335"/>
      <c r="C420" s="36" t="s">
        <v>139</v>
      </c>
      <c r="D420" s="110"/>
      <c r="E420" s="153"/>
      <c r="F420" s="111"/>
      <c r="G420" s="111"/>
      <c r="H420" s="848"/>
      <c r="I420" s="658"/>
      <c r="J420" s="282"/>
      <c r="K420" s="282"/>
      <c r="L420" s="282"/>
      <c r="M420" s="282"/>
      <c r="N420" s="659"/>
    </row>
    <row r="421" spans="2:18" ht="31.15" customHeight="1" x14ac:dyDescent="0.2">
      <c r="B421" s="1336"/>
      <c r="C421" s="36" t="s">
        <v>140</v>
      </c>
      <c r="D421" s="110"/>
      <c r="E421" s="153">
        <f>SUMIF(C417:C418,C418,E417:E418)</f>
        <v>16</v>
      </c>
      <c r="F421" s="111">
        <f>SUMIF(C417:C418,C418,F417:F418)</f>
        <v>14.5</v>
      </c>
      <c r="G421" s="111">
        <f>SUMIF(C417:C418,C418,G417:G418)</f>
        <v>14.5</v>
      </c>
      <c r="H421" s="848">
        <f>SUMIF(C417:C418,C418,H417:H418)</f>
        <v>15.7</v>
      </c>
      <c r="I421" s="658"/>
      <c r="J421" s="282"/>
      <c r="K421" s="282"/>
      <c r="L421" s="282"/>
      <c r="M421" s="282"/>
      <c r="N421" s="659"/>
    </row>
    <row r="422" spans="2:18" ht="36" customHeight="1" thickBot="1" x14ac:dyDescent="0.25">
      <c r="B422" s="1337"/>
      <c r="C422" s="407" t="s">
        <v>141</v>
      </c>
      <c r="D422" s="614"/>
      <c r="E422" s="616">
        <f>SUMIF(B418:B418,#REF!,E418:E418)</f>
        <v>0</v>
      </c>
      <c r="F422" s="615">
        <f>SUMIF(C418:C418,#REF!,F418:F418)</f>
        <v>0</v>
      </c>
      <c r="G422" s="615">
        <f>SUMIF(C418:C418,#REF!,G418:G418)</f>
        <v>0</v>
      </c>
      <c r="H422" s="855">
        <f>SUMIF(C418:C418,#REF!,H418:H418)</f>
        <v>0</v>
      </c>
      <c r="I422" s="671"/>
      <c r="J422" s="328"/>
      <c r="K422" s="328"/>
      <c r="L422" s="328"/>
      <c r="M422" s="328"/>
      <c r="N422" s="672"/>
    </row>
    <row r="423" spans="2:18" ht="44.45" customHeight="1" x14ac:dyDescent="0.2">
      <c r="B423" s="1132" t="s">
        <v>449</v>
      </c>
      <c r="C423" s="290" t="s">
        <v>450</v>
      </c>
      <c r="D423" s="114" t="s">
        <v>67</v>
      </c>
      <c r="E423" s="152"/>
      <c r="F423" s="108"/>
      <c r="G423" s="108"/>
      <c r="H423" s="856"/>
      <c r="I423" s="650"/>
      <c r="J423" s="294"/>
      <c r="K423" s="294"/>
      <c r="L423" s="294"/>
      <c r="M423" s="294"/>
      <c r="N423" s="651"/>
    </row>
    <row r="424" spans="2:18" ht="17.45" customHeight="1" x14ac:dyDescent="0.2">
      <c r="B424" s="1127"/>
      <c r="C424" s="66" t="s">
        <v>138</v>
      </c>
      <c r="D424" s="100"/>
      <c r="E424" s="101">
        <f>SUM(E425:E427)</f>
        <v>4078</v>
      </c>
      <c r="F424" s="101">
        <f>SUM(F425:F427)</f>
        <v>4080</v>
      </c>
      <c r="G424" s="101">
        <f t="shared" ref="G424:H424" si="26">SUM(G425:G427)</f>
        <v>4115</v>
      </c>
      <c r="H424" s="567">
        <f t="shared" si="26"/>
        <v>4165</v>
      </c>
      <c r="I424" s="776" t="s">
        <v>451</v>
      </c>
      <c r="J424" s="622">
        <v>85</v>
      </c>
      <c r="K424" s="70">
        <v>85</v>
      </c>
      <c r="L424" s="623">
        <v>85</v>
      </c>
      <c r="M424" s="623">
        <v>85</v>
      </c>
      <c r="N424" s="713"/>
    </row>
    <row r="425" spans="2:18" ht="17.45" customHeight="1" x14ac:dyDescent="0.2">
      <c r="B425" s="1315"/>
      <c r="C425" s="36" t="s">
        <v>139</v>
      </c>
      <c r="D425" s="102"/>
      <c r="E425" s="103"/>
      <c r="F425" s="103"/>
      <c r="G425" s="103"/>
      <c r="H425" s="628"/>
      <c r="I425" s="654" t="s">
        <v>452</v>
      </c>
      <c r="J425" s="316">
        <v>85</v>
      </c>
      <c r="K425" s="87">
        <v>85</v>
      </c>
      <c r="L425" s="352">
        <v>85</v>
      </c>
      <c r="M425" s="352">
        <v>85</v>
      </c>
      <c r="N425" s="655"/>
    </row>
    <row r="426" spans="2:18" ht="28.15" customHeight="1" x14ac:dyDescent="0.2">
      <c r="B426" s="1316"/>
      <c r="C426" s="39" t="s">
        <v>35</v>
      </c>
      <c r="D426" s="110"/>
      <c r="E426" s="44">
        <f>5063-1000</f>
        <v>4063</v>
      </c>
      <c r="F426" s="44">
        <f>4408.7-343.7</f>
        <v>4065</v>
      </c>
      <c r="G426" s="184">
        <f>4500-400</f>
        <v>4100</v>
      </c>
      <c r="H426" s="620">
        <f>4600-450</f>
        <v>4150</v>
      </c>
      <c r="I426" s="654" t="s">
        <v>453</v>
      </c>
      <c r="J426" s="316">
        <v>85</v>
      </c>
      <c r="K426" s="251">
        <v>85</v>
      </c>
      <c r="L426" s="277">
        <v>85</v>
      </c>
      <c r="M426" s="277">
        <v>85</v>
      </c>
      <c r="N426" s="655"/>
    </row>
    <row r="427" spans="2:18" ht="31.5" customHeight="1" thickBot="1" x14ac:dyDescent="0.25">
      <c r="B427" s="1317"/>
      <c r="C427" s="407" t="s">
        <v>38</v>
      </c>
      <c r="D427" s="614"/>
      <c r="E427" s="617">
        <v>15</v>
      </c>
      <c r="F427" s="617">
        <v>15</v>
      </c>
      <c r="G427" s="617">
        <v>15</v>
      </c>
      <c r="H427" s="629">
        <v>15</v>
      </c>
      <c r="I427" s="662" t="s">
        <v>454</v>
      </c>
      <c r="J427" s="630">
        <v>85</v>
      </c>
      <c r="K427" s="460">
        <v>85</v>
      </c>
      <c r="L427" s="548">
        <v>85</v>
      </c>
      <c r="M427" s="548">
        <v>85</v>
      </c>
      <c r="N427" s="663"/>
    </row>
    <row r="428" spans="2:18" ht="27.75" customHeight="1" x14ac:dyDescent="0.2">
      <c r="B428" s="1133"/>
      <c r="C428" s="624" t="s">
        <v>455</v>
      </c>
      <c r="D428" s="625"/>
      <c r="E428" s="626">
        <f>E134+E141+E154+E160+E165+E169+E173+E201+E297+E341+E356+E367+E403+E409+E413+E419+E424+E177+E328+E189+E185+E193+E303</f>
        <v>226979.29999999996</v>
      </c>
      <c r="F428" s="626">
        <f ca="1">F134+F141+F154+F160+F165+F169+F173+F201+F297+F341+F356+F367+F403+F409+F413+F419+F424+F177+F328+F189+F185+F193+F303</f>
        <v>221126.48999999996</v>
      </c>
      <c r="G428" s="626">
        <f ca="1">G134+G141+G154+G160+G165+G169+G173+G201+G297+G341+G356+G367+G403+G409+G413+G419+G424+G177+G328+G189+G185+G193+G303</f>
        <v>223743.65999999997</v>
      </c>
      <c r="H428" s="627">
        <f ca="1">H134+H141+H154+H160+H165+H169+H173+H201+H297+H341+H356+H367+H403+H409+H413+H419+H424+H177+H328+H189+H185+H193+H303</f>
        <v>213601.17999999996</v>
      </c>
      <c r="I428" s="701"/>
      <c r="J428" s="404"/>
      <c r="K428" s="404"/>
      <c r="L428" s="404"/>
      <c r="M428" s="404"/>
      <c r="N428" s="702"/>
    </row>
    <row r="429" spans="2:18" ht="24.75" customHeight="1" x14ac:dyDescent="0.2">
      <c r="B429" s="1333"/>
      <c r="C429" s="118" t="s">
        <v>456</v>
      </c>
      <c r="D429" s="119"/>
      <c r="E429" s="120">
        <f>E265+E266+E267+E268</f>
        <v>130.39999999999998</v>
      </c>
      <c r="F429" s="120">
        <f>F265+F266+F267+F268</f>
        <v>892.9</v>
      </c>
      <c r="G429" s="120">
        <f t="shared" ref="G429:H429" si="27">G265+G266+G267+G268</f>
        <v>3552.6</v>
      </c>
      <c r="H429" s="621">
        <f t="shared" si="27"/>
        <v>2890.8999999999996</v>
      </c>
      <c r="I429" s="658"/>
      <c r="J429" s="282"/>
      <c r="K429" s="282"/>
      <c r="L429" s="282"/>
      <c r="M429" s="282"/>
      <c r="N429" s="659"/>
    </row>
    <row r="430" spans="2:18" ht="43.9" customHeight="1" thickBot="1" x14ac:dyDescent="0.25">
      <c r="B430" s="1334"/>
      <c r="C430" s="636" t="s">
        <v>457</v>
      </c>
      <c r="D430" s="637"/>
      <c r="E430" s="638"/>
      <c r="F430" s="638">
        <f ca="1">+F428-E428</f>
        <v>-5852.8099999999977</v>
      </c>
      <c r="G430" s="638">
        <f ca="1">+G428-F428</f>
        <v>2617.1700000000128</v>
      </c>
      <c r="H430" s="639">
        <f ca="1">+H428-G428</f>
        <v>-10142.48000000001</v>
      </c>
      <c r="I430" s="777"/>
      <c r="J430" s="778"/>
      <c r="K430" s="778"/>
      <c r="L430" s="778"/>
      <c r="M430" s="778"/>
      <c r="N430" s="779"/>
    </row>
    <row r="431" spans="2:18" ht="15" customHeight="1" x14ac:dyDescent="0.2">
      <c r="B431" s="1134"/>
      <c r="C431" s="121"/>
      <c r="D431" s="122"/>
      <c r="E431" s="158"/>
      <c r="F431" s="123"/>
      <c r="G431" s="123"/>
      <c r="H431" s="123"/>
    </row>
    <row r="432" spans="2:18" s="125" customFormat="1" ht="15" customHeight="1" x14ac:dyDescent="0.2">
      <c r="B432" s="1314" t="s">
        <v>458</v>
      </c>
      <c r="C432" s="1314"/>
      <c r="D432" s="1314"/>
      <c r="E432" s="1314"/>
      <c r="F432" s="1314"/>
      <c r="G432" s="1314"/>
      <c r="H432" s="1314"/>
      <c r="O432" s="1369"/>
      <c r="P432" s="1369"/>
      <c r="Q432" s="1369"/>
      <c r="R432" s="1369"/>
    </row>
    <row r="433" spans="2:18" s="125" customFormat="1" ht="15" customHeight="1" x14ac:dyDescent="0.2">
      <c r="B433" s="1318" t="s">
        <v>459</v>
      </c>
      <c r="C433" s="1318"/>
      <c r="D433" s="1318"/>
      <c r="E433" s="1318"/>
      <c r="F433" s="1318"/>
      <c r="G433" s="1318"/>
      <c r="H433" s="1318"/>
      <c r="O433" s="1369"/>
      <c r="P433" s="1369"/>
      <c r="Q433" s="1369"/>
      <c r="R433" s="1369"/>
    </row>
    <row r="434" spans="2:18" s="125" customFormat="1" ht="15" customHeight="1" x14ac:dyDescent="0.2">
      <c r="B434" s="1314" t="s">
        <v>460</v>
      </c>
      <c r="C434" s="1314"/>
      <c r="D434" s="1314"/>
      <c r="E434" s="1314"/>
      <c r="F434" s="1314"/>
      <c r="G434" s="1314"/>
      <c r="H434" s="1314"/>
      <c r="O434" s="1369"/>
      <c r="P434" s="1369"/>
      <c r="Q434" s="1369"/>
      <c r="R434" s="1369"/>
    </row>
    <row r="435" spans="2:18" s="125" customFormat="1" ht="15" customHeight="1" x14ac:dyDescent="0.2">
      <c r="B435" s="1314" t="s">
        <v>461</v>
      </c>
      <c r="C435" s="1314"/>
      <c r="D435" s="1314"/>
      <c r="E435" s="1314"/>
      <c r="F435" s="1314"/>
      <c r="G435" s="1314"/>
      <c r="H435" s="1314"/>
      <c r="O435" s="1369"/>
      <c r="P435" s="1369"/>
      <c r="Q435" s="1369"/>
      <c r="R435" s="1369"/>
    </row>
    <row r="436" spans="2:18" s="125" customFormat="1" ht="15" customHeight="1" x14ac:dyDescent="0.2">
      <c r="B436" s="1308" t="s">
        <v>462</v>
      </c>
      <c r="C436" s="1308"/>
      <c r="D436" s="124"/>
      <c r="E436" s="159"/>
      <c r="F436" s="216"/>
      <c r="G436" s="216"/>
      <c r="H436" s="216"/>
      <c r="O436" s="1369"/>
      <c r="P436" s="1369"/>
      <c r="Q436" s="1369"/>
      <c r="R436" s="1369"/>
    </row>
    <row r="438" spans="2:18" x14ac:dyDescent="0.2">
      <c r="B438" s="4" t="s">
        <v>463</v>
      </c>
    </row>
    <row r="439" spans="2:18" x14ac:dyDescent="0.2">
      <c r="B439" s="4" t="s">
        <v>464</v>
      </c>
    </row>
    <row r="440" spans="2:18" x14ac:dyDescent="0.2">
      <c r="B440" s="1293" t="s">
        <v>465</v>
      </c>
      <c r="C440" s="1293"/>
      <c r="D440" s="1293"/>
      <c r="E440" s="1293"/>
      <c r="F440" s="1293"/>
      <c r="G440" s="1293"/>
      <c r="H440" s="1293"/>
    </row>
    <row r="441" spans="2:18" ht="21.6" customHeight="1" x14ac:dyDescent="0.2">
      <c r="B441" s="1293" t="s">
        <v>466</v>
      </c>
      <c r="C441" s="1293"/>
      <c r="D441" s="1293"/>
      <c r="E441" s="1293"/>
      <c r="F441" s="1293"/>
      <c r="G441" s="1293"/>
      <c r="H441" s="1293"/>
    </row>
    <row r="442" spans="2:18" x14ac:dyDescent="0.2">
      <c r="D442" s="175"/>
      <c r="E442" s="176"/>
      <c r="F442" s="217"/>
    </row>
  </sheetData>
  <mergeCells count="174">
    <mergeCell ref="D216:D219"/>
    <mergeCell ref="B16:B20"/>
    <mergeCell ref="B4:N4"/>
    <mergeCell ref="B5:B6"/>
    <mergeCell ref="C5:C6"/>
    <mergeCell ref="D5:D6"/>
    <mergeCell ref="H5:H6"/>
    <mergeCell ref="J5:M5"/>
    <mergeCell ref="N5:N6"/>
    <mergeCell ref="E5:E6"/>
    <mergeCell ref="F5:F6"/>
    <mergeCell ref="G5:G6"/>
    <mergeCell ref="I5:I6"/>
    <mergeCell ref="B216:B221"/>
    <mergeCell ref="B78:B82"/>
    <mergeCell ref="B34:B39"/>
    <mergeCell ref="B26:B30"/>
    <mergeCell ref="B46:B47"/>
    <mergeCell ref="B194:B195"/>
    <mergeCell ref="B207:B208"/>
    <mergeCell ref="D88:D89"/>
    <mergeCell ref="B32:B33"/>
    <mergeCell ref="B209:B210"/>
    <mergeCell ref="B202:B204"/>
    <mergeCell ref="B433:H433"/>
    <mergeCell ref="D374:D375"/>
    <mergeCell ref="D295:D296"/>
    <mergeCell ref="D378:D379"/>
    <mergeCell ref="D227:D228"/>
    <mergeCell ref="D293:D294"/>
    <mergeCell ref="B273:B275"/>
    <mergeCell ref="B251:B259"/>
    <mergeCell ref="B247:B249"/>
    <mergeCell ref="B280:B281"/>
    <mergeCell ref="D280:D281"/>
    <mergeCell ref="D276:D277"/>
    <mergeCell ref="D273:D275"/>
    <mergeCell ref="D270:D271"/>
    <mergeCell ref="B278:B279"/>
    <mergeCell ref="D278:D279"/>
    <mergeCell ref="D260:D263"/>
    <mergeCell ref="B276:B277"/>
    <mergeCell ref="D264:D268"/>
    <mergeCell ref="B329:B332"/>
    <mergeCell ref="B312:B313"/>
    <mergeCell ref="B324:B325"/>
    <mergeCell ref="B429:B430"/>
    <mergeCell ref="B420:B422"/>
    <mergeCell ref="B441:H441"/>
    <mergeCell ref="B440:H440"/>
    <mergeCell ref="B334:B335"/>
    <mergeCell ref="D417:D418"/>
    <mergeCell ref="B382:B384"/>
    <mergeCell ref="B394:B395"/>
    <mergeCell ref="D361:D366"/>
    <mergeCell ref="B389:B390"/>
    <mergeCell ref="B378:B379"/>
    <mergeCell ref="B404:B407"/>
    <mergeCell ref="D401:D402"/>
    <mergeCell ref="B401:B402"/>
    <mergeCell ref="D376:D377"/>
    <mergeCell ref="B436:C436"/>
    <mergeCell ref="B417:B418"/>
    <mergeCell ref="B348:B349"/>
    <mergeCell ref="D348:D359"/>
    <mergeCell ref="B391:B392"/>
    <mergeCell ref="B387:B388"/>
    <mergeCell ref="B435:H435"/>
    <mergeCell ref="B434:H434"/>
    <mergeCell ref="B425:B427"/>
    <mergeCell ref="B373:B377"/>
    <mergeCell ref="B432:H432"/>
    <mergeCell ref="C232:C233"/>
    <mergeCell ref="C234:C235"/>
    <mergeCell ref="B396:B398"/>
    <mergeCell ref="B354:B355"/>
    <mergeCell ref="D334:D340"/>
    <mergeCell ref="B320:B323"/>
    <mergeCell ref="B336:B337"/>
    <mergeCell ref="D396:D397"/>
    <mergeCell ref="B361:B363"/>
    <mergeCell ref="B316:B317"/>
    <mergeCell ref="B342:B343"/>
    <mergeCell ref="B385:B386"/>
    <mergeCell ref="B380:B381"/>
    <mergeCell ref="B352:B353"/>
    <mergeCell ref="B357:B359"/>
    <mergeCell ref="B368:B370"/>
    <mergeCell ref="D307:D327"/>
    <mergeCell ref="C240:C241"/>
    <mergeCell ref="D247:D249"/>
    <mergeCell ref="B364:B366"/>
    <mergeCell ref="B339:B340"/>
    <mergeCell ref="B350:B351"/>
    <mergeCell ref="B307:B309"/>
    <mergeCell ref="B293:B294"/>
    <mergeCell ref="B318:B319"/>
    <mergeCell ref="B264:B265"/>
    <mergeCell ref="B260:B263"/>
    <mergeCell ref="B298:B302"/>
    <mergeCell ref="B269:B271"/>
    <mergeCell ref="B310:B311"/>
    <mergeCell ref="B314:B315"/>
    <mergeCell ref="B304:B305"/>
    <mergeCell ref="D251:D259"/>
    <mergeCell ref="B227:B228"/>
    <mergeCell ref="C238:C239"/>
    <mergeCell ref="D124:D125"/>
    <mergeCell ref="B88:B89"/>
    <mergeCell ref="D107:D108"/>
    <mergeCell ref="B107:B108"/>
    <mergeCell ref="B22:B23"/>
    <mergeCell ref="D53:D55"/>
    <mergeCell ref="D59:D60"/>
    <mergeCell ref="B94:B95"/>
    <mergeCell ref="B92:B93"/>
    <mergeCell ref="D48:D52"/>
    <mergeCell ref="D63:D87"/>
    <mergeCell ref="D57:D58"/>
    <mergeCell ref="B48:B58"/>
    <mergeCell ref="B63:B64"/>
    <mergeCell ref="B76:B77"/>
    <mergeCell ref="B71:B75"/>
    <mergeCell ref="D16:D26"/>
    <mergeCell ref="B24:B25"/>
    <mergeCell ref="D61:D62"/>
    <mergeCell ref="B59:B60"/>
    <mergeCell ref="B61:B62"/>
    <mergeCell ref="B65:B70"/>
    <mergeCell ref="B40:B41"/>
    <mergeCell ref="B42:B43"/>
    <mergeCell ref="B44:B45"/>
    <mergeCell ref="B100:B102"/>
    <mergeCell ref="B105:B106"/>
    <mergeCell ref="B103:B104"/>
    <mergeCell ref="B135:B140"/>
    <mergeCell ref="D128:D129"/>
    <mergeCell ref="B114:B115"/>
    <mergeCell ref="B126:B127"/>
    <mergeCell ref="D90:D95"/>
    <mergeCell ref="B84:B87"/>
    <mergeCell ref="D105:D106"/>
    <mergeCell ref="B90:B91"/>
    <mergeCell ref="B96:B99"/>
    <mergeCell ref="D132:D133"/>
    <mergeCell ref="D110:D113"/>
    <mergeCell ref="B116:B119"/>
    <mergeCell ref="D116:D119"/>
    <mergeCell ref="B120:B125"/>
    <mergeCell ref="B110:B112"/>
    <mergeCell ref="D220:D221"/>
    <mergeCell ref="B155:B158"/>
    <mergeCell ref="B161:B162"/>
    <mergeCell ref="B166:B167"/>
    <mergeCell ref="B190:B191"/>
    <mergeCell ref="D222:D225"/>
    <mergeCell ref="B186:B187"/>
    <mergeCell ref="D149:D153"/>
    <mergeCell ref="D114:D115"/>
    <mergeCell ref="D147:D148"/>
    <mergeCell ref="D130:D131"/>
    <mergeCell ref="B149:B151"/>
    <mergeCell ref="D182:D183"/>
    <mergeCell ref="B142:B144"/>
    <mergeCell ref="D126:D127"/>
    <mergeCell ref="D120:D123"/>
    <mergeCell ref="B170:B171"/>
    <mergeCell ref="B152:B153"/>
    <mergeCell ref="B174:B175"/>
    <mergeCell ref="B178:B183"/>
    <mergeCell ref="B222:B226"/>
    <mergeCell ref="D209:D210"/>
    <mergeCell ref="D179:D181"/>
    <mergeCell ref="D207:D208"/>
  </mergeCells>
  <phoneticPr fontId="10" type="noConversion"/>
  <printOptions horizontalCentered="1"/>
  <pageMargins left="0.39370078740157483" right="0.39370078740157483" top="0.59055118110236227" bottom="0.59055118110236227" header="0" footer="0"/>
  <pageSetup paperSize="9" scale="63" fitToHeight="0" orientation="landscape" r:id="rId1"/>
  <rowBreaks count="19" manualBreakCount="19">
    <brk id="25" max="13" man="1"/>
    <brk id="45" max="13" man="1"/>
    <brk id="68" max="13" man="1"/>
    <brk id="93" max="13" man="1"/>
    <brk id="113" max="13" man="1"/>
    <brk id="131" max="13" man="1"/>
    <brk id="151" max="13" man="1"/>
    <brk id="171" max="13" man="1"/>
    <brk id="191" max="13" man="1"/>
    <brk id="215" max="13" man="1"/>
    <brk id="237" max="13" man="1"/>
    <brk id="259" max="13" man="1"/>
    <brk id="279" max="13" man="1"/>
    <brk id="305" max="13" man="1"/>
    <brk id="327" max="13" man="1"/>
    <brk id="349" max="13" man="1"/>
    <brk id="370" max="13" man="1"/>
    <brk id="393" max="13" man="1"/>
    <brk id="415" max="1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2B7DE-1137-4D5E-9D15-BD7BEEB77719}">
  <sheetPr>
    <pageSetUpPr fitToPage="1"/>
  </sheetPr>
  <dimension ref="B1:O32"/>
  <sheetViews>
    <sheetView zoomScaleNormal="100" workbookViewId="0">
      <selection activeCell="D11" sqref="D11"/>
    </sheetView>
  </sheetViews>
  <sheetFormatPr defaultColWidth="9.140625" defaultRowHeight="12.75" x14ac:dyDescent="0.2"/>
  <cols>
    <col min="1" max="1" width="2.5703125" style="4" customWidth="1"/>
    <col min="2" max="2" width="4.7109375" style="4" customWidth="1"/>
    <col min="3" max="3" width="44.7109375" style="1" customWidth="1"/>
    <col min="4" max="7" width="14.7109375" style="4" customWidth="1"/>
    <col min="8" max="8" width="9.140625" style="4"/>
    <col min="9" max="9" width="9.5703125" style="4" bestFit="1" customWidth="1"/>
    <col min="10" max="16384" width="9.140625" style="4"/>
  </cols>
  <sheetData>
    <row r="1" spans="2:15" ht="30.6" customHeight="1" x14ac:dyDescent="0.2">
      <c r="B1" s="1339" t="s">
        <v>467</v>
      </c>
      <c r="C1" s="1339"/>
      <c r="D1" s="1339"/>
      <c r="E1" s="1339"/>
      <c r="F1" s="1339"/>
      <c r="G1" s="1339"/>
    </row>
    <row r="2" spans="2:15" x14ac:dyDescent="0.2">
      <c r="C2" s="4"/>
    </row>
    <row r="3" spans="2:15" ht="51.75" customHeight="1" x14ac:dyDescent="0.2">
      <c r="B3" s="10" t="s">
        <v>468</v>
      </c>
      <c r="C3" s="11" t="s">
        <v>469</v>
      </c>
      <c r="D3" s="197" t="s">
        <v>470</v>
      </c>
      <c r="E3" s="197" t="s">
        <v>471</v>
      </c>
      <c r="F3" s="197" t="s">
        <v>472</v>
      </c>
      <c r="G3" s="197" t="s">
        <v>473</v>
      </c>
    </row>
    <row r="4" spans="2:15" ht="12.75" customHeight="1" x14ac:dyDescent="0.2">
      <c r="B4" s="12">
        <v>1</v>
      </c>
      <c r="C4" s="13">
        <v>2</v>
      </c>
      <c r="D4" s="12">
        <v>3</v>
      </c>
      <c r="E4" s="7">
        <v>4</v>
      </c>
      <c r="F4" s="7">
        <v>5</v>
      </c>
      <c r="G4" s="7">
        <v>6</v>
      </c>
    </row>
    <row r="5" spans="2:15" ht="15.75" customHeight="1" x14ac:dyDescent="0.2">
      <c r="B5" s="1361" t="s">
        <v>474</v>
      </c>
      <c r="C5" s="1361"/>
      <c r="D5" s="1361"/>
      <c r="E5" s="1361"/>
      <c r="F5" s="1361"/>
      <c r="G5" s="1361"/>
    </row>
    <row r="6" spans="2:15" ht="12.75" customHeight="1" x14ac:dyDescent="0.2">
      <c r="B6" s="14" t="s">
        <v>475</v>
      </c>
      <c r="C6" s="15" t="s">
        <v>138</v>
      </c>
      <c r="D6" s="9">
        <f>SUM(D8:D13)</f>
        <v>226187.59999999995</v>
      </c>
      <c r="E6" s="3">
        <f>SUM(E8:E13)</f>
        <v>220119.79</v>
      </c>
      <c r="F6" s="3">
        <f>SUM(F8:F13)</f>
        <v>220661.06000000003</v>
      </c>
      <c r="G6" s="3">
        <f t="shared" ref="G6" si="0">SUM(G8:G13)</f>
        <v>211507.48</v>
      </c>
    </row>
    <row r="7" spans="2:15" ht="12.75" customHeight="1" x14ac:dyDescent="0.2">
      <c r="B7" s="16"/>
      <c r="C7" s="18" t="s">
        <v>476</v>
      </c>
      <c r="D7" s="8"/>
      <c r="E7" s="2"/>
      <c r="F7" s="2"/>
      <c r="G7" s="2"/>
    </row>
    <row r="8" spans="2:15" ht="29.25" customHeight="1" x14ac:dyDescent="0.2">
      <c r="B8" s="16" t="s">
        <v>477</v>
      </c>
      <c r="C8" s="19" t="s">
        <v>478</v>
      </c>
      <c r="D8" s="8">
        <f>SUMIF('10 programa 3 lentelė'!C8:C429,'10 programa 3 lentelė'!C17,'10 programa 3 lentelė'!E8:E429)</f>
        <v>85434.699999999983</v>
      </c>
      <c r="E8" s="8">
        <f>SUMIF('10 programa 3 lentelė'!C8:C429,'10 programa 3 lentelė'!C17,'10 programa 3 lentelė'!F8:F429)</f>
        <v>91821.289999999979</v>
      </c>
      <c r="F8" s="8">
        <f>SUMIF('10 programa 3 lentelė'!C8:C429,'10 programa 3 lentelė'!C17,'10 programa 3 lentelė'!G8:G429)</f>
        <v>99565.760000000038</v>
      </c>
      <c r="G8" s="8">
        <f>SUMIF('10 programa 3 lentelė'!C8:C429,'10 programa 3 lentelė'!C17,'10 programa 3 lentelė'!H8:H429)</f>
        <v>91253.480000000025</v>
      </c>
    </row>
    <row r="9" spans="2:15" ht="12.75" customHeight="1" x14ac:dyDescent="0.2">
      <c r="B9" s="16" t="s">
        <v>479</v>
      </c>
      <c r="C9" s="17" t="s">
        <v>38</v>
      </c>
      <c r="D9" s="8">
        <f>SUMIF('10 programa 3 lentelė'!C8:C429,'10 programa 3 lentelė'!C18,'10 programa 3 lentelė'!E8:E429)</f>
        <v>113089.7</v>
      </c>
      <c r="E9" s="8">
        <f>SUMIF('10 programa 3 lentelė'!C8:C429,'10 programa 3 lentelė'!C18,'10 programa 3 lentelė'!F8:F429)</f>
        <v>110611.2</v>
      </c>
      <c r="F9" s="8">
        <f>SUMIF('10 programa 3 lentelė'!C8:C429,'10 programa 3 lentelė'!C18,'10 programa 3 lentelė'!G8:G429)</f>
        <v>110611.2</v>
      </c>
      <c r="G9" s="8">
        <f>SUMIF('10 programa 3 lentelė'!C8:C429,'10 programa 3 lentelė'!C18,'10 programa 3 lentelė'!H8:H429)</f>
        <v>110611.2</v>
      </c>
      <c r="I9" s="21"/>
      <c r="J9" s="21"/>
      <c r="K9" s="21"/>
      <c r="M9" s="21"/>
    </row>
    <row r="10" spans="2:15" ht="12.75" customHeight="1" x14ac:dyDescent="0.2">
      <c r="B10" s="16" t="s">
        <v>480</v>
      </c>
      <c r="C10" s="17" t="s">
        <v>481</v>
      </c>
      <c r="D10" s="8">
        <f>SUMIF('10 programa 3 lentelė'!$C8:$C429,'10 programa 3 lentelė'!$C19,'10 programa 3 lentelė'!E8:E429)</f>
        <v>8069.3</v>
      </c>
      <c r="E10" s="8">
        <f>SUMIF('10 programa 3 lentelė'!C8:C429,'10 programa 3 lentelė'!C19,'10 programa 3 lentelė'!F8:F429)</f>
        <v>8061.0999999999995</v>
      </c>
      <c r="F10" s="8">
        <f>SUMIF('10 programa 3 lentelė'!C8:C429,'10 programa 3 lentelė'!C19,'10 programa 3 lentelė'!G8:G429)</f>
        <v>8061.0999999999995</v>
      </c>
      <c r="G10" s="8">
        <f>SUMIF('10 programa 3 lentelė'!C8:C429,'10 programa 3 lentelė'!C19,'10 programa 3 lentelė'!H8:H429)</f>
        <v>8061.0999999999995</v>
      </c>
      <c r="H10" s="21"/>
    </row>
    <row r="11" spans="2:15" ht="24.75" customHeight="1" x14ac:dyDescent="0.2">
      <c r="B11" s="16" t="s">
        <v>482</v>
      </c>
      <c r="C11" s="17" t="s">
        <v>66</v>
      </c>
      <c r="D11" s="8">
        <f>SUMIF('10 programa 3 lentelė'!$C8:$C429,'10 programa 3 lentelė'!$C54,'10 programa 3 lentelė'!E8:E429)</f>
        <v>8385.2000000000007</v>
      </c>
      <c r="E11" s="8">
        <f>SUMIF('10 programa 3 lentelė'!$C8:$C429,'10 programa 3 lentelė'!$C54,'10 programa 3 lentelė'!F8:F429)</f>
        <v>3877</v>
      </c>
      <c r="F11" s="8">
        <f>SUMIF('10 programa 3 lentelė'!$C8:$C429,'10 programa 3 lentelė'!$C54,'10 programa 3 lentelė'!G8:G429)</f>
        <v>1624.1</v>
      </c>
      <c r="G11" s="8">
        <f>SUMIF('10 programa 3 lentelė'!$C8:$C429,'10 programa 3 lentelė'!$C54,'10 programa 3 lentelė'!H8:H429)</f>
        <v>782.8</v>
      </c>
      <c r="L11" s="21"/>
      <c r="M11" s="21"/>
      <c r="N11" s="21"/>
      <c r="O11" s="21"/>
    </row>
    <row r="12" spans="2:15" ht="12.75" customHeight="1" x14ac:dyDescent="0.2">
      <c r="B12" s="16" t="s">
        <v>483</v>
      </c>
      <c r="C12" s="17" t="s">
        <v>484</v>
      </c>
      <c r="D12" s="8">
        <f>SUMIF('10 programa 3 lentelė'!$C8:$C429,'10 programa 3 lentelė'!$C219,'10 programa 3 lentelė'!E8:E429)</f>
        <v>4217.3999999999996</v>
      </c>
      <c r="E12" s="8">
        <f>SUMIF('10 programa 3 lentelė'!$C8:$C429,'10 programa 3 lentelė'!$C219,'10 programa 3 lentelė'!F8:F429)</f>
        <v>3000</v>
      </c>
      <c r="F12" s="8">
        <f>SUMIF('10 programa 3 lentelė'!$C8:$C429,'10 programa 3 lentelė'!$C219,'10 programa 3 lentelė'!G8:G429)</f>
        <v>0</v>
      </c>
      <c r="G12" s="8">
        <f>SUMIF('10 programa 3 lentelė'!$C8:$C429,'10 programa 3 lentelė'!$C219,'10 programa 3 lentelė'!H8:H429)</f>
        <v>0</v>
      </c>
    </row>
    <row r="13" spans="2:15" ht="12.75" customHeight="1" x14ac:dyDescent="0.2">
      <c r="B13" s="16" t="s">
        <v>485</v>
      </c>
      <c r="C13" s="17" t="s">
        <v>486</v>
      </c>
      <c r="D13" s="8">
        <f>SUMIF('10 programa 3 lentelė'!$C8:$C429,'10 programa 3 lentelė'!$C363,'10 programa 3 lentelė'!E8:E429)</f>
        <v>6991.2999999999993</v>
      </c>
      <c r="E13" s="8">
        <f>SUMIF('10 programa 3 lentelė'!$C8:$C429,'10 programa 3 lentelė'!$C363,'10 programa 3 lentelė'!F8:F429)</f>
        <v>2749.2</v>
      </c>
      <c r="F13" s="8">
        <f>SUMIF('10 programa 3 lentelė'!$C8:$C429,'10 programa 3 lentelė'!$C363,'10 programa 3 lentelė'!G8:G429)</f>
        <v>798.90000000000009</v>
      </c>
      <c r="G13" s="8">
        <f>SUMIF('10 programa 3 lentelė'!$C8:$C429,'10 programa 3 lentelė'!$C363,'10 programa 3 lentelė'!H8:H429)</f>
        <v>798.90000000000009</v>
      </c>
    </row>
    <row r="14" spans="2:15" ht="40.5" customHeight="1" x14ac:dyDescent="0.2">
      <c r="B14" s="14" t="s">
        <v>487</v>
      </c>
      <c r="C14" s="18" t="s">
        <v>488</v>
      </c>
      <c r="D14" s="9">
        <f>SUM(D16:D21)</f>
        <v>791.7</v>
      </c>
      <c r="E14" s="9">
        <f t="shared" ref="E14:G14" si="1">SUM(E16:E21)</f>
        <v>1006.7</v>
      </c>
      <c r="F14" s="9">
        <f>SUM(F16:F21)</f>
        <v>3082.6</v>
      </c>
      <c r="G14" s="9">
        <f t="shared" si="1"/>
        <v>2093.6999999999998</v>
      </c>
    </row>
    <row r="15" spans="2:15" ht="16.5" customHeight="1" x14ac:dyDescent="0.2">
      <c r="B15" s="16"/>
      <c r="C15" s="18" t="s">
        <v>476</v>
      </c>
      <c r="D15" s="2"/>
      <c r="E15" s="2"/>
      <c r="F15" s="2"/>
      <c r="G15" s="2"/>
    </row>
    <row r="16" spans="2:15" ht="12.75" customHeight="1" x14ac:dyDescent="0.2">
      <c r="B16" s="16" t="s">
        <v>489</v>
      </c>
      <c r="C16" s="20" t="s">
        <v>490</v>
      </c>
      <c r="D16" s="8">
        <f>SUMIF('10 programa 3 lentelė'!C8:C429,'10 programa 3 lentelė'!C268,'10 programa 3 lentelė'!E8:E429)</f>
        <v>791.7</v>
      </c>
      <c r="E16" s="8">
        <f>SUMIF('10 programa 3 lentelė'!C8:C429,'10 programa 3 lentelė'!C268,'10 programa 3 lentelė'!F8:F429)</f>
        <v>650</v>
      </c>
      <c r="F16" s="8">
        <f>SUMIF('10 programa 3 lentelė'!C8:C429,'10 programa 3 lentelė'!C268,'10 programa 3 lentelė'!G8:G429)</f>
        <v>2750</v>
      </c>
      <c r="G16" s="8">
        <f>SUMIF('10 programa 3 lentelė'!C8:C429,'10 programa 3 lentelė'!C268,'10 programa 3 lentelė'!H8:H429)</f>
        <v>1761.8</v>
      </c>
    </row>
    <row r="17" spans="2:9" ht="12.75" customHeight="1" x14ac:dyDescent="0.2">
      <c r="B17" s="16" t="s">
        <v>491</v>
      </c>
      <c r="C17" s="20" t="s">
        <v>492</v>
      </c>
      <c r="D17" s="8" cm="1">
        <f t="array" ref="D17">SUMIF('10 programa 3 lentelė'!C8:C429,'10 programa 3 lentelė'!C00,'10 programa 3 lentelė'!E8:E429)</f>
        <v>0</v>
      </c>
      <c r="E17" s="8" cm="1">
        <f t="array" ref="E17">SUMIF('10 programa 3 lentelė'!C8:C429,'10 programa 3 lentelė'!C00,'10 programa 3 lentelė'!F8:F429)</f>
        <v>0</v>
      </c>
      <c r="F17" s="8" cm="1">
        <f t="array" ref="F17">SUMIF('10 programa 3 lentelė'!C8:C429,'10 programa 3 lentelė'!C00,'10 programa 3 lentelė'!G8:G429)</f>
        <v>0</v>
      </c>
      <c r="G17" s="8" cm="1">
        <f t="array" ref="G17">SUMIF('10 programa 3 lentelė'!C8:C429,'10 programa 3 lentelė'!C00,'10 programa 3 lentelė'!H8:H429)</f>
        <v>0</v>
      </c>
    </row>
    <row r="18" spans="2:9" ht="24.75" customHeight="1" x14ac:dyDescent="0.2">
      <c r="B18" s="16" t="s">
        <v>493</v>
      </c>
      <c r="C18" s="20" t="s">
        <v>494</v>
      </c>
      <c r="D18" s="8" cm="1">
        <f t="array" ref="D18">SUMIF('10 programa 3 lentelė'!C8:C429,'10 programa 3 lentelė'!C00,'10 programa 3 lentelė'!E8:E429)</f>
        <v>0</v>
      </c>
      <c r="E18" s="8" cm="1">
        <f t="array" ref="E18">SUMIF('10 programa 3 lentelė'!C8:C429,'10 programa 3 lentelė'!C00,'10 programa 3 lentelė'!F8:F429)</f>
        <v>0</v>
      </c>
      <c r="F18" s="8" cm="1">
        <f t="array" ref="F18">SUMIF('10 programa 3 lentelė'!C8:C429,'10 programa 3 lentelė'!C00,'10 programa 3 lentelė'!G8:G429)</f>
        <v>0</v>
      </c>
      <c r="G18" s="8" cm="1">
        <f t="array" ref="G18">SUMIF('10 programa 3 lentelė'!C8:C429,'10 programa 3 lentelė'!C00,'10 programa 3 lentelė'!H8:H429)</f>
        <v>0</v>
      </c>
    </row>
    <row r="19" spans="2:9" ht="12.75" customHeight="1" x14ac:dyDescent="0.2">
      <c r="B19" s="16" t="s">
        <v>495</v>
      </c>
      <c r="C19" s="20" t="s">
        <v>496</v>
      </c>
      <c r="D19" s="8">
        <f>SUMIF('10 programa 3 lentelė'!C8:C429,'10 programa 3 lentelė'!#REF!,'10 programa 3 lentelė'!E8:E429)</f>
        <v>0</v>
      </c>
      <c r="E19" s="8">
        <f>SUMIF('10 programa 3 lentelė'!C8:C429,'10 programa 3 lentelė'!#REF!,'10 programa 3 lentelė'!F8:F429)</f>
        <v>0</v>
      </c>
      <c r="F19" s="8">
        <f>SUMIF('10 programa 3 lentelė'!C8:C429,'10 programa 3 lentelė'!#REF!,'10 programa 3 lentelė'!G8:G429)</f>
        <v>0</v>
      </c>
      <c r="G19" s="8">
        <f>SUMIF('10 programa 3 lentelė'!C8:C429,'10 programa 3 lentelė'!#REF!,'10 programa 3 lentelė'!H8:H429)</f>
        <v>0</v>
      </c>
    </row>
    <row r="20" spans="2:9" ht="12.75" customHeight="1" x14ac:dyDescent="0.2">
      <c r="B20" s="16" t="s">
        <v>497</v>
      </c>
      <c r="C20" s="20" t="s">
        <v>43</v>
      </c>
      <c r="D20" s="8" cm="1">
        <f t="array" ref="D20">SUMIF('10 programa 3 lentelė'!C8:C429,'10 programa 3 lentelė'!C00,'10 programa 3 lentelė'!E8:E429)</f>
        <v>0</v>
      </c>
      <c r="E20" s="8">
        <f>SUMIF('10 programa 3 lentelė'!C8:C429,'10 programa 3 lentelė'!C21,'10 programa 3 lentelė'!F8:F429)</f>
        <v>356.7</v>
      </c>
      <c r="F20" s="8">
        <f>SUMIF('10 programa 3 lentelė'!C8:C429,'10 programa 3 lentelė'!C21,'10 programa 3 lentelė'!G8:G429)</f>
        <v>332.59999999999997</v>
      </c>
      <c r="G20" s="8">
        <f>SUMIF('10 programa 3 lentelė'!C8:C429,'10 programa 3 lentelė'!C21,'10 programa 3 lentelė'!H8:H429)</f>
        <v>331.9</v>
      </c>
    </row>
    <row r="21" spans="2:9" ht="12.75" customHeight="1" x14ac:dyDescent="0.2">
      <c r="B21" s="16" t="s">
        <v>498</v>
      </c>
      <c r="C21" s="20" t="s">
        <v>499</v>
      </c>
      <c r="D21" s="8" cm="1">
        <f t="array" ref="D21">SUMIF('10 programa 3 lentelė'!C8:C429,'10 programa 3 lentelė'!C00,'10 programa 3 lentelė'!E8:E429)</f>
        <v>0</v>
      </c>
      <c r="E21" s="8" cm="1">
        <f t="array" ref="E21">SUMIF('10 programa 3 lentelė'!C8:C429,'10 programa 3 lentelė'!C00,'10 programa 3 lentelė'!F8:F429)</f>
        <v>0</v>
      </c>
      <c r="F21" s="8" cm="1">
        <f t="array" ref="F21">SUMIF('10 programa 3 lentelė'!C8:C429,'10 programa 3 lentelė'!C00,'10 programa 3 lentelė'!G8:G429)</f>
        <v>0</v>
      </c>
      <c r="G21" s="8" cm="1">
        <f t="array" ref="G21">SUMIF('10 programa 3 lentelė'!C8:C429,'10 programa 3 lentelė'!C00,'10 programa 3 lentelė'!H8:H429)</f>
        <v>0</v>
      </c>
    </row>
    <row r="22" spans="2:9" ht="25.5" x14ac:dyDescent="0.2">
      <c r="B22" s="16"/>
      <c r="C22" s="17" t="s">
        <v>500</v>
      </c>
      <c r="D22" s="3">
        <f>D6+D14</f>
        <v>226979.29999999996</v>
      </c>
      <c r="E22" s="3">
        <f>E6+E14</f>
        <v>221126.49000000002</v>
      </c>
      <c r="F22" s="3">
        <f>F6+F14</f>
        <v>223743.66000000003</v>
      </c>
      <c r="G22" s="3">
        <f t="shared" ref="G22" si="2">G6+G14</f>
        <v>213601.18000000002</v>
      </c>
      <c r="I22" s="6"/>
    </row>
    <row r="23" spans="2:9" ht="18" customHeight="1" x14ac:dyDescent="0.2">
      <c r="B23" s="23"/>
      <c r="C23" s="24" t="s">
        <v>456</v>
      </c>
      <c r="D23" s="25">
        <f>'10 programa 3 lentelė'!E429</f>
        <v>130.39999999999998</v>
      </c>
      <c r="E23" s="25">
        <f>'10 programa 3 lentelė'!F429</f>
        <v>892.9</v>
      </c>
      <c r="F23" s="25">
        <f>+'10 programa 3 lentelė'!G429</f>
        <v>3552.6</v>
      </c>
      <c r="G23" s="25">
        <f>'10 programa 3 lentelė'!H429</f>
        <v>2890.8999999999996</v>
      </c>
    </row>
    <row r="24" spans="2:9" ht="25.5" x14ac:dyDescent="0.2">
      <c r="B24" s="22"/>
      <c r="C24" s="26" t="s">
        <v>457</v>
      </c>
      <c r="D24" s="22"/>
      <c r="E24" s="27">
        <f ca="1">+'10 programa 3 lentelė'!F430</f>
        <v>-5852.8099999999977</v>
      </c>
      <c r="F24" s="27">
        <f ca="1">+'10 programa 3 lentelė'!G430</f>
        <v>2617.1700000000128</v>
      </c>
      <c r="G24" s="27">
        <f ca="1">+'10 programa 3 lentelė'!H430</f>
        <v>-10142.48000000001</v>
      </c>
    </row>
    <row r="25" spans="2:9" x14ac:dyDescent="0.2">
      <c r="B25" s="5"/>
      <c r="C25" s="5"/>
      <c r="D25" s="5"/>
      <c r="E25" s="5"/>
      <c r="F25" s="5"/>
      <c r="G25" s="5"/>
    </row>
    <row r="26" spans="2:9" x14ac:dyDescent="0.2">
      <c r="D26" s="172"/>
      <c r="E26" s="172"/>
      <c r="F26" s="172"/>
      <c r="G26" s="172"/>
      <c r="H26" s="173"/>
    </row>
    <row r="27" spans="2:9" x14ac:dyDescent="0.2">
      <c r="D27" s="173"/>
      <c r="E27" s="173"/>
      <c r="F27" s="173"/>
      <c r="G27" s="173"/>
      <c r="H27" s="173"/>
    </row>
    <row r="28" spans="2:9" x14ac:dyDescent="0.2">
      <c r="D28" s="173"/>
      <c r="E28" s="173"/>
      <c r="F28" s="173"/>
      <c r="G28" s="173"/>
      <c r="H28" s="173"/>
    </row>
    <row r="29" spans="2:9" x14ac:dyDescent="0.2">
      <c r="D29" s="173"/>
      <c r="E29" s="172"/>
      <c r="F29" s="173"/>
      <c r="G29" s="173"/>
      <c r="H29" s="173"/>
    </row>
    <row r="30" spans="2:9" x14ac:dyDescent="0.2">
      <c r="D30" s="173"/>
      <c r="E30" s="173"/>
      <c r="F30" s="173"/>
      <c r="G30" s="173"/>
      <c r="H30" s="173"/>
    </row>
    <row r="31" spans="2:9" x14ac:dyDescent="0.2">
      <c r="D31" s="173"/>
      <c r="E31" s="173"/>
      <c r="F31" s="173"/>
      <c r="G31" s="173"/>
      <c r="H31" s="173"/>
    </row>
    <row r="32" spans="2:9" x14ac:dyDescent="0.2">
      <c r="D32" s="173"/>
      <c r="E32" s="173"/>
      <c r="F32" s="173"/>
      <c r="G32" s="173"/>
      <c r="H32" s="173"/>
    </row>
  </sheetData>
  <mergeCells count="2">
    <mergeCell ref="B5:G5"/>
    <mergeCell ref="B1:G1"/>
  </mergeCells>
  <pageMargins left="0.7" right="0.7" top="0.75" bottom="0.75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10 programa 3 lentelė</vt:lpstr>
      <vt:lpstr>Lėšų suvestinė 2 lentelė</vt:lpstr>
      <vt:lpstr>'10 programa 3 lentelė'!Print_Area</vt:lpstr>
      <vt:lpstr>'10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Regina Intienė</cp:lastModifiedBy>
  <cp:revision/>
  <cp:lastPrinted>2025-12-18T13:05:48Z</cp:lastPrinted>
  <dcterms:created xsi:type="dcterms:W3CDTF">2023-07-10T07:04:14Z</dcterms:created>
  <dcterms:modified xsi:type="dcterms:W3CDTF">2025-12-18T13:05:57Z</dcterms:modified>
  <cp:category/>
  <cp:contentStatus/>
</cp:coreProperties>
</file>