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SVP PLANAI\2026-2028 SVP\Komitetams 2025-12-18\"/>
    </mc:Choice>
  </mc:AlternateContent>
  <xr:revisionPtr revIDLastSave="0" documentId="13_ncr:1_{AA277AA9-538F-45CC-AE23-DC4183823C6E}" xr6:coauthVersionLast="47" xr6:coauthVersionMax="47" xr10:uidLastSave="{00000000-0000-0000-0000-000000000000}"/>
  <bookViews>
    <workbookView xWindow="-120" yWindow="-120" windowWidth="29040" windowHeight="15720" xr2:uid="{EF082B20-5454-481E-8ECF-44F36E11C9BB}"/>
  </bookViews>
  <sheets>
    <sheet name="012 programa 3 lentelė" sheetId="1" r:id="rId1"/>
    <sheet name="Lėšų suvestinė 2 lentelė" sheetId="3" r:id="rId2"/>
  </sheets>
  <definedNames>
    <definedName name="_xlnm.Print_Area" localSheetId="0">'012 programa 3 lentelė'!$A$1:$N$429</definedName>
    <definedName name="_xlnm.Print_Titles" localSheetId="0">'012 programa 3 lentelė'!$5:$7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8" i="1" l="1"/>
  <c r="F12" i="3"/>
  <c r="G12" i="3"/>
  <c r="E12" i="3"/>
  <c r="G344" i="1"/>
  <c r="H344" i="1"/>
  <c r="F344" i="1"/>
  <c r="F335" i="1"/>
  <c r="F339" i="1"/>
  <c r="H302" i="1"/>
  <c r="E221" i="1" l="1"/>
  <c r="E216" i="1"/>
  <c r="E214" i="1"/>
  <c r="E210" i="1"/>
  <c r="E207" i="1"/>
  <c r="E202" i="1"/>
  <c r="E194" i="1"/>
  <c r="E192" i="1"/>
  <c r="E38" i="1"/>
  <c r="E33" i="1"/>
  <c r="G305" i="1"/>
  <c r="G304" i="1"/>
  <c r="F305" i="1"/>
  <c r="F304" i="1"/>
  <c r="F301" i="1" s="1"/>
  <c r="H343" i="1"/>
  <c r="H301" i="1"/>
  <c r="H414" i="1" s="1"/>
  <c r="F348" i="1"/>
  <c r="H290" i="1"/>
  <c r="G290" i="1"/>
  <c r="F290" i="1"/>
  <c r="F124" i="1"/>
  <c r="F378" i="1"/>
  <c r="F130" i="1"/>
  <c r="F412" i="1"/>
  <c r="G412" i="1"/>
  <c r="H412" i="1"/>
  <c r="E412" i="1"/>
  <c r="F409" i="1"/>
  <c r="G409" i="1"/>
  <c r="H409" i="1"/>
  <c r="E409" i="1"/>
  <c r="F408" i="1"/>
  <c r="G408" i="1"/>
  <c r="H408" i="1"/>
  <c r="F387" i="1"/>
  <c r="G387" i="1"/>
  <c r="H387" i="1"/>
  <c r="F386" i="1"/>
  <c r="G386" i="1"/>
  <c r="H386" i="1"/>
  <c r="E386" i="1"/>
  <c r="F385" i="1"/>
  <c r="G385" i="1"/>
  <c r="H385" i="1"/>
  <c r="E385" i="1"/>
  <c r="F371" i="1"/>
  <c r="G371" i="1"/>
  <c r="H371" i="1"/>
  <c r="E371" i="1"/>
  <c r="F370" i="1"/>
  <c r="G370" i="1"/>
  <c r="H370" i="1"/>
  <c r="E348" i="1"/>
  <c r="F345" i="1"/>
  <c r="G345" i="1"/>
  <c r="H345" i="1"/>
  <c r="E345" i="1"/>
  <c r="F285" i="1"/>
  <c r="G285" i="1"/>
  <c r="H285" i="1"/>
  <c r="E285" i="1"/>
  <c r="E266" i="1"/>
  <c r="F266" i="1"/>
  <c r="G266" i="1"/>
  <c r="H266" i="1"/>
  <c r="F262" i="1"/>
  <c r="G262" i="1"/>
  <c r="H262" i="1"/>
  <c r="E262" i="1"/>
  <c r="F258" i="1"/>
  <c r="G258" i="1"/>
  <c r="H258" i="1"/>
  <c r="E258" i="1"/>
  <c r="F252" i="1"/>
  <c r="F250" i="1" s="1"/>
  <c r="G252" i="1"/>
  <c r="G250" i="1" s="1"/>
  <c r="H252" i="1"/>
  <c r="H250" i="1" s="1"/>
  <c r="F235" i="1"/>
  <c r="G235" i="1"/>
  <c r="H235" i="1"/>
  <c r="E235" i="1"/>
  <c r="F233" i="1"/>
  <c r="F231" i="1" s="1"/>
  <c r="G233" i="1"/>
  <c r="G231" i="1" s="1"/>
  <c r="H233" i="1"/>
  <c r="H231" i="1" s="1"/>
  <c r="F225" i="1"/>
  <c r="G225" i="1"/>
  <c r="H225" i="1"/>
  <c r="F224" i="1"/>
  <c r="G224" i="1"/>
  <c r="H224" i="1"/>
  <c r="F199" i="1"/>
  <c r="G199" i="1"/>
  <c r="H199" i="1"/>
  <c r="F197" i="1"/>
  <c r="G197" i="1"/>
  <c r="H197" i="1"/>
  <c r="F189" i="1"/>
  <c r="G189" i="1"/>
  <c r="H189" i="1"/>
  <c r="E189" i="1"/>
  <c r="F188" i="1"/>
  <c r="G188" i="1"/>
  <c r="H188" i="1"/>
  <c r="E188" i="1"/>
  <c r="E186" i="1" s="1"/>
  <c r="F185" i="1"/>
  <c r="G185" i="1"/>
  <c r="H185" i="1"/>
  <c r="E185" i="1"/>
  <c r="F184" i="1"/>
  <c r="G184" i="1"/>
  <c r="H184" i="1"/>
  <c r="F183" i="1"/>
  <c r="G183" i="1"/>
  <c r="H183" i="1"/>
  <c r="E183" i="1"/>
  <c r="F182" i="1"/>
  <c r="G182" i="1"/>
  <c r="H182" i="1"/>
  <c r="G181" i="1"/>
  <c r="H181" i="1"/>
  <c r="F83" i="1"/>
  <c r="G83" i="1"/>
  <c r="H83" i="1"/>
  <c r="F81" i="1"/>
  <c r="G81" i="1"/>
  <c r="H81" i="1"/>
  <c r="F72" i="1"/>
  <c r="G72" i="1"/>
  <c r="H72" i="1"/>
  <c r="F68" i="1"/>
  <c r="G68" i="1"/>
  <c r="H68" i="1"/>
  <c r="F64" i="1"/>
  <c r="G64" i="1"/>
  <c r="H64" i="1"/>
  <c r="E64" i="1"/>
  <c r="F60" i="1"/>
  <c r="G60" i="1"/>
  <c r="H60" i="1"/>
  <c r="E60" i="1"/>
  <c r="F56" i="1"/>
  <c r="G56" i="1"/>
  <c r="H56" i="1"/>
  <c r="E50" i="1"/>
  <c r="F50" i="1"/>
  <c r="G50" i="1"/>
  <c r="H50" i="1"/>
  <c r="F47" i="1"/>
  <c r="G47" i="1"/>
  <c r="H47" i="1"/>
  <c r="E20" i="3"/>
  <c r="F20" i="3"/>
  <c r="G20" i="3"/>
  <c r="D20" i="3"/>
  <c r="E21" i="3" a="1"/>
  <c r="E21" i="3" s="1"/>
  <c r="F21" i="3" a="1"/>
  <c r="F21" i="3" s="1"/>
  <c r="G21" i="3" a="1"/>
  <c r="G21" i="3" s="1"/>
  <c r="D21" i="3" a="1"/>
  <c r="D21" i="3" s="1"/>
  <c r="E335" i="1"/>
  <c r="E304" i="1"/>
  <c r="E301" i="1" s="1"/>
  <c r="E344" i="1" a="1"/>
  <c r="E344" i="1" s="1"/>
  <c r="E339" i="1"/>
  <c r="E331" i="1"/>
  <c r="E298" i="1"/>
  <c r="E244" i="1"/>
  <c r="E252" i="1" s="1"/>
  <c r="E250" i="1" s="1"/>
  <c r="E218" i="1"/>
  <c r="E196" i="1"/>
  <c r="E172" i="1"/>
  <c r="E150" i="1"/>
  <c r="E149" i="1"/>
  <c r="E131" i="1"/>
  <c r="E130" i="1"/>
  <c r="E120" i="1"/>
  <c r="E109" i="1"/>
  <c r="E108" i="1"/>
  <c r="E105" i="1"/>
  <c r="E89" i="1"/>
  <c r="E85" i="1"/>
  <c r="E83" i="1" s="1"/>
  <c r="E78" i="1"/>
  <c r="E81" i="1" s="1"/>
  <c r="E79" i="1" s="1"/>
  <c r="E75" i="1"/>
  <c r="E74" i="1"/>
  <c r="E70" i="1"/>
  <c r="E68" i="1" s="1"/>
  <c r="E58" i="1"/>
  <c r="E56" i="1" s="1"/>
  <c r="E54" i="1"/>
  <c r="E52" i="1" s="1"/>
  <c r="E41" i="1"/>
  <c r="E37" i="1"/>
  <c r="E29" i="1"/>
  <c r="E27" i="1"/>
  <c r="E21" i="1"/>
  <c r="E19" i="1"/>
  <c r="E18" i="1"/>
  <c r="E14" i="1"/>
  <c r="E13" i="1"/>
  <c r="E404" i="1"/>
  <c r="E399" i="1"/>
  <c r="E393" i="1"/>
  <c r="E212" i="1"/>
  <c r="E208" i="1"/>
  <c r="E205" i="1"/>
  <c r="E204" i="1"/>
  <c r="H33" i="1"/>
  <c r="H46" i="1" s="1"/>
  <c r="G33" i="1"/>
  <c r="G46" i="1" s="1"/>
  <c r="F33" i="1"/>
  <c r="E367" i="1"/>
  <c r="E356" i="1"/>
  <c r="E351" i="1"/>
  <c r="E230" i="1"/>
  <c r="E233" i="1" s="1"/>
  <c r="E231" i="1" s="1"/>
  <c r="E164" i="1"/>
  <c r="E142" i="1"/>
  <c r="E22" i="1"/>
  <c r="F414" i="1" l="1"/>
  <c r="F302" i="1"/>
  <c r="F343" i="1" s="1"/>
  <c r="G301" i="1"/>
  <c r="G414" i="1" s="1"/>
  <c r="G302" i="1"/>
  <c r="G343" i="1" s="1"/>
  <c r="G406" i="1"/>
  <c r="H186" i="1"/>
  <c r="G222" i="1"/>
  <c r="F181" i="1"/>
  <c r="F179" i="1" s="1"/>
  <c r="H348" i="1"/>
  <c r="F406" i="1"/>
  <c r="G44" i="1"/>
  <c r="H179" i="1"/>
  <c r="G179" i="1"/>
  <c r="G368" i="1"/>
  <c r="F222" i="1"/>
  <c r="E224" i="1"/>
  <c r="G348" i="1"/>
  <c r="F383" i="1"/>
  <c r="E72" i="1"/>
  <c r="H383" i="1"/>
  <c r="H368" i="1"/>
  <c r="H44" i="1"/>
  <c r="G186" i="1"/>
  <c r="H222" i="1"/>
  <c r="F368" i="1"/>
  <c r="G383" i="1"/>
  <c r="F186" i="1"/>
  <c r="H406" i="1"/>
  <c r="E47" i="1"/>
  <c r="E370" i="1"/>
  <c r="E368" i="1" s="1"/>
  <c r="E225" i="1"/>
  <c r="E182" i="1"/>
  <c r="E408" i="1"/>
  <c r="E406" i="1" s="1"/>
  <c r="E343" i="1"/>
  <c r="G342" i="1"/>
  <c r="G340" i="1" s="1"/>
  <c r="H342" i="1"/>
  <c r="H340" i="1" s="1"/>
  <c r="E8" i="3"/>
  <c r="F46" i="1"/>
  <c r="F44" i="1" s="1"/>
  <c r="E46" i="1"/>
  <c r="E184" i="1"/>
  <c r="E181" i="1"/>
  <c r="E199" i="1"/>
  <c r="E197" i="1"/>
  <c r="E342" i="1"/>
  <c r="F342" i="1"/>
  <c r="F340" i="1" s="1"/>
  <c r="E44" i="1" l="1"/>
  <c r="E222" i="1"/>
  <c r="E340" i="1"/>
  <c r="E179" i="1"/>
  <c r="E410" i="1"/>
  <c r="E379" i="1"/>
  <c r="E414" i="1" s="1"/>
  <c r="E346" i="1"/>
  <c r="E281" i="1"/>
  <c r="E277" i="1"/>
  <c r="E273" i="1"/>
  <c r="E254" i="1"/>
  <c r="E239" i="1"/>
  <c r="E87" i="1"/>
  <c r="E48" i="1"/>
  <c r="F79" i="1"/>
  <c r="F48" i="1"/>
  <c r="H281" i="1"/>
  <c r="G281" i="1"/>
  <c r="F281" i="1"/>
  <c r="E23" i="3"/>
  <c r="H277" i="1"/>
  <c r="G277" i="1"/>
  <c r="F277" i="1"/>
  <c r="D19" i="3"/>
  <c r="H239" i="1"/>
  <c r="G239" i="1"/>
  <c r="F239" i="1"/>
  <c r="H79" i="1"/>
  <c r="G79" i="1"/>
  <c r="E13" i="3"/>
  <c r="F8" i="3"/>
  <c r="F11" i="3"/>
  <c r="H52" i="1"/>
  <c r="G52" i="1"/>
  <c r="F52" i="1"/>
  <c r="G48" i="1"/>
  <c r="G87" i="1"/>
  <c r="F87" i="1"/>
  <c r="E387" i="1" l="1"/>
  <c r="E383" i="1" s="1"/>
  <c r="E413" i="1" s="1"/>
  <c r="D8" i="3"/>
  <c r="G8" i="3"/>
  <c r="E9" i="3"/>
  <c r="E19" i="3"/>
  <c r="F19" i="3"/>
  <c r="G19" i="3"/>
  <c r="E18" i="3" a="1"/>
  <c r="E18" i="3" s="1"/>
  <c r="F18" i="3" a="1"/>
  <c r="F18" i="3" s="1"/>
  <c r="G18" i="3" a="1"/>
  <c r="G18" i="3" s="1"/>
  <c r="D18" i="3" a="1"/>
  <c r="D18" i="3" s="1"/>
  <c r="E17" i="3" a="1"/>
  <c r="E17" i="3" s="1"/>
  <c r="F17" i="3" a="1"/>
  <c r="F17" i="3" s="1"/>
  <c r="G17" i="3" a="1"/>
  <c r="G17" i="3" s="1"/>
  <c r="D17" i="3" a="1"/>
  <c r="D17" i="3" s="1"/>
  <c r="E16" i="3"/>
  <c r="F16" i="3"/>
  <c r="G16" i="3"/>
  <c r="F13" i="3"/>
  <c r="G13" i="3"/>
  <c r="D12" i="3" a="1"/>
  <c r="D12" i="3" s="1"/>
  <c r="E11" i="3"/>
  <c r="G11" i="3"/>
  <c r="D11" i="3"/>
  <c r="E10" i="3"/>
  <c r="F10" i="3"/>
  <c r="G10" i="3"/>
  <c r="D10" i="3"/>
  <c r="F9" i="3"/>
  <c r="G9" i="3"/>
  <c r="E415" i="1" l="1"/>
  <c r="E14" i="3"/>
  <c r="F14" i="3"/>
  <c r="G14" i="3"/>
  <c r="F6" i="3"/>
  <c r="E6" i="3"/>
  <c r="G6" i="3"/>
  <c r="F410" i="1"/>
  <c r="G410" i="1"/>
  <c r="H410" i="1"/>
  <c r="F23" i="3"/>
  <c r="G23" i="3"/>
  <c r="E22" i="3" l="1"/>
  <c r="F22" i="3"/>
  <c r="G22" i="3"/>
  <c r="F346" i="1"/>
  <c r="F413" i="1" s="1"/>
  <c r="G346" i="1"/>
  <c r="G413" i="1" s="1"/>
  <c r="H346" i="1"/>
  <c r="H87" i="1"/>
  <c r="H48" i="1"/>
  <c r="H413" i="1" l="1"/>
  <c r="G24" i="3"/>
  <c r="D9" i="3"/>
  <c r="D13" i="3"/>
  <c r="F24" i="3"/>
  <c r="D16" i="3"/>
  <c r="D14" i="3" s="1"/>
  <c r="H415" i="1" l="1"/>
  <c r="G415" i="1"/>
  <c r="D23" i="3"/>
  <c r="D6" i="3" l="1"/>
  <c r="D22" i="3" l="1"/>
  <c r="E24" i="3" s="1"/>
  <c r="F41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Inga Garlienė</author>
    <author>Rima Ališauskė</author>
    <author>Asta Česnauskienė</author>
    <author>Violeta Pronskuvienė</author>
  </authors>
  <commentList>
    <comment ref="I117" authorId="0" shapeId="0" xr:uid="{DDEA1DB0-6E0D-4230-B797-0A08758A6517}">
      <text>
        <r>
          <rPr>
            <sz val="11"/>
            <color theme="1"/>
            <rFont val="Calibri"/>
            <family val="2"/>
            <charset val="186"/>
            <scheme val="minor"/>
          </rPr>
          <t xml:space="preserve">Naujose patalpose Smiltelės g. 14
</t>
        </r>
      </text>
    </comment>
    <comment ref="I118" authorId="0" shapeId="0" xr:uid="{DFD3ABBA-D733-4731-8E41-686EFAAC10CC}">
      <text>
        <r>
          <rPr>
            <sz val="11"/>
            <color theme="1"/>
            <rFont val="Calibri"/>
            <family val="2"/>
            <charset val="186"/>
            <scheme val="minor"/>
          </rPr>
          <t>Naujose patalpose Smiltelės g. 14</t>
        </r>
      </text>
    </comment>
    <comment ref="I137" authorId="0" shapeId="0" xr:uid="{3C7BCCF0-D0D2-499A-AD8A-0D75AD06A066}">
      <text>
        <r>
          <rPr>
            <sz val="11"/>
            <color theme="1"/>
            <rFont val="Calibri"/>
            <family val="2"/>
            <charset val="186"/>
            <scheme val="minor"/>
          </rPr>
          <t>Išmanūs telefonai darbuotojams darbui su SPIS sistema, prie kurios jungiamasi Microsoft Autentificator programėlės pagalba, bendravimui su paslaugų gavėjais per "Signal", "WhatsApp" ir kitas programėles, esant poreikiui prisijungti prie darbinio el. pašto, duomenų saugyklos.</t>
        </r>
      </text>
    </comment>
    <comment ref="I138" authorId="0" shapeId="0" xr:uid="{88AFD11D-5533-48A5-8B3E-59C6263FC5C5}">
      <text>
        <r>
          <rPr>
            <sz val="11"/>
            <color theme="1"/>
            <rFont val="Calibri"/>
            <family val="2"/>
            <charset val="186"/>
            <scheme val="minor"/>
          </rPr>
          <t>Skirti patalpoms po remonto, Debreceno g. 48.
Virtuvės baldai - 3 kompl.
Žaidimų kambario, poilsio, konsultacijų patalpų baldai - 32 vnt.
Gyvenamųjų kambarių baldai (19 kambarių) - 185 vnt.
Biuro baldai (6 kabinetai) - 43 vnt.</t>
        </r>
      </text>
    </comment>
    <comment ref="I139" authorId="0" shapeId="0" xr:uid="{9135DC7F-C3A3-4312-8D24-E0C678AE4249}">
      <text>
        <r>
          <rPr>
            <sz val="11"/>
            <color theme="1"/>
            <rFont val="Calibri"/>
            <family val="2"/>
            <charset val="186"/>
            <scheme val="minor"/>
          </rPr>
          <t>Skirta patalpoms po remonto, Debreceno g. 48.
Kaitlentės - 7 vnt.
Orkaitės - 7 vnt.
Gartraukiai - 7 vnt.
Šaldytuvai - 6 vnt.
Skalbimo mašinos - 4 vnt. 
Džiovyklės - 4 vnt.
Indaplovės - 3 vnt.</t>
        </r>
      </text>
    </comment>
    <comment ref="J155" authorId="0" shapeId="0" xr:uid="{4AE106C6-9892-4258-88A4-18A9980F356A}">
      <text>
        <r>
          <rPr>
            <sz val="11"/>
            <color theme="1"/>
            <rFont val="Calibri"/>
            <family val="2"/>
            <charset val="186"/>
            <scheme val="minor"/>
          </rPr>
          <t>Terasos baldai - 2 kompl.
Virtuvės baldai - 1 kompl.
Spinta - 1 vnt.
Garažo vartai - 1 vnt.
Kondicionierius - 1 vnt.</t>
        </r>
      </text>
    </comment>
    <comment ref="F168" authorId="0" shapeId="0" xr:uid="{577888AE-F858-48DB-9CC3-2CE2587D2A67}">
      <text>
        <r>
          <rPr>
            <sz val="11"/>
            <color theme="1"/>
            <rFont val="Calibri"/>
            <family val="2"/>
            <charset val="186"/>
            <scheme val="minor"/>
          </rPr>
          <t>Socialinės paramos centras: kompiuteriai su programine įranga - 2 vnt.
Šeimos ir vaiko gerovės centras: nešiojami kompiuteriai su programine įranga - 17 vnt., monitoriai - 10 vnt., Microsoft licencijos - 125 vnt.
Socialinių paslaugų centras "Rytas": kompiuteriai su programine įranga - 5 vnt., stacionarūs kompiuteriai - 3 vnt., nešiojami kompiuteriai - 2 vnt., planšetiniai kompiuteriai - 4 vnt.</t>
        </r>
      </text>
    </comment>
    <comment ref="G168" authorId="0" shapeId="0" xr:uid="{600EA3A3-2BBA-41FF-A2EC-EE55CCBB0E74}">
      <text>
        <r>
          <rPr>
            <sz val="11"/>
            <color theme="1"/>
            <rFont val="Calibri"/>
            <family val="2"/>
            <charset val="186"/>
            <scheme val="minor"/>
          </rPr>
          <t>Socialinės paramos centras: kompiuteriai su programine įranga - 4 vnt.
Šeimos ir vaiko gerovės centras: nešiojami kompiuteriai su programine įranga - 20 vnt., monitoriai - 10 vnt., Microsoft licencijos - 125 vnt.
Socialinių paslaugų centras "Rytas": kompiuteriai su programine įranga - 7 vnt., nešiojami kompiuteriai - 1 vnt.</t>
        </r>
      </text>
    </comment>
    <comment ref="H168" authorId="0" shapeId="0" xr:uid="{2F1D653D-D11F-445A-AA0D-8453B262A9D3}">
      <text>
        <r>
          <rPr>
            <sz val="11"/>
            <color theme="1"/>
            <rFont val="Calibri"/>
            <family val="2"/>
            <charset val="186"/>
            <scheme val="minor"/>
          </rPr>
          <t>Socialinės paramos centras: kompiuteriai su programine įranga - 3 vnt.
Šeimos ir vaiko gerovės centras: nešiojami kompiuteriai su programine įranga - 15 vnt., Microsoft licencijos - 125 vnt.
Socialinių paslaugų centras "Rytas": kompiuteriai su programine įranga - 7 vnt., nešiojami kompiuteriai - 2 vnt.</t>
        </r>
      </text>
    </comment>
    <comment ref="M296" authorId="1" shapeId="0" xr:uid="{C6504FA8-EE64-4A69-9C66-8CB7DC8C94CD}">
      <text>
        <r>
          <rPr>
            <sz val="11"/>
            <color theme="1"/>
            <rFont val="Calibri"/>
            <family val="2"/>
            <charset val="186"/>
            <scheme val="minor"/>
          </rPr>
          <t>Rima Ališauskė:
rangos darbų rezervas ir lėšos ESO</t>
        </r>
      </text>
    </comment>
    <comment ref="H298" authorId="1" shapeId="0" xr:uid="{45FF57EA-4280-40D6-9897-70EEC1CCC289}">
      <text>
        <r>
          <rPr>
            <sz val="11"/>
            <color theme="1"/>
            <rFont val="Calibri"/>
            <family val="2"/>
            <charset val="186"/>
            <scheme val="minor"/>
          </rPr>
          <t>Rima Ališauskė:
baldų įsigijimas</t>
        </r>
      </text>
    </comment>
    <comment ref="I300" authorId="2" shapeId="0" xr:uid="{22EF7D5F-2B2B-41F9-95F3-E9E43E8FAE28}">
      <text>
        <r>
          <rPr>
            <sz val="11"/>
            <color theme="1"/>
            <rFont val="Calibri"/>
            <family val="2"/>
            <charset val="186"/>
            <scheme val="minor"/>
          </rPr>
          <t xml:space="preserve">Rodiklio reikšmę (40) planuojama pasiekti 2029 m.
</t>
        </r>
      </text>
    </comment>
    <comment ref="I301" authorId="2" shapeId="0" xr:uid="{9438FC3E-3A36-4334-9031-27EE9E5147E0}">
      <text>
        <r>
          <rPr>
            <sz val="11"/>
            <color theme="1"/>
            <rFont val="Calibri"/>
            <family val="2"/>
            <charset val="186"/>
            <scheme val="minor"/>
          </rPr>
          <t xml:space="preserve">Rodiklio reikšmę (40) planuojama pasiekti 2029 m.
</t>
        </r>
      </text>
    </comment>
    <comment ref="I328" authorId="2" shapeId="0" xr:uid="{7737F6FC-0DC9-44AE-A3B3-F97C50210AE2}">
      <text>
        <r>
          <rPr>
            <sz val="11"/>
            <color theme="1"/>
            <rFont val="Calibri"/>
            <family val="2"/>
            <charset val="186"/>
            <scheme val="minor"/>
          </rPr>
          <t xml:space="preserve">galutinę rodiklio reikšmę (36) planuojama pasiekti 2029 m.
</t>
        </r>
      </text>
    </comment>
    <comment ref="I329" authorId="2" shapeId="0" xr:uid="{E1AF43C1-5A38-419B-92D3-B00CE525B3A9}">
      <text>
        <r>
          <rPr>
            <sz val="11"/>
            <color theme="1"/>
            <rFont val="Calibri"/>
            <family val="2"/>
            <charset val="186"/>
            <scheme val="minor"/>
          </rPr>
          <t xml:space="preserve">galutinę rodiklio reikšmę (36) planuojama pasiekti 2029 m.
</t>
        </r>
      </text>
    </comment>
    <comment ref="G332" authorId="1" shapeId="0" xr:uid="{2035EB90-300C-4B8A-8E6C-21D840659A4C}">
      <text>
        <r>
          <rPr>
            <sz val="11"/>
            <color theme="1"/>
            <rFont val="Calibri"/>
            <family val="2"/>
            <charset val="186"/>
            <scheme val="minor"/>
          </rPr>
          <t>Rima Ališauskė:
baldų įsigijimas</t>
        </r>
      </text>
    </comment>
    <comment ref="I360" authorId="3" shapeId="0" xr:uid="{98AD791D-A8CF-4111-ACF7-57EEB079FB79}">
      <text>
        <r>
          <rPr>
            <sz val="11"/>
            <color theme="1"/>
            <rFont val="Calibri"/>
            <family val="2"/>
            <charset val="186"/>
            <scheme val="minor"/>
          </rPr>
          <t xml:space="preserve">Vingio g. 23D, Šaulių g. 7-14, Rumpiškės g. 31-9
</t>
        </r>
      </text>
    </comment>
    <comment ref="I361" authorId="3" shapeId="0" xr:uid="{57EF94A8-571C-4B47-A2E0-C89111342179}">
      <text>
        <r>
          <rPr>
            <sz val="11"/>
            <color theme="1"/>
            <rFont val="Calibri"/>
            <family val="2"/>
            <charset val="186"/>
            <scheme val="minor"/>
          </rPr>
          <t xml:space="preserve">Taikos pr. 68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<sst xmlns="http://schemas.openxmlformats.org/spreadsheetml/2006/main" count="1011" uniqueCount="584">
  <si>
    <t xml:space="preserve">Aiškinamojo rašto </t>
  </si>
  <si>
    <t>1 priedas</t>
  </si>
  <si>
    <t>3 lentelė. Klaipėdos miesto savivaldybės 2025–2028 metų 012 Socialinės atskirties mažinimo programos uždaviniai, priemonės, asignavimai ir kitos lėšos (tūkst. eurų) bei priemonių stebėsenos rodikliai</t>
  </si>
  <si>
    <t>Programos uždavinio, priemonės kodas ir požymis</t>
  </si>
  <si>
    <t>Uždavinio, priemonės pavadinimas, finansavimo šaltiniai</t>
  </si>
  <si>
    <t xml:space="preserve">Vykdytojas </t>
  </si>
  <si>
    <t>2025 metų asignavimai ir kitos lėšos</t>
  </si>
  <si>
    <t>2026 metų asignavimai ir kitos lėšos</t>
  </si>
  <si>
    <t>2027 metų asignavimai ir kitos lėšos</t>
  </si>
  <si>
    <t>2028 metų asignavimai ir kitos lėšos</t>
  </si>
  <si>
    <t>Stebėsenos rodiklio pavadinimas 
(matavimo vnt.)</t>
  </si>
  <si>
    <t>Siektinos stebėsenos rodiklių reikšmės</t>
  </si>
  <si>
    <t>Savivaldybės strateginio plėtros plano rodiklis</t>
  </si>
  <si>
    <t>2025 m.</t>
  </si>
  <si>
    <t>2026 m.</t>
  </si>
  <si>
    <t>2027 m.</t>
  </si>
  <si>
    <t>2028 m.</t>
  </si>
  <si>
    <t>012-01 (T)</t>
  </si>
  <si>
    <t>Uždavinys: Užtikrinti Lietuvos Respublikos įstatymais, Vyriausybės nutarimais ir kitais teisės aktais numatytos socialinės paramos teikimą</t>
  </si>
  <si>
    <t>Socialinės pašalpos gavėjų skaičius, tenkantis 1 tūkst. gyventojų, asm./1 000-iui gyv.</t>
  </si>
  <si>
    <t>R-2.4.3-1</t>
  </si>
  <si>
    <t>Teikiamų socialinių išmokų ir kompensacijų rūšių skaičius, vnt.</t>
  </si>
  <si>
    <t>012-01-01 (TP)</t>
  </si>
  <si>
    <t>Priemonė: Socialinių paslaugų ir kitos socialinės paramos teikimas</t>
  </si>
  <si>
    <t>012-01-01-01</t>
  </si>
  <si>
    <t xml:space="preserve">Piniginės socialinės paramos nepasiturinčioms šeimoms ir vieniems gyvenantiems asmenims bei paramos mirties atveju teikimas, išmokant pašalpas ir kompensacijas </t>
  </si>
  <si>
    <t>Savivaldybės biudžeto lėšos (nuosavos, be ankstesnių metų likučio)</t>
  </si>
  <si>
    <t>SGD 
Socialinių išmokų skyriai 1 ir 2</t>
  </si>
  <si>
    <t>Vidutinis išmokamų socialinių pašalpų skaičius per mėn.</t>
  </si>
  <si>
    <t>Lietuvos Respublikos valstybės biudžeto dotacijos</t>
  </si>
  <si>
    <t>Vidutinis išmokamų kompensacijų skaičius per mėn.</t>
  </si>
  <si>
    <t>Vidutinis išmokamų kompensacijų kreditams ir kredito palūkanoms skaičius per mėn.</t>
  </si>
  <si>
    <t>Kompensacijų nepriklausomybės gynėjams, nukentėjusiems nuo 1991 m. sausio 11–13 d. ir po to vykdytos SSRS agresijos, bei jų šeimoms gavėjų skaičius</t>
  </si>
  <si>
    <t>Laidojimo pašalpų gavėjų skaičius</t>
  </si>
  <si>
    <t>SGD Savivaldybės būsto skyrius</t>
  </si>
  <si>
    <t>Asmenų (šeimų), gavusių būsto nuomos ar išperkamosios būsto nuomos mokesčio dalies kompensaciją, skaičius</t>
  </si>
  <si>
    <t>Asmenų (šeimų), gavusių būsto nuomos ar išperkamosios būsto nuomos mokesčio dalies kompensaciją iš savivaldybės biudžeto lėšų, skaičius</t>
  </si>
  <si>
    <t>012-01-01-02</t>
  </si>
  <si>
    <t>Socialinės globos paslaugų teikimas asmenims su sunkia negalia</t>
  </si>
  <si>
    <t>SGD Socialinių paslaugų skyrius, BĮ Klaipėdos miesto socialinės paramos centras, BĮ Socialinių paslaugų centras „Klaipėdos lakštutė“, BĮ Klaipėdos miesto globos namai, BĮ Klaipėdos socialinių paslaugų centras „Danė“, BĮ Klaipėdos sutrikusio vystymosi kūdikių namai</t>
  </si>
  <si>
    <t>Asmenų su sunkia negalia, gaunančių socialinę globą, skaičius  (perkamos paslaugos)</t>
  </si>
  <si>
    <t>Asmenų su sunkia negalia, gaunančių socialinę globą, skaičius  (Socialinės paramos centras)</t>
  </si>
  <si>
    <t>Asmenų su sunkia negalia, gaunančių socialinę globą, skaičius  („Klaipėdos lakštutė“)</t>
  </si>
  <si>
    <t>Asmenų su sunkia negalia, gaunančių socialinę globą, skaičius  (Globos namai)</t>
  </si>
  <si>
    <t>Asmenų su sunkia negalia, gaunančių socialinę globą, skaičius  („Danė“)</t>
  </si>
  <si>
    <t>Asmenų su sunkia negalia, gaunančių socialinę globą, skaičius  (Sutrikusio vystymosi kūdikių namai)</t>
  </si>
  <si>
    <t>012-01-01-03</t>
  </si>
  <si>
    <t>Pagalbos socialinės rizikos šeimoms teikimas</t>
  </si>
  <si>
    <t>SGD Socialinių paslaugų skyrius, BĮ Šeimos ir vaiko gerovės centras</t>
  </si>
  <si>
    <t>Socialinių darbuotojų, teikiančių socialinę priežiūrą šeimoms, pareigybių skaičius</t>
  </si>
  <si>
    <t>Individualios priežiūros darbuotojų, teikiančių socialinę priežiūrą šeimoms, pareigybių skaičius</t>
  </si>
  <si>
    <t>012-01-01-04</t>
  </si>
  <si>
    <t>Mokinių nemokamo maitinimo ir aprūpinimo mokinio reikmenimis organizavimas</t>
  </si>
  <si>
    <t>Mokinių, gaunančių nemokamą maitinimą, vidutinis skaičius per mėnesį</t>
  </si>
  <si>
    <t>P-2.4.1.9-1</t>
  </si>
  <si>
    <t>Mokinių, gaunančių paramą mokinio reikmenims įsigyti, skaičius</t>
  </si>
  <si>
    <t>012-01-01-05</t>
  </si>
  <si>
    <t>Mokinių iš mažas pajamas gaunančių šeimų nemokamo maitinimo gamybos išlaidų padengimas</t>
  </si>
  <si>
    <t>Nemokamą maitinimą gaunančių mokinių skaičius</t>
  </si>
  <si>
    <t>012-01-01-06</t>
  </si>
  <si>
    <t xml:space="preserve">Budinčio ir nuolatinio globotojo veiklos organizavimas </t>
  </si>
  <si>
    <t>SGD         Socialinių paslaugų skyrius, BĮ Šeimos ir vaiko gerovės centras</t>
  </si>
  <si>
    <t xml:space="preserve">Vidutinis prižiūrimų vaikų skaičius per mėnesį </t>
  </si>
  <si>
    <t>P-2.4.1.2-1</t>
  </si>
  <si>
    <t>012-01-01-07</t>
  </si>
  <si>
    <t>Projekto „Materialinio nepritekliaus mažinimas Lietuvoje“ įgyvendinimas</t>
  </si>
  <si>
    <t>SGD          Socialinių išmokų skyriai 1 ir 2</t>
  </si>
  <si>
    <t>Paramos gavėjų skaičius</t>
  </si>
  <si>
    <t>Kiti šaltiniai (Europos Sąjungos paramos lėšos)</t>
  </si>
  <si>
    <t>012-01-01-08</t>
  </si>
  <si>
    <t>Laikino atokvėpio paslaugos teikimas</t>
  </si>
  <si>
    <t>SGD         Socialinių paslaugų skyrius</t>
  </si>
  <si>
    <t xml:space="preserve">Asmenų, gaunančių laikino atokvėpio paslaugas, skaičius  (perkamos paslaugos)
</t>
  </si>
  <si>
    <t>Asmenų, gaunančių laikino atokvėpio paslaugas, skaičius  (Globos namai)</t>
  </si>
  <si>
    <t>Asmenų, gaunančių laikino atokvėpio paslaugas, skaičius  („Danė“)</t>
  </si>
  <si>
    <t>Asmenų, gaunančių laikino atokvėpio paslaugas, skaičius  (Sutrikusio vystymosi kūdikių namai)</t>
  </si>
  <si>
    <t>012-01-01-09</t>
  </si>
  <si>
    <t>Materialinės paramos Klaipėdos miesto savivaldybės gyventojams, atsidūrusiems sunkioje materialinėje padėtyje, teikimas</t>
  </si>
  <si>
    <t>SGD         Socialinių išmokų skyriai 1 ir 2</t>
  </si>
  <si>
    <t>Vidutinis materialinės paramos išmokų Klaipėdos miesto gyventojams, atsidūrusiems sunkioje materialinėje padėtyje, skaičius per mėn.</t>
  </si>
  <si>
    <t>Išmokų asmenims su negalia, auginantiems vaikus, mokėjimas</t>
  </si>
  <si>
    <t>Išmokų gavėjų skaičius</t>
  </si>
  <si>
    <t>Savivaldybės biudžetas (įskaitant skolintas lėšas)</t>
  </si>
  <si>
    <t>Iš jo:</t>
  </si>
  <si>
    <t>Savivaldybės biudžeto lėšos (nuosavos, be ankstesnių metų likučio)'</t>
  </si>
  <si>
    <t>Lietuvos Respublikos valstybės biudžeto dotacijos'</t>
  </si>
  <si>
    <t>Kiti šaltiniai</t>
  </si>
  <si>
    <t>Iš jų:</t>
  </si>
  <si>
    <t>Kiti šaltiniai (Europos Sąjungos paramos lėšos)'</t>
  </si>
  <si>
    <t>012-01-02 (TP)</t>
  </si>
  <si>
    <t xml:space="preserve">Priemonė: Individualios pagalbos teikimo išlaidų kompensacijų skaičiavimas ir mokėjimas, siekiant asmenims su negalia kompensuoti specialiųjų poreikių tenkinimo išlaidas </t>
  </si>
  <si>
    <t>Kiti šaltiniai (valstybės biudžeto lėšos)</t>
  </si>
  <si>
    <t>012-01-03 (TP)</t>
  </si>
  <si>
    <t>Priemonė: Išmokų vaikams skaičiavimas ir mokėjimas</t>
  </si>
  <si>
    <t>SGD           Socialinių išmokų skyriai 1 ir 2</t>
  </si>
  <si>
    <t>012-01-04 (TP)</t>
  </si>
  <si>
    <t>Priemonė: Darbo rinkos politikos priemonių, skirtų socialinę atskirtį patiriantiems asmenims, vykdymas</t>
  </si>
  <si>
    <t>SGD                    vyr. specialistas</t>
  </si>
  <si>
    <t>Laikiniesiems darbams įdarbintų bedarbių skaičius per metus</t>
  </si>
  <si>
    <t>Asmenų, pasinaudojusių priemone „Atvejo vadyba“, skaičius per metus</t>
  </si>
  <si>
    <t>Pasibaigus užimtumo didinimo programoms, po 6 mėnesių dirbs arba vykdys savarankišką veiklą asmenų dalis iš užimtumo didinimo programų dalyvių skaičiaus, proc.</t>
  </si>
  <si>
    <t>012-01-05 (TP)</t>
  </si>
  <si>
    <t>Priemonė: Akredituotos vaikų dienos socialinės priežiūros organizavimas</t>
  </si>
  <si>
    <t>SGD          Socialinių paslaugų skyrius</t>
  </si>
  <si>
    <t>Įstaigų skaičius</t>
  </si>
  <si>
    <t>012-01-06 (TP)</t>
  </si>
  <si>
    <t>Priemonė: Asmeninės pagalbos teikimo organizavimas</t>
  </si>
  <si>
    <t>Asmenų, kuriems suteikta asmeninė pagalba, skaičius</t>
  </si>
  <si>
    <t>P-2.4.1.1-3</t>
  </si>
  <si>
    <t>012-01-07 (TP)</t>
  </si>
  <si>
    <t>Priemonė: Socialinės reabilitacijos asmenims su negalia bendruomenėje organizavimas</t>
  </si>
  <si>
    <t>Vidutinis paslaugos gavėjų skaičius per mėnesį</t>
  </si>
  <si>
    <t>012-01-08 (TP)</t>
  </si>
  <si>
    <t>Priemonė: Prevencinių socialinių paslaugų organizavimas ir teikimas</t>
  </si>
  <si>
    <t>012-01-08-01</t>
  </si>
  <si>
    <t>Kompleksinių paslaugų šeimai teikimas</t>
  </si>
  <si>
    <t>SGD                 Socialinių paslaugų skyrius</t>
  </si>
  <si>
    <t>Bendruomeninių šeimos namų darbuotojų pareigybių skaičius</t>
  </si>
  <si>
    <t>012-01-09</t>
  </si>
  <si>
    <t>Priemonė: Jaunuolių (nuo 16 m.) palydėjimo paslaugos organizavimas</t>
  </si>
  <si>
    <t>Paslaugos gavėjų skaičius</t>
  </si>
  <si>
    <t>012-01-10</t>
  </si>
  <si>
    <t>Priemonė: Vienkartinių išmokų įsikurti gyvenamojoje vietoje savivaldybės teritorijoje ir (ar) mėnesinių kompensacijų vaiko ugdymui pagal ikimokyklinio ir priešmokyklinio ugdymo programą mokėjimas</t>
  </si>
  <si>
    <t>Asmenų, kuriems skirtos vienkartinės išmokos įsikurti gyvenamojoje vietoje savivaldybėje, skaičius</t>
  </si>
  <si>
    <t>Asmenų, gavusių mėnesinę kompensaciją už vaikų ikimokyklinio ar priešmokyklinio ugdymo programą, skaičius</t>
  </si>
  <si>
    <t>012-02 (T)</t>
  </si>
  <si>
    <t xml:space="preserve">Uždavinys: Teikti visuomenės poreikius atitinkančias socialines paslaugas įvairioms gyventojų grupėms </t>
  </si>
  <si>
    <t>Socialinių paslaugų poreikio patenkinimas, proc.</t>
  </si>
  <si>
    <t>E-2.4-2</t>
  </si>
  <si>
    <t>Teikiamų socialinių paslaugų rūšių skaičius, vnt.</t>
  </si>
  <si>
    <t>R-2.4.1-1</t>
  </si>
  <si>
    <t>Bendras socialinių paslaugų vertinimo indeksas</t>
  </si>
  <si>
    <t>Socialinės paslaugos laukimo eilėje laikas (dienos socialinė globa asmens namuose) (dienomis)</t>
  </si>
  <si>
    <t>P-2.4.1.1-2</t>
  </si>
  <si>
    <t>Socialinės paslaugos laukimo eilėje laikas (ilgalaikė socialinė globa institucijoje) (dienomis)</t>
  </si>
  <si>
    <t>P-2.4.1.3-2</t>
  </si>
  <si>
    <t>Socialinės paslaugos laukimo eilėje laikas (socialinė priežiūra, pagalba į namus,  (dienomis)</t>
  </si>
  <si>
    <t>P-2.4.1.1-1</t>
  </si>
  <si>
    <t>012-02-01 (TP)</t>
  </si>
  <si>
    <t>Priemonė: Socialinių paslaugų teikimas socialinių paslaugų įstaigose</t>
  </si>
  <si>
    <t>012-02-01-01</t>
  </si>
  <si>
    <t>BĮ Klaipėdos miesto globos namuose</t>
  </si>
  <si>
    <t>SGD          Socialinių paslaugų skyrius, BĮ Klaipėdos miesto globos namai</t>
  </si>
  <si>
    <t>Vietų skaičius įstaigoje</t>
  </si>
  <si>
    <t>82</t>
  </si>
  <si>
    <t>Pajamų įmokos ir kitos pajamos</t>
  </si>
  <si>
    <t>Ankstesnių metų likučiai</t>
  </si>
  <si>
    <t>012-02-01-02</t>
  </si>
  <si>
    <t>Projekto „Integruotos jutiklių technologijos, skirtos prevencijai nuo kritimų ir įgalinimui socialinėms-ekonominėms reikmėms globos aplinkoje marginalizuotoms ir specialiųjų poreikių turinčioms bendruomenėms“ įgyvendinimas</t>
  </si>
  <si>
    <t>Įsigyta griuvimo prevencijos įranga, vnt.</t>
  </si>
  <si>
    <t>60</t>
  </si>
  <si>
    <t>Įdiegta skaitmenizavimo platforma, leidžianti užtikrinti vyresnio amžiaus žmonių (ir kitų žmonių su negalia) kryčių prevenciją ir greitesnį kritimų aptikimą, vnt.</t>
  </si>
  <si>
    <t>1</t>
  </si>
  <si>
    <t>Europos Sąjungos ir kitos tarptautinės finansinės paramos lėšos</t>
  </si>
  <si>
    <t>012-02-01-03</t>
  </si>
  <si>
    <t>BĮ Klaipėdos miesto socialinės paramos centre</t>
  </si>
  <si>
    <t>SGD          Socialinių paslaugų skyrius, BĮ Klaipėdos miesto socialinės paramos centras</t>
  </si>
  <si>
    <t>Suteikta transporto paslaugų, asmenų skaičius</t>
  </si>
  <si>
    <t>160</t>
  </si>
  <si>
    <t>P-2.4.1.8-1</t>
  </si>
  <si>
    <t>409/70</t>
  </si>
  <si>
    <t>520</t>
  </si>
  <si>
    <t>Suteikta socialinės globos asmens namuose paslaugų, asmenų skaičius</t>
  </si>
  <si>
    <t>70</t>
  </si>
  <si>
    <t>Suteikta paramos rūbais, avalyne, kt., asmenų skaičius</t>
  </si>
  <si>
    <t>150</t>
  </si>
  <si>
    <t>110</t>
  </si>
  <si>
    <t>100</t>
  </si>
  <si>
    <t>90</t>
  </si>
  <si>
    <t>900/700</t>
  </si>
  <si>
    <t>650</t>
  </si>
  <si>
    <t>630</t>
  </si>
  <si>
    <t>600</t>
  </si>
  <si>
    <t>Išduota techninės pagalbos priemonių, asmenų skaičius</t>
  </si>
  <si>
    <t>500</t>
  </si>
  <si>
    <t>480</t>
  </si>
  <si>
    <t>450</t>
  </si>
  <si>
    <t>Išvalyta apleistų butų, vnt.</t>
  </si>
  <si>
    <t>12</t>
  </si>
  <si>
    <t>Įsigyta mobilių keltuvų asmenims su negalia, vnt.</t>
  </si>
  <si>
    <t>7</t>
  </si>
  <si>
    <t>4</t>
  </si>
  <si>
    <t>Įsigyti mobilieji telefonai, vnt.</t>
  </si>
  <si>
    <t>20</t>
  </si>
  <si>
    <t>Įsigytas skeneris, vnt.</t>
  </si>
  <si>
    <t>Įsigyti kondicionieriai, vnt.</t>
  </si>
  <si>
    <t>3</t>
  </si>
  <si>
    <t>Įsigyti baldai, vnt.</t>
  </si>
  <si>
    <t>237</t>
  </si>
  <si>
    <t>012-02-01-04</t>
  </si>
  <si>
    <t>Transporto paslaugų įsigijimas, užtikrinant paslaugų gavėjų poreikius</t>
  </si>
  <si>
    <t>Vidutinis paslaugų gavėjų, kuriems nupirkta pavėžėjimo paslauga, skaičius per mėnesį</t>
  </si>
  <si>
    <t>15</t>
  </si>
  <si>
    <t>13</t>
  </si>
  <si>
    <t>012-02-01-05</t>
  </si>
  <si>
    <t>Projekto „Integralios pagalbos teikimas ir plėtra Lietuvos savivaldybėse“ įgyvendinimas</t>
  </si>
  <si>
    <t>Asmenų su sunkia negalia, kuriems teikiamos socialinės globos paslaugos, skaičius</t>
  </si>
  <si>
    <t>75</t>
  </si>
  <si>
    <t>105</t>
  </si>
  <si>
    <t>012-02-01-06</t>
  </si>
  <si>
    <t>BĮ Socialinių paslaugų centre „Klaipėdos lakštutė“</t>
  </si>
  <si>
    <t>SGD          Socialinių paslaugų skyrius, BĮ Socialinių paslaugų centras „Klaipėdos lakštutė“</t>
  </si>
  <si>
    <t>Vidutinis dienos socialinės globos paslaugos asmens namuose gavėjų skaičius per mėn.</t>
  </si>
  <si>
    <t>65</t>
  </si>
  <si>
    <t>Įsigytas keltuvas asmenims su negalia, vnt.</t>
  </si>
  <si>
    <t>Kiti šaltiniai (Kiti finansavimo šaltiniai)</t>
  </si>
  <si>
    <t>012-02-01-07</t>
  </si>
  <si>
    <t>BĮ Klaipėdos miesto šeimos ir vaiko gerovės centre</t>
  </si>
  <si>
    <t>SGD          Socialinių paslaugų skyrius, BĮ Šeimos ir vaiko gerovės centras</t>
  </si>
  <si>
    <t>Vidutinis suteiktų socialinės priežiūros paslaugų šeimoms skaičius per mėn.</t>
  </si>
  <si>
    <t xml:space="preserve">Vietų skaičius intensyvios krizių įveikimo pagalbos paslaugai gauti </t>
  </si>
  <si>
    <t>5</t>
  </si>
  <si>
    <t>2/8</t>
  </si>
  <si>
    <t>2</t>
  </si>
  <si>
    <t>Organizuota globėjų (rūpintojų) mokymų skaičius</t>
  </si>
  <si>
    <t>8</t>
  </si>
  <si>
    <t>Vidutinis psichosocialinės pagalbos paslaugų gavėjų skaičius per mėn.</t>
  </si>
  <si>
    <t>330</t>
  </si>
  <si>
    <t>310</t>
  </si>
  <si>
    <t>320</t>
  </si>
  <si>
    <t>Įgyvendinamos kovos su prekyba žmonėmis viešinimo ir prevencinės priemonės, vnt.</t>
  </si>
  <si>
    <t>Įgyvendinamos smurto artimoje aplinkoje viešinimo ir prevencinės priemonės, vnt.</t>
  </si>
  <si>
    <t>10</t>
  </si>
  <si>
    <t>Nuomojamos patalpos, mėn.</t>
  </si>
  <si>
    <t>6</t>
  </si>
  <si>
    <t>83</t>
  </si>
  <si>
    <t>263</t>
  </si>
  <si>
    <t>Įsigyta buitinė technika, vnt.</t>
  </si>
  <si>
    <t>38</t>
  </si>
  <si>
    <t>012-02-01-08</t>
  </si>
  <si>
    <t>Projekto „Paslaugų, skatinančių ir efektyviai palaikančių globą šeimos aplinkoje, vystymas“ įgyvendinimas</t>
  </si>
  <si>
    <t>Pareigybių, iš dalies finansuojamų projekto lėšomis, skaičius</t>
  </si>
  <si>
    <t>0</t>
  </si>
  <si>
    <t>012-02-01-09</t>
  </si>
  <si>
    <t>BĮ Klaipėdos miesto nakvynės namuose</t>
  </si>
  <si>
    <t>SGD          Socialinių paslaugų skyrius, BĮ Klaipėdos miesto nakvynės namai</t>
  </si>
  <si>
    <t>167</t>
  </si>
  <si>
    <t>Padalinių, kuriuose taikoma fizinės apsaugos paslauga, skaičius</t>
  </si>
  <si>
    <t>Tarpininkavimo, atstovavimo, informavimo paslaugų teikimas asmenims, po apgyvendinimo paslaugų nutraukimo, pradėjus gyventi savarankiškai, skaičius</t>
  </si>
  <si>
    <t>Įsigyti metaliniai stalai virtuvei (Viršutinės g. 21), vnt.</t>
  </si>
  <si>
    <t>012-02-01-10</t>
  </si>
  <si>
    <t>BĮ Klaipėdos socialinių paslaugų centre „Danė“</t>
  </si>
  <si>
    <t>SGD          Socialinių paslaugų skyrius, BĮ Klaipėdos socialinių paslaugų centras „Danė“</t>
  </si>
  <si>
    <t>Paslaugas gavusių asmenų skaičius</t>
  </si>
  <si>
    <t>76</t>
  </si>
  <si>
    <t xml:space="preserve">Vidutinis dienos socialinės globos paslaugos senyvo amžiaus ir suaugusiems asmenims su negalia įstaigoje gavėjų skaičius </t>
  </si>
  <si>
    <t>Vaikų, gaunančių trumpalaikės ir ilgalaikės globos paslaugas, skaičius</t>
  </si>
  <si>
    <t>11</t>
  </si>
  <si>
    <t>Pakeistos durys vaikų padalinyje, vnt.</t>
  </si>
  <si>
    <t>Įrengtas generatoriaus įvadas, vnt.</t>
  </si>
  <si>
    <t>012-02-01-11</t>
  </si>
  <si>
    <t>BĮ Klaipėdos socialinių paslaugų centre „Rytas“</t>
  </si>
  <si>
    <t>SGD          Socialinių paslaugų skyrius, BĮ Klaipėdos socialinių paslaugų centras „Rytas“</t>
  </si>
  <si>
    <t>Planinis vaikų skaičius</t>
  </si>
  <si>
    <t>64</t>
  </si>
  <si>
    <t>Įsigyta inventoriaus, vnt.</t>
  </si>
  <si>
    <t>Suaugusių asmenų su negalia ir sulaukusių pilnametystės asmenų (iki 24 m.), kuriems buvo teikta socialinė globa (rūpyba), apgyvendinimas apsaugotame būste ar savarankiško gyvenimo namuose, skaičius</t>
  </si>
  <si>
    <t>Vaikų, išvykstančių iš vaikų socialinės globos įstaigos, palydėjimas į savarankišką gyvenimą, skaičius</t>
  </si>
  <si>
    <t>35</t>
  </si>
  <si>
    <t>30</t>
  </si>
  <si>
    <t>Išnuomota butų palydėjimo paslaugai su apgyvendinimu teikti sulaukusiems pilnametystės asmenims (iki 24 m.), kuriems buvo teikta socialinė globa (rūpyba), vnt.</t>
  </si>
  <si>
    <t>Įrengtas apsaugotas būstas, vnt.</t>
  </si>
  <si>
    <t>Apsaugotame būste apgyvendintų asmenų skaičius</t>
  </si>
  <si>
    <t>36</t>
  </si>
  <si>
    <t>012-02-01-12</t>
  </si>
  <si>
    <t>AD
 Kibernetinio saugumo ir IT skyrius</t>
  </si>
  <si>
    <t>Programinės įrangos naudotojų skaičius</t>
  </si>
  <si>
    <t>207</t>
  </si>
  <si>
    <t>012-02-01-13</t>
  </si>
  <si>
    <t>Komunalinių paslaugų įsigijimas</t>
  </si>
  <si>
    <t>MVPD          Statinių administravimo skyrius</t>
  </si>
  <si>
    <t xml:space="preserve">Šîldomų įstaigų, skaičius  </t>
  </si>
  <si>
    <t>Tvarkoma paviršinių (lietaus) nuotekų, įstaigų skaičius</t>
  </si>
  <si>
    <t>Tvarkomas centralizuotas vandentiekis ir kanalizacija, įstaigų skaičius</t>
  </si>
  <si>
    <t>Įstaigų, kurioms elektros energija įsigyjama centralizuotai, skaičius</t>
  </si>
  <si>
    <t>012-02-01-14</t>
  </si>
  <si>
    <t>Klaipėdos biudžetinių socialinių paslaugų įstaigų aprūpinimas kompiuteriais ir programine įranga</t>
  </si>
  <si>
    <t>AD          Kibernetinio saugumo ir IT skyrius</t>
  </si>
  <si>
    <t>Įsigyta kompiuterių su programine įranga, vnt.</t>
  </si>
  <si>
    <t>Įsigyta monitorių, vnt.</t>
  </si>
  <si>
    <t>Įsigyta kompiuterių, vnt.</t>
  </si>
  <si>
    <t>Įsigyta licencijų, vnt.</t>
  </si>
  <si>
    <t>012-02-01-15</t>
  </si>
  <si>
    <t>Specialistų pritraukimas ir išlaikymas socialinių paslaugų įstaigose</t>
  </si>
  <si>
    <t>SGD          Socialinių paslaugų skyrius, BĮ Klaipėdos miesto globos namai, BĮ Šeimos ir vaiko gerovės centras, BĮ Klaipėdos miesto nakvynės namai, BĮ Klaipėdos socialinių paslaugų centras „Danė“, BĮ Klaipėdos socialinių paslaugų centras „Rytas“</t>
  </si>
  <si>
    <t>Pritraukta specialistų BĮ Klaipėdos miesto globos namuose, skaičius</t>
  </si>
  <si>
    <t>Išlaikoma specialistų BĮ Klaipėdos miesto globos namuose, skaičius</t>
  </si>
  <si>
    <t>Pritraukta specialistų BĮ Šeimos ir vaiko gerovės centre, skaičius</t>
  </si>
  <si>
    <t>Išlaikoma specialistų BĮ Šeimos ir vaiko gerovės centre, skaičius</t>
  </si>
  <si>
    <t>Išlaikoma specialistų BĮ Klaipėdos miesto nakvynės namuose, skaičius</t>
  </si>
  <si>
    <t>Išlaikoma specialistų BĮ Klaipėdos socialinių paslaugų centre „Danė“, skaičius</t>
  </si>
  <si>
    <t>Pritraukta specialistų BĮ Klaipėdos socialinių paslaugų centre „Rytas“, skaičius</t>
  </si>
  <si>
    <t>Išlaikoma specialistų BĮ Klaipėdos socialinių paslaugų centre „Rytas“, skaičius</t>
  </si>
  <si>
    <t>Pajamų įmokos ir kitos pajamos'</t>
  </si>
  <si>
    <t>Europos Sąjungos ir kitos tarptautinės finansinės paramos lėšos'</t>
  </si>
  <si>
    <t>Ankstesnių metų likučiai'</t>
  </si>
  <si>
    <t>Kiti šaltiniai (Kiti finansavimo šaltiniai)'</t>
  </si>
  <si>
    <t>012-02-02 (TP)</t>
  </si>
  <si>
    <t>Priemonė: Socialinės globos paslaugų teikimas ne savivaldybės institucijose</t>
  </si>
  <si>
    <t>012-02-02-01</t>
  </si>
  <si>
    <t xml:space="preserve">Socialinės globos paslaugų teikimas senyvo amžiaus asmenims ir asmenims su negalia </t>
  </si>
  <si>
    <t>Senyvo amžiaus asmenų bei asmenų su negalia, apgyvendintų globos institucijose per metus, skaičius</t>
  </si>
  <si>
    <t>149</t>
  </si>
  <si>
    <t>012-02-02-02</t>
  </si>
  <si>
    <t>Šeimynų veiklos organizavimas</t>
  </si>
  <si>
    <t>Vidutinis prižiūrimų vaikų skaičius per mėnesį</t>
  </si>
  <si>
    <t>P-2.4.1.2-2</t>
  </si>
  <si>
    <t>012-02-02-03</t>
  </si>
  <si>
    <t>Socialinės globos paslaugų teikimas vaikams</t>
  </si>
  <si>
    <t>Vaikų, apgyvendintų globos institucijose per metus, skaičius</t>
  </si>
  <si>
    <t>012-02-03 (TP)</t>
  </si>
  <si>
    <t>Priemonė: Dienos socialinės globos, trumpalaikės socialinės globos ir socialinės priežiūros paslaugų teikimo organizavimas miesto gyventojams ne savivaldybės institucijose</t>
  </si>
  <si>
    <t>012-02-03-01</t>
  </si>
  <si>
    <t>Dienos socialinės globos paslaugų teikimas asmenims su psichikos sveikatos sutrikimu dienos socialinės globos centre</t>
  </si>
  <si>
    <t xml:space="preserve">Dienos socialinę globą per mėn. gaunančių asmenų  su psichinės sveikatos negalia dienos socialinės globos centre skaičius </t>
  </si>
  <si>
    <t>012-02-03-02</t>
  </si>
  <si>
    <t>Dienos socialinės globos paslaugų teikimas vaikams su negalia dienos socialinės globos centre</t>
  </si>
  <si>
    <t>Dienos socialinę globą per mėn. gaunančių vaikų su negalia skaičius dienos socialinės globos centre</t>
  </si>
  <si>
    <t>012-02-03-03</t>
  </si>
  <si>
    <t>Vaikų dienos socialinės priežiūros paslaugos teikimas vaikų dienos centre</t>
  </si>
  <si>
    <t>Vidutiniškai per mėn. paslaugas gaunančių socialinę riziką patiriančių vaikų skaičius</t>
  </si>
  <si>
    <t>220</t>
  </si>
  <si>
    <t>225</t>
  </si>
  <si>
    <t>P-2.4.1.4-1</t>
  </si>
  <si>
    <t>012-02-03-04</t>
  </si>
  <si>
    <t>Pagalbos į namus paslaugos teikimas senyvo amžiaus asmenims ir suaugusiems asmenims su negalia</t>
  </si>
  <si>
    <t xml:space="preserve">Pagalbos į namus paslaugos gavėjų skaičius per mėnesį </t>
  </si>
  <si>
    <t>820</t>
  </si>
  <si>
    <t>743</t>
  </si>
  <si>
    <t>012-02-03-05</t>
  </si>
  <si>
    <t>Nemokamo maitinimo organizavimas labdaros valgykloje Klaipėdos mieste gyvenantiems asmenims, nepajėgiantiems maitintis savo namuose</t>
  </si>
  <si>
    <t>Vidutiniškai per dieną nemokamą maitinimą gaunančių asmenų skaičius</t>
  </si>
  <si>
    <t>012-02-03-06</t>
  </si>
  <si>
    <t>Psichosocialinės pagalbos teikimas asmenims (šeimoms), patiriantiems krizes</t>
  </si>
  <si>
    <t xml:space="preserve">Vidutinis asmenų (šeimų), patiriančių krizes, skaičius per mėn. </t>
  </si>
  <si>
    <t>14</t>
  </si>
  <si>
    <t>012-02-03-07</t>
  </si>
  <si>
    <t>012-02-03-08</t>
  </si>
  <si>
    <t>Dienos globos asmens namuose teikimas asmenims su negalia</t>
  </si>
  <si>
    <t>Paslaugos gavėjų skaičius per mėnesį</t>
  </si>
  <si>
    <t>391</t>
  </si>
  <si>
    <t>410</t>
  </si>
  <si>
    <t>012-02-03-09</t>
  </si>
  <si>
    <t>012-02-04 (TP)</t>
  </si>
  <si>
    <t>Priemonė: Socialinių projektų dalinis finansavimas</t>
  </si>
  <si>
    <t>012-02-04-01</t>
  </si>
  <si>
    <t>Nevyriausybinių organizacijų socialinių projektų dalinis finansavimas</t>
  </si>
  <si>
    <t>NVO projektų, gaunančių dalinį finansavimą iš savivaldybės biudžeto, skaičius</t>
  </si>
  <si>
    <t>012-02-04-02</t>
  </si>
  <si>
    <t>Ne savivaldybės įsteigtų įstaigų, teikiančių trumpalaikę ir (ar) ilgalaikę, ir (ar) dienos socialinės globos paslaugas senyvo amžiaus asmenims ir asmenims su negalia bei dienos socialinę globą asmenims su negalia institucijoje, projektų, skirtų socialinių paslaugų infrastruktūros gerinimui, dalinis finansavimas</t>
  </si>
  <si>
    <t>Iš dalies finansuota projektų, skaičius</t>
  </si>
  <si>
    <t>012-02-05 (TP)</t>
  </si>
  <si>
    <t>Priemonė: Būsto pritaikymas asmenims su negalia</t>
  </si>
  <si>
    <t>Pritaikyta butų asmenims su negalia, skaičius</t>
  </si>
  <si>
    <t>Įsigyta pakėlimo įrangos, skirtos asmenims su negalia, turintiems ryškų judėjimo sutrikimą, skaičius</t>
  </si>
  <si>
    <t>Prižiūrima eksploatuojamų keltuvų, vnt.</t>
  </si>
  <si>
    <t>012-02-06</t>
  </si>
  <si>
    <t>Priemonė: Socialinės srities renginių organizavimas</t>
  </si>
  <si>
    <t>012-02-06-01</t>
  </si>
  <si>
    <t>Renginio socialinių darbuotojų dienai paminėti organizavimas</t>
  </si>
  <si>
    <t>SGD               Socialinių paslaugų skyrius, BĮ Klaipėdos miesto savivaldybės kultūros centras Žvejų rūmai</t>
  </si>
  <si>
    <t>Suorganizuota renginių, vnt.</t>
  </si>
  <si>
    <t>012-02-06-02</t>
  </si>
  <si>
    <t>Renginio Tarptautinei asmenų su negalia dienai paminėti organizavimas</t>
  </si>
  <si>
    <t>012-02-06-03</t>
  </si>
  <si>
    <t>Renginių Socialinės atsakomybės metams paminėti organizavimas</t>
  </si>
  <si>
    <t>Suorganizuota šokių vakarų senjorams, vnt.</t>
  </si>
  <si>
    <t>Suorganizuota mėgėjų teatro trupės veikla su negalia turinčiais asmenimis, vnt.</t>
  </si>
  <si>
    <t>Suorganizuotas baigiamasis renginys, vnt.</t>
  </si>
  <si>
    <t>Priemonė: Renginio Tarptautinei asmenų su negalia dienai paminėti organizavimas</t>
  </si>
  <si>
    <t>012-02-07 (TP)</t>
  </si>
  <si>
    <t>Priemonė: Smurto artimoje aplinkoje prevencijos priemonių įgyvendinimas</t>
  </si>
  <si>
    <t>012-02-08</t>
  </si>
  <si>
    <t>Suorganizuota mokymų, vnt.</t>
  </si>
  <si>
    <t>Dalyvavusių asmenų skaičius</t>
  </si>
  <si>
    <t>012-02-09 (PP)</t>
  </si>
  <si>
    <t>Priemonė: Projekto „Perėjimas nuo institucinės globos prie bendruomeninių paslaugų Sostinės regione, Vidurio ir Vakarų Lietuvos regione“ įgyvendinimas</t>
  </si>
  <si>
    <t>Socialinių dirbtuvių skaičius</t>
  </si>
  <si>
    <t>Įsteigtos atvejo vadybininkų pareigybės, skaičius</t>
  </si>
  <si>
    <t>Priemonė: Projekto „Pabėgėlių iš Ukrainos priėmimas ir ankstyva integracija“ įgyvendinimas</t>
  </si>
  <si>
    <t xml:space="preserve">Paslaugas gavusių projekto dalyvių (trečiųjų valstybių piliečių) skaičius </t>
  </si>
  <si>
    <t>012-02-10</t>
  </si>
  <si>
    <t>Priemonė: Projekto „Alternatyvių investicijų detektorius (AID2)“ įgyvendinimas</t>
  </si>
  <si>
    <t xml:space="preserve">Iš laisvės atėmimo bausmės atlikimo vietų paleidžiamų (paleistų) asmenų, dalyvavusių veiklose, skaičius </t>
  </si>
  <si>
    <t>012-02-11</t>
  </si>
  <si>
    <t>Priemonė: Projekto „Benamystės skaičiavimas miestuose nustatytu momentu“ įgyvendinimas</t>
  </si>
  <si>
    <t>Sukurta standartizuota benamystės duomenų rinkimo metodika, vnt.</t>
  </si>
  <si>
    <t xml:space="preserve">Kiti šaltiniai </t>
  </si>
  <si>
    <t>012-02-12</t>
  </si>
  <si>
    <t>Priemonė: Projekto „Kelias į savarankiškumą: paslaugų teikimas užsienio kilmės gyventojams Klaipėdos mieste“ įgyvendinimas</t>
  </si>
  <si>
    <t>Užsienio kilmės Lietuvos gyventojų koordinatorius</t>
  </si>
  <si>
    <t>Unikalių dalyvių, gavusių integracijos paslaugas, skaičius</t>
  </si>
  <si>
    <t>Dalyvių, teigiančių, kad veikla buvo naudinga jų integracijai, skaičius</t>
  </si>
  <si>
    <t>012-02-13</t>
  </si>
  <si>
    <t>Priemonė: Projekto „Pagalba vaikams su negalia Vidurio ir Vakarų Lietuvos regione“ įgyvendinimas</t>
  </si>
  <si>
    <t>Vaikų su negalia, gavusių paslaugas, skaičius</t>
  </si>
  <si>
    <t>012-03 (P)</t>
  </si>
  <si>
    <t>Uždavinys: Plėtoti socialinių paslaugų infrastruktūrą, įrengiant naujus ir modernizuojant esamus socialines paslaugas teikiančių įstaigų pastatus, užtikrinti įstaigų ūkinį aptarnavimą</t>
  </si>
  <si>
    <t>Modernizuota ir (ar) įrengta naujų socialines paslaugas teikiančių įstaigų pastatų, vnt.</t>
  </si>
  <si>
    <t>012-03-01 (PP)</t>
  </si>
  <si>
    <t>Priemonė: Teikiamų socialinių paslaugų infrastruktūros tobulinimas siekiant atitikti keliamus reikalavimus</t>
  </si>
  <si>
    <t>012-03-01-01 (RP)</t>
  </si>
  <si>
    <t>Senyvo amžiaus asmenų globos paslaugų plėtra rekonstruojant pastatą, esantį Melnragės gyvenamajame rajone, Aušros g. 41</t>
  </si>
  <si>
    <t>Projektų finansavimo ir administravimo skyrius,
MVPD        Statybos skyrius</t>
  </si>
  <si>
    <t>Atlikta rangos darbų, proc.</t>
  </si>
  <si>
    <t>P-2.4.1.3-5</t>
  </si>
  <si>
    <t>Įsigyta baldų, įrangos, proc.</t>
  </si>
  <si>
    <t>Naujos arba modernizuotos socialinės rūpybos infrastruktūros (ne būsto) talpumas, asmenų skaičius</t>
  </si>
  <si>
    <t> </t>
  </si>
  <si>
    <t>Naujos arba modernizuotos socialinės rūpybos infrastruktūros naudotojų skaičius per metus</t>
  </si>
  <si>
    <t>012-03-01-02 (RP)</t>
  </si>
  <si>
    <t>Grupinio gyvenimo namų steigimas Klaipėdos mieste</t>
  </si>
  <si>
    <t>Paslaugų intelekto ir (ar) psichikos sveikatos negalią turintiems asmenims vietų skaičius naujoje ar modernizuotoje infrastruktūroje, skaičius</t>
  </si>
  <si>
    <t>Asmenų, turinčių intelekto ir (ar) psichikos sveikatos negalią, gavusių paslaugas naujoje ar modernizuotoje infrastruktūroje skaičius per metus</t>
  </si>
  <si>
    <t>Namas ES 1 (Vilkijos g. 1)</t>
  </si>
  <si>
    <t xml:space="preserve">Projektų finansavimo ir administravimo skyrius,
MVPD Statybos skyrius
</t>
  </si>
  <si>
    <t>Parengtas techninis projektas (Vilkijos g. 1), vnt.</t>
  </si>
  <si>
    <t>P-2.4.1.5-3</t>
  </si>
  <si>
    <t>Atlikta rangos darbų (Vilkijos g. 1), proc.</t>
  </si>
  <si>
    <t>Įsigyta baldų (Vilkijos g. 1), proc.</t>
  </si>
  <si>
    <t>Namas ES 2 (Vilkijos g. 17)</t>
  </si>
  <si>
    <t>MVPD        Projektavimo skyrius</t>
  </si>
  <si>
    <t>Parengtas techninis projektas (Vilkijos g. 17), vnt.</t>
  </si>
  <si>
    <t>Atlikta rangos darbų (Vilkijos g. 17), proc.</t>
  </si>
  <si>
    <t>Įsigyta baldų (Vilkijos g. 17), proc.</t>
  </si>
  <si>
    <t>Namas ES 3 (Kaštonų g. 7)</t>
  </si>
  <si>
    <t>Parengtas techninis projektas (Kaštonų g. 7), vnt.</t>
  </si>
  <si>
    <t>Atlikta rangos darbų (Kaštonų g. 7), proc.</t>
  </si>
  <si>
    <t>Įsigyta baldų (Kaštonų g. 7), proc.</t>
  </si>
  <si>
    <t>Namas ES 4 (Užlaukio g. 51)</t>
  </si>
  <si>
    <t>Parengtas techninis projektas (Užlaukio g. 51), vnt.</t>
  </si>
  <si>
    <t>Atlikta rangos darbų (Užlaukio g. 51), proc.</t>
  </si>
  <si>
    <t>Įsigyta baldų (Užlaukio g. 51), proc.</t>
  </si>
  <si>
    <t>Namas SB 1</t>
  </si>
  <si>
    <t>Namas SB 2</t>
  </si>
  <si>
    <t>Namas SB 3</t>
  </si>
  <si>
    <t>012-03-01-03 (RP)</t>
  </si>
  <si>
    <t>Savarankiško gyvenimo namų ir apsaugoto būsto įkūrimas Klaipėdos mieste</t>
  </si>
  <si>
    <t>Projektų finansavimo ir administravimo skyrius,
Turto valdymo skyrius</t>
  </si>
  <si>
    <t>Įsigytas trivietis butas, vnt.</t>
  </si>
  <si>
    <t>Įsigytas keturvietis butas, vnt.</t>
  </si>
  <si>
    <t>Įsigyta vienviečių butų, vnt.</t>
  </si>
  <si>
    <t>Įsigyta dviviečių butų, vnt.</t>
  </si>
  <si>
    <t>Asmenų, turinčių intelekto ir (ar) psichikos sveikatos negalią, gavusių paslaugas naujoje ar modernizuotoje infrastruktūroje, skaičius per metus</t>
  </si>
  <si>
    <t>012-03-01-04 (RP)</t>
  </si>
  <si>
    <t>Laikino atokvėpio paslaugų plėtra Klaipėdos miesto savivaldybėje (Debreceno g. 48)</t>
  </si>
  <si>
    <t>Projektų finansavimo ir administravimo skyrius,
MVPD Statybos skyrius</t>
  </si>
  <si>
    <t>Įsigyta baldų ir įrangos, proc.</t>
  </si>
  <si>
    <r>
      <t>Paslaugų socialiai pažeidžiamiems, socialinę riziką (atskirtį) patiriantiems asmenims vietų skaičius naujoje ar modernizuotoje infrastruktūroje</t>
    </r>
    <r>
      <rPr>
        <sz val="10"/>
        <color rgb="FFFF0000"/>
        <rFont val="Times New Roman"/>
        <family val="1"/>
        <charset val="186"/>
      </rPr>
      <t xml:space="preserve"> </t>
    </r>
  </si>
  <si>
    <t>Asmenų, turinčių intelekto ir (ar) psichikos sveikatos  negalią, gavusių paslaugas naujoje ar modernizuotoje infrastruktūroje, skaičius per metus</t>
  </si>
  <si>
    <t xml:space="preserve">012-03-01-05
</t>
  </si>
  <si>
    <t>Pastato Smiltelės g. 14, Klaipėda, kapitalinis remontas</t>
  </si>
  <si>
    <t xml:space="preserve">MVPD        Statybos skyrius
</t>
  </si>
  <si>
    <t>Skolintos lėšos</t>
  </si>
  <si>
    <t>012-03-01-06</t>
  </si>
  <si>
    <t>Pastato Debreceno g. 48, Klaipėda, remontas</t>
  </si>
  <si>
    <t>MVPD        Statybos skyrius</t>
  </si>
  <si>
    <t>Skolintos lėšos'</t>
  </si>
  <si>
    <t>012-03-02 (TP)</t>
  </si>
  <si>
    <t>Priemonė: Socialinių paslaugų įstaigų remontas</t>
  </si>
  <si>
    <t>012-03-02-01</t>
  </si>
  <si>
    <t>BĮ Klaipėdos miesto šeimos ir vaiko gerovės centro remonto darbai</t>
  </si>
  <si>
    <t>Atliktas pagalbos moterims padalinio kosmetinis remontas (Taikos pr. 76A), proc.</t>
  </si>
  <si>
    <t>Atlikta techninio projekto ekspertizė, vnt.</t>
  </si>
  <si>
    <t>Pritaikytos patalpos Darbo su globėjais (rūpintojais) ir įtėviais skyriaus veiklai Taikos pr. 33-26, proc.</t>
  </si>
  <si>
    <t>Įrengta apsaugos sistema Taikos pr. 33-26, proc.</t>
  </si>
  <si>
    <t>Atliktos statinio projekto (pastato Debreceno g. 48 remonto) vykdymo priežiūros paslaugos, proc.</t>
  </si>
  <si>
    <t>BĮ Klaipėdos socialinių paslaugų centro „Danė“ infrastruktūros plėtra</t>
  </si>
  <si>
    <t>Įrengtos patalpos užimtumui ir techniniam personalui, vnt.</t>
  </si>
  <si>
    <t>012-03-02-02</t>
  </si>
  <si>
    <t>BĮ Klaipėdos miesto globos namų remonto darbai</t>
  </si>
  <si>
    <t>Atliktas vidinio kiemo remontas, proc.</t>
  </si>
  <si>
    <t>Atliktas vamzdynų ir sanitarinių patalpų remontas, proc.</t>
  </si>
  <si>
    <t>012-03-02-03</t>
  </si>
  <si>
    <t>BĮ Klaipėdos socialinių paslaugų centro „Rytas“ remonto darbai</t>
  </si>
  <si>
    <t>Stoglangių keitimas bendruomeniniuose vaikų globos namuose, pastatų sk.</t>
  </si>
  <si>
    <t>Atliktas administracinių patalpų remontas, proc.</t>
  </si>
  <si>
    <t>Atlikti terasos remonto darbai (Rumpiškės g. 31-9), proc.</t>
  </si>
  <si>
    <t>Atliktas šeiminių namų (Vingio g. 23D) sienų, lubų remontas, pakeistos durys, proc.</t>
  </si>
  <si>
    <t>Atliktas šeiminių namų (Naujojo Uosto g. 10A-2) sienų, lubų, grindų remontas, pakeistos durys, proc.</t>
  </si>
  <si>
    <t>Atliktas šeiminių namų (Šaulių g. 7-14) sienų, lubų, grindų remontas, įrengta apsauginė tvorelė, proc.</t>
  </si>
  <si>
    <t>012-03-02-04</t>
  </si>
  <si>
    <t>BĮ Socialinių paslaugų centro „Klaipėdos lakštutė“ remonto darbai</t>
  </si>
  <si>
    <t>Atlikti stogo dangos keitimo darbai (Lakštučių g. 6), proc.</t>
  </si>
  <si>
    <t>Atlikti sporto aikštelės (Lakštučių g. 6) remonto darbai, proc.</t>
  </si>
  <si>
    <t>012-04 (T)</t>
  </si>
  <si>
    <t xml:space="preserve">Uždavinys: Užtikrinti Klaipėdos miesto socialinio būsto fondo plėtrą ir valstybės politikos, padedančios apsirūpinti būstu, įgyvendinimą </t>
  </si>
  <si>
    <t>Vidutinis laukimo socialinio būsto nuomos sąrašuose laikas (nuo įtraukimo į sąrašą iki nuomos sutarties pasirašymo), metai</t>
  </si>
  <si>
    <t>R-2.4.1-3</t>
  </si>
  <si>
    <t>Sutrumpėjęs laukimo socialinio būsto eilėje laikas, proc.</t>
  </si>
  <si>
    <t>012-04-01 (PP)</t>
  </si>
  <si>
    <t>Priemonė: Socialinio būsto fondo plėtra</t>
  </si>
  <si>
    <t>012-04-01-01 (RP)</t>
  </si>
  <si>
    <t xml:space="preserve">Socialinio būsto plėtra Klaipėdos miesto savivaldybėje </t>
  </si>
  <si>
    <t>P-2.4.1.7-3</t>
  </si>
  <si>
    <t>Naujų arba modernizuotų socialinių būstų talpumas</t>
  </si>
  <si>
    <t>Naujų arba modernizuotų socialinių būstų naudotojų skaičius per metus</t>
  </si>
  <si>
    <t>012-04-01-02</t>
  </si>
  <si>
    <t>Socialinių būstų pirkimas</t>
  </si>
  <si>
    <t>Turto valdymo skyrius</t>
  </si>
  <si>
    <t>Nupirkta butų, vnt.</t>
  </si>
  <si>
    <t>012-04-02 (TP)</t>
  </si>
  <si>
    <t>Priemonė: Savivaldybės gyvenamųjų patalpų tinkamos fizinės būklės užtikrinimas ir nuomos administravimas</t>
  </si>
  <si>
    <t>012-04-02-01</t>
  </si>
  <si>
    <t xml:space="preserve">Savivaldybės gyvenamųjų patalpų techninės būklės vertinimas ir remontas </t>
  </si>
  <si>
    <t>SGD 
Savivaldybės būsto skyrius</t>
  </si>
  <si>
    <t>Suremontuotų butų skaičius</t>
  </si>
  <si>
    <t>33</t>
  </si>
  <si>
    <t>P-2.4.1.7-2</t>
  </si>
  <si>
    <t>012-04-02-02</t>
  </si>
  <si>
    <t>Apmokėjimas savivaldybei tenkančia dalimi už daugiabučių namų bendrosios  nuosavybės objektų atnaujinimą ir renovaciją bei lėšų kaupimą</t>
  </si>
  <si>
    <t>Daugiabučių namų, kurių atnaujinimo darbai vykdomi, skaičius</t>
  </si>
  <si>
    <t>280</t>
  </si>
  <si>
    <t>290</t>
  </si>
  <si>
    <t>012-04-02-03</t>
  </si>
  <si>
    <t>Rezervo naudojimas nenumatytiems darbams apmokėti ir avarinėms situacijoms likviduoti</t>
  </si>
  <si>
    <t>Savivaldybės butų, kuriuose pašalintos avarijų grėsmės ar padariniai, skaičius</t>
  </si>
  <si>
    <t>25</t>
  </si>
  <si>
    <t>23</t>
  </si>
  <si>
    <t>012-04-02-04</t>
  </si>
  <si>
    <t>Savivaldybės gyvenamųjų patalpų nuomos administravimas</t>
  </si>
  <si>
    <t xml:space="preserve">Surinkta  nuomos mokesčio  proc. nuo priskaičiuoto </t>
  </si>
  <si>
    <t>95</t>
  </si>
  <si>
    <t>012-04-02-05</t>
  </si>
  <si>
    <t>Savininkams grąžintų nuomotų patalpų vertės įskaičiavimas į nuompinigius</t>
  </si>
  <si>
    <t>Nuomininkų pasirinktos valstybės garantijos įvykdymo terminas, mėnesiai</t>
  </si>
  <si>
    <t>012-04-02-06</t>
  </si>
  <si>
    <t>Apmokėjimas už daugiabučių namų bendrųjų objektų administravimą ir nuolatinę techninę priežiūrą</t>
  </si>
  <si>
    <t>Užtikrintas privalomojo gyvenamųjų namų naudojimo ir priežiūros reikalavimų įgyvendinimas, proc.</t>
  </si>
  <si>
    <t>Kiti šaltiniai (valstybės biudžeto lėšos)'</t>
  </si>
  <si>
    <t xml:space="preserve">IŠ VISO programai finansuoti pagal finansavimo šaltinius </t>
  </si>
  <si>
    <t>Iš jų: regioninių pažangos priemonių lėšos</t>
  </si>
  <si>
    <t>Asignavimų ir kitų lėšų pokytis, palyginti su ankstesnių metų patvirtintų asignavimų ir kitų lėšų planu</t>
  </si>
  <si>
    <t xml:space="preserve">T – tęstinės veiklos uždavinys. </t>
  </si>
  <si>
    <t>P – pažangos uždavinys.</t>
  </si>
  <si>
    <t>TP – tęstinės veiklos priemonė.</t>
  </si>
  <si>
    <t>PP – pažangos priemonė.</t>
  </si>
  <si>
    <t>RP – regioninė pažangos priemonė.</t>
  </si>
  <si>
    <t>SGD – Socialinės gerovės departamentas.</t>
  </si>
  <si>
    <t>ŠSD – Švietimo ir sveikatos departamentas.</t>
  </si>
  <si>
    <t>MVPD – Miesto vystymo ir priežiūros departamentas.</t>
  </si>
  <si>
    <t>AD – Administravimo departamentas.</t>
  </si>
  <si>
    <t>2 lentelė.  2025–2028 metų asignavimų ir kitų lėšų pasiskirstymas (tūkst. Eur)</t>
  </si>
  <si>
    <t>Eil. Nr.</t>
  </si>
  <si>
    <t>Programos kodas ir pavadinimas</t>
  </si>
  <si>
    <t>2025 m. asignavimai ir kitos lėšos</t>
  </si>
  <si>
    <t>012 Socialinės atskirties mažinimo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</si>
  <si>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</si>
  <si>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</si>
  <si>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</si>
  <si>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</si>
  <si>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</si>
  <si>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</si>
  <si>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</si>
  <si>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</si>
  <si>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</si>
  <si>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</si>
  <si>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</si>
  <si>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</si>
  <si>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</si>
  <si>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</si>
  <si>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</si>
  <si>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</si>
  <si>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</si>
  <si>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</si>
  <si>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</si>
  <si>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</si>
  <si>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</si>
  <si>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</si>
  <si>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</si>
  <si>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</si>
  <si>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</si>
  <si>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</si>
  <si>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</si>
  <si>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Suteikta pagalbos į namus paslaugų, asmenų skaičius</t>
  </si>
  <si>
    <t>Išduota techninės pagalbos priemonių, vnt.</t>
  </si>
  <si>
    <t xml:space="preserve">Vidutinis dienos socialinės globos paslaugos įstaigoje gavėjų skaičius </t>
  </si>
  <si>
    <t>Organizuota tėvystės įgūdžių mokymų skaičius</t>
  </si>
  <si>
    <t>Dienos socialinės globos asmens namuose ir pagalbos į namus veiklos procesų administravimas</t>
  </si>
  <si>
    <t>Intensyvios krizių įveikimo pagalbos ar (ir) psichosocialinės pagalbos teikimas smurtą patyrusiems asmenims ir smurtautojams ar socialinę riziką patiriantiems asmenims</t>
  </si>
  <si>
    <t>Apgyvendinimas apsaugotame būste, savarankiško gyvenimo namuose</t>
  </si>
  <si>
    <t>Asmenų, apgyvendintų apsaugotame būste, savarankiško gyvenimo namuose per metus, skaičius</t>
  </si>
  <si>
    <t>Priemonė: Smurtinio elgesio keitimo programos įgyvendinimas</t>
  </si>
  <si>
    <t xml:space="preserve"> Projektų finansavimo ir administravimo skyrius,
   MVPD        Projektavimo skyrius, 
MVPD Statybos skyrius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</si>
</sst>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General"/>
    <numFmt numFmtId="166" formatCode="0.0"/>
    <numFmt numFmtId="167" formatCode="[$-409]0.00"/>
  </numFmts>
  <fonts count="32"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b/>
      <sz val="10"/>
      <color theme="1"/>
      <name val="Times New Roman"/>
      <family val="1"/>
      <charset val="186"/>
    </font>
    <font>
      <sz val="10"/>
      <name val="Times New Roman"/>
      <family val="1"/>
      <charset val="186"/>
    </font>
    <font>
      <i/>
      <sz val="10"/>
      <color theme="1"/>
      <name val="Times New Roman"/>
      <family val="1"/>
      <charset val="186"/>
    </font>
    <font>
      <b/>
      <sz val="12"/>
      <name val="Times New Roman"/>
      <family val="1"/>
      <charset val="186"/>
    </font>
    <font>
      <sz val="8"/>
      <name val="Times New Roman"/>
      <family val="1"/>
      <charset val="186"/>
    </font>
    <font>
      <i/>
      <sz val="10"/>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b/>
      <sz val="9"/>
      <color theme="1"/>
      <name val="Times New Roman"/>
      <family val="1"/>
      <charset val="186"/>
    </font>
    <font>
      <b/>
      <sz val="10"/>
      <color rgb="FF000000"/>
      <name val="Times New Roman"/>
      <family val="1"/>
      <charset val="186"/>
    </font>
    <font>
      <b/>
      <sz val="10"/>
      <name val="Times New Roman"/>
      <family val="1"/>
    </font>
    <font>
      <sz val="12"/>
      <color theme="1"/>
      <name val="Times New Roman"/>
      <family val="1"/>
      <charset val="186"/>
    </font>
    <font>
      <sz val="10"/>
      <color rgb="FF000000"/>
      <name val="Times New Roman"/>
    </font>
    <font>
      <b/>
      <sz val="10"/>
      <color rgb="FF000000"/>
      <name val="Times New Roman"/>
    </font>
    <font>
      <sz val="10"/>
      <color theme="1"/>
      <name val="Times New Roman"/>
      <family val="1"/>
    </font>
    <font>
      <sz val="10"/>
      <name val="Times New Roman"/>
      <family val="1"/>
    </font>
    <font>
      <sz val="10"/>
      <color rgb="FF000000"/>
      <name val="Times New Roman"/>
      <family val="1"/>
    </font>
    <font>
      <sz val="10"/>
      <color theme="1"/>
      <name val="Times New Roman"/>
    </font>
    <font>
      <i/>
      <sz val="10"/>
      <color rgb="FF000000"/>
      <name val="Times New Roman"/>
      <family val="1"/>
    </font>
    <font>
      <b/>
      <i/>
      <sz val="10"/>
      <color theme="1"/>
      <name val="Times New Roman"/>
      <family val="1"/>
      <charset val="186"/>
    </font>
    <font>
      <b/>
      <i/>
      <sz val="10"/>
      <color theme="1"/>
      <name val="Times New Roman"/>
      <family val="1"/>
    </font>
    <font>
      <b/>
      <sz val="10"/>
      <color rgb="FF000000"/>
      <name val="Times New Roman"/>
      <family val="1"/>
    </font>
    <font>
      <sz val="8"/>
      <color rgb="FF000000"/>
      <name val="Times New Roman"/>
      <family val="1"/>
      <charset val="186"/>
    </font>
    <font>
      <sz val="10"/>
      <color rgb="FFFF0000"/>
      <name val="Times New Roman"/>
      <family val="1"/>
      <charset val="186"/>
    </font>
    <font>
      <sz val="10"/>
      <name val="Times New Roman"/>
    </font>
    <font>
      <sz val="12"/>
      <color rgb="FF000000"/>
      <name val="Calibri"/>
      <family val="2"/>
      <charset val="186"/>
    </font>
  </fonts>
  <fills count="17">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000000"/>
      </patternFill>
    </fill>
    <fill>
      <patternFill patternType="solid">
        <fgColor rgb="FFFFFFFF"/>
        <bgColor rgb="FF000000"/>
      </patternFill>
    </fill>
    <fill>
      <patternFill patternType="solid">
        <fgColor rgb="FFDDEBF7"/>
        <bgColor rgb="FF000000"/>
      </patternFill>
    </fill>
    <fill>
      <patternFill patternType="solid">
        <fgColor theme="0"/>
        <bgColor rgb="FF000000"/>
      </patternFill>
    </fill>
    <fill>
      <patternFill patternType="solid">
        <fgColor rgb="FFFFCCFF"/>
        <bgColor indexed="64"/>
      </patternFill>
    </fill>
    <fill>
      <patternFill patternType="solid">
        <fgColor theme="0"/>
        <bgColor rgb="FFDBDBDB"/>
      </patternFill>
    </fill>
    <fill>
      <patternFill patternType="solid">
        <fgColor theme="8" tint="0.79998168889431442"/>
        <bgColor rgb="FF000000"/>
      </patternFill>
    </fill>
    <fill>
      <patternFill patternType="solid">
        <fgColor rgb="FFFFCCFF"/>
        <bgColor rgb="FF000000"/>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style="thin">
        <color indexed="64"/>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rgb="FF000000"/>
      </bottom>
      <diagonal/>
    </border>
    <border>
      <left/>
      <right/>
      <top/>
      <bottom style="thin">
        <color indexed="64"/>
      </bottom>
      <diagonal/>
    </border>
    <border>
      <left style="thin">
        <color indexed="64"/>
      </left>
      <right style="thin">
        <color indexed="64"/>
      </right>
      <top style="hair">
        <color indexed="64"/>
      </top>
      <bottom/>
      <diagonal/>
    </border>
    <border>
      <left style="thin">
        <color rgb="FF000000"/>
      </left>
      <right/>
      <top/>
      <bottom/>
      <diagonal/>
    </border>
    <border>
      <left/>
      <right style="thin">
        <color indexed="64"/>
      </right>
      <top/>
      <bottom/>
      <diagonal/>
    </border>
    <border>
      <left style="thin">
        <color indexed="64"/>
      </left>
      <right/>
      <top style="thin">
        <color rgb="FF000000"/>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rgb="FF000000"/>
      </right>
      <top style="thin">
        <color rgb="FF000000"/>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rgb="FF000000"/>
      </left>
      <right/>
      <top style="thin">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style="thin">
        <color indexed="64"/>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rgb="FF000000"/>
      </top>
      <bottom style="thin">
        <color rgb="FF000000"/>
      </bottom>
      <diagonal/>
    </border>
    <border>
      <left style="medium">
        <color indexed="64"/>
      </left>
      <right style="thin">
        <color indexed="64"/>
      </right>
      <top style="thin">
        <color rgb="FF000000"/>
      </top>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thin">
        <color rgb="FF000000"/>
      </top>
      <bottom style="thin">
        <color indexed="64"/>
      </bottom>
      <diagonal/>
    </border>
    <border>
      <left/>
      <right style="medium">
        <color indexed="64"/>
      </right>
      <top style="thin">
        <color indexed="64"/>
      </top>
      <bottom style="thin">
        <color rgb="FF000000"/>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rgb="FF000000"/>
      </right>
      <top/>
      <bottom/>
      <diagonal/>
    </border>
    <border>
      <left style="thin">
        <color rgb="FF000000"/>
      </left>
      <right style="medium">
        <color indexed="64"/>
      </right>
      <top style="thin">
        <color rgb="FF000000"/>
      </top>
      <bottom/>
      <diagonal/>
    </border>
    <border>
      <left/>
      <right style="thin">
        <color indexed="64"/>
      </right>
      <top style="medium">
        <color indexed="64"/>
      </top>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style="medium">
        <color indexed="64"/>
      </top>
      <bottom style="thin">
        <color rgb="FF000000"/>
      </bottom>
      <diagonal/>
    </border>
    <border>
      <left style="thin">
        <color indexed="64"/>
      </left>
      <right style="thin">
        <color rgb="FF000000"/>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style="thin">
        <color rgb="FF000000"/>
      </right>
      <top style="medium">
        <color indexed="64"/>
      </top>
      <bottom/>
      <diagonal/>
    </border>
    <border>
      <left/>
      <right style="thin">
        <color indexed="64"/>
      </right>
      <top style="thin">
        <color indexed="64"/>
      </top>
      <bottom style="medium">
        <color indexed="64"/>
      </bottom>
      <diagonal/>
    </border>
    <border>
      <left style="thin">
        <color rgb="FF000000"/>
      </left>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indexed="64"/>
      </right>
      <top style="medium">
        <color indexed="64"/>
      </top>
      <bottom style="medium">
        <color indexed="64"/>
      </bottom>
      <diagonal/>
    </border>
    <border>
      <left style="thin">
        <color rgb="FF000000"/>
      </left>
      <right style="thin">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rgb="FF000000"/>
      </left>
      <right style="thin">
        <color indexed="64"/>
      </right>
      <top/>
      <bottom style="medium">
        <color indexed="64"/>
      </bottom>
      <diagonal/>
    </border>
    <border>
      <left style="thin">
        <color rgb="FF000000"/>
      </left>
      <right style="thin">
        <color rgb="FF000000"/>
      </right>
      <top style="medium">
        <color indexed="64"/>
      </top>
      <bottom/>
      <diagonal/>
    </border>
  </borders>
  <cellStyleXfs count="2">
    <xf numFmtId="0" fontId="0" fillId="0" borderId="0"/>
    <xf numFmtId="165" fontId="3" fillId="0" borderId="0" applyBorder="0" applyProtection="0"/>
  </cellStyleXfs>
  <cellXfs count="1136">
    <xf numFmtId="0" fontId="0" fillId="0" borderId="0" xfId="0"/>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164" fontId="4"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164" fontId="5" fillId="0" borderId="1" xfId="0" applyNumberFormat="1" applyFont="1" applyBorder="1" applyAlignment="1">
      <alignment horizontal="center" vertical="top" wrapText="1"/>
    </xf>
    <xf numFmtId="0" fontId="1" fillId="0" borderId="0" xfId="0" applyFont="1" applyAlignment="1">
      <alignment vertical="top"/>
    </xf>
    <xf numFmtId="0" fontId="1" fillId="0" borderId="0" xfId="0" applyFont="1" applyAlignment="1">
      <alignment horizontal="center" vertical="top"/>
    </xf>
    <xf numFmtId="0" fontId="2" fillId="0" borderId="1" xfId="0" applyFont="1" applyBorder="1" applyAlignment="1">
      <alignment vertical="top" wrapText="1"/>
    </xf>
    <xf numFmtId="164" fontId="5" fillId="0" borderId="1" xfId="0" applyNumberFormat="1" applyFont="1" applyBorder="1" applyAlignment="1">
      <alignment vertical="top" wrapText="1"/>
    </xf>
    <xf numFmtId="0" fontId="5" fillId="8" borderId="1" xfId="0" applyFont="1" applyFill="1" applyBorder="1" applyAlignment="1">
      <alignment vertical="top" wrapText="1"/>
    </xf>
    <xf numFmtId="0" fontId="4" fillId="8" borderId="1" xfId="0" applyFont="1" applyFill="1" applyBorder="1" applyAlignment="1">
      <alignment vertical="top" wrapText="1"/>
    </xf>
    <xf numFmtId="164" fontId="5" fillId="8" borderId="1" xfId="0" applyNumberFormat="1" applyFont="1" applyFill="1" applyBorder="1" applyAlignment="1">
      <alignment horizontal="center" vertical="top" wrapText="1"/>
    </xf>
    <xf numFmtId="0" fontId="5" fillId="0" borderId="1" xfId="0" applyFont="1" applyBorder="1" applyAlignment="1">
      <alignment vertical="top" wrapText="1"/>
    </xf>
    <xf numFmtId="0" fontId="4" fillId="0" borderId="1" xfId="0" applyFont="1" applyBorder="1" applyAlignment="1">
      <alignment vertical="top" wrapText="1"/>
    </xf>
    <xf numFmtId="0" fontId="5" fillId="3" borderId="1" xfId="0" applyFont="1" applyFill="1" applyBorder="1" applyAlignment="1">
      <alignment vertical="top" wrapText="1"/>
    </xf>
    <xf numFmtId="164" fontId="4" fillId="5" borderId="1" xfId="0" applyNumberFormat="1" applyFont="1" applyFill="1" applyBorder="1" applyAlignment="1">
      <alignment horizontal="center" vertical="top"/>
    </xf>
    <xf numFmtId="164" fontId="4" fillId="8" borderId="1" xfId="0" applyNumberFormat="1" applyFont="1" applyFill="1" applyBorder="1" applyAlignment="1">
      <alignment horizontal="center" vertical="top"/>
    </xf>
    <xf numFmtId="164" fontId="1" fillId="0" borderId="0" xfId="0" applyNumberFormat="1" applyFont="1"/>
    <xf numFmtId="0" fontId="2" fillId="0" borderId="0" xfId="0" applyFont="1"/>
    <xf numFmtId="0" fontId="5" fillId="0" borderId="1" xfId="0" applyFont="1" applyBorder="1" applyAlignment="1">
      <alignment horizontal="center" vertical="top" wrapText="1"/>
    </xf>
    <xf numFmtId="0" fontId="2" fillId="3" borderId="2" xfId="0" applyFont="1" applyFill="1" applyBorder="1" applyAlignment="1">
      <alignment vertical="top" wrapText="1"/>
    </xf>
    <xf numFmtId="0" fontId="4" fillId="3" borderId="1" xfId="0" applyFont="1" applyFill="1" applyBorder="1" applyAlignment="1">
      <alignment vertical="top" wrapText="1"/>
    </xf>
    <xf numFmtId="0" fontId="4" fillId="8" borderId="1" xfId="0" applyFont="1" applyFill="1" applyBorder="1" applyAlignment="1">
      <alignment horizontal="center" vertical="top" wrapText="1"/>
    </xf>
    <xf numFmtId="0" fontId="5" fillId="8" borderId="1" xfId="0" applyFont="1" applyFill="1" applyBorder="1" applyAlignment="1">
      <alignment horizontal="center" vertical="top" wrapText="1"/>
    </xf>
    <xf numFmtId="0" fontId="2" fillId="8" borderId="1" xfId="0" applyFont="1" applyFill="1" applyBorder="1" applyAlignment="1">
      <alignment horizontal="center" vertical="top" wrapText="1"/>
    </xf>
    <xf numFmtId="0" fontId="4" fillId="0" borderId="1" xfId="0" applyFont="1" applyBorder="1" applyAlignment="1">
      <alignment horizontal="center" vertical="top" wrapText="1"/>
    </xf>
    <xf numFmtId="49" fontId="4" fillId="8" borderId="1" xfId="0" applyNumberFormat="1" applyFont="1" applyFill="1" applyBorder="1" applyAlignment="1">
      <alignment horizontal="center" vertical="top" wrapText="1"/>
    </xf>
    <xf numFmtId="49" fontId="4" fillId="0" borderId="1" xfId="0" applyNumberFormat="1" applyFont="1" applyBorder="1" applyAlignment="1">
      <alignment horizontal="center" vertical="top" wrapText="1"/>
    </xf>
    <xf numFmtId="164" fontId="4" fillId="6" borderId="1" xfId="1" applyNumberFormat="1" applyFont="1" applyFill="1" applyBorder="1" applyAlignment="1">
      <alignment horizontal="center" vertical="top"/>
    </xf>
    <xf numFmtId="164" fontId="2" fillId="3" borderId="1" xfId="0" applyNumberFormat="1" applyFont="1" applyFill="1" applyBorder="1" applyAlignment="1">
      <alignment horizontal="center" vertical="top" wrapText="1"/>
    </xf>
    <xf numFmtId="0" fontId="2" fillId="3" borderId="1" xfId="0" applyFont="1" applyFill="1" applyBorder="1" applyAlignment="1">
      <alignment horizontal="center" vertical="top" wrapText="1"/>
    </xf>
    <xf numFmtId="164" fontId="2" fillId="3" borderId="1" xfId="0" applyNumberFormat="1" applyFont="1" applyFill="1" applyBorder="1" applyAlignment="1">
      <alignment horizontal="center" vertical="top"/>
    </xf>
    <xf numFmtId="164" fontId="5" fillId="3" borderId="1" xfId="0" applyNumberFormat="1" applyFont="1" applyFill="1" applyBorder="1" applyAlignment="1">
      <alignment horizontal="center" vertical="top" wrapText="1"/>
    </xf>
    <xf numFmtId="164" fontId="2" fillId="0" borderId="2" xfId="0" applyNumberFormat="1" applyFont="1" applyBorder="1" applyAlignment="1">
      <alignment horizontal="center" vertical="top" wrapText="1"/>
    </xf>
    <xf numFmtId="164" fontId="4" fillId="5" borderId="4" xfId="0" applyNumberFormat="1" applyFont="1" applyFill="1" applyBorder="1" applyAlignment="1">
      <alignment horizontal="center" vertical="top"/>
    </xf>
    <xf numFmtId="49" fontId="4" fillId="0" borderId="4" xfId="0" applyNumberFormat="1" applyFont="1" applyBorder="1" applyAlignment="1">
      <alignment horizontal="center" vertical="top" wrapText="1"/>
    </xf>
    <xf numFmtId="49" fontId="4" fillId="8" borderId="4" xfId="0" applyNumberFormat="1" applyFont="1" applyFill="1" applyBorder="1" applyAlignment="1">
      <alignment horizontal="center" vertical="top" wrapText="1"/>
    </xf>
    <xf numFmtId="49" fontId="4" fillId="3" borderId="4" xfId="0" applyNumberFormat="1" applyFont="1" applyFill="1" applyBorder="1" applyAlignment="1">
      <alignment horizontal="center" vertical="top" wrapText="1"/>
    </xf>
    <xf numFmtId="0" fontId="2" fillId="8" borderId="4" xfId="0" applyFont="1" applyFill="1" applyBorder="1" applyAlignment="1">
      <alignment horizontal="center" vertical="top" wrapText="1"/>
    </xf>
    <xf numFmtId="164" fontId="5" fillId="8" borderId="1" xfId="0" applyNumberFormat="1" applyFont="1" applyFill="1" applyBorder="1" applyAlignment="1">
      <alignment horizontal="center" vertical="top"/>
    </xf>
    <xf numFmtId="0" fontId="2" fillId="3" borderId="1" xfId="0" applyFont="1" applyFill="1" applyBorder="1" applyAlignment="1">
      <alignment vertical="top" wrapText="1"/>
    </xf>
    <xf numFmtId="0" fontId="5" fillId="3" borderId="1" xfId="0" applyFont="1" applyFill="1" applyBorder="1" applyAlignment="1">
      <alignment horizontal="center" vertical="top" wrapText="1"/>
    </xf>
    <xf numFmtId="0" fontId="4" fillId="0" borderId="4" xfId="0" applyFont="1" applyBorder="1" applyAlignment="1">
      <alignment vertical="top" wrapText="1"/>
    </xf>
    <xf numFmtId="0" fontId="5" fillId="8" borderId="4" xfId="0" applyFont="1" applyFill="1" applyBorder="1" applyAlignment="1">
      <alignment vertical="top" wrapText="1"/>
    </xf>
    <xf numFmtId="164" fontId="2" fillId="3" borderId="4" xfId="0" applyNumberFormat="1" applyFont="1" applyFill="1" applyBorder="1" applyAlignment="1">
      <alignment horizontal="center" vertical="top" wrapText="1"/>
    </xf>
    <xf numFmtId="0" fontId="2" fillId="0" borderId="8" xfId="0" applyFont="1" applyBorder="1" applyAlignment="1">
      <alignment vertical="top" wrapText="1"/>
    </xf>
    <xf numFmtId="0" fontId="11" fillId="3" borderId="1" xfId="0" applyFont="1" applyFill="1" applyBorder="1" applyAlignment="1">
      <alignment vertical="top" wrapText="1"/>
    </xf>
    <xf numFmtId="164" fontId="11" fillId="3" borderId="4" xfId="0" applyNumberFormat="1" applyFont="1" applyFill="1" applyBorder="1" applyAlignment="1">
      <alignment horizontal="center" vertical="top"/>
    </xf>
    <xf numFmtId="164" fontId="11" fillId="3" borderId="7" xfId="0" applyNumberFormat="1" applyFont="1" applyFill="1" applyBorder="1" applyAlignment="1">
      <alignment horizontal="center" vertical="top"/>
    </xf>
    <xf numFmtId="0" fontId="15" fillId="0" borderId="10" xfId="0" applyFont="1" applyBorder="1" applyAlignment="1">
      <alignment horizontal="left" vertical="top" wrapText="1"/>
    </xf>
    <xf numFmtId="0" fontId="2" fillId="0" borderId="10" xfId="0" applyFont="1" applyBorder="1" applyAlignment="1">
      <alignment horizontal="left" vertical="top" wrapText="1"/>
    </xf>
    <xf numFmtId="0" fontId="11" fillId="0" borderId="1" xfId="0" applyFont="1" applyBorder="1" applyAlignment="1">
      <alignment vertical="top" wrapText="1"/>
    </xf>
    <xf numFmtId="164" fontId="2" fillId="3" borderId="2" xfId="0" applyNumberFormat="1" applyFont="1" applyFill="1" applyBorder="1" applyAlignment="1">
      <alignment horizontal="center" vertical="top" wrapText="1"/>
    </xf>
    <xf numFmtId="164" fontId="5" fillId="0" borderId="4" xfId="0" applyNumberFormat="1" applyFont="1" applyBorder="1" applyAlignment="1">
      <alignment horizontal="center" vertical="top" wrapText="1"/>
    </xf>
    <xf numFmtId="164" fontId="5" fillId="8" borderId="6" xfId="0" applyNumberFormat="1" applyFont="1" applyFill="1" applyBorder="1" applyAlignment="1">
      <alignment horizontal="center" vertical="top" wrapText="1"/>
    </xf>
    <xf numFmtId="164" fontId="11" fillId="3" borderId="1" xfId="0" applyNumberFormat="1" applyFont="1" applyFill="1" applyBorder="1" applyAlignment="1">
      <alignment horizontal="center" vertical="top" wrapText="1"/>
    </xf>
    <xf numFmtId="164" fontId="11" fillId="0" borderId="1" xfId="0" applyNumberFormat="1" applyFont="1" applyBorder="1" applyAlignment="1">
      <alignment horizontal="center" vertical="top" wrapText="1"/>
    </xf>
    <xf numFmtId="164" fontId="4" fillId="3" borderId="1" xfId="0" applyNumberFormat="1" applyFont="1" applyFill="1" applyBorder="1" applyAlignment="1">
      <alignment horizontal="center" vertical="top" wrapText="1"/>
    </xf>
    <xf numFmtId="0" fontId="5" fillId="0" borderId="6" xfId="0" applyFont="1" applyBorder="1" applyAlignment="1">
      <alignment vertical="top" wrapText="1"/>
    </xf>
    <xf numFmtId="0" fontId="2" fillId="3" borderId="6" xfId="0"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11" fillId="10" borderId="1" xfId="0" applyFont="1" applyFill="1" applyBorder="1" applyAlignment="1">
      <alignment horizontal="center" vertical="top" wrapText="1"/>
    </xf>
    <xf numFmtId="0" fontId="11" fillId="10" borderId="11" xfId="0" applyFont="1" applyFill="1" applyBorder="1" applyAlignment="1">
      <alignment vertical="top" wrapText="1"/>
    </xf>
    <xf numFmtId="0" fontId="4" fillId="12" borderId="4" xfId="0" applyFont="1" applyFill="1" applyBorder="1" applyAlignment="1">
      <alignment vertical="top" wrapText="1"/>
    </xf>
    <xf numFmtId="0" fontId="11" fillId="12" borderId="14" xfId="0" applyFont="1" applyFill="1" applyBorder="1" applyAlignment="1">
      <alignment vertical="top" wrapText="1"/>
    </xf>
    <xf numFmtId="0" fontId="11" fillId="12" borderId="1" xfId="0" applyFont="1" applyFill="1" applyBorder="1" applyAlignment="1">
      <alignment horizontal="center" vertical="top" wrapText="1"/>
    </xf>
    <xf numFmtId="0" fontId="15" fillId="12" borderId="1" xfId="0" applyFont="1" applyFill="1" applyBorder="1" applyAlignment="1">
      <alignment horizontal="center" vertical="top" wrapText="1"/>
    </xf>
    <xf numFmtId="166" fontId="11" fillId="10" borderId="1" xfId="0" applyNumberFormat="1" applyFont="1" applyFill="1" applyBorder="1" applyAlignment="1">
      <alignment horizontal="center" vertical="top" wrapText="1"/>
    </xf>
    <xf numFmtId="0" fontId="4" fillId="11" borderId="1" xfId="0" applyFont="1" applyFill="1" applyBorder="1" applyAlignment="1">
      <alignment vertical="top" wrapText="1"/>
    </xf>
    <xf numFmtId="0" fontId="15" fillId="0" borderId="1" xfId="0" applyFont="1" applyBorder="1" applyAlignment="1">
      <alignment vertical="top" wrapText="1"/>
    </xf>
    <xf numFmtId="164" fontId="11" fillId="3" borderId="2" xfId="0" applyNumberFormat="1" applyFont="1" applyFill="1" applyBorder="1" applyAlignment="1">
      <alignment horizontal="center" vertical="top" wrapText="1"/>
    </xf>
    <xf numFmtId="164" fontId="11" fillId="3" borderId="5" xfId="0" applyNumberFormat="1" applyFont="1" applyFill="1" applyBorder="1" applyAlignment="1">
      <alignment horizontal="center" vertical="top" wrapText="1"/>
    </xf>
    <xf numFmtId="0" fontId="6" fillId="0" borderId="0" xfId="0" applyFont="1" applyAlignment="1">
      <alignment horizontal="left" vertical="top" wrapText="1"/>
    </xf>
    <xf numFmtId="164" fontId="5" fillId="3" borderId="2" xfId="0" applyNumberFormat="1" applyFont="1" applyFill="1" applyBorder="1" applyAlignment="1">
      <alignment horizontal="center" vertical="top" wrapText="1"/>
    </xf>
    <xf numFmtId="0" fontId="5" fillId="0" borderId="20" xfId="0" applyFont="1" applyBorder="1" applyAlignment="1">
      <alignment horizontal="center" vertical="center" wrapText="1"/>
    </xf>
    <xf numFmtId="0" fontId="13" fillId="0" borderId="9" xfId="0" applyFont="1" applyBorder="1" applyAlignment="1">
      <alignment horizontal="center" vertical="center"/>
    </xf>
    <xf numFmtId="0" fontId="13" fillId="0" borderId="23" xfId="0" applyFont="1" applyBorder="1" applyAlignment="1">
      <alignment horizontal="center" vertical="center" wrapText="1"/>
    </xf>
    <xf numFmtId="0" fontId="5" fillId="0" borderId="24" xfId="0" applyFont="1" applyBorder="1" applyAlignment="1">
      <alignment horizontal="center" vertical="top"/>
    </xf>
    <xf numFmtId="0" fontId="2" fillId="0" borderId="24" xfId="0" applyFont="1" applyBorder="1" applyAlignment="1">
      <alignment horizontal="center" vertical="top"/>
    </xf>
    <xf numFmtId="0" fontId="6" fillId="0" borderId="1" xfId="0" applyFont="1" applyBorder="1" applyAlignment="1">
      <alignment vertical="top" wrapText="1"/>
    </xf>
    <xf numFmtId="0" fontId="4" fillId="0" borderId="19" xfId="0" applyFont="1" applyBorder="1" applyAlignment="1">
      <alignment vertical="top" wrapText="1"/>
    </xf>
    <xf numFmtId="0" fontId="2" fillId="3" borderId="19" xfId="0" applyFont="1" applyFill="1" applyBorder="1" applyAlignment="1">
      <alignment horizontal="center" vertical="top" wrapText="1"/>
    </xf>
    <xf numFmtId="166" fontId="15" fillId="12" borderId="1" xfId="0" applyNumberFormat="1" applyFont="1" applyFill="1" applyBorder="1" applyAlignment="1">
      <alignment horizontal="center" vertical="top" wrapText="1"/>
    </xf>
    <xf numFmtId="164" fontId="8" fillId="3" borderId="1" xfId="0" applyNumberFormat="1" applyFont="1" applyFill="1" applyBorder="1" applyAlignment="1">
      <alignment horizontal="center" vertical="center" wrapText="1"/>
    </xf>
    <xf numFmtId="0" fontId="2" fillId="0" borderId="1" xfId="0" applyFont="1" applyBorder="1"/>
    <xf numFmtId="0" fontId="14" fillId="0" borderId="26" xfId="0" applyFont="1" applyBorder="1" applyAlignment="1">
      <alignment horizontal="center" vertical="center" wrapText="1"/>
    </xf>
    <xf numFmtId="0" fontId="14" fillId="0" borderId="25" xfId="0" applyFont="1" applyBorder="1" applyAlignment="1">
      <alignment horizontal="center" vertical="center"/>
    </xf>
    <xf numFmtId="0" fontId="14" fillId="0" borderId="21" xfId="0" applyFont="1" applyBorder="1" applyAlignment="1">
      <alignment horizontal="center" vertical="center" wrapText="1"/>
    </xf>
    <xf numFmtId="0" fontId="5" fillId="0" borderId="27" xfId="0" applyFont="1" applyBorder="1" applyAlignment="1">
      <alignment horizontal="center" vertical="top"/>
    </xf>
    <xf numFmtId="0" fontId="5" fillId="0" borderId="14" xfId="0" applyFont="1" applyBorder="1" applyAlignment="1">
      <alignment horizontal="left" vertical="top" wrapText="1"/>
    </xf>
    <xf numFmtId="0" fontId="14" fillId="0" borderId="2" xfId="0" applyFont="1" applyBorder="1" applyAlignment="1">
      <alignment horizontal="center"/>
    </xf>
    <xf numFmtId="0" fontId="10" fillId="0" borderId="0" xfId="0" applyFont="1" applyAlignment="1">
      <alignment horizontal="left" vertical="center" wrapText="1"/>
    </xf>
    <xf numFmtId="0" fontId="17" fillId="0" borderId="0" xfId="0" applyFont="1" applyAlignment="1">
      <alignment horizontal="right" vertical="top"/>
    </xf>
    <xf numFmtId="0" fontId="17" fillId="0" borderId="0" xfId="0" applyFont="1" applyAlignment="1">
      <alignment vertical="top"/>
    </xf>
    <xf numFmtId="0" fontId="17" fillId="0" borderId="0" xfId="0" applyFont="1" applyAlignment="1">
      <alignment horizontal="left" vertical="top"/>
    </xf>
    <xf numFmtId="0" fontId="2" fillId="0" borderId="26" xfId="0" applyFont="1" applyBorder="1" applyAlignment="1">
      <alignment horizontal="center" vertical="top"/>
    </xf>
    <xf numFmtId="0" fontId="2" fillId="0" borderId="12" xfId="0" applyFont="1" applyBorder="1" applyAlignment="1">
      <alignment horizontal="left" vertical="top" wrapText="1"/>
    </xf>
    <xf numFmtId="0" fontId="2" fillId="0" borderId="1" xfId="0" applyFont="1" applyBorder="1" applyAlignment="1">
      <alignment horizontal="left" vertical="top"/>
    </xf>
    <xf numFmtId="164" fontId="2" fillId="0" borderId="1" xfId="0" applyNumberFormat="1" applyFont="1" applyBorder="1" applyAlignment="1">
      <alignment horizontal="center" vertical="center"/>
    </xf>
    <xf numFmtId="164" fontId="15" fillId="3" borderId="1" xfId="0" applyNumberFormat="1" applyFont="1" applyFill="1" applyBorder="1" applyAlignment="1">
      <alignment horizontal="center" vertical="top" wrapText="1"/>
    </xf>
    <xf numFmtId="164" fontId="15" fillId="0" borderId="1" xfId="0" applyNumberFormat="1" applyFont="1" applyBorder="1" applyAlignment="1">
      <alignment horizontal="center" vertical="top" wrapText="1"/>
    </xf>
    <xf numFmtId="164" fontId="15" fillId="8" borderId="1" xfId="0" applyNumberFormat="1" applyFont="1" applyFill="1" applyBorder="1" applyAlignment="1">
      <alignment horizontal="center" vertical="top" wrapText="1"/>
    </xf>
    <xf numFmtId="164" fontId="15" fillId="0" borderId="1" xfId="0" applyNumberFormat="1" applyFont="1" applyBorder="1" applyAlignment="1">
      <alignment vertical="top" wrapText="1"/>
    </xf>
    <xf numFmtId="164" fontId="15" fillId="3" borderId="6" xfId="0" applyNumberFormat="1" applyFont="1" applyFill="1" applyBorder="1" applyAlignment="1">
      <alignment horizontal="center" vertical="top" wrapText="1"/>
    </xf>
    <xf numFmtId="164" fontId="15" fillId="3" borderId="19" xfId="0" applyNumberFormat="1" applyFont="1" applyFill="1" applyBorder="1" applyAlignment="1">
      <alignment horizontal="center" vertical="top" wrapText="1"/>
    </xf>
    <xf numFmtId="164" fontId="15" fillId="8" borderId="4" xfId="0" applyNumberFormat="1" applyFont="1" applyFill="1" applyBorder="1" applyAlignment="1">
      <alignment horizontal="center" vertical="top"/>
    </xf>
    <xf numFmtId="164" fontId="15" fillId="3" borderId="4" xfId="0" applyNumberFormat="1" applyFont="1" applyFill="1" applyBorder="1" applyAlignment="1">
      <alignment horizontal="center" vertical="top"/>
    </xf>
    <xf numFmtId="164" fontId="15" fillId="5" borderId="4" xfId="0" applyNumberFormat="1" applyFont="1" applyFill="1" applyBorder="1" applyAlignment="1">
      <alignment horizontal="center" vertical="top"/>
    </xf>
    <xf numFmtId="0" fontId="11" fillId="3" borderId="12" xfId="0" applyFont="1" applyFill="1" applyBorder="1" applyAlignment="1">
      <alignment horizontal="left" vertical="top" wrapText="1"/>
    </xf>
    <xf numFmtId="0" fontId="11" fillId="0" borderId="10" xfId="0" applyFont="1" applyBorder="1" applyAlignment="1">
      <alignment horizontal="left" vertical="top" wrapText="1"/>
    </xf>
    <xf numFmtId="0" fontId="4" fillId="3" borderId="4" xfId="0" applyFont="1" applyFill="1" applyBorder="1" applyAlignment="1">
      <alignment vertical="top" wrapText="1"/>
    </xf>
    <xf numFmtId="0" fontId="2" fillId="0" borderId="2" xfId="0" applyFont="1" applyBorder="1" applyAlignment="1">
      <alignment vertical="top" wrapText="1"/>
    </xf>
    <xf numFmtId="164" fontId="4" fillId="8" borderId="4" xfId="0" applyNumberFormat="1" applyFont="1" applyFill="1" applyBorder="1" applyAlignment="1">
      <alignment horizontal="center" vertical="top" wrapText="1"/>
    </xf>
    <xf numFmtId="0" fontId="15" fillId="3" borderId="4" xfId="0" applyFont="1" applyFill="1" applyBorder="1" applyAlignment="1">
      <alignment vertical="top" wrapText="1"/>
    </xf>
    <xf numFmtId="164" fontId="5" fillId="0" borderId="11" xfId="0" applyNumberFormat="1" applyFont="1" applyBorder="1" applyAlignment="1">
      <alignment horizontal="center" vertical="top" wrapText="1"/>
    </xf>
    <xf numFmtId="0" fontId="5" fillId="0" borderId="8" xfId="0" applyFont="1" applyBorder="1" applyAlignment="1">
      <alignment horizontal="center" vertical="top" wrapText="1"/>
    </xf>
    <xf numFmtId="164" fontId="4" fillId="5" borderId="11" xfId="0" applyNumberFormat="1" applyFont="1" applyFill="1" applyBorder="1" applyAlignment="1">
      <alignment horizontal="center" vertical="top"/>
    </xf>
    <xf numFmtId="164" fontId="4" fillId="5" borderId="3" xfId="0" applyNumberFormat="1" applyFont="1" applyFill="1" applyBorder="1" applyAlignment="1">
      <alignment horizontal="center" vertical="top"/>
    </xf>
    <xf numFmtId="164" fontId="22" fillId="3" borderId="14" xfId="0" applyNumberFormat="1" applyFont="1" applyFill="1" applyBorder="1" applyAlignment="1">
      <alignment horizontal="center" vertical="top"/>
    </xf>
    <xf numFmtId="0" fontId="11" fillId="3" borderId="1" xfId="0" applyFont="1" applyFill="1" applyBorder="1" applyAlignment="1">
      <alignment horizontal="center" vertical="top" wrapText="1"/>
    </xf>
    <xf numFmtId="164" fontId="22" fillId="3" borderId="10" xfId="0" applyNumberFormat="1" applyFont="1" applyFill="1" applyBorder="1" applyAlignment="1">
      <alignment horizontal="center" vertical="top"/>
    </xf>
    <xf numFmtId="0" fontId="22" fillId="3" borderId="4" xfId="0" applyFont="1" applyFill="1" applyBorder="1" applyAlignment="1">
      <alignment horizontal="center" vertical="top"/>
    </xf>
    <xf numFmtId="0" fontId="26" fillId="3" borderId="1" xfId="0" applyFont="1" applyFill="1" applyBorder="1" applyAlignment="1">
      <alignment vertical="top" wrapText="1"/>
    </xf>
    <xf numFmtId="0" fontId="7" fillId="3" borderId="3" xfId="0" applyFont="1" applyFill="1" applyBorder="1" applyAlignment="1">
      <alignment vertical="top" wrapText="1"/>
    </xf>
    <xf numFmtId="166" fontId="22" fillId="3" borderId="14" xfId="0" applyNumberFormat="1" applyFont="1" applyFill="1" applyBorder="1" applyAlignment="1">
      <alignment horizontal="center" vertical="top"/>
    </xf>
    <xf numFmtId="166" fontId="22" fillId="3" borderId="1" xfId="0" applyNumberFormat="1" applyFont="1" applyFill="1" applyBorder="1" applyAlignment="1">
      <alignment horizontal="center" vertical="top"/>
    </xf>
    <xf numFmtId="164" fontId="22" fillId="3" borderId="4" xfId="0" applyNumberFormat="1" applyFont="1" applyFill="1" applyBorder="1" applyAlignment="1">
      <alignment horizontal="center" vertical="top"/>
    </xf>
    <xf numFmtId="0" fontId="6" fillId="0" borderId="8" xfId="0" applyFont="1" applyBorder="1" applyAlignment="1">
      <alignment vertical="top" wrapText="1"/>
    </xf>
    <xf numFmtId="164" fontId="2" fillId="3" borderId="10" xfId="0" applyNumberFormat="1" applyFont="1" applyFill="1" applyBorder="1" applyAlignment="1">
      <alignment horizontal="center" vertical="top" wrapText="1"/>
    </xf>
    <xf numFmtId="166" fontId="21" fillId="3" borderId="1" xfId="0" applyNumberFormat="1" applyFont="1" applyFill="1" applyBorder="1" applyAlignment="1">
      <alignment horizontal="center" vertical="top" wrapText="1"/>
    </xf>
    <xf numFmtId="166" fontId="22" fillId="3" borderId="4" xfId="0" applyNumberFormat="1" applyFont="1" applyFill="1" applyBorder="1" applyAlignment="1">
      <alignment horizontal="center" vertical="top"/>
    </xf>
    <xf numFmtId="164" fontId="4" fillId="5" borderId="25" xfId="0" applyNumberFormat="1" applyFont="1" applyFill="1" applyBorder="1" applyAlignment="1">
      <alignment horizontal="center" vertical="top"/>
    </xf>
    <xf numFmtId="164" fontId="6" fillId="0" borderId="1" xfId="0" applyNumberFormat="1" applyFont="1" applyBorder="1" applyAlignment="1">
      <alignment horizontal="center" vertical="top" wrapText="1"/>
    </xf>
    <xf numFmtId="0" fontId="15" fillId="8" borderId="10" xfId="0" applyFont="1" applyFill="1" applyBorder="1" applyAlignment="1">
      <alignment vertical="top" wrapText="1"/>
    </xf>
    <xf numFmtId="0" fontId="11" fillId="8" borderId="1" xfId="0" applyFont="1" applyFill="1" applyBorder="1" applyAlignment="1">
      <alignment horizontal="center" vertical="top" wrapText="1"/>
    </xf>
    <xf numFmtId="164" fontId="15" fillId="3" borderId="1" xfId="0" applyNumberFormat="1" applyFont="1" applyFill="1" applyBorder="1" applyAlignment="1">
      <alignment vertical="top" wrapText="1"/>
    </xf>
    <xf numFmtId="0" fontId="11" fillId="0" borderId="13" xfId="0" applyFont="1" applyBorder="1" applyAlignment="1">
      <alignment vertical="top" wrapText="1"/>
    </xf>
    <xf numFmtId="0" fontId="11" fillId="3" borderId="8" xfId="0" applyFont="1" applyFill="1" applyBorder="1" applyAlignment="1">
      <alignment vertical="top" wrapText="1"/>
    </xf>
    <xf numFmtId="0" fontId="15" fillId="8" borderId="1" xfId="0" applyFont="1" applyFill="1" applyBorder="1" applyAlignment="1">
      <alignment vertical="top" wrapText="1"/>
    </xf>
    <xf numFmtId="0" fontId="15" fillId="0" borderId="4" xfId="0" applyFont="1" applyBorder="1" applyAlignment="1">
      <alignment vertical="top" wrapText="1"/>
    </xf>
    <xf numFmtId="0" fontId="11" fillId="3" borderId="4" xfId="0" applyFont="1" applyFill="1" applyBorder="1" applyAlignment="1">
      <alignment horizontal="center" vertical="top" wrapText="1"/>
    </xf>
    <xf numFmtId="164" fontId="15" fillId="3" borderId="4" xfId="0" applyNumberFormat="1" applyFont="1" applyFill="1" applyBorder="1" applyAlignment="1">
      <alignment horizontal="center" vertical="top" wrapText="1"/>
    </xf>
    <xf numFmtId="0" fontId="15" fillId="8" borderId="4" xfId="0" applyFont="1" applyFill="1" applyBorder="1" applyAlignment="1">
      <alignment vertical="top" wrapText="1"/>
    </xf>
    <xf numFmtId="166" fontId="11" fillId="3" borderId="1" xfId="0" applyNumberFormat="1" applyFont="1" applyFill="1" applyBorder="1" applyAlignment="1">
      <alignment horizontal="center" vertical="top" wrapText="1"/>
    </xf>
    <xf numFmtId="164" fontId="22" fillId="3" borderId="1" xfId="0" applyNumberFormat="1" applyFont="1" applyFill="1" applyBorder="1" applyAlignment="1">
      <alignment horizontal="center" vertical="top"/>
    </xf>
    <xf numFmtId="0" fontId="1" fillId="0" borderId="33" xfId="0" applyFont="1" applyBorder="1" applyAlignment="1">
      <alignment horizontal="center" vertical="top"/>
    </xf>
    <xf numFmtId="164" fontId="1" fillId="0" borderId="33" xfId="0" applyNumberFormat="1" applyFont="1" applyBorder="1" applyAlignment="1">
      <alignment horizontal="center" vertical="top"/>
    </xf>
    <xf numFmtId="164" fontId="5" fillId="0" borderId="19" xfId="0" applyNumberFormat="1" applyFont="1" applyBorder="1" applyAlignment="1">
      <alignment horizontal="center" vertical="top" wrapText="1"/>
    </xf>
    <xf numFmtId="0" fontId="2" fillId="0" borderId="16" xfId="0" applyFont="1" applyBorder="1" applyAlignment="1">
      <alignment vertical="top" wrapText="1"/>
    </xf>
    <xf numFmtId="0" fontId="6" fillId="0" borderId="16" xfId="0" applyFont="1" applyBorder="1" applyAlignment="1">
      <alignment vertical="top" wrapText="1"/>
    </xf>
    <xf numFmtId="0" fontId="2" fillId="3" borderId="16" xfId="0" applyFont="1" applyFill="1" applyBorder="1" applyAlignment="1">
      <alignment vertical="top" wrapText="1"/>
    </xf>
    <xf numFmtId="0" fontId="11" fillId="3" borderId="16" xfId="0" applyFont="1" applyFill="1" applyBorder="1" applyAlignment="1">
      <alignment vertical="top" wrapText="1"/>
    </xf>
    <xf numFmtId="0" fontId="6" fillId="0" borderId="1" xfId="0" applyFont="1" applyBorder="1" applyAlignment="1">
      <alignment horizontal="left" vertical="top" wrapText="1"/>
    </xf>
    <xf numFmtId="0" fontId="4" fillId="0" borderId="1" xfId="0" applyFont="1" applyBorder="1" applyAlignment="1">
      <alignment horizontal="left" vertical="top" wrapText="1"/>
    </xf>
    <xf numFmtId="0" fontId="21" fillId="0" borderId="1" xfId="0" applyFont="1" applyBorder="1" applyAlignment="1">
      <alignment horizontal="left" vertical="top" wrapText="1"/>
    </xf>
    <xf numFmtId="166" fontId="22" fillId="3" borderId="10" xfId="0" applyNumberFormat="1" applyFont="1" applyFill="1" applyBorder="1" applyAlignment="1">
      <alignment horizontal="center" vertical="top"/>
    </xf>
    <xf numFmtId="0" fontId="6" fillId="3" borderId="35" xfId="0" applyFont="1" applyFill="1" applyBorder="1" applyAlignment="1">
      <alignment vertical="top" wrapText="1"/>
    </xf>
    <xf numFmtId="0" fontId="2" fillId="3" borderId="11" xfId="0" applyFont="1" applyFill="1" applyBorder="1" applyAlignment="1">
      <alignment vertical="top" wrapText="1"/>
    </xf>
    <xf numFmtId="0" fontId="2" fillId="3" borderId="8" xfId="0" applyFont="1" applyFill="1" applyBorder="1" applyAlignment="1">
      <alignment vertical="top" wrapText="1"/>
    </xf>
    <xf numFmtId="164" fontId="6" fillId="3" borderId="10" xfId="0" applyNumberFormat="1" applyFont="1" applyFill="1" applyBorder="1" applyAlignment="1">
      <alignment horizontal="center" vertical="top" wrapText="1"/>
    </xf>
    <xf numFmtId="164" fontId="6" fillId="0" borderId="10" xfId="0" applyNumberFormat="1" applyFont="1" applyBorder="1" applyAlignment="1">
      <alignment horizontal="center" vertical="top" wrapText="1"/>
    </xf>
    <xf numFmtId="0" fontId="2" fillId="0" borderId="13" xfId="0" applyFont="1" applyBorder="1" applyAlignment="1">
      <alignment vertical="top" wrapText="1"/>
    </xf>
    <xf numFmtId="0" fontId="2" fillId="0" borderId="29" xfId="0" applyFont="1" applyBorder="1" applyAlignment="1">
      <alignment vertical="top" wrapText="1"/>
    </xf>
    <xf numFmtId="0" fontId="27" fillId="8" borderId="13" xfId="0" applyFont="1" applyFill="1" applyBorder="1" applyAlignment="1">
      <alignment vertical="top" wrapText="1"/>
    </xf>
    <xf numFmtId="0" fontId="27" fillId="10" borderId="13" xfId="0" applyFont="1" applyFill="1" applyBorder="1" applyAlignment="1">
      <alignment vertical="top" wrapText="1"/>
    </xf>
    <xf numFmtId="0" fontId="27" fillId="0" borderId="4" xfId="0" applyFont="1" applyBorder="1" applyAlignment="1">
      <alignment vertical="top" wrapText="1"/>
    </xf>
    <xf numFmtId="0" fontId="22" fillId="3" borderId="14" xfId="0" applyFont="1" applyFill="1" applyBorder="1" applyAlignment="1">
      <alignment horizontal="center" vertical="top"/>
    </xf>
    <xf numFmtId="0" fontId="22" fillId="3" borderId="10" xfId="0" applyFont="1" applyFill="1" applyBorder="1" applyAlignment="1">
      <alignment horizontal="center" vertical="top"/>
    </xf>
    <xf numFmtId="0" fontId="20" fillId="3" borderId="8" xfId="0" applyFont="1" applyFill="1" applyBorder="1" applyAlignment="1">
      <alignment vertical="top" wrapText="1"/>
    </xf>
    <xf numFmtId="164" fontId="21" fillId="3" borderId="14" xfId="0" applyNumberFormat="1" applyFont="1" applyFill="1" applyBorder="1" applyAlignment="1">
      <alignment horizontal="center" vertical="top" wrapText="1"/>
    </xf>
    <xf numFmtId="0" fontId="18" fillId="3" borderId="25" xfId="0" applyFont="1" applyFill="1" applyBorder="1" applyAlignment="1">
      <alignment horizontal="center" vertical="top" wrapText="1"/>
    </xf>
    <xf numFmtId="166" fontId="22" fillId="0" borderId="1" xfId="0" applyNumberFormat="1" applyFont="1" applyBorder="1" applyAlignment="1">
      <alignment horizontal="center" vertical="top"/>
    </xf>
    <xf numFmtId="166" fontId="22" fillId="0" borderId="4" xfId="0" applyNumberFormat="1" applyFont="1" applyBorder="1" applyAlignment="1">
      <alignment horizontal="center" vertical="top"/>
    </xf>
    <xf numFmtId="166" fontId="22" fillId="0" borderId="10" xfId="0" applyNumberFormat="1" applyFont="1" applyBorder="1" applyAlignment="1">
      <alignment horizontal="center" vertical="top"/>
    </xf>
    <xf numFmtId="164" fontId="5" fillId="0" borderId="6" xfId="0" applyNumberFormat="1" applyFont="1" applyBorder="1" applyAlignment="1">
      <alignment horizontal="center" vertical="top" wrapText="1"/>
    </xf>
    <xf numFmtId="0" fontId="15" fillId="12" borderId="4" xfId="0" applyFont="1" applyFill="1" applyBorder="1" applyAlignment="1">
      <alignment horizontal="center" vertical="top" wrapText="1"/>
    </xf>
    <xf numFmtId="164" fontId="21" fillId="3" borderId="1" xfId="0" applyNumberFormat="1" applyFont="1" applyFill="1" applyBorder="1" applyAlignment="1">
      <alignment horizontal="center" vertical="top" wrapText="1"/>
    </xf>
    <xf numFmtId="164" fontId="21" fillId="3" borderId="10" xfId="0" applyNumberFormat="1" applyFont="1" applyFill="1" applyBorder="1" applyAlignment="1">
      <alignment horizontal="center" vertical="top" wrapText="1"/>
    </xf>
    <xf numFmtId="164" fontId="2" fillId="0" borderId="0" xfId="0" applyNumberFormat="1" applyFont="1"/>
    <xf numFmtId="164" fontId="11" fillId="0" borderId="4" xfId="0" applyNumberFormat="1" applyFont="1" applyBorder="1" applyAlignment="1">
      <alignment horizontal="center" vertical="top" wrapText="1"/>
    </xf>
    <xf numFmtId="0" fontId="18" fillId="3" borderId="11" xfId="0" applyFont="1" applyFill="1" applyBorder="1" applyAlignment="1">
      <alignment horizontal="center" vertical="top" wrapText="1"/>
    </xf>
    <xf numFmtId="0" fontId="2" fillId="3" borderId="4" xfId="0" applyFont="1" applyFill="1" applyBorder="1" applyAlignment="1">
      <alignment horizontal="center" vertical="top" wrapText="1"/>
    </xf>
    <xf numFmtId="0" fontId="2"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164" fontId="5" fillId="0" borderId="2" xfId="0" applyNumberFormat="1" applyFont="1" applyBorder="1" applyAlignment="1">
      <alignment horizontal="center" vertical="top" wrapText="1"/>
    </xf>
    <xf numFmtId="164" fontId="5" fillId="3" borderId="4" xfId="0" applyNumberFormat="1" applyFont="1" applyFill="1" applyBorder="1" applyAlignment="1">
      <alignment horizontal="center" vertical="top" wrapText="1"/>
    </xf>
    <xf numFmtId="0" fontId="4" fillId="13" borderId="1" xfId="0" applyFont="1" applyFill="1" applyBorder="1" applyAlignment="1">
      <alignment horizontal="center" vertical="top" wrapText="1"/>
    </xf>
    <xf numFmtId="0" fontId="1" fillId="0" borderId="1" xfId="0" applyFont="1" applyBorder="1"/>
    <xf numFmtId="164" fontId="11" fillId="3" borderId="3" xfId="0" applyNumberFormat="1" applyFont="1" applyFill="1" applyBorder="1" applyAlignment="1">
      <alignment horizontal="center" vertical="top" wrapText="1"/>
    </xf>
    <xf numFmtId="0" fontId="6" fillId="0" borderId="1" xfId="0" applyFont="1" applyBorder="1" applyAlignment="1">
      <alignment horizontal="center" vertical="top" wrapText="1"/>
    </xf>
    <xf numFmtId="0" fontId="2" fillId="0" borderId="5" xfId="0" applyFont="1" applyBorder="1" applyAlignment="1">
      <alignment vertical="top" wrapText="1"/>
    </xf>
    <xf numFmtId="0" fontId="11" fillId="3" borderId="2" xfId="0" applyFont="1" applyFill="1" applyBorder="1" applyAlignment="1">
      <alignment horizontal="center" vertical="top" wrapText="1"/>
    </xf>
    <xf numFmtId="0" fontId="11" fillId="3" borderId="5" xfId="0" applyFont="1" applyFill="1" applyBorder="1" applyAlignment="1">
      <alignment horizontal="center" vertical="top" wrapText="1"/>
    </xf>
    <xf numFmtId="164" fontId="11" fillId="3" borderId="4" xfId="0" applyNumberFormat="1" applyFont="1" applyFill="1" applyBorder="1" applyAlignment="1">
      <alignment horizontal="center" vertical="top" wrapText="1"/>
    </xf>
    <xf numFmtId="0" fontId="6" fillId="3" borderId="1" xfId="0" applyFont="1" applyFill="1" applyBorder="1" applyAlignment="1">
      <alignment horizontal="center" vertical="top" wrapText="1"/>
    </xf>
    <xf numFmtId="164" fontId="11" fillId="0" borderId="2" xfId="0" applyNumberFormat="1" applyFont="1" applyBorder="1" applyAlignment="1">
      <alignment horizontal="center" vertical="top" wrapText="1"/>
    </xf>
    <xf numFmtId="0" fontId="2" fillId="0" borderId="28" xfId="0" applyFont="1" applyBorder="1" applyAlignment="1">
      <alignment vertical="top" wrapText="1"/>
    </xf>
    <xf numFmtId="0" fontId="11" fillId="0" borderId="10" xfId="0" applyFont="1" applyBorder="1" applyAlignment="1">
      <alignment horizontal="center" vertical="top"/>
    </xf>
    <xf numFmtId="0" fontId="11" fillId="0" borderId="12" xfId="0" applyFont="1" applyBorder="1" applyAlignment="1">
      <alignment horizontal="center" vertical="top"/>
    </xf>
    <xf numFmtId="0" fontId="1" fillId="8" borderId="1" xfId="0" applyFont="1" applyFill="1" applyBorder="1"/>
    <xf numFmtId="0" fontId="11" fillId="3" borderId="10" xfId="0" applyFont="1" applyFill="1" applyBorder="1" applyAlignment="1">
      <alignment horizontal="center" vertical="top"/>
    </xf>
    <xf numFmtId="0" fontId="11" fillId="3" borderId="1" xfId="0" applyFont="1" applyFill="1" applyBorder="1" applyAlignment="1">
      <alignment horizontal="center" vertical="top"/>
    </xf>
    <xf numFmtId="0" fontId="11" fillId="8" borderId="1" xfId="0" applyFont="1" applyFill="1" applyBorder="1" applyAlignment="1">
      <alignment horizontal="center" vertical="top"/>
    </xf>
    <xf numFmtId="0" fontId="2" fillId="3" borderId="1" xfId="0" applyFont="1" applyFill="1" applyBorder="1" applyAlignment="1">
      <alignment horizontal="center" vertical="top"/>
    </xf>
    <xf numFmtId="0" fontId="2" fillId="8" borderId="1" xfId="0" applyFont="1" applyFill="1" applyBorder="1" applyAlignment="1">
      <alignment horizontal="center" vertical="top"/>
    </xf>
    <xf numFmtId="0" fontId="5" fillId="13" borderId="2" xfId="0" applyFont="1" applyFill="1" applyBorder="1" applyAlignment="1">
      <alignment vertical="top" wrapText="1"/>
    </xf>
    <xf numFmtId="0" fontId="5" fillId="13" borderId="2" xfId="0" applyFont="1" applyFill="1" applyBorder="1" applyAlignment="1">
      <alignment vertical="top"/>
    </xf>
    <xf numFmtId="0" fontId="5" fillId="13" borderId="1" xfId="0" applyFont="1" applyFill="1" applyBorder="1" applyAlignment="1">
      <alignment vertical="top"/>
    </xf>
    <xf numFmtId="0" fontId="5" fillId="13" borderId="1" xfId="0" applyFont="1" applyFill="1" applyBorder="1" applyAlignment="1">
      <alignment horizontal="center" vertical="top"/>
    </xf>
    <xf numFmtId="49" fontId="11" fillId="0" borderId="10" xfId="0" applyNumberFormat="1" applyFont="1" applyBorder="1" applyAlignment="1">
      <alignment horizontal="center" vertical="top"/>
    </xf>
    <xf numFmtId="49" fontId="11" fillId="0" borderId="30" xfId="0" applyNumberFormat="1" applyFont="1" applyBorder="1" applyAlignment="1">
      <alignment horizontal="center" vertical="top"/>
    </xf>
    <xf numFmtId="49" fontId="11" fillId="0" borderId="32" xfId="0" applyNumberFormat="1" applyFont="1" applyBorder="1" applyAlignment="1">
      <alignment horizontal="center" vertical="top"/>
    </xf>
    <xf numFmtId="49" fontId="11" fillId="0" borderId="14" xfId="0" applyNumberFormat="1" applyFont="1" applyBorder="1" applyAlignment="1">
      <alignment horizontal="center" vertical="top"/>
    </xf>
    <xf numFmtId="49" fontId="11" fillId="3" borderId="10" xfId="0" applyNumberFormat="1" applyFont="1" applyFill="1" applyBorder="1" applyAlignment="1">
      <alignment horizontal="center" vertical="top"/>
    </xf>
    <xf numFmtId="49" fontId="6" fillId="3" borderId="10" xfId="0" applyNumberFormat="1" applyFont="1" applyFill="1" applyBorder="1" applyAlignment="1">
      <alignment horizontal="center" vertical="top"/>
    </xf>
    <xf numFmtId="49" fontId="6" fillId="3" borderId="1" xfId="0" applyNumberFormat="1" applyFont="1" applyFill="1" applyBorder="1" applyAlignment="1">
      <alignment horizontal="center" vertical="top"/>
    </xf>
    <xf numFmtId="49" fontId="6" fillId="0" borderId="10" xfId="0" applyNumberFormat="1" applyFont="1" applyBorder="1" applyAlignment="1">
      <alignment horizontal="center" vertical="top"/>
    </xf>
    <xf numFmtId="0" fontId="2" fillId="3" borderId="37" xfId="0" applyFont="1" applyFill="1" applyBorder="1" applyAlignment="1">
      <alignment vertical="top" wrapText="1"/>
    </xf>
    <xf numFmtId="0" fontId="2" fillId="3" borderId="0" xfId="0" applyFont="1" applyFill="1" applyAlignment="1">
      <alignment horizontal="center" vertical="top" wrapText="1"/>
    </xf>
    <xf numFmtId="0" fontId="6" fillId="3" borderId="10" xfId="0" applyFont="1" applyFill="1" applyBorder="1" applyAlignment="1">
      <alignment horizontal="center" vertical="top"/>
    </xf>
    <xf numFmtId="0" fontId="6" fillId="3" borderId="14" xfId="0" applyFont="1" applyFill="1" applyBorder="1" applyAlignment="1">
      <alignment horizontal="center" vertical="top"/>
    </xf>
    <xf numFmtId="0" fontId="6" fillId="3" borderId="36" xfId="0" applyFont="1" applyFill="1" applyBorder="1" applyAlignment="1">
      <alignment horizontal="center" vertical="top"/>
    </xf>
    <xf numFmtId="0" fontId="15" fillId="3" borderId="38" xfId="0" applyFont="1" applyFill="1" applyBorder="1" applyAlignment="1">
      <alignment vertical="top" wrapText="1"/>
    </xf>
    <xf numFmtId="0" fontId="11" fillId="0" borderId="14" xfId="0" applyFont="1" applyBorder="1" applyAlignment="1">
      <alignment horizontal="center" vertical="top"/>
    </xf>
    <xf numFmtId="0" fontId="11" fillId="3" borderId="14" xfId="0" applyFont="1" applyFill="1" applyBorder="1" applyAlignment="1">
      <alignment horizontal="center" vertical="top"/>
    </xf>
    <xf numFmtId="3" fontId="11" fillId="3" borderId="8" xfId="0" applyNumberFormat="1" applyFont="1" applyFill="1" applyBorder="1" applyAlignment="1">
      <alignment horizontal="center" vertical="top" wrapText="1"/>
    </xf>
    <xf numFmtId="0" fontId="11" fillId="8" borderId="14" xfId="0" applyFont="1" applyFill="1" applyBorder="1" applyAlignment="1">
      <alignment horizontal="center" vertical="top" wrapText="1"/>
    </xf>
    <xf numFmtId="3" fontId="11" fillId="3" borderId="29" xfId="0" applyNumberFormat="1" applyFont="1" applyFill="1" applyBorder="1" applyAlignment="1">
      <alignment horizontal="center" vertical="top" wrapText="1"/>
    </xf>
    <xf numFmtId="0" fontId="22" fillId="3" borderId="1" xfId="0" applyFont="1" applyFill="1" applyBorder="1" applyAlignment="1">
      <alignment horizontal="center" vertical="top" wrapText="1"/>
    </xf>
    <xf numFmtId="0" fontId="11" fillId="15" borderId="1" xfId="0" applyFont="1" applyFill="1" applyBorder="1" applyAlignment="1">
      <alignment horizontal="center" vertical="top" wrapText="1"/>
    </xf>
    <xf numFmtId="0" fontId="20" fillId="8" borderId="1" xfId="0" applyFont="1" applyFill="1" applyBorder="1" applyAlignment="1">
      <alignment horizontal="center" vertical="top" wrapText="1"/>
    </xf>
    <xf numFmtId="0" fontId="22" fillId="8" borderId="1" xfId="0" applyFont="1" applyFill="1" applyBorder="1" applyAlignment="1">
      <alignment horizontal="center" vertical="top" wrapText="1"/>
    </xf>
    <xf numFmtId="0" fontId="5" fillId="3" borderId="31" xfId="0" applyFont="1" applyFill="1" applyBorder="1" applyAlignment="1">
      <alignment vertical="top" wrapText="1"/>
    </xf>
    <xf numFmtId="0" fontId="22" fillId="3" borderId="4" xfId="0" applyFont="1" applyFill="1" applyBorder="1" applyAlignment="1">
      <alignment horizontal="center" vertical="top" wrapText="1"/>
    </xf>
    <xf numFmtId="0" fontId="22" fillId="3" borderId="14" xfId="0" applyFont="1" applyFill="1" applyBorder="1" applyAlignment="1">
      <alignment horizontal="center" vertical="top" wrapText="1"/>
    </xf>
    <xf numFmtId="0" fontId="31" fillId="3" borderId="11" xfId="0" applyFont="1" applyFill="1" applyBorder="1" applyAlignment="1">
      <alignment horizontal="center" vertical="top"/>
    </xf>
    <xf numFmtId="0" fontId="15" fillId="3" borderId="10" xfId="0" applyFont="1" applyFill="1" applyBorder="1" applyAlignment="1">
      <alignment horizontal="center" vertical="top" wrapText="1"/>
    </xf>
    <xf numFmtId="0" fontId="22" fillId="3" borderId="13" xfId="0" applyFont="1" applyFill="1" applyBorder="1" applyAlignment="1">
      <alignment horizontal="center" vertical="top" wrapText="1"/>
    </xf>
    <xf numFmtId="0" fontId="6" fillId="0" borderId="25" xfId="0" applyFont="1" applyBorder="1" applyAlignment="1">
      <alignment horizontal="left" vertical="top" wrapText="1"/>
    </xf>
    <xf numFmtId="0" fontId="22" fillId="3" borderId="36" xfId="0" applyFont="1" applyFill="1" applyBorder="1" applyAlignment="1">
      <alignment horizontal="center" vertical="top"/>
    </xf>
    <xf numFmtId="0" fontId="1" fillId="0" borderId="2" xfId="0" applyFont="1" applyBorder="1"/>
    <xf numFmtId="0" fontId="24" fillId="3" borderId="42" xfId="0" applyFont="1" applyFill="1" applyBorder="1" applyAlignment="1">
      <alignment horizontal="center" vertical="top"/>
    </xf>
    <xf numFmtId="0" fontId="24" fillId="3" borderId="43" xfId="0" applyFont="1" applyFill="1" applyBorder="1" applyAlignment="1">
      <alignment horizontal="center" vertical="top"/>
    </xf>
    <xf numFmtId="0" fontId="22" fillId="3" borderId="42" xfId="0" applyFont="1" applyFill="1" applyBorder="1" applyAlignment="1">
      <alignment horizontal="center" vertical="top" wrapText="1"/>
    </xf>
    <xf numFmtId="0" fontId="22" fillId="3" borderId="44" xfId="0" applyFont="1" applyFill="1" applyBorder="1" applyAlignment="1">
      <alignment horizontal="center" vertical="top" wrapText="1"/>
    </xf>
    <xf numFmtId="0" fontId="31" fillId="3" borderId="45" xfId="0" applyFont="1" applyFill="1" applyBorder="1" applyAlignment="1">
      <alignment horizontal="center" vertical="top"/>
    </xf>
    <xf numFmtId="0" fontId="15" fillId="3" borderId="43" xfId="0" applyFont="1" applyFill="1" applyBorder="1" applyAlignment="1">
      <alignment horizontal="center" vertical="top" wrapText="1"/>
    </xf>
    <xf numFmtId="164" fontId="2" fillId="0" borderId="46" xfId="0" applyNumberFormat="1" applyFont="1" applyBorder="1" applyAlignment="1">
      <alignment horizontal="center" vertical="top" wrapText="1"/>
    </xf>
    <xf numFmtId="164" fontId="2" fillId="0" borderId="47" xfId="0" applyNumberFormat="1" applyFont="1" applyBorder="1" applyAlignment="1">
      <alignment horizontal="center" vertical="top" wrapText="1"/>
    </xf>
    <xf numFmtId="0" fontId="22" fillId="3" borderId="50" xfId="0" applyFont="1" applyFill="1" applyBorder="1" applyAlignment="1">
      <alignment horizontal="center" vertical="top"/>
    </xf>
    <xf numFmtId="166" fontId="22" fillId="3" borderId="50" xfId="0" applyNumberFormat="1" applyFont="1" applyFill="1" applyBorder="1" applyAlignment="1">
      <alignment horizontal="center" vertical="top"/>
    </xf>
    <xf numFmtId="0" fontId="22" fillId="3" borderId="51" xfId="0" applyFont="1" applyFill="1" applyBorder="1" applyAlignment="1">
      <alignment horizontal="center" vertical="top" wrapText="1"/>
    </xf>
    <xf numFmtId="0" fontId="22" fillId="3" borderId="50" xfId="0" applyFont="1" applyFill="1" applyBorder="1" applyAlignment="1">
      <alignment horizontal="center" vertical="top" wrapText="1"/>
    </xf>
    <xf numFmtId="0" fontId="11" fillId="3" borderId="52" xfId="0" applyFont="1" applyFill="1" applyBorder="1" applyAlignment="1">
      <alignment horizontal="center" vertical="top" wrapText="1"/>
    </xf>
    <xf numFmtId="164" fontId="2" fillId="0" borderId="53" xfId="0" applyNumberFormat="1" applyFont="1" applyBorder="1" applyAlignment="1">
      <alignment horizontal="center" vertical="top" wrapText="1"/>
    </xf>
    <xf numFmtId="166" fontId="22" fillId="3" borderId="51" xfId="0" applyNumberFormat="1" applyFont="1" applyFill="1" applyBorder="1" applyAlignment="1">
      <alignment horizontal="center" vertical="top"/>
    </xf>
    <xf numFmtId="0" fontId="25" fillId="3" borderId="42" xfId="0" applyFont="1" applyFill="1" applyBorder="1" applyAlignment="1">
      <alignment vertical="top" wrapText="1"/>
    </xf>
    <xf numFmtId="0" fontId="6" fillId="0" borderId="55" xfId="0" applyFont="1" applyBorder="1" applyAlignment="1">
      <alignment horizontal="left" vertical="top" wrapText="1"/>
    </xf>
    <xf numFmtId="0" fontId="22" fillId="3" borderId="3" xfId="0" applyFont="1" applyFill="1" applyBorder="1" applyAlignment="1">
      <alignment horizontal="center" vertical="top" wrapText="1"/>
    </xf>
    <xf numFmtId="0" fontId="22" fillId="3" borderId="36" xfId="0" applyFont="1" applyFill="1" applyBorder="1" applyAlignment="1">
      <alignment horizontal="center" vertical="top" wrapText="1"/>
    </xf>
    <xf numFmtId="164" fontId="2" fillId="0" borderId="56" xfId="0" applyNumberFormat="1" applyFont="1" applyBorder="1" applyAlignment="1">
      <alignment horizontal="center" vertical="top" wrapText="1"/>
    </xf>
    <xf numFmtId="164" fontId="11" fillId="3" borderId="43" xfId="1" applyNumberFormat="1" applyFont="1" applyFill="1" applyBorder="1" applyAlignment="1">
      <alignment horizontal="center" vertical="top"/>
    </xf>
    <xf numFmtId="164" fontId="11" fillId="3" borderId="42" xfId="1" applyNumberFormat="1" applyFont="1" applyFill="1" applyBorder="1" applyAlignment="1">
      <alignment horizontal="center" vertical="top"/>
    </xf>
    <xf numFmtId="0" fontId="1" fillId="0" borderId="42" xfId="0" applyFont="1" applyBorder="1"/>
    <xf numFmtId="0" fontId="1" fillId="0" borderId="46" xfId="0" applyFont="1" applyBorder="1"/>
    <xf numFmtId="0" fontId="2" fillId="3" borderId="58" xfId="0" applyFont="1" applyFill="1" applyBorder="1" applyAlignment="1">
      <alignment horizontal="left" vertical="top" wrapText="1"/>
    </xf>
    <xf numFmtId="0" fontId="1" fillId="0" borderId="47" xfId="0" applyFont="1" applyBorder="1"/>
    <xf numFmtId="0" fontId="2" fillId="3" borderId="59" xfId="0" applyFont="1" applyFill="1" applyBorder="1" applyAlignment="1">
      <alignment horizontal="left" vertical="top" wrapText="1"/>
    </xf>
    <xf numFmtId="0" fontId="1" fillId="0" borderId="52" xfId="0" applyFont="1" applyBorder="1"/>
    <xf numFmtId="0" fontId="1" fillId="0" borderId="53" xfId="0" applyFont="1" applyBorder="1"/>
    <xf numFmtId="164" fontId="22" fillId="3" borderId="36" xfId="0" applyNumberFormat="1" applyFont="1" applyFill="1" applyBorder="1" applyAlignment="1">
      <alignment horizontal="center" vertical="top"/>
    </xf>
    <xf numFmtId="0" fontId="1" fillId="0" borderId="62" xfId="0" applyFont="1" applyBorder="1"/>
    <xf numFmtId="164" fontId="2" fillId="0" borderId="62" xfId="0" applyNumberFormat="1" applyFont="1" applyBorder="1" applyAlignment="1">
      <alignment horizontal="center" vertical="top" wrapText="1"/>
    </xf>
    <xf numFmtId="0" fontId="18" fillId="3" borderId="11" xfId="0" applyFont="1" applyFill="1" applyBorder="1" applyAlignment="1">
      <alignment horizontal="center" vertical="top"/>
    </xf>
    <xf numFmtId="0" fontId="18" fillId="3" borderId="1" xfId="0" applyFont="1" applyFill="1" applyBorder="1" applyAlignment="1">
      <alignment horizontal="center" vertical="top"/>
    </xf>
    <xf numFmtId="0" fontId="15" fillId="3" borderId="1" xfId="0" applyFont="1" applyFill="1" applyBorder="1" applyAlignment="1">
      <alignment horizontal="center" vertical="top" wrapText="1"/>
    </xf>
    <xf numFmtId="0" fontId="27" fillId="3" borderId="1" xfId="0" applyFont="1" applyFill="1" applyBorder="1" applyAlignment="1">
      <alignment horizontal="center" vertical="top" wrapText="1"/>
    </xf>
    <xf numFmtId="0" fontId="11" fillId="12" borderId="10" xfId="0" applyFont="1" applyFill="1" applyBorder="1" applyAlignment="1">
      <alignment horizontal="center" vertical="top"/>
    </xf>
    <xf numFmtId="0" fontId="6" fillId="12" borderId="10" xfId="0" applyFont="1" applyFill="1" applyBorder="1" applyAlignment="1">
      <alignment horizontal="center" vertical="top"/>
    </xf>
    <xf numFmtId="0" fontId="11" fillId="10" borderId="25" xfId="0" applyFont="1" applyFill="1" applyBorder="1" applyAlignment="1">
      <alignment vertical="top" wrapText="1"/>
    </xf>
    <xf numFmtId="0" fontId="15" fillId="2" borderId="52" xfId="0" applyFont="1" applyFill="1" applyBorder="1" applyAlignment="1">
      <alignment horizontal="center" vertical="top" wrapText="1"/>
    </xf>
    <xf numFmtId="0" fontId="4" fillId="4" borderId="69" xfId="0" applyFont="1" applyFill="1" applyBorder="1" applyAlignment="1">
      <alignment horizontal="left" vertical="top" wrapText="1"/>
    </xf>
    <xf numFmtId="0" fontId="4" fillId="4" borderId="64" xfId="0" applyFont="1" applyFill="1" applyBorder="1" applyAlignment="1">
      <alignment vertical="top" wrapText="1"/>
    </xf>
    <xf numFmtId="0" fontId="4" fillId="4" borderId="70" xfId="0" applyFont="1" applyFill="1" applyBorder="1" applyAlignment="1">
      <alignment vertical="top" wrapText="1"/>
    </xf>
    <xf numFmtId="0" fontId="4" fillId="13" borderId="40" xfId="0" applyFont="1" applyFill="1" applyBorder="1" applyAlignment="1">
      <alignment horizontal="left" vertical="top" wrapText="1"/>
    </xf>
    <xf numFmtId="0" fontId="4" fillId="13" borderId="42" xfId="0" applyFont="1" applyFill="1" applyBorder="1" applyAlignment="1">
      <alignment vertical="top" wrapText="1"/>
    </xf>
    <xf numFmtId="0" fontId="5" fillId="13" borderId="44" xfId="0" applyFont="1" applyFill="1" applyBorder="1" applyAlignment="1">
      <alignment horizontal="center" vertical="top"/>
    </xf>
    <xf numFmtId="0" fontId="4" fillId="13" borderId="46" xfId="0" applyFont="1" applyFill="1" applyBorder="1" applyAlignment="1">
      <alignment horizontal="center" vertical="top" wrapText="1"/>
    </xf>
    <xf numFmtId="0" fontId="4" fillId="13" borderId="71" xfId="0" applyFont="1" applyFill="1" applyBorder="1" applyAlignment="1">
      <alignment horizontal="left" vertical="top" wrapText="1"/>
    </xf>
    <xf numFmtId="0" fontId="4" fillId="13" borderId="52" xfId="0" applyFont="1" applyFill="1" applyBorder="1" applyAlignment="1">
      <alignment vertical="top" wrapText="1"/>
    </xf>
    <xf numFmtId="0" fontId="4" fillId="13" borderId="52" xfId="0" applyFont="1" applyFill="1" applyBorder="1" applyAlignment="1">
      <alignment horizontal="center" vertical="top" wrapText="1"/>
    </xf>
    <xf numFmtId="0" fontId="4" fillId="13" borderId="53" xfId="0" applyFont="1" applyFill="1" applyBorder="1" applyAlignment="1">
      <alignment horizontal="center" vertical="top" wrapText="1"/>
    </xf>
    <xf numFmtId="0" fontId="4" fillId="4" borderId="69" xfId="0" applyFont="1" applyFill="1" applyBorder="1" applyAlignment="1">
      <alignment vertical="top" wrapText="1"/>
    </xf>
    <xf numFmtId="0" fontId="4" fillId="13" borderId="40" xfId="0" applyFont="1" applyFill="1" applyBorder="1" applyAlignment="1">
      <alignment vertical="top" wrapText="1"/>
    </xf>
    <xf numFmtId="0" fontId="4" fillId="13" borderId="71" xfId="0" applyFont="1" applyFill="1" applyBorder="1" applyAlignment="1">
      <alignment vertical="top" wrapText="1"/>
    </xf>
    <xf numFmtId="0" fontId="1" fillId="0" borderId="76" xfId="0" applyFont="1" applyBorder="1"/>
    <xf numFmtId="3" fontId="6" fillId="3" borderId="76" xfId="0" applyNumberFormat="1" applyFont="1" applyFill="1" applyBorder="1" applyAlignment="1">
      <alignment horizontal="left" vertical="top" wrapText="1"/>
    </xf>
    <xf numFmtId="0" fontId="29" fillId="0" borderId="47" xfId="0" applyFont="1" applyBorder="1" applyAlignment="1">
      <alignment horizontal="center" vertical="top" wrapText="1"/>
    </xf>
    <xf numFmtId="3" fontId="6" fillId="3" borderId="76" xfId="0" applyNumberFormat="1" applyFont="1" applyFill="1" applyBorder="1" applyAlignment="1">
      <alignment vertical="top" wrapText="1"/>
    </xf>
    <xf numFmtId="0" fontId="6" fillId="0" borderId="47" xfId="0" applyFont="1" applyBorder="1" applyAlignment="1">
      <alignment horizontal="center" vertical="top" wrapText="1"/>
    </xf>
    <xf numFmtId="3" fontId="2" fillId="0" borderId="76" xfId="0" applyNumberFormat="1" applyFont="1" applyBorder="1" applyAlignment="1">
      <alignment horizontal="left" vertical="top" wrapText="1"/>
    </xf>
    <xf numFmtId="0" fontId="6" fillId="12" borderId="76" xfId="0" applyFont="1" applyFill="1" applyBorder="1" applyAlignment="1">
      <alignment vertical="top" wrapText="1"/>
    </xf>
    <xf numFmtId="0" fontId="11" fillId="12" borderId="77" xfId="0" applyFont="1" applyFill="1" applyBorder="1" applyAlignment="1">
      <alignment vertical="top" wrapText="1"/>
    </xf>
    <xf numFmtId="0" fontId="6" fillId="0" borderId="62" xfId="0" applyFont="1" applyBorder="1" applyAlignment="1">
      <alignment horizontal="center" vertical="top" wrapText="1"/>
    </xf>
    <xf numFmtId="0" fontId="6" fillId="12" borderId="75" xfId="0" applyFont="1" applyFill="1" applyBorder="1" applyAlignment="1">
      <alignment vertical="top" wrapText="1"/>
    </xf>
    <xf numFmtId="0" fontId="6" fillId="0" borderId="78" xfId="0" applyFont="1" applyBorder="1" applyAlignment="1">
      <alignment horizontal="center" vertical="top" wrapText="1"/>
    </xf>
    <xf numFmtId="3" fontId="21" fillId="3" borderId="76" xfId="0" applyNumberFormat="1" applyFont="1" applyFill="1" applyBorder="1" applyAlignment="1">
      <alignment horizontal="left" vertical="top" wrapText="1"/>
    </xf>
    <xf numFmtId="3" fontId="21" fillId="3" borderId="76" xfId="0" applyNumberFormat="1" applyFont="1" applyFill="1" applyBorder="1" applyAlignment="1">
      <alignment vertical="top" wrapText="1"/>
    </xf>
    <xf numFmtId="164" fontId="2" fillId="3" borderId="47" xfId="0" applyNumberFormat="1" applyFont="1" applyFill="1" applyBorder="1" applyAlignment="1">
      <alignment horizontal="center" vertical="top" wrapText="1"/>
    </xf>
    <xf numFmtId="0" fontId="20" fillId="10" borderId="76" xfId="0" applyFont="1" applyFill="1" applyBorder="1" applyAlignment="1">
      <alignment vertical="top" wrapText="1"/>
    </xf>
    <xf numFmtId="0" fontId="1" fillId="8" borderId="76" xfId="0" applyFont="1" applyFill="1" applyBorder="1"/>
    <xf numFmtId="0" fontId="1" fillId="8" borderId="47" xfId="0" applyFont="1" applyFill="1" applyBorder="1"/>
    <xf numFmtId="0" fontId="6" fillId="8" borderId="76" xfId="0" applyFont="1" applyFill="1" applyBorder="1" applyAlignment="1">
      <alignment vertical="top" wrapText="1"/>
    </xf>
    <xf numFmtId="0" fontId="2" fillId="8" borderId="47" xfId="0" applyFont="1" applyFill="1" applyBorder="1" applyAlignment="1">
      <alignment horizontal="center" vertical="top" wrapText="1"/>
    </xf>
    <xf numFmtId="0" fontId="2" fillId="0" borderId="47" xfId="0" applyFont="1" applyBorder="1" applyAlignment="1">
      <alignment horizontal="center" vertical="top" wrapText="1"/>
    </xf>
    <xf numFmtId="0" fontId="6" fillId="3" borderId="76" xfId="0" applyFont="1" applyFill="1" applyBorder="1" applyAlignment="1">
      <alignment vertical="top" wrapText="1"/>
    </xf>
    <xf numFmtId="0" fontId="2" fillId="3" borderId="47" xfId="0" applyFont="1" applyFill="1" applyBorder="1" applyAlignment="1">
      <alignment horizontal="center" vertical="top" wrapText="1"/>
    </xf>
    <xf numFmtId="0" fontId="5" fillId="13" borderId="76" xfId="0" applyFont="1" applyFill="1" applyBorder="1" applyAlignment="1">
      <alignment vertical="top" wrapText="1"/>
    </xf>
    <xf numFmtId="0" fontId="15" fillId="13" borderId="47" xfId="0" applyFont="1" applyFill="1" applyBorder="1" applyAlignment="1">
      <alignment horizontal="center" vertical="top" wrapText="1"/>
    </xf>
    <xf numFmtId="0" fontId="4" fillId="13" borderId="76" xfId="0" applyFont="1" applyFill="1" applyBorder="1" applyAlignment="1">
      <alignment vertical="top" wrapText="1"/>
    </xf>
    <xf numFmtId="3" fontId="11" fillId="3" borderId="76" xfId="0" applyNumberFormat="1" applyFont="1" applyFill="1" applyBorder="1" applyAlignment="1">
      <alignment horizontal="left" vertical="top" wrapText="1"/>
    </xf>
    <xf numFmtId="0" fontId="11" fillId="0" borderId="47" xfId="0" applyFont="1" applyBorder="1" applyAlignment="1">
      <alignment horizontal="center" vertical="top" wrapText="1"/>
    </xf>
    <xf numFmtId="3" fontId="18" fillId="3" borderId="80" xfId="0" applyNumberFormat="1" applyFont="1" applyFill="1" applyBorder="1" applyAlignment="1">
      <alignment horizontal="left" vertical="top" wrapText="1"/>
    </xf>
    <xf numFmtId="0" fontId="11" fillId="0" borderId="81" xfId="0" applyFont="1" applyBorder="1" applyAlignment="1">
      <alignment horizontal="center" vertical="top" wrapText="1"/>
    </xf>
    <xf numFmtId="3" fontId="11" fillId="3" borderId="82" xfId="0" applyNumberFormat="1" applyFont="1" applyFill="1" applyBorder="1" applyAlignment="1">
      <alignment horizontal="left" vertical="top" wrapText="1"/>
    </xf>
    <xf numFmtId="0" fontId="11" fillId="0" borderId="83" xfId="0" applyFont="1" applyBorder="1" applyAlignment="1">
      <alignment horizontal="center" vertical="top" wrapText="1"/>
    </xf>
    <xf numFmtId="3" fontId="11" fillId="3" borderId="75" xfId="0" applyNumberFormat="1" applyFont="1" applyFill="1" applyBorder="1" applyAlignment="1">
      <alignment horizontal="left" vertical="top" wrapText="1"/>
    </xf>
    <xf numFmtId="0" fontId="11" fillId="0" borderId="56" xfId="0" applyFont="1" applyBorder="1" applyAlignment="1">
      <alignment horizontal="center" vertical="top" wrapText="1"/>
    </xf>
    <xf numFmtId="3" fontId="18" fillId="3" borderId="76" xfId="0" applyNumberFormat="1" applyFont="1" applyFill="1" applyBorder="1" applyAlignment="1">
      <alignment horizontal="left" vertical="top" wrapText="1"/>
    </xf>
    <xf numFmtId="3" fontId="30" fillId="3" borderId="76" xfId="0" applyNumberFormat="1" applyFont="1" applyFill="1" applyBorder="1" applyAlignment="1">
      <alignment horizontal="left" vertical="top" wrapText="1"/>
    </xf>
    <xf numFmtId="3" fontId="6" fillId="0" borderId="76" xfId="0" applyNumberFormat="1" applyFont="1" applyBorder="1" applyAlignment="1">
      <alignment vertical="top" wrapText="1"/>
    </xf>
    <xf numFmtId="0" fontId="6" fillId="3" borderId="76" xfId="0" applyFont="1" applyFill="1" applyBorder="1" applyAlignment="1">
      <alignment horizontal="left" vertical="top" wrapText="1"/>
    </xf>
    <xf numFmtId="3" fontId="22" fillId="3" borderId="76" xfId="0" applyNumberFormat="1" applyFont="1" applyFill="1" applyBorder="1" applyAlignment="1">
      <alignment vertical="top" wrapText="1"/>
    </xf>
    <xf numFmtId="3" fontId="6" fillId="0" borderId="76" xfId="0" applyNumberFormat="1" applyFont="1" applyBorder="1" applyAlignment="1">
      <alignment horizontal="left" vertical="top" wrapText="1"/>
    </xf>
    <xf numFmtId="3" fontId="22" fillId="3" borderId="76" xfId="0" applyNumberFormat="1" applyFont="1" applyFill="1" applyBorder="1" applyAlignment="1">
      <alignment horizontal="left" vertical="top" wrapText="1"/>
    </xf>
    <xf numFmtId="3" fontId="21" fillId="3" borderId="79" xfId="0" applyNumberFormat="1" applyFont="1" applyFill="1" applyBorder="1" applyAlignment="1">
      <alignment vertical="top" wrapText="1"/>
    </xf>
    <xf numFmtId="0" fontId="2" fillId="0" borderId="62" xfId="0" applyFont="1" applyBorder="1" applyAlignment="1">
      <alignment horizontal="center" vertical="top" wrapText="1"/>
    </xf>
    <xf numFmtId="3" fontId="11" fillId="3" borderId="79" xfId="0" applyNumberFormat="1" applyFont="1" applyFill="1" applyBorder="1" applyAlignment="1">
      <alignment horizontal="left" vertical="top" wrapText="1"/>
    </xf>
    <xf numFmtId="0" fontId="11" fillId="0" borderId="84" xfId="0" applyFont="1" applyBorder="1" applyAlignment="1">
      <alignment vertical="top" wrapText="1"/>
    </xf>
    <xf numFmtId="0" fontId="6" fillId="0" borderId="84" xfId="0" applyFont="1" applyBorder="1" applyAlignment="1">
      <alignment vertical="top" wrapText="1"/>
    </xf>
    <xf numFmtId="0" fontId="11" fillId="8" borderId="76" xfId="0" applyFont="1" applyFill="1" applyBorder="1" applyAlignment="1">
      <alignment vertical="top" wrapText="1"/>
    </xf>
    <xf numFmtId="0" fontId="11" fillId="3" borderId="76" xfId="0" applyFont="1" applyFill="1" applyBorder="1" applyAlignment="1">
      <alignment vertical="top" wrapText="1"/>
    </xf>
    <xf numFmtId="164" fontId="5" fillId="0" borderId="47" xfId="0" applyNumberFormat="1" applyFont="1" applyBorder="1" applyAlignment="1">
      <alignment horizontal="center" vertical="top" wrapText="1"/>
    </xf>
    <xf numFmtId="0" fontId="11" fillId="0" borderId="79" xfId="0" applyFont="1" applyBorder="1" applyAlignment="1">
      <alignment vertical="top" wrapText="1"/>
    </xf>
    <xf numFmtId="164" fontId="5" fillId="0" borderId="62" xfId="0" applyNumberFormat="1" applyFont="1" applyBorder="1" applyAlignment="1">
      <alignment horizontal="center" vertical="top" wrapText="1"/>
    </xf>
    <xf numFmtId="0" fontId="2" fillId="3" borderId="86" xfId="0" applyFont="1" applyFill="1" applyBorder="1" applyAlignment="1">
      <alignment vertical="top" wrapText="1"/>
    </xf>
    <xf numFmtId="0" fontId="2" fillId="8" borderId="76" xfId="0" applyFont="1" applyFill="1" applyBorder="1" applyAlignment="1">
      <alignment vertical="top" wrapText="1"/>
    </xf>
    <xf numFmtId="0" fontId="11" fillId="15" borderId="76" xfId="0" applyFont="1" applyFill="1" applyBorder="1" applyAlignment="1">
      <alignment vertical="top" wrapText="1"/>
    </xf>
    <xf numFmtId="0" fontId="29" fillId="15" borderId="47" xfId="0" applyFont="1" applyFill="1" applyBorder="1" applyAlignment="1">
      <alignment horizontal="center" vertical="top" wrapText="1"/>
    </xf>
    <xf numFmtId="3" fontId="11" fillId="3" borderId="76" xfId="0" applyNumberFormat="1" applyFont="1" applyFill="1" applyBorder="1" applyAlignment="1">
      <alignment vertical="top" wrapText="1"/>
    </xf>
    <xf numFmtId="0" fontId="1" fillId="0" borderId="79" xfId="0" applyFont="1" applyBorder="1"/>
    <xf numFmtId="3" fontId="6" fillId="3" borderId="40" xfId="0" applyNumberFormat="1" applyFont="1" applyFill="1" applyBorder="1" applyAlignment="1">
      <alignment vertical="top" wrapText="1"/>
    </xf>
    <xf numFmtId="3" fontId="6" fillId="3" borderId="79" xfId="0" applyNumberFormat="1" applyFont="1" applyFill="1" applyBorder="1" applyAlignment="1">
      <alignment horizontal="left" vertical="top" wrapText="1"/>
    </xf>
    <xf numFmtId="0" fontId="11" fillId="12" borderId="47" xfId="0" applyFont="1" applyFill="1" applyBorder="1" applyAlignment="1">
      <alignment horizontal="center" vertical="top" wrapText="1"/>
    </xf>
    <xf numFmtId="0" fontId="11" fillId="3" borderId="76" xfId="0" applyFont="1" applyFill="1" applyBorder="1" applyAlignment="1">
      <alignment horizontal="left" vertical="top" wrapText="1"/>
    </xf>
    <xf numFmtId="0" fontId="11" fillId="0" borderId="76" xfId="0" applyFont="1" applyBorder="1" applyAlignment="1">
      <alignment horizontal="left" vertical="top" wrapText="1"/>
    </xf>
    <xf numFmtId="0" fontId="22" fillId="0" borderId="76" xfId="0" applyFont="1" applyBorder="1" applyAlignment="1">
      <alignment vertical="top" wrapText="1"/>
    </xf>
    <xf numFmtId="0" fontId="22" fillId="3" borderId="76" xfId="0" applyFont="1" applyFill="1" applyBorder="1" applyAlignment="1">
      <alignment vertical="top" wrapText="1"/>
    </xf>
    <xf numFmtId="0" fontId="21" fillId="3" borderId="76" xfId="0" applyFont="1" applyFill="1" applyBorder="1" applyAlignment="1">
      <alignment horizontal="left" vertical="top" wrapText="1"/>
    </xf>
    <xf numFmtId="164" fontId="2" fillId="3" borderId="56" xfId="0" applyNumberFormat="1" applyFont="1" applyFill="1" applyBorder="1" applyAlignment="1">
      <alignment horizontal="center" vertical="top" wrapText="1"/>
    </xf>
    <xf numFmtId="0" fontId="1" fillId="0" borderId="71" xfId="0" applyFont="1" applyBorder="1"/>
    <xf numFmtId="0" fontId="4" fillId="13" borderId="46" xfId="0" applyFont="1" applyFill="1" applyBorder="1" applyAlignment="1">
      <alignment vertical="top" wrapText="1"/>
    </xf>
    <xf numFmtId="0" fontId="4" fillId="13" borderId="53" xfId="0" applyFont="1" applyFill="1" applyBorder="1" applyAlignment="1">
      <alignment vertical="top" wrapText="1"/>
    </xf>
    <xf numFmtId="164" fontId="11" fillId="3" borderId="47" xfId="0" applyNumberFormat="1" applyFont="1" applyFill="1" applyBorder="1" applyAlignment="1">
      <alignment horizontal="center" vertical="top" wrapText="1"/>
    </xf>
    <xf numFmtId="164" fontId="11" fillId="3" borderId="62" xfId="0" applyNumberFormat="1" applyFont="1" applyFill="1" applyBorder="1" applyAlignment="1">
      <alignment horizontal="center" vertical="top" wrapText="1"/>
    </xf>
    <xf numFmtId="164" fontId="11" fillId="3" borderId="89" xfId="0" applyNumberFormat="1" applyFont="1" applyFill="1" applyBorder="1" applyAlignment="1">
      <alignment horizontal="center" vertical="top" wrapText="1"/>
    </xf>
    <xf numFmtId="164" fontId="11" fillId="3" borderId="78" xfId="0" applyNumberFormat="1" applyFont="1" applyFill="1" applyBorder="1" applyAlignment="1">
      <alignment horizontal="center" vertical="top" wrapText="1"/>
    </xf>
    <xf numFmtId="164" fontId="11" fillId="3" borderId="56" xfId="0" applyNumberFormat="1" applyFont="1" applyFill="1" applyBorder="1" applyAlignment="1">
      <alignment horizontal="center" vertical="top" wrapText="1"/>
    </xf>
    <xf numFmtId="164" fontId="15" fillId="3" borderId="47" xfId="0" applyNumberFormat="1" applyFont="1" applyFill="1" applyBorder="1" applyAlignment="1">
      <alignment horizontal="center" vertical="top" wrapText="1"/>
    </xf>
    <xf numFmtId="0" fontId="6" fillId="3" borderId="79" xfId="0" applyFont="1" applyFill="1" applyBorder="1" applyAlignment="1">
      <alignment horizontal="left" vertical="top" wrapText="1"/>
    </xf>
    <xf numFmtId="164" fontId="5" fillId="8" borderId="81" xfId="0" applyNumberFormat="1" applyFont="1" applyFill="1" applyBorder="1" applyAlignment="1">
      <alignment horizontal="center" vertical="top" wrapText="1"/>
    </xf>
    <xf numFmtId="164" fontId="5" fillId="0" borderId="56" xfId="0" applyNumberFormat="1" applyFont="1" applyBorder="1" applyAlignment="1">
      <alignment horizontal="center" vertical="top" wrapText="1"/>
    </xf>
    <xf numFmtId="0" fontId="5" fillId="8" borderId="76" xfId="0" applyFont="1" applyFill="1" applyBorder="1" applyAlignment="1">
      <alignment horizontal="left" vertical="top" wrapText="1"/>
    </xf>
    <xf numFmtId="164" fontId="5" fillId="8" borderId="47" xfId="0" applyNumberFormat="1" applyFont="1" applyFill="1" applyBorder="1" applyAlignment="1">
      <alignment horizontal="center" vertical="top" wrapText="1"/>
    </xf>
    <xf numFmtId="0" fontId="5" fillId="8" borderId="75" xfId="0" applyFont="1" applyFill="1" applyBorder="1" applyAlignment="1">
      <alignment horizontal="justify" vertical="top" wrapText="1"/>
    </xf>
    <xf numFmtId="164" fontId="5" fillId="8" borderId="47" xfId="0" applyNumberFormat="1" applyFont="1" applyFill="1" applyBorder="1" applyAlignment="1">
      <alignment horizontal="center" vertical="top"/>
    </xf>
    <xf numFmtId="164" fontId="2" fillId="3" borderId="47" xfId="0" applyNumberFormat="1" applyFont="1" applyFill="1" applyBorder="1" applyAlignment="1">
      <alignment horizontal="center" vertical="top"/>
    </xf>
    <xf numFmtId="164" fontId="15" fillId="8" borderId="47" xfId="0" applyNumberFormat="1" applyFont="1" applyFill="1" applyBorder="1" applyAlignment="1">
      <alignment horizontal="center" vertical="top" wrapText="1"/>
    </xf>
    <xf numFmtId="0" fontId="2" fillId="0" borderId="76" xfId="0" applyFont="1" applyBorder="1" applyAlignment="1">
      <alignment horizontal="center" vertical="top" wrapText="1"/>
    </xf>
    <xf numFmtId="164" fontId="15" fillId="0" borderId="47" xfId="0" applyNumberFormat="1" applyFont="1" applyBorder="1" applyAlignment="1">
      <alignment vertical="top" wrapText="1"/>
    </xf>
    <xf numFmtId="0" fontId="11" fillId="8" borderId="76" xfId="0" applyFont="1" applyFill="1" applyBorder="1" applyAlignment="1">
      <alignment horizontal="justify" vertical="top" wrapText="1"/>
    </xf>
    <xf numFmtId="164" fontId="5" fillId="0" borderId="47" xfId="0" applyNumberFormat="1" applyFont="1" applyBorder="1" applyAlignment="1">
      <alignment vertical="top" wrapText="1"/>
    </xf>
    <xf numFmtId="164" fontId="15" fillId="3" borderId="47" xfId="0" applyNumberFormat="1" applyFont="1" applyFill="1" applyBorder="1" applyAlignment="1">
      <alignment vertical="top" wrapText="1"/>
    </xf>
    <xf numFmtId="164" fontId="4" fillId="8" borderId="56" xfId="0" applyNumberFormat="1" applyFont="1" applyFill="1" applyBorder="1" applyAlignment="1">
      <alignment horizontal="center" vertical="top" wrapText="1"/>
    </xf>
    <xf numFmtId="164" fontId="4" fillId="3" borderId="47" xfId="0" applyNumberFormat="1" applyFont="1" applyFill="1" applyBorder="1" applyAlignment="1">
      <alignment horizontal="center" vertical="top" wrapText="1"/>
    </xf>
    <xf numFmtId="0" fontId="4" fillId="8" borderId="76" xfId="0" applyFont="1" applyFill="1" applyBorder="1" applyAlignment="1">
      <alignment horizontal="justify" vertical="top" wrapText="1"/>
    </xf>
    <xf numFmtId="164" fontId="5" fillId="3" borderId="47" xfId="0" applyNumberFormat="1" applyFont="1" applyFill="1" applyBorder="1" applyAlignment="1">
      <alignment horizontal="center" vertical="top" wrapText="1"/>
    </xf>
    <xf numFmtId="0" fontId="6" fillId="8" borderId="90" xfId="0" applyFont="1" applyFill="1" applyBorder="1" applyAlignment="1">
      <alignment vertical="top" wrapText="1"/>
    </xf>
    <xf numFmtId="0" fontId="15" fillId="8" borderId="84" xfId="0" applyFont="1" applyFill="1" applyBorder="1" applyAlignment="1">
      <alignment vertical="top" wrapText="1"/>
    </xf>
    <xf numFmtId="0" fontId="15" fillId="3" borderId="86" xfId="0" applyFont="1" applyFill="1" applyBorder="1" applyAlignment="1">
      <alignment vertical="top" wrapText="1"/>
    </xf>
    <xf numFmtId="0" fontId="4" fillId="8" borderId="75" xfId="0" applyFont="1" applyFill="1" applyBorder="1" applyAlignment="1">
      <alignment horizontal="left" vertical="top" wrapText="1"/>
    </xf>
    <xf numFmtId="0" fontId="5" fillId="13" borderId="76" xfId="0" applyFont="1" applyFill="1" applyBorder="1" applyAlignment="1">
      <alignment horizontal="left" vertical="top" wrapText="1"/>
    </xf>
    <xf numFmtId="0" fontId="5" fillId="13" borderId="47" xfId="0" applyFont="1" applyFill="1" applyBorder="1" applyAlignment="1">
      <alignment vertical="top"/>
    </xf>
    <xf numFmtId="164" fontId="6" fillId="3" borderId="47" xfId="0" applyNumberFormat="1" applyFont="1" applyFill="1" applyBorder="1" applyAlignment="1">
      <alignment horizontal="center" vertical="top" wrapText="1"/>
    </xf>
    <xf numFmtId="0" fontId="2" fillId="3" borderId="86" xfId="0" applyFont="1" applyFill="1" applyBorder="1" applyAlignment="1">
      <alignment horizontal="left" vertical="top" wrapText="1"/>
    </xf>
    <xf numFmtId="164" fontId="11" fillId="0" borderId="47" xfId="0" applyNumberFormat="1" applyFont="1" applyBorder="1" applyAlignment="1">
      <alignment horizontal="center" vertical="top" wrapText="1"/>
    </xf>
    <xf numFmtId="0" fontId="11" fillId="3" borderId="86" xfId="0" applyFont="1" applyFill="1" applyBorder="1" applyAlignment="1">
      <alignment horizontal="left" vertical="top" wrapText="1"/>
    </xf>
    <xf numFmtId="164" fontId="4" fillId="0" borderId="47" xfId="0" applyNumberFormat="1" applyFont="1" applyBorder="1" applyAlignment="1">
      <alignment horizontal="center" vertical="top" wrapText="1"/>
    </xf>
    <xf numFmtId="164" fontId="5" fillId="0" borderId="81" xfId="0" applyNumberFormat="1" applyFont="1" applyBorder="1" applyAlignment="1">
      <alignment horizontal="center" vertical="top" wrapText="1"/>
    </xf>
    <xf numFmtId="164" fontId="5" fillId="0" borderId="92" xfId="0" applyNumberFormat="1" applyFont="1" applyBorder="1" applyAlignment="1">
      <alignment horizontal="center" vertical="top" wrapText="1"/>
    </xf>
    <xf numFmtId="164" fontId="5" fillId="0" borderId="93" xfId="0" applyNumberFormat="1" applyFont="1" applyBorder="1" applyAlignment="1">
      <alignment horizontal="center" vertical="top" wrapText="1"/>
    </xf>
    <xf numFmtId="0" fontId="2" fillId="8" borderId="75" xfId="0" applyFont="1" applyFill="1" applyBorder="1" applyAlignment="1">
      <alignment horizontal="left" vertical="top" wrapText="1"/>
    </xf>
    <xf numFmtId="0" fontId="5" fillId="3" borderId="79" xfId="0" applyFont="1" applyFill="1" applyBorder="1" applyAlignment="1">
      <alignment vertical="top" wrapText="1"/>
    </xf>
    <xf numFmtId="0" fontId="5" fillId="3" borderId="86" xfId="0" applyFont="1" applyFill="1" applyBorder="1" applyAlignment="1">
      <alignment vertical="top" wrapText="1"/>
    </xf>
    <xf numFmtId="0" fontId="5" fillId="8" borderId="76" xfId="0" applyFont="1" applyFill="1" applyBorder="1" applyAlignment="1">
      <alignment vertical="top" wrapText="1"/>
    </xf>
    <xf numFmtId="164" fontId="15" fillId="3" borderId="81" xfId="0" applyNumberFormat="1" applyFont="1" applyFill="1" applyBorder="1" applyAlignment="1">
      <alignment horizontal="center" vertical="top" wrapText="1"/>
    </xf>
    <xf numFmtId="164" fontId="15" fillId="3" borderId="93" xfId="0" applyNumberFormat="1" applyFont="1" applyFill="1" applyBorder="1" applyAlignment="1">
      <alignment horizontal="center" vertical="top" wrapText="1"/>
    </xf>
    <xf numFmtId="164" fontId="5" fillId="3" borderId="56" xfId="0" applyNumberFormat="1" applyFont="1" applyFill="1" applyBorder="1" applyAlignment="1">
      <alignment horizontal="center" vertical="top" wrapText="1"/>
    </xf>
    <xf numFmtId="0" fontId="15" fillId="8" borderId="76" xfId="0" applyFont="1" applyFill="1" applyBorder="1" applyAlignment="1">
      <alignment vertical="top" wrapText="1"/>
    </xf>
    <xf numFmtId="164" fontId="15" fillId="3" borderId="56" xfId="0" applyNumberFormat="1" applyFont="1" applyFill="1" applyBorder="1" applyAlignment="1">
      <alignment horizontal="center" vertical="top" wrapText="1"/>
    </xf>
    <xf numFmtId="0" fontId="5" fillId="8" borderId="75" xfId="0" applyFont="1" applyFill="1" applyBorder="1" applyAlignment="1">
      <alignment vertical="top" wrapText="1"/>
    </xf>
    <xf numFmtId="0" fontId="15" fillId="8" borderId="90" xfId="0" applyFont="1" applyFill="1" applyBorder="1" applyAlignment="1">
      <alignment vertical="top" wrapText="1"/>
    </xf>
    <xf numFmtId="0" fontId="15" fillId="8" borderId="75" xfId="0" applyFont="1" applyFill="1" applyBorder="1" applyAlignment="1">
      <alignment vertical="top" wrapText="1"/>
    </xf>
    <xf numFmtId="164" fontId="21" fillId="3" borderId="94" xfId="0" applyNumberFormat="1" applyFont="1" applyFill="1" applyBorder="1" applyAlignment="1">
      <alignment horizontal="center" vertical="top" wrapText="1"/>
    </xf>
    <xf numFmtId="164" fontId="21" fillId="3" borderId="95" xfId="0" applyNumberFormat="1" applyFont="1" applyFill="1" applyBorder="1" applyAlignment="1">
      <alignment horizontal="center" vertical="top" wrapText="1"/>
    </xf>
    <xf numFmtId="164" fontId="22" fillId="3" borderId="96" xfId="0" applyNumberFormat="1" applyFont="1" applyFill="1" applyBorder="1" applyAlignment="1">
      <alignment horizontal="center" vertical="top"/>
    </xf>
    <xf numFmtId="164" fontId="22" fillId="3" borderId="85" xfId="0" applyNumberFormat="1" applyFont="1" applyFill="1" applyBorder="1" applyAlignment="1">
      <alignment horizontal="center" vertical="top"/>
    </xf>
    <xf numFmtId="164" fontId="24" fillId="3" borderId="97" xfId="0" applyNumberFormat="1" applyFont="1" applyFill="1" applyBorder="1" applyAlignment="1">
      <alignment horizontal="center" vertical="top"/>
    </xf>
    <xf numFmtId="166" fontId="22" fillId="3" borderId="95" xfId="0" applyNumberFormat="1" applyFont="1" applyFill="1" applyBorder="1" applyAlignment="1">
      <alignment horizontal="center" vertical="top"/>
    </xf>
    <xf numFmtId="166" fontId="22" fillId="3" borderId="98" xfId="0" applyNumberFormat="1" applyFont="1" applyFill="1" applyBorder="1" applyAlignment="1">
      <alignment horizontal="center" vertical="top"/>
    </xf>
    <xf numFmtId="166" fontId="11" fillId="3" borderId="47" xfId="1" applyNumberFormat="1" applyFont="1" applyFill="1" applyBorder="1" applyAlignment="1">
      <alignment horizontal="center" vertical="top"/>
    </xf>
    <xf numFmtId="166" fontId="22" fillId="0" borderId="96" xfId="0" applyNumberFormat="1" applyFont="1" applyBorder="1" applyAlignment="1">
      <alignment horizontal="center" vertical="top"/>
    </xf>
    <xf numFmtId="166" fontId="22" fillId="0" borderId="95" xfId="0" applyNumberFormat="1" applyFont="1" applyBorder="1" applyAlignment="1">
      <alignment horizontal="center" vertical="top"/>
    </xf>
    <xf numFmtId="166" fontId="22" fillId="3" borderId="96" xfId="0" applyNumberFormat="1" applyFont="1" applyFill="1" applyBorder="1" applyAlignment="1">
      <alignment horizontal="center" vertical="top"/>
    </xf>
    <xf numFmtId="166" fontId="11" fillId="10" borderId="47" xfId="0" applyNumberFormat="1" applyFont="1" applyFill="1" applyBorder="1" applyAlignment="1">
      <alignment horizontal="center" vertical="top" wrapText="1"/>
    </xf>
    <xf numFmtId="164" fontId="4" fillId="8" borderId="47" xfId="0" applyNumberFormat="1" applyFont="1" applyFill="1" applyBorder="1" applyAlignment="1">
      <alignment horizontal="center" vertical="top"/>
    </xf>
    <xf numFmtId="164" fontId="4" fillId="6" borderId="47" xfId="1" applyNumberFormat="1" applyFont="1" applyFill="1" applyBorder="1" applyAlignment="1">
      <alignment horizontal="center" vertical="top"/>
    </xf>
    <xf numFmtId="164" fontId="4" fillId="5" borderId="47" xfId="0" applyNumberFormat="1" applyFont="1" applyFill="1" applyBorder="1" applyAlignment="1">
      <alignment horizontal="center" vertical="top"/>
    </xf>
    <xf numFmtId="164" fontId="2" fillId="8" borderId="75" xfId="0" applyNumberFormat="1" applyFont="1" applyFill="1" applyBorder="1" applyAlignment="1">
      <alignment horizontal="left" vertical="top" wrapText="1"/>
    </xf>
    <xf numFmtId="0" fontId="11" fillId="10" borderId="47" xfId="0" applyFont="1" applyFill="1" applyBorder="1" applyAlignment="1">
      <alignment horizontal="center" vertical="top" wrapText="1"/>
    </xf>
    <xf numFmtId="0" fontId="11" fillId="10" borderId="99" xfId="0" applyFont="1" applyFill="1" applyBorder="1" applyAlignment="1">
      <alignment horizontal="left" vertical="top" wrapText="1"/>
    </xf>
    <xf numFmtId="0" fontId="15" fillId="12" borderId="47" xfId="0" applyFont="1" applyFill="1" applyBorder="1" applyAlignment="1">
      <alignment horizontal="center" vertical="top" wrapText="1"/>
    </xf>
    <xf numFmtId="166" fontId="15" fillId="12" borderId="47" xfId="0" applyNumberFormat="1" applyFont="1" applyFill="1" applyBorder="1" applyAlignment="1">
      <alignment horizontal="center" vertical="top" wrapText="1"/>
    </xf>
    <xf numFmtId="164" fontId="22" fillId="3" borderId="95" xfId="0" applyNumberFormat="1" applyFont="1" applyFill="1" applyBorder="1" applyAlignment="1">
      <alignment horizontal="center" vertical="top"/>
    </xf>
    <xf numFmtId="164" fontId="11" fillId="3" borderId="56" xfId="0" applyNumberFormat="1" applyFont="1" applyFill="1" applyBorder="1" applyAlignment="1">
      <alignment horizontal="center" vertical="top"/>
    </xf>
    <xf numFmtId="164" fontId="5" fillId="8" borderId="75" xfId="0" applyNumberFormat="1" applyFont="1" applyFill="1" applyBorder="1" applyAlignment="1">
      <alignment horizontal="left" vertical="top" wrapText="1"/>
    </xf>
    <xf numFmtId="164" fontId="4" fillId="5" borderId="56" xfId="0" applyNumberFormat="1" applyFont="1" applyFill="1" applyBorder="1" applyAlignment="1">
      <alignment horizontal="center" vertical="top"/>
    </xf>
    <xf numFmtId="164" fontId="4" fillId="5" borderId="100" xfId="0" applyNumberFormat="1" applyFont="1" applyFill="1" applyBorder="1" applyAlignment="1">
      <alignment horizontal="center" vertical="top"/>
    </xf>
    <xf numFmtId="164" fontId="4" fillId="5" borderId="92" xfId="0" applyNumberFormat="1" applyFont="1" applyFill="1" applyBorder="1" applyAlignment="1">
      <alignment horizontal="center" vertical="top"/>
    </xf>
    <xf numFmtId="164" fontId="11" fillId="3" borderId="83" xfId="0" applyNumberFormat="1" applyFont="1" applyFill="1" applyBorder="1" applyAlignment="1">
      <alignment horizontal="center" vertical="top"/>
    </xf>
    <xf numFmtId="164" fontId="15" fillId="8" borderId="56" xfId="0" applyNumberFormat="1" applyFont="1" applyFill="1" applyBorder="1" applyAlignment="1">
      <alignment horizontal="center" vertical="top"/>
    </xf>
    <xf numFmtId="164" fontId="15" fillId="3" borderId="56" xfId="0" applyNumberFormat="1" applyFont="1" applyFill="1" applyBorder="1" applyAlignment="1">
      <alignment horizontal="center" vertical="top"/>
    </xf>
    <xf numFmtId="164" fontId="15" fillId="5" borderId="56" xfId="0" applyNumberFormat="1" applyFont="1" applyFill="1" applyBorder="1" applyAlignment="1">
      <alignment horizontal="center" vertical="top"/>
    </xf>
    <xf numFmtId="0" fontId="10" fillId="0" borderId="71" xfId="0" applyFont="1" applyBorder="1" applyAlignment="1">
      <alignment vertical="center" wrapText="1"/>
    </xf>
    <xf numFmtId="0" fontId="4" fillId="0" borderId="52" xfId="0" applyFont="1" applyBorder="1" applyAlignment="1">
      <alignment vertical="top" wrapText="1"/>
    </xf>
    <xf numFmtId="0" fontId="10" fillId="0" borderId="52" xfId="0" applyFont="1" applyBorder="1" applyAlignment="1">
      <alignment vertical="center" wrapText="1"/>
    </xf>
    <xf numFmtId="164" fontId="4" fillId="0" borderId="52" xfId="0" applyNumberFormat="1" applyFont="1" applyBorder="1" applyAlignment="1">
      <alignment horizontal="center" vertical="top" wrapText="1"/>
    </xf>
    <xf numFmtId="164" fontId="4" fillId="0" borderId="53" xfId="0" applyNumberFormat="1" applyFont="1" applyBorder="1" applyAlignment="1">
      <alignment horizontal="center" vertical="top" wrapText="1"/>
    </xf>
    <xf numFmtId="0" fontId="1" fillId="0" borderId="75" xfId="0" applyFont="1" applyBorder="1"/>
    <xf numFmtId="0" fontId="1" fillId="0" borderId="4" xfId="0" applyFont="1" applyBorder="1"/>
    <xf numFmtId="0" fontId="1" fillId="0" borderId="56" xfId="0" applyFont="1" applyBorder="1"/>
    <xf numFmtId="0" fontId="4" fillId="7" borderId="69" xfId="0" applyFont="1" applyFill="1" applyBorder="1" applyAlignment="1">
      <alignment vertical="top" wrapText="1"/>
    </xf>
    <xf numFmtId="0" fontId="4" fillId="7" borderId="64" xfId="0" applyFont="1" applyFill="1" applyBorder="1" applyAlignment="1">
      <alignment vertical="top" wrapText="1"/>
    </xf>
    <xf numFmtId="0" fontId="6" fillId="7" borderId="64" xfId="0" applyFont="1" applyFill="1" applyBorder="1" applyAlignment="1">
      <alignment horizontal="center" vertical="top" wrapText="1"/>
    </xf>
    <xf numFmtId="164" fontId="4" fillId="7" borderId="64" xfId="0" applyNumberFormat="1" applyFont="1" applyFill="1" applyBorder="1" applyAlignment="1">
      <alignment horizontal="center" vertical="top" wrapText="1"/>
    </xf>
    <xf numFmtId="164" fontId="4" fillId="7" borderId="70" xfId="0" applyNumberFormat="1" applyFont="1" applyFill="1" applyBorder="1" applyAlignment="1">
      <alignment horizontal="center" vertical="top" wrapText="1"/>
    </xf>
    <xf numFmtId="164" fontId="4" fillId="7" borderId="69" xfId="0" applyNumberFormat="1" applyFont="1" applyFill="1" applyBorder="1" applyAlignment="1">
      <alignment horizontal="center" vertical="top" wrapText="1"/>
    </xf>
    <xf numFmtId="0" fontId="4" fillId="3" borderId="41" xfId="0" applyFont="1" applyFill="1" applyBorder="1" applyAlignment="1">
      <alignment vertical="top" wrapText="1"/>
    </xf>
    <xf numFmtId="0" fontId="6" fillId="3" borderId="41" xfId="0" applyFont="1" applyFill="1" applyBorder="1" applyAlignment="1">
      <alignment vertical="top" wrapText="1"/>
    </xf>
    <xf numFmtId="164" fontId="5" fillId="0" borderId="41" xfId="0" applyNumberFormat="1" applyFont="1" applyBorder="1" applyAlignment="1">
      <alignment horizontal="center" vertical="top" wrapText="1"/>
    </xf>
    <xf numFmtId="164" fontId="5" fillId="0" borderId="87" xfId="0" applyNumberFormat="1" applyFont="1" applyBorder="1" applyAlignment="1">
      <alignment horizontal="center" vertical="top" wrapText="1"/>
    </xf>
    <xf numFmtId="0" fontId="1" fillId="0" borderId="40" xfId="0" applyFont="1" applyBorder="1"/>
    <xf numFmtId="0" fontId="2" fillId="0" borderId="52" xfId="0" applyFont="1" applyBorder="1" applyAlignment="1">
      <alignment vertical="top" wrapText="1"/>
    </xf>
    <xf numFmtId="164" fontId="11" fillId="0" borderId="51" xfId="0" applyNumberFormat="1" applyFont="1" applyBorder="1" applyAlignment="1">
      <alignment horizontal="center" vertical="top" wrapText="1"/>
    </xf>
    <xf numFmtId="164" fontId="11" fillId="3" borderId="51" xfId="0" applyNumberFormat="1" applyFont="1" applyFill="1" applyBorder="1" applyAlignment="1">
      <alignment horizontal="center" vertical="top" wrapText="1"/>
    </xf>
    <xf numFmtId="164" fontId="11" fillId="3" borderId="88" xfId="0" applyNumberFormat="1" applyFont="1" applyFill="1" applyBorder="1" applyAlignment="1">
      <alignment horizontal="center" vertical="top" wrapText="1"/>
    </xf>
    <xf numFmtId="0" fontId="6" fillId="12" borderId="71" xfId="0" applyFont="1" applyFill="1" applyBorder="1" applyAlignment="1">
      <alignment vertical="top" wrapText="1"/>
    </xf>
    <xf numFmtId="0" fontId="6" fillId="3" borderId="53" xfId="0" applyFont="1" applyFill="1" applyBorder="1" applyAlignment="1">
      <alignment horizontal="center" vertical="top" wrapText="1"/>
    </xf>
    <xf numFmtId="0" fontId="5" fillId="0" borderId="42" xfId="0" applyFont="1" applyBorder="1" applyAlignment="1">
      <alignment vertical="top" wrapText="1"/>
    </xf>
    <xf numFmtId="164" fontId="15" fillId="3" borderId="42" xfId="0" applyNumberFormat="1" applyFont="1" applyFill="1" applyBorder="1" applyAlignment="1">
      <alignment horizontal="center" vertical="top" wrapText="1"/>
    </xf>
    <xf numFmtId="164" fontId="15" fillId="3" borderId="46" xfId="0" applyNumberFormat="1" applyFont="1" applyFill="1" applyBorder="1" applyAlignment="1">
      <alignment horizontal="center" vertical="top" wrapText="1"/>
    </xf>
    <xf numFmtId="3" fontId="21" fillId="3" borderId="40" xfId="0" applyNumberFormat="1" applyFont="1" applyFill="1" applyBorder="1" applyAlignment="1">
      <alignment horizontal="left" vertical="top" wrapText="1"/>
    </xf>
    <xf numFmtId="0" fontId="6" fillId="3" borderId="42" xfId="0" applyFont="1" applyFill="1" applyBorder="1" applyAlignment="1">
      <alignment horizontal="center" vertical="top" wrapText="1"/>
    </xf>
    <xf numFmtId="0" fontId="6" fillId="0" borderId="42" xfId="0" applyFont="1" applyBorder="1" applyAlignment="1">
      <alignment horizontal="center" vertical="top" wrapText="1"/>
    </xf>
    <xf numFmtId="0" fontId="6" fillId="0" borderId="46" xfId="0" applyFont="1" applyBorder="1" applyAlignment="1">
      <alignment horizontal="center" vertical="top" wrapText="1"/>
    </xf>
    <xf numFmtId="164" fontId="11" fillId="3" borderId="52" xfId="0" applyNumberFormat="1" applyFont="1" applyFill="1" applyBorder="1" applyAlignment="1">
      <alignment horizontal="center" vertical="top" wrapText="1"/>
    </xf>
    <xf numFmtId="164" fontId="11" fillId="3" borderId="53" xfId="0" applyNumberFormat="1" applyFont="1" applyFill="1" applyBorder="1" applyAlignment="1">
      <alignment horizontal="center" vertical="top" wrapText="1"/>
    </xf>
    <xf numFmtId="3" fontId="6" fillId="3" borderId="71" xfId="0" applyNumberFormat="1" applyFont="1" applyFill="1" applyBorder="1" applyAlignment="1">
      <alignment vertical="top" wrapText="1"/>
    </xf>
    <xf numFmtId="0" fontId="6" fillId="0" borderId="52" xfId="0" applyFont="1" applyBorder="1" applyAlignment="1">
      <alignment horizontal="center" vertical="top" wrapText="1"/>
    </xf>
    <xf numFmtId="0" fontId="6" fillId="0" borderId="53" xfId="0" applyFont="1" applyBorder="1" applyAlignment="1">
      <alignment horizontal="center" vertical="top" wrapText="1"/>
    </xf>
    <xf numFmtId="3" fontId="21" fillId="3" borderId="40" xfId="0" applyNumberFormat="1" applyFont="1" applyFill="1" applyBorder="1" applyAlignment="1">
      <alignment vertical="top" wrapText="1"/>
    </xf>
    <xf numFmtId="3" fontId="21" fillId="3" borderId="71" xfId="0" applyNumberFormat="1" applyFont="1" applyFill="1" applyBorder="1" applyAlignment="1">
      <alignment vertical="top" wrapText="1"/>
    </xf>
    <xf numFmtId="0" fontId="6" fillId="3" borderId="52" xfId="0" applyFont="1" applyFill="1" applyBorder="1" applyAlignment="1">
      <alignment horizontal="center" vertical="top" wrapText="1"/>
    </xf>
    <xf numFmtId="3" fontId="6" fillId="3" borderId="75" xfId="0" applyNumberFormat="1" applyFont="1" applyFill="1" applyBorder="1" applyAlignment="1">
      <alignment horizontal="left" vertical="top" wrapText="1"/>
    </xf>
    <xf numFmtId="0" fontId="6" fillId="12" borderId="40" xfId="0" applyFont="1" applyFill="1" applyBorder="1" applyAlignment="1">
      <alignment vertical="top" wrapText="1"/>
    </xf>
    <xf numFmtId="0" fontId="11" fillId="3" borderId="42" xfId="0" applyFont="1" applyFill="1" applyBorder="1" applyAlignment="1">
      <alignment horizontal="center" vertical="top" wrapText="1"/>
    </xf>
    <xf numFmtId="164" fontId="11" fillId="3" borderId="42" xfId="0" applyNumberFormat="1" applyFont="1" applyFill="1" applyBorder="1" applyAlignment="1">
      <alignment horizontal="center" vertical="top" wrapText="1"/>
    </xf>
    <xf numFmtId="164" fontId="11" fillId="3" borderId="46" xfId="0" applyNumberFormat="1" applyFont="1" applyFill="1" applyBorder="1" applyAlignment="1">
      <alignment horizontal="center" vertical="top" wrapText="1"/>
    </xf>
    <xf numFmtId="0" fontId="5" fillId="0" borderId="44" xfId="0" applyFont="1" applyBorder="1" applyAlignment="1">
      <alignment vertical="top" wrapText="1"/>
    </xf>
    <xf numFmtId="0" fontId="2" fillId="0" borderId="74" xfId="0" applyFont="1" applyBorder="1" applyAlignment="1">
      <alignment vertical="top" wrapText="1"/>
    </xf>
    <xf numFmtId="0" fontId="5" fillId="0" borderId="13" xfId="0" applyFont="1" applyBorder="1" applyAlignment="1">
      <alignment vertical="top" wrapText="1"/>
    </xf>
    <xf numFmtId="164" fontId="2" fillId="3" borderId="46" xfId="0" applyNumberFormat="1" applyFont="1" applyFill="1" applyBorder="1" applyAlignment="1">
      <alignment horizontal="center" vertical="top" wrapText="1"/>
    </xf>
    <xf numFmtId="0" fontId="4" fillId="0" borderId="42" xfId="0" applyFont="1" applyBorder="1" applyAlignment="1">
      <alignment vertical="top" wrapText="1"/>
    </xf>
    <xf numFmtId="164" fontId="5" fillId="0" borderId="42" xfId="0" applyNumberFormat="1" applyFont="1" applyBorder="1" applyAlignment="1">
      <alignment horizontal="center" vertical="top" wrapText="1"/>
    </xf>
    <xf numFmtId="164" fontId="5" fillId="0" borderId="46" xfId="0" applyNumberFormat="1" applyFont="1" applyBorder="1" applyAlignment="1">
      <alignment horizontal="center" vertical="top" wrapText="1"/>
    </xf>
    <xf numFmtId="0" fontId="6" fillId="3" borderId="52" xfId="0" applyFont="1" applyFill="1" applyBorder="1" applyAlignment="1">
      <alignment vertical="top" wrapText="1"/>
    </xf>
    <xf numFmtId="164" fontId="2" fillId="0" borderId="52" xfId="0" applyNumberFormat="1" applyFont="1" applyBorder="1" applyAlignment="1">
      <alignment horizontal="center" vertical="top" wrapText="1"/>
    </xf>
    <xf numFmtId="0" fontId="5" fillId="0" borderId="67" xfId="0" applyFont="1" applyBorder="1" applyAlignment="1">
      <alignment vertical="top" wrapText="1"/>
    </xf>
    <xf numFmtId="164" fontId="15" fillId="0" borderId="42" xfId="0" applyNumberFormat="1" applyFont="1" applyBorder="1" applyAlignment="1">
      <alignment horizontal="center" vertical="top" wrapText="1"/>
    </xf>
    <xf numFmtId="164" fontId="15" fillId="0" borderId="46" xfId="0" applyNumberFormat="1" applyFont="1" applyBorder="1" applyAlignment="1">
      <alignment horizontal="center" vertical="top" wrapText="1"/>
    </xf>
    <xf numFmtId="3" fontId="2" fillId="3" borderId="40" xfId="0" applyNumberFormat="1" applyFont="1" applyFill="1" applyBorder="1" applyAlignment="1">
      <alignment vertical="top" wrapText="1"/>
    </xf>
    <xf numFmtId="0" fontId="2" fillId="0" borderId="61" xfId="0" applyFont="1" applyBorder="1" applyAlignment="1">
      <alignment vertical="top" wrapText="1"/>
    </xf>
    <xf numFmtId="164" fontId="11" fillId="0" borderId="52" xfId="0" applyNumberFormat="1" applyFont="1" applyBorder="1" applyAlignment="1">
      <alignment horizontal="center" vertical="top" wrapText="1"/>
    </xf>
    <xf numFmtId="0" fontId="20" fillId="10" borderId="68" xfId="0" applyFont="1" applyFill="1" applyBorder="1" applyAlignment="1">
      <alignment vertical="top" wrapText="1"/>
    </xf>
    <xf numFmtId="0" fontId="11" fillId="3" borderId="57" xfId="0" applyFont="1" applyFill="1" applyBorder="1" applyAlignment="1">
      <alignment horizontal="left" vertical="top" wrapText="1"/>
    </xf>
    <xf numFmtId="0" fontId="15" fillId="3" borderId="45" xfId="0" applyFont="1" applyFill="1" applyBorder="1" applyAlignment="1">
      <alignment vertical="top" wrapText="1"/>
    </xf>
    <xf numFmtId="164" fontId="11" fillId="3" borderId="41" xfId="0" applyNumberFormat="1" applyFont="1" applyFill="1" applyBorder="1" applyAlignment="1">
      <alignment horizontal="center" vertical="top" wrapText="1"/>
    </xf>
    <xf numFmtId="164" fontId="11" fillId="3" borderId="87" xfId="0" applyNumberFormat="1" applyFont="1" applyFill="1" applyBorder="1" applyAlignment="1">
      <alignment horizontal="center" vertical="top" wrapText="1"/>
    </xf>
    <xf numFmtId="0" fontId="11" fillId="0" borderId="43" xfId="0" applyFont="1" applyBorder="1" applyAlignment="1">
      <alignment horizontal="center" vertical="top"/>
    </xf>
    <xf numFmtId="0" fontId="11" fillId="3" borderId="49" xfId="0" applyFont="1" applyFill="1" applyBorder="1" applyAlignment="1">
      <alignment vertical="top" wrapText="1"/>
    </xf>
    <xf numFmtId="0" fontId="1" fillId="8" borderId="75" xfId="0" applyFont="1" applyFill="1" applyBorder="1"/>
    <xf numFmtId="0" fontId="1" fillId="8" borderId="4" xfId="0" applyFont="1" applyFill="1" applyBorder="1"/>
    <xf numFmtId="0" fontId="1" fillId="8" borderId="56" xfId="0" applyFont="1" applyFill="1" applyBorder="1"/>
    <xf numFmtId="0" fontId="4" fillId="3" borderId="60" xfId="0" applyFont="1" applyFill="1" applyBorder="1" applyAlignment="1">
      <alignment vertical="top" wrapText="1"/>
    </xf>
    <xf numFmtId="0" fontId="6" fillId="3" borderId="66" xfId="0" applyFont="1" applyFill="1" applyBorder="1" applyAlignment="1">
      <alignment vertical="top" wrapText="1"/>
    </xf>
    <xf numFmtId="0" fontId="11" fillId="0" borderId="101" xfId="0" applyFont="1" applyBorder="1" applyAlignment="1">
      <alignment horizontal="center" vertical="top"/>
    </xf>
    <xf numFmtId="0" fontId="6" fillId="0" borderId="87" xfId="0" applyFont="1" applyBorder="1" applyAlignment="1">
      <alignment horizontal="center" vertical="top" wrapText="1"/>
    </xf>
    <xf numFmtId="0" fontId="6" fillId="0" borderId="74" xfId="0" applyFont="1" applyBorder="1" applyAlignment="1">
      <alignment vertical="top" wrapText="1"/>
    </xf>
    <xf numFmtId="0" fontId="5" fillId="8" borderId="40" xfId="0" applyFont="1" applyFill="1" applyBorder="1" applyAlignment="1">
      <alignment horizontal="left" vertical="top" wrapText="1"/>
    </xf>
    <xf numFmtId="0" fontId="4" fillId="8" borderId="42" xfId="0" applyFont="1" applyFill="1" applyBorder="1" applyAlignment="1">
      <alignment vertical="top" wrapText="1"/>
    </xf>
    <xf numFmtId="0" fontId="5" fillId="8" borderId="42" xfId="0" applyFont="1" applyFill="1" applyBorder="1" applyAlignment="1">
      <alignment horizontal="center" vertical="top" wrapText="1"/>
    </xf>
    <xf numFmtId="164" fontId="5" fillId="8" borderId="102" xfId="0" applyNumberFormat="1" applyFont="1" applyFill="1" applyBorder="1" applyAlignment="1">
      <alignment horizontal="center" vertical="top" wrapText="1"/>
    </xf>
    <xf numFmtId="164" fontId="5" fillId="8" borderId="103" xfId="0" applyNumberFormat="1" applyFont="1" applyFill="1" applyBorder="1" applyAlignment="1">
      <alignment horizontal="center" vertical="top" wrapText="1"/>
    </xf>
    <xf numFmtId="0" fontId="1" fillId="8" borderId="40" xfId="0" applyFont="1" applyFill="1" applyBorder="1"/>
    <xf numFmtId="0" fontId="1" fillId="8" borderId="42" xfId="0" applyFont="1" applyFill="1" applyBorder="1"/>
    <xf numFmtId="0" fontId="1" fillId="8" borderId="46" xfId="0" applyFont="1" applyFill="1" applyBorder="1"/>
    <xf numFmtId="0" fontId="15" fillId="3" borderId="52" xfId="0" applyFont="1" applyFill="1" applyBorder="1" applyAlignment="1">
      <alignment vertical="top" wrapText="1"/>
    </xf>
    <xf numFmtId="0" fontId="5" fillId="0" borderId="52" xfId="0" applyFont="1" applyBorder="1" applyAlignment="1">
      <alignment horizontal="center" vertical="top" wrapText="1"/>
    </xf>
    <xf numFmtId="164" fontId="5" fillId="0" borderId="52" xfId="0" applyNumberFormat="1" applyFont="1" applyBorder="1" applyAlignment="1">
      <alignment horizontal="center" vertical="top" wrapText="1"/>
    </xf>
    <xf numFmtId="164" fontId="5" fillId="0" borderId="53" xfId="0" applyNumberFormat="1" applyFont="1" applyBorder="1" applyAlignment="1">
      <alignment horizontal="center" vertical="top" wrapText="1"/>
    </xf>
    <xf numFmtId="0" fontId="5" fillId="7" borderId="40" xfId="0" applyFont="1" applyFill="1" applyBorder="1" applyAlignment="1">
      <alignment horizontal="justify" vertical="top" wrapText="1"/>
    </xf>
    <xf numFmtId="0" fontId="19" fillId="7" borderId="42" xfId="0" applyFont="1" applyFill="1" applyBorder="1" applyAlignment="1">
      <alignment vertical="top" wrapText="1"/>
    </xf>
    <xf numFmtId="0" fontId="2" fillId="7" borderId="42" xfId="0" applyFont="1" applyFill="1" applyBorder="1" applyAlignment="1">
      <alignment horizontal="center" vertical="top" wrapText="1"/>
    </xf>
    <xf numFmtId="164" fontId="2" fillId="7" borderId="42" xfId="0" applyNumberFormat="1" applyFont="1" applyFill="1" applyBorder="1" applyAlignment="1">
      <alignment horizontal="center" vertical="top"/>
    </xf>
    <xf numFmtId="164" fontId="2" fillId="7" borderId="46" xfId="0" applyNumberFormat="1" applyFont="1" applyFill="1" applyBorder="1" applyAlignment="1">
      <alignment horizontal="center" vertical="top"/>
    </xf>
    <xf numFmtId="3" fontId="6" fillId="7" borderId="40" xfId="0" applyNumberFormat="1" applyFont="1" applyFill="1" applyBorder="1" applyAlignment="1">
      <alignment vertical="top" wrapText="1"/>
    </xf>
    <xf numFmtId="0" fontId="11" fillId="7" borderId="43" xfId="0" applyFont="1" applyFill="1" applyBorder="1" applyAlignment="1">
      <alignment horizontal="center" vertical="top" wrapText="1"/>
    </xf>
    <xf numFmtId="0" fontId="2" fillId="7" borderId="46" xfId="0" applyFont="1" applyFill="1" applyBorder="1" applyAlignment="1">
      <alignment horizontal="center" vertical="top" wrapText="1"/>
    </xf>
    <xf numFmtId="0" fontId="5" fillId="0" borderId="52" xfId="0" applyFont="1" applyBorder="1" applyAlignment="1">
      <alignment vertical="top" wrapText="1"/>
    </xf>
    <xf numFmtId="0" fontId="2" fillId="3" borderId="51" xfId="0" applyFont="1" applyFill="1" applyBorder="1" applyAlignment="1">
      <alignment horizontal="center" vertical="top" wrapText="1"/>
    </xf>
    <xf numFmtId="164" fontId="15" fillId="3" borderId="52" xfId="0" applyNumberFormat="1" applyFont="1" applyFill="1" applyBorder="1" applyAlignment="1">
      <alignment horizontal="center" vertical="top"/>
    </xf>
    <xf numFmtId="164" fontId="15" fillId="3" borderId="53" xfId="0" applyNumberFormat="1" applyFont="1" applyFill="1" applyBorder="1" applyAlignment="1">
      <alignment horizontal="center" vertical="top"/>
    </xf>
    <xf numFmtId="0" fontId="4" fillId="7" borderId="42" xfId="0" applyFont="1" applyFill="1" applyBorder="1" applyAlignment="1">
      <alignment vertical="top" wrapText="1"/>
    </xf>
    <xf numFmtId="164" fontId="15" fillId="7" borderId="42" xfId="0" applyNumberFormat="1" applyFont="1" applyFill="1" applyBorder="1" applyAlignment="1">
      <alignment horizontal="center" vertical="top" wrapText="1"/>
    </xf>
    <xf numFmtId="164" fontId="15" fillId="7" borderId="46" xfId="0" applyNumberFormat="1" applyFont="1" applyFill="1" applyBorder="1" applyAlignment="1">
      <alignment horizontal="center" vertical="top" wrapText="1"/>
    </xf>
    <xf numFmtId="0" fontId="11" fillId="7" borderId="42" xfId="0" applyFont="1" applyFill="1" applyBorder="1" applyAlignment="1">
      <alignment horizontal="center" vertical="top"/>
    </xf>
    <xf numFmtId="164" fontId="15" fillId="3" borderId="52" xfId="0" applyNumberFormat="1" applyFont="1" applyFill="1" applyBorder="1" applyAlignment="1">
      <alignment horizontal="center" vertical="top" wrapText="1"/>
    </xf>
    <xf numFmtId="164" fontId="15" fillId="3" borderId="53" xfId="0" applyNumberFormat="1" applyFont="1" applyFill="1" applyBorder="1" applyAlignment="1">
      <alignment horizontal="center" vertical="top" wrapText="1"/>
    </xf>
    <xf numFmtId="0" fontId="15" fillId="7" borderId="40" xfId="0" applyFont="1" applyFill="1" applyBorder="1" applyAlignment="1">
      <alignment horizontal="justify" vertical="top" wrapText="1"/>
    </xf>
    <xf numFmtId="0" fontId="5" fillId="7" borderId="42" xfId="0" applyFont="1" applyFill="1" applyBorder="1" applyAlignment="1">
      <alignment vertical="top" wrapText="1"/>
    </xf>
    <xf numFmtId="164" fontId="5" fillId="7" borderId="42" xfId="0" applyNumberFormat="1" applyFont="1" applyFill="1" applyBorder="1" applyAlignment="1">
      <alignment horizontal="center" vertical="top" wrapText="1"/>
    </xf>
    <xf numFmtId="164" fontId="5" fillId="7" borderId="46" xfId="0" applyNumberFormat="1" applyFont="1" applyFill="1" applyBorder="1" applyAlignment="1">
      <alignment horizontal="center" vertical="top" wrapText="1"/>
    </xf>
    <xf numFmtId="0" fontId="21" fillId="7" borderId="40" xfId="0" applyFont="1" applyFill="1" applyBorder="1" applyAlignment="1">
      <alignment vertical="top" wrapText="1"/>
    </xf>
    <xf numFmtId="0" fontId="11" fillId="7" borderId="43" xfId="0" applyFont="1" applyFill="1" applyBorder="1" applyAlignment="1">
      <alignment horizontal="center" vertical="top"/>
    </xf>
    <xf numFmtId="0" fontId="6" fillId="7" borderId="40" xfId="0" applyFont="1" applyFill="1" applyBorder="1" applyAlignment="1">
      <alignment vertical="top" wrapText="1"/>
    </xf>
    <xf numFmtId="0" fontId="2" fillId="7" borderId="44" xfId="0" applyFont="1" applyFill="1" applyBorder="1" applyAlignment="1">
      <alignment horizontal="center" vertical="top" wrapText="1"/>
    </xf>
    <xf numFmtId="164" fontId="5" fillId="7" borderId="104" xfId="0" applyNumberFormat="1" applyFont="1" applyFill="1" applyBorder="1" applyAlignment="1">
      <alignment horizontal="center" vertical="top" wrapText="1"/>
    </xf>
    <xf numFmtId="164" fontId="5" fillId="7" borderId="105" xfId="0" applyNumberFormat="1" applyFont="1" applyFill="1" applyBorder="1" applyAlignment="1">
      <alignment horizontal="center" vertical="top" wrapText="1"/>
    </xf>
    <xf numFmtId="164" fontId="5" fillId="7" borderId="43" xfId="0" applyNumberFormat="1" applyFont="1" applyFill="1" applyBorder="1" applyAlignment="1">
      <alignment horizontal="center" vertical="top" wrapText="1"/>
    </xf>
    <xf numFmtId="0" fontId="4" fillId="0" borderId="52" xfId="0" applyFont="1" applyBorder="1" applyAlignment="1">
      <alignment horizontal="center" vertical="top" wrapText="1"/>
    </xf>
    <xf numFmtId="164" fontId="4" fillId="3" borderId="52" xfId="0" applyNumberFormat="1" applyFont="1" applyFill="1" applyBorder="1" applyAlignment="1">
      <alignment horizontal="center" vertical="top" wrapText="1"/>
    </xf>
    <xf numFmtId="164" fontId="4" fillId="3" borderId="53" xfId="0" applyNumberFormat="1" applyFont="1" applyFill="1" applyBorder="1" applyAlignment="1">
      <alignment horizontal="center" vertical="top" wrapText="1"/>
    </xf>
    <xf numFmtId="0" fontId="11" fillId="7" borderId="40" xfId="0" applyFont="1" applyFill="1" applyBorder="1" applyAlignment="1">
      <alignment vertical="top" wrapText="1"/>
    </xf>
    <xf numFmtId="0" fontId="11" fillId="7" borderId="46" xfId="0" applyFont="1" applyFill="1" applyBorder="1" applyAlignment="1">
      <alignment horizontal="center" vertical="top" wrapText="1"/>
    </xf>
    <xf numFmtId="0" fontId="2" fillId="3" borderId="52" xfId="0" applyFont="1" applyFill="1" applyBorder="1" applyAlignment="1">
      <alignment horizontal="center" vertical="top" wrapText="1"/>
    </xf>
    <xf numFmtId="0" fontId="4" fillId="7" borderId="40" xfId="0" applyFont="1" applyFill="1" applyBorder="1" applyAlignment="1">
      <alignment horizontal="justify" vertical="top" wrapText="1"/>
    </xf>
    <xf numFmtId="0" fontId="1" fillId="7" borderId="40" xfId="0" applyFont="1" applyFill="1" applyBorder="1"/>
    <xf numFmtId="0" fontId="1" fillId="7" borderId="42" xfId="0" applyFont="1" applyFill="1" applyBorder="1"/>
    <xf numFmtId="0" fontId="1" fillId="7" borderId="46" xfId="0" applyFont="1" applyFill="1" applyBorder="1"/>
    <xf numFmtId="164" fontId="5" fillId="3" borderId="52" xfId="0" applyNumberFormat="1" applyFont="1" applyFill="1" applyBorder="1" applyAlignment="1">
      <alignment horizontal="center" vertical="top" wrapText="1"/>
    </xf>
    <xf numFmtId="164" fontId="5" fillId="3" borderId="53" xfId="0" applyNumberFormat="1" applyFont="1" applyFill="1" applyBorder="1" applyAlignment="1">
      <alignment horizontal="center" vertical="top" wrapText="1"/>
    </xf>
    <xf numFmtId="0" fontId="15" fillId="7" borderId="106" xfId="0" applyFont="1" applyFill="1" applyBorder="1" applyAlignment="1">
      <alignment vertical="top" wrapText="1"/>
    </xf>
    <xf numFmtId="0" fontId="15" fillId="7" borderId="43" xfId="0" applyFont="1" applyFill="1" applyBorder="1" applyAlignment="1">
      <alignment vertical="top" wrapText="1"/>
    </xf>
    <xf numFmtId="0" fontId="11" fillId="7" borderId="42" xfId="0" applyFont="1" applyFill="1" applyBorder="1" applyAlignment="1">
      <alignment horizontal="center" vertical="top" wrapText="1"/>
    </xf>
    <xf numFmtId="0" fontId="15" fillId="3" borderId="68" xfId="0" applyFont="1" applyFill="1" applyBorder="1" applyAlignment="1">
      <alignment vertical="top" wrapText="1"/>
    </xf>
    <xf numFmtId="0" fontId="15" fillId="0" borderId="52" xfId="0" applyFont="1" applyBorder="1" applyAlignment="1">
      <alignment vertical="top" wrapText="1"/>
    </xf>
    <xf numFmtId="0" fontId="2" fillId="7" borderId="43" xfId="0" applyFont="1" applyFill="1" applyBorder="1" applyAlignment="1">
      <alignment horizontal="center" vertical="top"/>
    </xf>
    <xf numFmtId="0" fontId="5" fillId="0" borderId="2" xfId="0" applyFont="1" applyBorder="1" applyAlignment="1">
      <alignment vertical="top" wrapText="1"/>
    </xf>
    <xf numFmtId="164" fontId="5" fillId="3" borderId="62" xfId="0" applyNumberFormat="1" applyFont="1" applyFill="1" applyBorder="1" applyAlignment="1">
      <alignment horizontal="center" vertical="top" wrapText="1"/>
    </xf>
    <xf numFmtId="0" fontId="5" fillId="4" borderId="69" xfId="0" applyFont="1" applyFill="1" applyBorder="1" applyAlignment="1">
      <alignment horizontal="left" vertical="top" wrapText="1"/>
    </xf>
    <xf numFmtId="0" fontId="5" fillId="4" borderId="64" xfId="0" applyFont="1" applyFill="1" applyBorder="1" applyAlignment="1">
      <alignment vertical="top" wrapText="1"/>
    </xf>
    <xf numFmtId="0" fontId="5" fillId="4" borderId="64" xfId="0" applyFont="1" applyFill="1" applyBorder="1" applyAlignment="1">
      <alignment vertical="top"/>
    </xf>
    <xf numFmtId="0" fontId="5" fillId="4" borderId="70" xfId="0" applyFont="1" applyFill="1" applyBorder="1" applyAlignment="1">
      <alignment vertical="top"/>
    </xf>
    <xf numFmtId="0" fontId="1" fillId="4" borderId="69" xfId="0" applyFont="1" applyFill="1" applyBorder="1"/>
    <xf numFmtId="0" fontId="1" fillId="4" borderId="64" xfId="0" applyFont="1" applyFill="1" applyBorder="1"/>
    <xf numFmtId="0" fontId="1" fillId="4" borderId="70" xfId="0" applyFont="1" applyFill="1" applyBorder="1"/>
    <xf numFmtId="0" fontId="5" fillId="7" borderId="3" xfId="0" applyFont="1" applyFill="1" applyBorder="1" applyAlignment="1">
      <alignment vertical="top" wrapText="1"/>
    </xf>
    <xf numFmtId="0" fontId="2" fillId="7" borderId="3" xfId="0" applyFont="1" applyFill="1" applyBorder="1" applyAlignment="1">
      <alignment horizontal="center" vertical="top" wrapText="1"/>
    </xf>
    <xf numFmtId="0" fontId="5" fillId="13" borderId="40" xfId="0" applyFont="1" applyFill="1" applyBorder="1" applyAlignment="1">
      <alignment horizontal="left" vertical="top" wrapText="1"/>
    </xf>
    <xf numFmtId="0" fontId="5" fillId="13" borderId="41" xfId="0" applyFont="1" applyFill="1" applyBorder="1" applyAlignment="1">
      <alignment vertical="top" wrapText="1"/>
    </xf>
    <xf numFmtId="0" fontId="5" fillId="13" borderId="41" xfId="0" applyFont="1" applyFill="1" applyBorder="1" applyAlignment="1">
      <alignment vertical="top"/>
    </xf>
    <xf numFmtId="0" fontId="5" fillId="13" borderId="42" xfId="0" applyFont="1" applyFill="1" applyBorder="1" applyAlignment="1">
      <alignment vertical="top"/>
    </xf>
    <xf numFmtId="0" fontId="5" fillId="13" borderId="46" xfId="0" applyFont="1" applyFill="1" applyBorder="1" applyAlignment="1">
      <alignment vertical="top"/>
    </xf>
    <xf numFmtId="0" fontId="5" fillId="13" borderId="40" xfId="0" applyFont="1" applyFill="1" applyBorder="1" applyAlignment="1">
      <alignment vertical="top" wrapText="1"/>
    </xf>
    <xf numFmtId="0" fontId="5" fillId="13" borderId="42" xfId="0" applyFont="1" applyFill="1" applyBorder="1" applyAlignment="1">
      <alignment horizontal="center" vertical="top"/>
    </xf>
    <xf numFmtId="0" fontId="15" fillId="13" borderId="46" xfId="0" applyFont="1" applyFill="1" applyBorder="1" applyAlignment="1">
      <alignment horizontal="center" vertical="top" wrapText="1"/>
    </xf>
    <xf numFmtId="0" fontId="5" fillId="13" borderId="71" xfId="0" applyFont="1" applyFill="1" applyBorder="1" applyAlignment="1">
      <alignment horizontal="left" vertical="top" wrapText="1"/>
    </xf>
    <xf numFmtId="0" fontId="5" fillId="13" borderId="52" xfId="0" applyFont="1" applyFill="1" applyBorder="1" applyAlignment="1">
      <alignment vertical="top" wrapText="1"/>
    </xf>
    <xf numFmtId="0" fontId="5" fillId="13" borderId="52" xfId="0" applyFont="1" applyFill="1" applyBorder="1" applyAlignment="1">
      <alignment vertical="top"/>
    </xf>
    <xf numFmtId="0" fontId="5" fillId="13" borderId="53" xfId="0" applyFont="1" applyFill="1" applyBorder="1" applyAlignment="1">
      <alignment vertical="top"/>
    </xf>
    <xf numFmtId="0" fontId="15" fillId="13" borderId="71" xfId="0" applyFont="1" applyFill="1" applyBorder="1" applyAlignment="1">
      <alignment vertical="top" wrapText="1"/>
    </xf>
    <xf numFmtId="0" fontId="15" fillId="13" borderId="53" xfId="0" applyFont="1" applyFill="1" applyBorder="1" applyAlignment="1">
      <alignment horizontal="center" vertical="top" wrapText="1"/>
    </xf>
    <xf numFmtId="0" fontId="5" fillId="3" borderId="38" xfId="0" applyFont="1" applyFill="1" applyBorder="1" applyAlignment="1">
      <alignment vertical="top" wrapText="1"/>
    </xf>
    <xf numFmtId="164" fontId="5" fillId="3" borderId="14" xfId="0" applyNumberFormat="1" applyFont="1" applyFill="1" applyBorder="1" applyAlignment="1">
      <alignment horizontal="center" vertical="top" wrapText="1"/>
    </xf>
    <xf numFmtId="0" fontId="2" fillId="0" borderId="56" xfId="0" applyFont="1" applyBorder="1" applyAlignment="1">
      <alignment horizontal="center" vertical="top" wrapText="1"/>
    </xf>
    <xf numFmtId="0" fontId="5" fillId="7" borderId="69" xfId="0" applyFont="1" applyFill="1" applyBorder="1" applyAlignment="1">
      <alignment horizontal="justify" vertical="top" wrapText="1"/>
    </xf>
    <xf numFmtId="0" fontId="5" fillId="7" borderId="64" xfId="0" applyFont="1" applyFill="1" applyBorder="1" applyAlignment="1">
      <alignment vertical="top" wrapText="1"/>
    </xf>
    <xf numFmtId="0" fontId="2" fillId="7" borderId="64" xfId="0" applyFont="1" applyFill="1" applyBorder="1" applyAlignment="1">
      <alignment horizontal="center" vertical="top" wrapText="1"/>
    </xf>
    <xf numFmtId="164" fontId="5" fillId="7" borderId="64" xfId="0" applyNumberFormat="1" applyFont="1" applyFill="1" applyBorder="1" applyAlignment="1">
      <alignment horizontal="center" vertical="top" wrapText="1"/>
    </xf>
    <xf numFmtId="164" fontId="5" fillId="7" borderId="70" xfId="0" applyNumberFormat="1" applyFont="1" applyFill="1" applyBorder="1" applyAlignment="1">
      <alignment horizontal="center" vertical="top" wrapText="1"/>
    </xf>
    <xf numFmtId="0" fontId="1" fillId="7" borderId="69" xfId="0" applyFont="1" applyFill="1" applyBorder="1"/>
    <xf numFmtId="0" fontId="1" fillId="7" borderId="64" xfId="0" applyFont="1" applyFill="1" applyBorder="1"/>
    <xf numFmtId="0" fontId="1" fillId="7" borderId="70" xfId="0" applyFont="1" applyFill="1" applyBorder="1"/>
    <xf numFmtId="164" fontId="2" fillId="3" borderId="14" xfId="0" applyNumberFormat="1" applyFont="1" applyFill="1" applyBorder="1" applyAlignment="1">
      <alignment horizontal="center" vertical="top" wrapText="1"/>
    </xf>
    <xf numFmtId="164" fontId="5" fillId="3" borderId="42" xfId="0" applyNumberFormat="1" applyFont="1" applyFill="1" applyBorder="1" applyAlignment="1">
      <alignment horizontal="center" vertical="top" wrapText="1"/>
    </xf>
    <xf numFmtId="164" fontId="5" fillId="3" borderId="46" xfId="0" applyNumberFormat="1" applyFont="1" applyFill="1" applyBorder="1" applyAlignment="1">
      <alignment horizontal="center" vertical="top" wrapText="1"/>
    </xf>
    <xf numFmtId="3" fontId="11" fillId="3" borderId="40" xfId="0" applyNumberFormat="1" applyFont="1" applyFill="1" applyBorder="1" applyAlignment="1">
      <alignment horizontal="left" vertical="top" wrapText="1"/>
    </xf>
    <xf numFmtId="49" fontId="11" fillId="0" borderId="43" xfId="0" applyNumberFormat="1" applyFont="1" applyBorder="1" applyAlignment="1">
      <alignment horizontal="center" vertical="top"/>
    </xf>
    <xf numFmtId="0" fontId="2" fillId="0" borderId="46" xfId="0" applyFont="1" applyBorder="1" applyAlignment="1">
      <alignment horizontal="center" vertical="top" wrapText="1"/>
    </xf>
    <xf numFmtId="164" fontId="2" fillId="3" borderId="52" xfId="0" applyNumberFormat="1" applyFont="1" applyFill="1" applyBorder="1" applyAlignment="1">
      <alignment horizontal="center" vertical="top" wrapText="1"/>
    </xf>
    <xf numFmtId="164" fontId="2" fillId="3" borderId="53" xfId="0" applyNumberFormat="1" applyFont="1" applyFill="1" applyBorder="1" applyAlignment="1">
      <alignment horizontal="center" vertical="top" wrapText="1"/>
    </xf>
    <xf numFmtId="164" fontId="2" fillId="3" borderId="42" xfId="0" applyNumberFormat="1" applyFont="1" applyFill="1" applyBorder="1" applyAlignment="1">
      <alignment horizontal="center" vertical="top" wrapText="1"/>
    </xf>
    <xf numFmtId="164" fontId="2" fillId="3" borderId="107" xfId="0" applyNumberFormat="1" applyFont="1" applyFill="1" applyBorder="1" applyAlignment="1">
      <alignment horizontal="center" vertical="top" wrapText="1"/>
    </xf>
    <xf numFmtId="0" fontId="2" fillId="3" borderId="66" xfId="0" applyFont="1" applyFill="1" applyBorder="1" applyAlignment="1">
      <alignment vertical="top" wrapText="1"/>
    </xf>
    <xf numFmtId="0" fontId="2" fillId="3" borderId="68" xfId="0" applyFont="1" applyFill="1" applyBorder="1" applyAlignment="1">
      <alignment vertical="top" wrapText="1"/>
    </xf>
    <xf numFmtId="0" fontId="2" fillId="3" borderId="66" xfId="0" applyFont="1" applyFill="1" applyBorder="1" applyAlignment="1">
      <alignment horizontal="left" vertical="top" wrapText="1"/>
    </xf>
    <xf numFmtId="0" fontId="2" fillId="3" borderId="68" xfId="0" applyFont="1" applyFill="1" applyBorder="1" applyAlignment="1">
      <alignment horizontal="left" vertical="top" wrapText="1"/>
    </xf>
    <xf numFmtId="166" fontId="11" fillId="3" borderId="40" xfId="0" applyNumberFormat="1" applyFont="1" applyFill="1" applyBorder="1" applyAlignment="1">
      <alignment vertical="top" wrapText="1"/>
    </xf>
    <xf numFmtId="0" fontId="11" fillId="0" borderId="46" xfId="0" applyFont="1" applyBorder="1" applyAlignment="1">
      <alignment horizontal="center" vertical="top" wrapText="1"/>
    </xf>
    <xf numFmtId="3" fontId="6" fillId="3" borderId="71" xfId="0" applyNumberFormat="1" applyFont="1" applyFill="1" applyBorder="1" applyAlignment="1">
      <alignment horizontal="left" vertical="top" wrapText="1"/>
    </xf>
    <xf numFmtId="49" fontId="11" fillId="0" borderId="107" xfId="0" applyNumberFormat="1" applyFont="1" applyBorder="1" applyAlignment="1">
      <alignment horizontal="center" vertical="top"/>
    </xf>
    <xf numFmtId="49" fontId="11" fillId="3" borderId="107" xfId="0" applyNumberFormat="1" applyFont="1" applyFill="1" applyBorder="1" applyAlignment="1">
      <alignment horizontal="center" vertical="top"/>
    </xf>
    <xf numFmtId="0" fontId="11" fillId="0" borderId="53" xfId="0" applyFont="1" applyBorder="1" applyAlignment="1">
      <alignment horizontal="center" vertical="top" wrapText="1"/>
    </xf>
    <xf numFmtId="49" fontId="6" fillId="3" borderId="42" xfId="0" applyNumberFormat="1" applyFont="1" applyFill="1" applyBorder="1" applyAlignment="1">
      <alignment horizontal="center" vertical="top"/>
    </xf>
    <xf numFmtId="0" fontId="2" fillId="3" borderId="46" xfId="0" applyFont="1" applyFill="1" applyBorder="1" applyAlignment="1">
      <alignment horizontal="center" vertical="top" wrapText="1"/>
    </xf>
    <xf numFmtId="3" fontId="6" fillId="3" borderId="40" xfId="0" applyNumberFormat="1" applyFont="1" applyFill="1" applyBorder="1" applyAlignment="1">
      <alignment horizontal="left" vertical="top" wrapText="1"/>
    </xf>
    <xf numFmtId="49" fontId="6" fillId="0" borderId="42" xfId="0" applyNumberFormat="1" applyFont="1" applyBorder="1" applyAlignment="1">
      <alignment horizontal="center" vertical="top"/>
    </xf>
    <xf numFmtId="0" fontId="4" fillId="3" borderId="42" xfId="0" applyFont="1" applyFill="1" applyBorder="1" applyAlignment="1">
      <alignment vertical="top" wrapText="1"/>
    </xf>
    <xf numFmtId="49" fontId="6" fillId="0" borderId="43" xfId="0" applyNumberFormat="1" applyFont="1" applyBorder="1" applyAlignment="1">
      <alignment horizontal="center" vertical="top"/>
    </xf>
    <xf numFmtId="0" fontId="2" fillId="3" borderId="49" xfId="0" applyFont="1" applyFill="1" applyBorder="1" applyAlignment="1">
      <alignment vertical="top" wrapText="1"/>
    </xf>
    <xf numFmtId="164" fontId="2" fillId="0" borderId="42" xfId="0" applyNumberFormat="1" applyFont="1" applyBorder="1" applyAlignment="1">
      <alignment horizontal="center" vertical="top" wrapText="1"/>
    </xf>
    <xf numFmtId="3" fontId="11" fillId="0" borderId="40" xfId="0" applyNumberFormat="1" applyFont="1" applyBorder="1" applyAlignment="1">
      <alignment vertical="top" wrapText="1"/>
    </xf>
    <xf numFmtId="3" fontId="11" fillId="3" borderId="71" xfId="0" applyNumberFormat="1" applyFont="1" applyFill="1" applyBorder="1" applyAlignment="1">
      <alignment horizontal="left" vertical="top" wrapText="1"/>
    </xf>
    <xf numFmtId="0" fontId="2" fillId="0" borderId="53" xfId="0" applyFont="1" applyBorder="1" applyAlignment="1">
      <alignment horizontal="center" vertical="top" wrapText="1"/>
    </xf>
    <xf numFmtId="3" fontId="22" fillId="3" borderId="40" xfId="0" applyNumberFormat="1" applyFont="1" applyFill="1" applyBorder="1" applyAlignment="1">
      <alignment vertical="top" wrapText="1"/>
    </xf>
    <xf numFmtId="0" fontId="2" fillId="3" borderId="52" xfId="0" applyFont="1" applyFill="1" applyBorder="1" applyAlignment="1">
      <alignment vertical="top" wrapText="1"/>
    </xf>
    <xf numFmtId="0" fontId="6" fillId="3" borderId="40" xfId="0" applyFont="1" applyFill="1" applyBorder="1" applyAlignment="1">
      <alignment horizontal="left" vertical="top" wrapText="1"/>
    </xf>
    <xf numFmtId="0" fontId="5" fillId="3" borderId="42" xfId="0" applyFont="1" applyFill="1" applyBorder="1" applyAlignment="1">
      <alignment vertical="top" wrapText="1"/>
    </xf>
    <xf numFmtId="0" fontId="4" fillId="3" borderId="44" xfId="0" applyFont="1" applyFill="1" applyBorder="1" applyAlignment="1">
      <alignment vertical="top" wrapText="1"/>
    </xf>
    <xf numFmtId="0" fontId="2" fillId="3" borderId="61" xfId="0" applyFont="1" applyFill="1" applyBorder="1" applyAlignment="1">
      <alignment vertical="top" wrapText="1"/>
    </xf>
    <xf numFmtId="49" fontId="6" fillId="3" borderId="107" xfId="0" applyNumberFormat="1" applyFont="1" applyFill="1" applyBorder="1" applyAlignment="1">
      <alignment horizontal="center" vertical="top"/>
    </xf>
    <xf numFmtId="0" fontId="19" fillId="3" borderId="42" xfId="0" applyFont="1" applyFill="1" applyBorder="1" applyAlignment="1">
      <alignment vertical="top" wrapText="1"/>
    </xf>
    <xf numFmtId="0" fontId="11" fillId="3" borderId="40" xfId="0" applyFont="1" applyFill="1" applyBorder="1" applyAlignment="1">
      <alignment vertical="top" wrapText="1"/>
    </xf>
    <xf numFmtId="49" fontId="6" fillId="3" borderId="43" xfId="0" applyNumberFormat="1" applyFont="1" applyFill="1" applyBorder="1" applyAlignment="1">
      <alignment horizontal="center" vertical="top"/>
    </xf>
    <xf numFmtId="164" fontId="6" fillId="3" borderId="52" xfId="0" applyNumberFormat="1" applyFont="1" applyFill="1" applyBorder="1" applyAlignment="1">
      <alignment horizontal="center" vertical="top" wrapText="1"/>
    </xf>
    <xf numFmtId="164" fontId="6" fillId="3" borderId="53" xfId="0" applyNumberFormat="1" applyFont="1" applyFill="1" applyBorder="1" applyAlignment="1">
      <alignment horizontal="center" vertical="top" wrapText="1"/>
    </xf>
    <xf numFmtId="164" fontId="11" fillId="0" borderId="56" xfId="0" applyNumberFormat="1" applyFont="1" applyBorder="1" applyAlignment="1">
      <alignment horizontal="center" vertical="top" wrapText="1"/>
    </xf>
    <xf numFmtId="0" fontId="6" fillId="3" borderId="43" xfId="0" applyFont="1" applyFill="1" applyBorder="1" applyAlignment="1">
      <alignment horizontal="center" vertical="top"/>
    </xf>
    <xf numFmtId="0" fontId="2" fillId="3" borderId="61" xfId="0" applyFont="1" applyFill="1" applyBorder="1" applyAlignment="1">
      <alignment horizontal="center" vertical="top" wrapText="1"/>
    </xf>
    <xf numFmtId="0" fontId="15" fillId="3" borderId="42" xfId="0" applyFont="1" applyFill="1" applyBorder="1" applyAlignment="1">
      <alignment vertical="top" wrapText="1"/>
    </xf>
    <xf numFmtId="164" fontId="11" fillId="0" borderId="42" xfId="0" applyNumberFormat="1" applyFont="1" applyBorder="1" applyAlignment="1">
      <alignment horizontal="center" vertical="top" wrapText="1"/>
    </xf>
    <xf numFmtId="164" fontId="11" fillId="0" borderId="46" xfId="0" applyNumberFormat="1" applyFont="1" applyBorder="1" applyAlignment="1">
      <alignment horizontal="center" vertical="top" wrapText="1"/>
    </xf>
    <xf numFmtId="0" fontId="11" fillId="3" borderId="43" xfId="0" applyFont="1" applyFill="1" applyBorder="1" applyAlignment="1">
      <alignment horizontal="center" vertical="top"/>
    </xf>
    <xf numFmtId="0" fontId="11" fillId="0" borderId="52" xfId="0" applyFont="1" applyBorder="1" applyAlignment="1">
      <alignment vertical="top" wrapText="1"/>
    </xf>
    <xf numFmtId="0" fontId="11" fillId="0" borderId="50" xfId="0" applyFont="1" applyBorder="1" applyAlignment="1">
      <alignment horizontal="center" vertical="top"/>
    </xf>
    <xf numFmtId="0" fontId="11" fillId="3" borderId="50" xfId="0" applyFont="1" applyFill="1" applyBorder="1" applyAlignment="1">
      <alignment horizontal="center" vertical="top"/>
    </xf>
    <xf numFmtId="164" fontId="5" fillId="8" borderId="4" xfId="0" applyNumberFormat="1" applyFont="1" applyFill="1" applyBorder="1" applyAlignment="1">
      <alignment horizontal="center" vertical="top" wrapText="1"/>
    </xf>
    <xf numFmtId="164" fontId="5" fillId="8" borderId="56" xfId="0" applyNumberFormat="1" applyFont="1" applyFill="1" applyBorder="1" applyAlignment="1">
      <alignment horizontal="center" vertical="top" wrapText="1"/>
    </xf>
    <xf numFmtId="0" fontId="15" fillId="3" borderId="108" xfId="0" applyFont="1" applyFill="1" applyBorder="1" applyAlignment="1">
      <alignment vertical="top" wrapText="1"/>
    </xf>
    <xf numFmtId="0" fontId="11" fillId="0" borderId="109" xfId="0" applyFont="1" applyBorder="1" applyAlignment="1">
      <alignment vertical="center" wrapText="1"/>
    </xf>
    <xf numFmtId="0" fontId="11" fillId="3" borderId="68" xfId="0" applyFont="1" applyFill="1" applyBorder="1" applyAlignment="1">
      <alignment horizontal="left" vertical="top" wrapText="1"/>
    </xf>
    <xf numFmtId="0" fontId="11" fillId="0" borderId="73" xfId="0" applyFont="1" applyBorder="1" applyAlignment="1">
      <alignment vertical="top" wrapText="1"/>
    </xf>
    <xf numFmtId="0" fontId="6" fillId="0" borderId="48" xfId="0" applyFont="1" applyBorder="1" applyAlignment="1">
      <alignment vertical="top" wrapText="1"/>
    </xf>
    <xf numFmtId="0" fontId="2" fillId="8" borderId="40" xfId="0" applyFont="1" applyFill="1" applyBorder="1" applyAlignment="1">
      <alignment vertical="top" wrapText="1"/>
    </xf>
    <xf numFmtId="0" fontId="2" fillId="8" borderId="42" xfId="0" applyFont="1" applyFill="1" applyBorder="1" applyAlignment="1">
      <alignment horizontal="center" vertical="top" wrapText="1"/>
    </xf>
    <xf numFmtId="164" fontId="5" fillId="8" borderId="42" xfId="0" applyNumberFormat="1" applyFont="1" applyFill="1" applyBorder="1" applyAlignment="1">
      <alignment horizontal="center" vertical="top" wrapText="1"/>
    </xf>
    <xf numFmtId="164" fontId="5" fillId="8" borderId="46" xfId="0" applyNumberFormat="1" applyFont="1" applyFill="1" applyBorder="1" applyAlignment="1">
      <alignment horizontal="center" vertical="top" wrapText="1"/>
    </xf>
    <xf numFmtId="0" fontId="5" fillId="3" borderId="49" xfId="0" applyFont="1" applyFill="1" applyBorder="1" applyAlignment="1">
      <alignment vertical="top" wrapText="1"/>
    </xf>
    <xf numFmtId="0" fontId="5" fillId="3" borderId="52" xfId="0" applyFont="1" applyFill="1" applyBorder="1" applyAlignment="1">
      <alignment horizontal="center" vertical="top" wrapText="1"/>
    </xf>
    <xf numFmtId="3" fontId="11" fillId="3" borderId="13" xfId="0" applyNumberFormat="1" applyFont="1" applyFill="1" applyBorder="1" applyAlignment="1">
      <alignment horizontal="center" vertical="top" wrapText="1"/>
    </xf>
    <xf numFmtId="167" fontId="6" fillId="14" borderId="40" xfId="1" applyNumberFormat="1" applyFont="1" applyFill="1" applyBorder="1" applyAlignment="1">
      <alignment vertical="top" wrapText="1"/>
    </xf>
    <xf numFmtId="49" fontId="11" fillId="0" borderId="42" xfId="0" applyNumberFormat="1" applyFont="1" applyBorder="1" applyAlignment="1">
      <alignment horizontal="center" vertical="top"/>
    </xf>
    <xf numFmtId="0" fontId="6" fillId="0" borderId="75" xfId="0" applyFont="1" applyBorder="1" applyAlignment="1">
      <alignment vertical="top" wrapText="1"/>
    </xf>
    <xf numFmtId="0" fontId="2" fillId="0" borderId="40" xfId="0" applyFont="1" applyBorder="1" applyAlignment="1">
      <alignment vertical="top" wrapText="1"/>
    </xf>
    <xf numFmtId="3" fontId="11" fillId="3" borderId="44" xfId="0" applyNumberFormat="1" applyFont="1" applyFill="1" applyBorder="1" applyAlignment="1">
      <alignment horizontal="center" vertical="top" wrapText="1"/>
    </xf>
    <xf numFmtId="164" fontId="11" fillId="0" borderId="62" xfId="0" applyNumberFormat="1" applyFont="1" applyBorder="1" applyAlignment="1">
      <alignment horizontal="center" vertical="top" wrapText="1"/>
    </xf>
    <xf numFmtId="0" fontId="5" fillId="3" borderId="68" xfId="0" applyFont="1" applyFill="1" applyBorder="1" applyAlignment="1">
      <alignment vertical="top" wrapText="1"/>
    </xf>
    <xf numFmtId="0" fontId="5" fillId="3" borderId="51" xfId="0" applyFont="1" applyFill="1" applyBorder="1" applyAlignment="1">
      <alignment horizontal="center" vertical="top" wrapText="1"/>
    </xf>
    <xf numFmtId="0" fontId="4" fillId="0" borderId="13" xfId="0" applyFont="1" applyBorder="1" applyAlignment="1">
      <alignment vertical="top" wrapText="1"/>
    </xf>
    <xf numFmtId="0" fontId="6" fillId="0" borderId="29" xfId="0" applyFont="1" applyBorder="1" applyAlignment="1">
      <alignment vertical="top" wrapText="1"/>
    </xf>
    <xf numFmtId="164" fontId="5" fillId="3" borderId="43" xfId="0" applyNumberFormat="1" applyFont="1" applyFill="1" applyBorder="1" applyAlignment="1">
      <alignment horizontal="center" vertical="top" wrapText="1"/>
    </xf>
    <xf numFmtId="164" fontId="11" fillId="3" borderId="107" xfId="0" applyNumberFormat="1" applyFont="1" applyFill="1" applyBorder="1" applyAlignment="1">
      <alignment horizontal="center" vertical="top" wrapText="1"/>
    </xf>
    <xf numFmtId="164" fontId="11" fillId="0" borderId="43" xfId="0" applyNumberFormat="1" applyFont="1" applyBorder="1" applyAlignment="1">
      <alignment horizontal="center" vertical="top" wrapText="1"/>
    </xf>
    <xf numFmtId="164" fontId="11" fillId="0" borderId="107" xfId="0" applyNumberFormat="1" applyFont="1" applyBorder="1" applyAlignment="1">
      <alignment horizontal="center" vertical="top" wrapText="1"/>
    </xf>
    <xf numFmtId="164" fontId="11" fillId="0" borderId="14" xfId="0" applyNumberFormat="1" applyFont="1" applyBorder="1" applyAlignment="1">
      <alignment horizontal="center" vertical="top" wrapText="1"/>
    </xf>
    <xf numFmtId="164" fontId="11" fillId="0" borderId="12" xfId="0" applyNumberFormat="1" applyFont="1" applyBorder="1" applyAlignment="1">
      <alignment horizontal="center" vertical="top" wrapText="1"/>
    </xf>
    <xf numFmtId="164" fontId="5" fillId="7" borderId="54" xfId="0" applyNumberFormat="1" applyFont="1" applyFill="1" applyBorder="1" applyAlignment="1">
      <alignment horizontal="center" vertical="top" wrapText="1"/>
    </xf>
    <xf numFmtId="164" fontId="11" fillId="0" borderId="53" xfId="0" applyNumberFormat="1" applyFont="1" applyBorder="1" applyAlignment="1">
      <alignment horizontal="center" vertical="top" wrapText="1"/>
    </xf>
    <xf numFmtId="49" fontId="11" fillId="3" borderId="43" xfId="0" applyNumberFormat="1" applyFont="1" applyFill="1" applyBorder="1" applyAlignment="1">
      <alignment horizontal="center" vertical="top"/>
    </xf>
    <xf numFmtId="0" fontId="2" fillId="3" borderId="40" xfId="0" applyFont="1" applyFill="1" applyBorder="1" applyAlignment="1">
      <alignment vertical="top" wrapText="1"/>
    </xf>
    <xf numFmtId="0" fontId="19" fillId="0" borderId="44" xfId="0" applyFont="1" applyBorder="1" applyAlignment="1">
      <alignment vertical="top" wrapText="1"/>
    </xf>
    <xf numFmtId="0" fontId="11" fillId="0" borderId="74" xfId="0" applyFont="1" applyBorder="1" applyAlignment="1">
      <alignment vertical="top" wrapText="1"/>
    </xf>
    <xf numFmtId="164" fontId="2" fillId="0" borderId="43" xfId="0" applyNumberFormat="1" applyFont="1" applyBorder="1" applyAlignment="1">
      <alignment horizontal="center" vertical="top" wrapText="1"/>
    </xf>
    <xf numFmtId="0" fontId="2" fillId="8" borderId="40" xfId="0" applyFont="1" applyFill="1" applyBorder="1" applyAlignment="1">
      <alignment horizontal="left" vertical="top" wrapText="1"/>
    </xf>
    <xf numFmtId="0" fontId="15" fillId="8" borderId="42" xfId="0" applyFont="1" applyFill="1" applyBorder="1" applyAlignment="1">
      <alignment vertical="top" wrapText="1"/>
    </xf>
    <xf numFmtId="0" fontId="11" fillId="7" borderId="40" xfId="0" applyFont="1" applyFill="1" applyBorder="1" applyAlignment="1">
      <alignment horizontal="left" vertical="top" wrapText="1"/>
    </xf>
    <xf numFmtId="0" fontId="5" fillId="3" borderId="52" xfId="0" applyFont="1" applyFill="1" applyBorder="1" applyAlignment="1">
      <alignment vertical="top" wrapText="1"/>
    </xf>
    <xf numFmtId="0" fontId="11" fillId="7" borderId="69" xfId="0" applyFont="1" applyFill="1" applyBorder="1" applyAlignment="1">
      <alignment vertical="top" wrapText="1"/>
    </xf>
    <xf numFmtId="3" fontId="11" fillId="7" borderId="64" xfId="0" applyNumberFormat="1" applyFont="1" applyFill="1" applyBorder="1" applyAlignment="1">
      <alignment horizontal="center" vertical="top" wrapText="1"/>
    </xf>
    <xf numFmtId="0" fontId="11" fillId="0" borderId="40" xfId="0" applyFont="1" applyBorder="1" applyAlignment="1">
      <alignment vertical="top" wrapText="1"/>
    </xf>
    <xf numFmtId="3" fontId="11" fillId="3" borderId="42" xfId="0" applyNumberFormat="1" applyFont="1" applyFill="1" applyBorder="1" applyAlignment="1">
      <alignment horizontal="center" vertical="top" wrapText="1"/>
    </xf>
    <xf numFmtId="164" fontId="2" fillId="3" borderId="51" xfId="0" applyNumberFormat="1" applyFont="1" applyFill="1" applyBorder="1" applyAlignment="1">
      <alignment horizontal="center" vertical="top" wrapText="1"/>
    </xf>
    <xf numFmtId="164" fontId="2" fillId="3" borderId="88" xfId="0" applyNumberFormat="1" applyFont="1" applyFill="1" applyBorder="1" applyAlignment="1">
      <alignment horizontal="center" vertical="top" wrapText="1"/>
    </xf>
    <xf numFmtId="0" fontId="11" fillId="0" borderId="66" xfId="0" applyFont="1" applyBorder="1" applyAlignment="1">
      <alignment vertical="top" wrapText="1"/>
    </xf>
    <xf numFmtId="3" fontId="11" fillId="3" borderId="72" xfId="0" applyNumberFormat="1" applyFont="1" applyFill="1" applyBorder="1" applyAlignment="1">
      <alignment horizontal="center" vertical="top" wrapText="1"/>
    </xf>
    <xf numFmtId="0" fontId="2" fillId="3" borderId="109" xfId="0" applyFont="1" applyFill="1" applyBorder="1" applyAlignment="1">
      <alignment vertical="top" wrapText="1"/>
    </xf>
    <xf numFmtId="3" fontId="11" fillId="3" borderId="67" xfId="0" applyNumberFormat="1" applyFont="1" applyFill="1" applyBorder="1" applyAlignment="1">
      <alignment horizontal="center" vertical="top" wrapText="1"/>
    </xf>
    <xf numFmtId="164" fontId="2" fillId="3" borderId="3" xfId="0" applyNumberFormat="1" applyFont="1" applyFill="1" applyBorder="1" applyAlignment="1">
      <alignment horizontal="center" vertical="top" wrapText="1"/>
    </xf>
    <xf numFmtId="164" fontId="2" fillId="3" borderId="89" xfId="0" applyNumberFormat="1" applyFont="1" applyFill="1" applyBorder="1" applyAlignment="1">
      <alignment horizontal="center" vertical="top" wrapText="1"/>
    </xf>
    <xf numFmtId="0" fontId="5" fillId="8" borderId="40" xfId="0" applyFont="1" applyFill="1" applyBorder="1" applyAlignment="1">
      <alignment vertical="top" wrapText="1"/>
    </xf>
    <xf numFmtId="0" fontId="11" fillId="8" borderId="4" xfId="0" applyFont="1" applyFill="1" applyBorder="1" applyAlignment="1">
      <alignment horizontal="center" vertical="top" wrapText="1"/>
    </xf>
    <xf numFmtId="3" fontId="11" fillId="7" borderId="42" xfId="0" applyNumberFormat="1" applyFont="1" applyFill="1" applyBorder="1" applyAlignment="1">
      <alignment horizontal="center" vertical="top" wrapText="1"/>
    </xf>
    <xf numFmtId="0" fontId="18" fillId="3" borderId="52" xfId="0" applyFont="1" applyFill="1" applyBorder="1" applyAlignment="1">
      <alignment horizontal="center" vertical="top" wrapText="1"/>
    </xf>
    <xf numFmtId="164" fontId="15" fillId="0" borderId="52" xfId="0" applyNumberFormat="1" applyFont="1" applyBorder="1" applyAlignment="1">
      <alignment horizontal="center" vertical="top" wrapText="1"/>
    </xf>
    <xf numFmtId="0" fontId="2" fillId="7" borderId="40" xfId="0" applyFont="1" applyFill="1" applyBorder="1" applyAlignment="1">
      <alignment vertical="top" wrapText="1"/>
    </xf>
    <xf numFmtId="0" fontId="11" fillId="9" borderId="40" xfId="0" applyFont="1" applyFill="1" applyBorder="1" applyAlignment="1">
      <alignment vertical="top" wrapText="1"/>
    </xf>
    <xf numFmtId="0" fontId="11" fillId="9" borderId="42" xfId="0" applyFont="1" applyFill="1" applyBorder="1" applyAlignment="1">
      <alignment horizontal="center" vertical="top" wrapText="1"/>
    </xf>
    <xf numFmtId="0" fontId="11" fillId="9" borderId="46" xfId="0" applyFont="1" applyFill="1" applyBorder="1" applyAlignment="1">
      <alignment horizontal="center" vertical="top" wrapText="1"/>
    </xf>
    <xf numFmtId="0" fontId="15" fillId="7" borderId="42" xfId="0" applyFont="1" applyFill="1" applyBorder="1" applyAlignment="1">
      <alignment vertical="top" wrapText="1"/>
    </xf>
    <xf numFmtId="0" fontId="29" fillId="9" borderId="46" xfId="0" applyFont="1" applyFill="1" applyBorder="1" applyAlignment="1">
      <alignment horizontal="center" vertical="top" wrapText="1"/>
    </xf>
    <xf numFmtId="0" fontId="4" fillId="0" borderId="74" xfId="0" applyFont="1" applyBorder="1" applyAlignment="1">
      <alignment vertical="top" wrapText="1"/>
    </xf>
    <xf numFmtId="0" fontId="15" fillId="0" borderId="51" xfId="0" applyFont="1" applyBorder="1" applyAlignment="1">
      <alignment vertical="top" wrapText="1"/>
    </xf>
    <xf numFmtId="0" fontId="15" fillId="9" borderId="40" xfId="0" applyFont="1" applyFill="1" applyBorder="1" applyAlignment="1">
      <alignment vertical="top" wrapText="1"/>
    </xf>
    <xf numFmtId="0" fontId="27" fillId="9" borderId="43" xfId="0" applyFont="1" applyFill="1" applyBorder="1" applyAlignment="1">
      <alignment vertical="top" wrapText="1"/>
    </xf>
    <xf numFmtId="0" fontId="11" fillId="9" borderId="43" xfId="0" applyFont="1" applyFill="1" applyBorder="1" applyAlignment="1">
      <alignment horizontal="center" vertical="top" wrapText="1"/>
    </xf>
    <xf numFmtId="0" fontId="22" fillId="7" borderId="42" xfId="0" applyFont="1" applyFill="1" applyBorder="1" applyAlignment="1">
      <alignment horizontal="center" vertical="top" wrapText="1"/>
    </xf>
    <xf numFmtId="0" fontId="27" fillId="0" borderId="51" xfId="0" applyFont="1" applyBorder="1" applyAlignment="1">
      <alignment vertical="top" wrapText="1"/>
    </xf>
    <xf numFmtId="0" fontId="29" fillId="7" borderId="46" xfId="0" applyFont="1" applyFill="1" applyBorder="1" applyAlignment="1">
      <alignment horizontal="center" vertical="top" wrapText="1"/>
    </xf>
    <xf numFmtId="0" fontId="15" fillId="3" borderId="51" xfId="0" applyFont="1" applyFill="1" applyBorder="1" applyAlignment="1">
      <alignment vertical="top" wrapText="1"/>
    </xf>
    <xf numFmtId="0" fontId="5" fillId="4" borderId="70" xfId="0" applyFont="1" applyFill="1" applyBorder="1" applyAlignment="1">
      <alignment vertical="top" wrapText="1"/>
    </xf>
    <xf numFmtId="0" fontId="5" fillId="13" borderId="69" xfId="0" applyFont="1" applyFill="1" applyBorder="1" applyAlignment="1">
      <alignment horizontal="left" vertical="top" wrapText="1"/>
    </xf>
    <xf numFmtId="0" fontId="5" fillId="13" borderId="64" xfId="0" applyFont="1" applyFill="1" applyBorder="1" applyAlignment="1">
      <alignment vertical="top" wrapText="1"/>
    </xf>
    <xf numFmtId="0" fontId="5" fillId="13" borderId="70" xfId="0" applyFont="1" applyFill="1" applyBorder="1" applyAlignment="1">
      <alignment vertical="top" wrapText="1"/>
    </xf>
    <xf numFmtId="0" fontId="4" fillId="13" borderId="69" xfId="0" applyFont="1" applyFill="1" applyBorder="1" applyAlignment="1">
      <alignment vertical="top" wrapText="1"/>
    </xf>
    <xf numFmtId="0" fontId="4" fillId="13" borderId="64" xfId="0" applyFont="1" applyFill="1" applyBorder="1" applyAlignment="1">
      <alignment horizontal="center" vertical="top" wrapText="1"/>
    </xf>
    <xf numFmtId="0" fontId="4" fillId="13" borderId="70" xfId="0" applyFont="1" applyFill="1" applyBorder="1" applyAlignment="1">
      <alignment horizontal="center" vertical="top" wrapText="1"/>
    </xf>
    <xf numFmtId="0" fontId="5" fillId="7" borderId="86" xfId="0" applyFont="1" applyFill="1" applyBorder="1" applyAlignment="1">
      <alignment horizontal="justify" vertical="top" wrapText="1"/>
    </xf>
    <xf numFmtId="164" fontId="5" fillId="7" borderId="3" xfId="0" applyNumberFormat="1" applyFont="1" applyFill="1" applyBorder="1" applyAlignment="1">
      <alignment horizontal="center" vertical="top" wrapText="1"/>
    </xf>
    <xf numFmtId="164" fontId="5" fillId="7" borderId="89" xfId="0" applyNumberFormat="1" applyFont="1" applyFill="1" applyBorder="1" applyAlignment="1">
      <alignment horizontal="center" vertical="top" wrapText="1"/>
    </xf>
    <xf numFmtId="0" fontId="1" fillId="7" borderId="86" xfId="0" applyFont="1" applyFill="1" applyBorder="1"/>
    <xf numFmtId="0" fontId="1" fillId="7" borderId="3" xfId="0" applyFont="1" applyFill="1" applyBorder="1"/>
    <xf numFmtId="0" fontId="1" fillId="7" borderId="89" xfId="0" applyFont="1" applyFill="1" applyBorder="1"/>
    <xf numFmtId="164" fontId="11" fillId="3" borderId="14" xfId="1" applyNumberFormat="1" applyFont="1" applyFill="1" applyBorder="1" applyAlignment="1">
      <alignment horizontal="center" vertical="top"/>
    </xf>
    <xf numFmtId="164" fontId="11" fillId="3" borderId="4" xfId="1" applyNumberFormat="1" applyFont="1" applyFill="1" applyBorder="1" applyAlignment="1">
      <alignment horizontal="center" vertical="top"/>
    </xf>
    <xf numFmtId="164" fontId="11" fillId="3" borderId="56" xfId="1" applyNumberFormat="1" applyFont="1" applyFill="1" applyBorder="1" applyAlignment="1">
      <alignment horizontal="center" vertical="top"/>
    </xf>
    <xf numFmtId="0" fontId="22" fillId="3" borderId="43" xfId="0" applyFont="1" applyFill="1" applyBorder="1" applyAlignment="1">
      <alignment horizontal="center" vertical="top" wrapText="1"/>
    </xf>
    <xf numFmtId="0" fontId="6" fillId="0" borderId="52" xfId="0" applyFont="1" applyBorder="1" applyAlignment="1">
      <alignment horizontal="left" vertical="top" wrapText="1"/>
    </xf>
    <xf numFmtId="166" fontId="21" fillId="3" borderId="52" xfId="0" applyNumberFormat="1" applyFont="1" applyFill="1" applyBorder="1" applyAlignment="1">
      <alignment horizontal="center" vertical="top" wrapText="1"/>
    </xf>
    <xf numFmtId="164" fontId="21" fillId="3" borderId="52" xfId="0" applyNumberFormat="1" applyFont="1" applyFill="1" applyBorder="1" applyAlignment="1">
      <alignment horizontal="center" vertical="top" wrapText="1"/>
    </xf>
    <xf numFmtId="164" fontId="21" fillId="3" borderId="50" xfId="0" applyNumberFormat="1" applyFont="1" applyFill="1" applyBorder="1" applyAlignment="1">
      <alignment horizontal="center" vertical="top" wrapText="1"/>
    </xf>
    <xf numFmtId="164" fontId="21" fillId="3" borderId="98" xfId="0" applyNumberFormat="1" applyFont="1" applyFill="1" applyBorder="1" applyAlignment="1">
      <alignment horizontal="center" vertical="top" wrapText="1"/>
    </xf>
    <xf numFmtId="0" fontId="22" fillId="3" borderId="52" xfId="0" applyFont="1" applyFill="1" applyBorder="1" applyAlignment="1">
      <alignment horizontal="center" vertical="top" wrapText="1"/>
    </xf>
    <xf numFmtId="0" fontId="2" fillId="3" borderId="53" xfId="0" applyFont="1" applyFill="1" applyBorder="1" applyAlignment="1">
      <alignment horizontal="center" vertical="top" wrapText="1"/>
    </xf>
    <xf numFmtId="0" fontId="6" fillId="0" borderId="18" xfId="0" applyFont="1" applyBorder="1" applyAlignment="1">
      <alignment horizontal="left" vertical="top" wrapText="1"/>
    </xf>
    <xf numFmtId="166" fontId="22" fillId="3" borderId="3" xfId="0" applyNumberFormat="1" applyFont="1" applyFill="1" applyBorder="1" applyAlignment="1">
      <alignment horizontal="center" vertical="top"/>
    </xf>
    <xf numFmtId="166" fontId="22" fillId="3" borderId="36" xfId="0" applyNumberFormat="1" applyFont="1" applyFill="1" applyBorder="1" applyAlignment="1">
      <alignment horizontal="center" vertical="top"/>
    </xf>
    <xf numFmtId="166" fontId="22" fillId="3" borderId="85" xfId="0" applyNumberFormat="1" applyFont="1" applyFill="1" applyBorder="1" applyAlignment="1">
      <alignment horizontal="center" vertical="top"/>
    </xf>
    <xf numFmtId="0" fontId="26" fillId="3" borderId="4" xfId="0" applyFont="1" applyFill="1" applyBorder="1" applyAlignment="1">
      <alignment vertical="top" wrapText="1"/>
    </xf>
    <xf numFmtId="0" fontId="2" fillId="3" borderId="41" xfId="0" applyFont="1" applyFill="1" applyBorder="1" applyAlignment="1">
      <alignment vertical="top" wrapText="1"/>
    </xf>
    <xf numFmtId="0" fontId="22" fillId="3" borderId="42" xfId="0" applyFont="1" applyFill="1" applyBorder="1" applyAlignment="1">
      <alignment horizontal="center" vertical="top"/>
    </xf>
    <xf numFmtId="166" fontId="22" fillId="3" borderId="42" xfId="0" applyNumberFormat="1" applyFont="1" applyFill="1" applyBorder="1" applyAlignment="1">
      <alignment horizontal="center" vertical="top"/>
    </xf>
    <xf numFmtId="166" fontId="22" fillId="3" borderId="43" xfId="0" applyNumberFormat="1" applyFont="1" applyFill="1" applyBorder="1" applyAlignment="1">
      <alignment horizontal="center" vertical="top"/>
    </xf>
    <xf numFmtId="166" fontId="22" fillId="3" borderId="97" xfId="0" applyNumberFormat="1" applyFont="1" applyFill="1" applyBorder="1" applyAlignment="1">
      <alignment horizontal="center" vertical="top"/>
    </xf>
    <xf numFmtId="4" fontId="1" fillId="0" borderId="42" xfId="0" applyNumberFormat="1" applyFont="1" applyBorder="1"/>
    <xf numFmtId="0" fontId="24" fillId="3" borderId="3" xfId="0" applyFont="1" applyFill="1" applyBorder="1" applyAlignment="1">
      <alignment horizontal="center" vertical="top"/>
    </xf>
    <xf numFmtId="166" fontId="24" fillId="3" borderId="3" xfId="0" applyNumberFormat="1" applyFont="1" applyFill="1" applyBorder="1" applyAlignment="1">
      <alignment horizontal="center" vertical="top"/>
    </xf>
    <xf numFmtId="166" fontId="24" fillId="3" borderId="36" xfId="0" applyNumberFormat="1" applyFont="1" applyFill="1" applyBorder="1" applyAlignment="1">
      <alignment horizontal="center" vertical="top"/>
    </xf>
    <xf numFmtId="166" fontId="24" fillId="3" borderId="85" xfId="0" applyNumberFormat="1" applyFont="1" applyFill="1" applyBorder="1" applyAlignment="1">
      <alignment horizontal="center" vertical="top"/>
    </xf>
    <xf numFmtId="166" fontId="11" fillId="3" borderId="42" xfId="1" applyNumberFormat="1" applyFont="1" applyFill="1" applyBorder="1" applyAlignment="1">
      <alignment horizontal="center" vertical="top"/>
    </xf>
    <xf numFmtId="166" fontId="11" fillId="3" borderId="46" xfId="1" applyNumberFormat="1" applyFont="1" applyFill="1" applyBorder="1" applyAlignment="1">
      <alignment horizontal="center" vertical="top"/>
    </xf>
    <xf numFmtId="0" fontId="21" fillId="0" borderId="52" xfId="0" applyFont="1" applyBorder="1" applyAlignment="1">
      <alignment horizontal="left" vertical="top" wrapText="1"/>
    </xf>
    <xf numFmtId="166" fontId="22" fillId="0" borderId="51" xfId="0" applyNumberFormat="1" applyFont="1" applyBorder="1" applyAlignment="1">
      <alignment horizontal="center" vertical="top"/>
    </xf>
    <xf numFmtId="166" fontId="22" fillId="0" borderId="98" xfId="0" applyNumberFormat="1" applyFont="1" applyBorder="1" applyAlignment="1">
      <alignment horizontal="center" vertical="top"/>
    </xf>
    <xf numFmtId="0" fontId="15" fillId="3" borderId="52" xfId="0" applyFont="1" applyFill="1" applyBorder="1" applyAlignment="1">
      <alignment horizontal="center" vertical="top" wrapText="1"/>
    </xf>
    <xf numFmtId="164" fontId="11" fillId="3" borderId="52" xfId="1" applyNumberFormat="1" applyFont="1" applyFill="1" applyBorder="1" applyAlignment="1">
      <alignment horizontal="center" vertical="top"/>
    </xf>
    <xf numFmtId="166" fontId="11" fillId="3" borderId="42" xfId="0" applyNumberFormat="1" applyFont="1" applyFill="1" applyBorder="1" applyAlignment="1">
      <alignment horizontal="center" vertical="top" wrapText="1"/>
    </xf>
    <xf numFmtId="166" fontId="11" fillId="10" borderId="46" xfId="0" applyNumberFormat="1" applyFont="1" applyFill="1" applyBorder="1" applyAlignment="1">
      <alignment horizontal="center" vertical="top" wrapText="1"/>
    </xf>
    <xf numFmtId="0" fontId="11" fillId="3" borderId="52" xfId="0" applyFont="1" applyFill="1" applyBorder="1" applyAlignment="1">
      <alignment vertical="top" wrapText="1"/>
    </xf>
    <xf numFmtId="166" fontId="11" fillId="3" borderId="52" xfId="0" applyNumberFormat="1" applyFont="1" applyFill="1" applyBorder="1" applyAlignment="1">
      <alignment horizontal="center" vertical="top" wrapText="1"/>
    </xf>
    <xf numFmtId="166" fontId="11" fillId="10" borderId="53" xfId="0" applyNumberFormat="1" applyFont="1" applyFill="1" applyBorder="1" applyAlignment="1">
      <alignment horizontal="center" vertical="top" wrapText="1"/>
    </xf>
    <xf numFmtId="164" fontId="2" fillId="8" borderId="40" xfId="0" applyNumberFormat="1" applyFont="1" applyFill="1" applyBorder="1" applyAlignment="1">
      <alignment horizontal="left" vertical="top" wrapText="1"/>
    </xf>
    <xf numFmtId="0" fontId="5" fillId="8" borderId="42" xfId="0" applyFont="1" applyFill="1" applyBorder="1" applyAlignment="1">
      <alignment vertical="top" wrapText="1"/>
    </xf>
    <xf numFmtId="49" fontId="16" fillId="8" borderId="42" xfId="0" applyNumberFormat="1" applyFont="1" applyFill="1" applyBorder="1" applyAlignment="1">
      <alignment horizontal="center" vertical="top" wrapText="1"/>
    </xf>
    <xf numFmtId="164" fontId="4" fillId="8" borderId="42" xfId="0" applyNumberFormat="1" applyFont="1" applyFill="1" applyBorder="1" applyAlignment="1">
      <alignment horizontal="center" vertical="top"/>
    </xf>
    <xf numFmtId="164" fontId="4" fillId="8" borderId="46" xfId="0" applyNumberFormat="1" applyFont="1" applyFill="1" applyBorder="1" applyAlignment="1">
      <alignment horizontal="center" vertical="top"/>
    </xf>
    <xf numFmtId="49" fontId="4" fillId="0" borderId="52" xfId="0" applyNumberFormat="1" applyFont="1" applyBorder="1" applyAlignment="1">
      <alignment horizontal="center" vertical="top" wrapText="1"/>
    </xf>
    <xf numFmtId="164" fontId="4" fillId="5" borderId="52" xfId="0" applyNumberFormat="1" applyFont="1" applyFill="1" applyBorder="1" applyAlignment="1">
      <alignment horizontal="center" vertical="top"/>
    </xf>
    <xf numFmtId="164" fontId="4" fillId="5" borderId="53" xfId="0" applyNumberFormat="1" applyFont="1" applyFill="1" applyBorder="1" applyAlignment="1">
      <alignment horizontal="center" vertical="top"/>
    </xf>
    <xf numFmtId="0" fontId="11" fillId="10" borderId="4" xfId="0" applyFont="1" applyFill="1" applyBorder="1" applyAlignment="1">
      <alignment horizontal="center" vertical="top" wrapText="1"/>
    </xf>
    <xf numFmtId="0" fontId="11" fillId="10" borderId="56" xfId="0" applyFont="1" applyFill="1" applyBorder="1" applyAlignment="1">
      <alignment horizontal="center" vertical="top" wrapText="1"/>
    </xf>
    <xf numFmtId="0" fontId="6" fillId="0" borderId="75" xfId="0" applyFont="1" applyBorder="1" applyAlignment="1">
      <alignment horizontal="left" vertical="top" wrapText="1"/>
    </xf>
    <xf numFmtId="0" fontId="11" fillId="12" borderId="14" xfId="0" applyFont="1" applyFill="1" applyBorder="1" applyAlignment="1">
      <alignment horizontal="center" vertical="top"/>
    </xf>
    <xf numFmtId="0" fontId="11" fillId="12" borderId="56" xfId="0" applyFont="1" applyFill="1" applyBorder="1" applyAlignment="1">
      <alignment horizontal="center" vertical="top" wrapText="1"/>
    </xf>
    <xf numFmtId="0" fontId="15" fillId="9" borderId="110" xfId="0" applyFont="1" applyFill="1" applyBorder="1" applyAlignment="1">
      <alignment horizontal="left" vertical="top" wrapText="1"/>
    </xf>
    <xf numFmtId="0" fontId="15" fillId="9" borderId="111" xfId="0" applyFont="1" applyFill="1" applyBorder="1" applyAlignment="1">
      <alignment vertical="top" wrapText="1"/>
    </xf>
    <xf numFmtId="0" fontId="11" fillId="9" borderId="112" xfId="0" applyFont="1" applyFill="1" applyBorder="1" applyAlignment="1">
      <alignment vertical="top" wrapText="1"/>
    </xf>
    <xf numFmtId="0" fontId="11" fillId="9" borderId="64" xfId="0" applyFont="1" applyFill="1" applyBorder="1" applyAlignment="1">
      <alignment horizontal="center" vertical="top" wrapText="1"/>
    </xf>
    <xf numFmtId="0" fontId="11" fillId="9" borderId="70" xfId="0" applyFont="1" applyFill="1" applyBorder="1" applyAlignment="1">
      <alignment horizontal="center" vertical="top" wrapText="1"/>
    </xf>
    <xf numFmtId="0" fontId="11" fillId="3" borderId="65" xfId="0" applyFont="1" applyFill="1" applyBorder="1" applyAlignment="1">
      <alignment vertical="top" wrapText="1"/>
    </xf>
    <xf numFmtId="166" fontId="11" fillId="3" borderId="2" xfId="0" applyNumberFormat="1" applyFont="1" applyFill="1" applyBorder="1" applyAlignment="1">
      <alignment horizontal="center" vertical="top" wrapText="1"/>
    </xf>
    <xf numFmtId="166" fontId="11" fillId="10" borderId="2" xfId="0" applyNumberFormat="1" applyFont="1" applyFill="1" applyBorder="1" applyAlignment="1">
      <alignment horizontal="center" vertical="top" wrapText="1"/>
    </xf>
    <xf numFmtId="166" fontId="11" fillId="10" borderId="62" xfId="0" applyNumberFormat="1" applyFont="1" applyFill="1" applyBorder="1" applyAlignment="1">
      <alignment horizontal="center" vertical="top" wrapText="1"/>
    </xf>
    <xf numFmtId="0" fontId="11" fillId="3" borderId="12" xfId="0" applyFont="1" applyFill="1" applyBorder="1" applyAlignment="1">
      <alignment horizontal="center" vertical="top"/>
    </xf>
    <xf numFmtId="0" fontId="11" fillId="12" borderId="12" xfId="0" applyFont="1" applyFill="1" applyBorder="1" applyAlignment="1">
      <alignment horizontal="center" vertical="top"/>
    </xf>
    <xf numFmtId="0" fontId="11" fillId="12" borderId="62" xfId="0" applyFont="1" applyFill="1" applyBorder="1" applyAlignment="1">
      <alignment horizontal="center" vertical="top" wrapText="1"/>
    </xf>
    <xf numFmtId="0" fontId="11" fillId="10" borderId="106" xfId="0" applyFont="1" applyFill="1" applyBorder="1" applyAlignment="1">
      <alignment horizontal="left" vertical="top" wrapText="1"/>
    </xf>
    <xf numFmtId="0" fontId="15" fillId="10" borderId="108" xfId="0" applyFont="1" applyFill="1" applyBorder="1" applyAlignment="1">
      <alignment vertical="top" wrapText="1"/>
    </xf>
    <xf numFmtId="0" fontId="11" fillId="10" borderId="42" xfId="0" applyFont="1" applyFill="1" applyBorder="1" applyAlignment="1">
      <alignment horizontal="center" vertical="top" wrapText="1"/>
    </xf>
    <xf numFmtId="0" fontId="11" fillId="10" borderId="46" xfId="0" applyFont="1" applyFill="1" applyBorder="1" applyAlignment="1">
      <alignment horizontal="center" vertical="top" wrapText="1"/>
    </xf>
    <xf numFmtId="0" fontId="21" fillId="0" borderId="40" xfId="0" applyFont="1" applyBorder="1" applyAlignment="1">
      <alignment vertical="top" wrapText="1"/>
    </xf>
    <xf numFmtId="0" fontId="6" fillId="0" borderId="43" xfId="0" applyFont="1" applyBorder="1" applyAlignment="1">
      <alignment horizontal="center" vertical="top"/>
    </xf>
    <xf numFmtId="0" fontId="6" fillId="12" borderId="43" xfId="0" applyFont="1" applyFill="1" applyBorder="1" applyAlignment="1">
      <alignment horizontal="center" vertical="top"/>
    </xf>
    <xf numFmtId="0" fontId="11" fillId="12" borderId="46" xfId="0" applyFont="1" applyFill="1" applyBorder="1" applyAlignment="1">
      <alignment horizontal="center" vertical="top" wrapText="1"/>
    </xf>
    <xf numFmtId="0" fontId="11" fillId="10" borderId="114" xfId="0" applyFont="1" applyFill="1" applyBorder="1" applyAlignment="1">
      <alignment horizontal="left" vertical="top" wrapText="1"/>
    </xf>
    <xf numFmtId="0" fontId="11" fillId="10" borderId="115" xfId="0" applyFont="1" applyFill="1" applyBorder="1" applyAlignment="1">
      <alignment vertical="top" wrapText="1"/>
    </xf>
    <xf numFmtId="0" fontId="11" fillId="10" borderId="52" xfId="0" applyFont="1" applyFill="1" applyBorder="1" applyAlignment="1">
      <alignment horizontal="center" vertical="top" wrapText="1"/>
    </xf>
    <xf numFmtId="0" fontId="11" fillId="10" borderId="53" xfId="0" applyFont="1" applyFill="1" applyBorder="1" applyAlignment="1">
      <alignment horizontal="center" vertical="top" wrapText="1"/>
    </xf>
    <xf numFmtId="0" fontId="11" fillId="0" borderId="40" xfId="0" applyFont="1" applyBorder="1" applyAlignment="1">
      <alignment horizontal="left" vertical="top" wrapText="1"/>
    </xf>
    <xf numFmtId="0" fontId="11" fillId="3" borderId="115" xfId="0" applyFont="1" applyFill="1" applyBorder="1" applyAlignment="1">
      <alignment vertical="top" wrapText="1"/>
    </xf>
    <xf numFmtId="0" fontId="11" fillId="12" borderId="52" xfId="0" applyFont="1" applyFill="1" applyBorder="1" applyAlignment="1">
      <alignment horizontal="center" vertical="top" wrapText="1"/>
    </xf>
    <xf numFmtId="0" fontId="11" fillId="12" borderId="53" xfId="0" applyFont="1" applyFill="1" applyBorder="1" applyAlignment="1">
      <alignment horizontal="center" vertical="top" wrapText="1"/>
    </xf>
    <xf numFmtId="0" fontId="15" fillId="10" borderId="45" xfId="0" applyFont="1" applyFill="1" applyBorder="1" applyAlignment="1">
      <alignment vertical="top" wrapText="1"/>
    </xf>
    <xf numFmtId="0" fontId="22" fillId="0" borderId="40" xfId="0" applyFont="1" applyBorder="1" applyAlignment="1">
      <alignment vertical="top" wrapText="1"/>
    </xf>
    <xf numFmtId="0" fontId="11" fillId="10" borderId="49" xfId="0" applyFont="1" applyFill="1" applyBorder="1" applyAlignment="1">
      <alignment vertical="top" wrapText="1"/>
    </xf>
    <xf numFmtId="0" fontId="22" fillId="3" borderId="71" xfId="0" applyFont="1" applyFill="1" applyBorder="1" applyAlignment="1">
      <alignment vertical="top" wrapText="1"/>
    </xf>
    <xf numFmtId="0" fontId="11" fillId="0" borderId="107" xfId="0" applyFont="1" applyBorder="1" applyAlignment="1">
      <alignment horizontal="center" vertical="top"/>
    </xf>
    <xf numFmtId="0" fontId="6" fillId="12" borderId="107" xfId="0" applyFont="1" applyFill="1" applyBorder="1" applyAlignment="1">
      <alignment horizontal="center" vertical="top"/>
    </xf>
    <xf numFmtId="0" fontId="4" fillId="3" borderId="117" xfId="0" applyFont="1" applyFill="1" applyBorder="1" applyAlignment="1">
      <alignment vertical="top" wrapText="1"/>
    </xf>
    <xf numFmtId="0" fontId="6" fillId="3" borderId="49" xfId="0" applyFont="1" applyFill="1" applyBorder="1" applyAlignment="1">
      <alignment vertical="top" wrapText="1"/>
    </xf>
    <xf numFmtId="0" fontId="22" fillId="0" borderId="71" xfId="0" applyFont="1" applyBorder="1" applyAlignment="1">
      <alignment vertical="top" wrapText="1"/>
    </xf>
    <xf numFmtId="0" fontId="11" fillId="11" borderId="63" xfId="0" applyFont="1" applyFill="1" applyBorder="1" applyAlignment="1">
      <alignment horizontal="left" vertical="top" wrapText="1"/>
    </xf>
    <xf numFmtId="0" fontId="4" fillId="11" borderId="42" xfId="0" applyFont="1" applyFill="1" applyBorder="1" applyAlignment="1">
      <alignment vertical="top" wrapText="1"/>
    </xf>
    <xf numFmtId="0" fontId="11" fillId="11" borderId="43" xfId="0" applyFont="1" applyFill="1" applyBorder="1" applyAlignment="1">
      <alignment vertical="top" wrapText="1"/>
    </xf>
    <xf numFmtId="166" fontId="15" fillId="11" borderId="102" xfId="0" applyNumberFormat="1" applyFont="1" applyFill="1" applyBorder="1" applyAlignment="1">
      <alignment horizontal="center" vertical="top" wrapText="1"/>
    </xf>
    <xf numFmtId="166" fontId="15" fillId="11" borderId="103" xfId="0" applyNumberFormat="1" applyFont="1" applyFill="1" applyBorder="1" applyAlignment="1">
      <alignment horizontal="center" vertical="top" wrapText="1"/>
    </xf>
    <xf numFmtId="0" fontId="11" fillId="12" borderId="50" xfId="0" applyFont="1" applyFill="1" applyBorder="1" applyAlignment="1">
      <alignment vertical="top" wrapText="1"/>
    </xf>
    <xf numFmtId="166" fontId="15" fillId="12" borderId="52" xfId="0" applyNumberFormat="1" applyFont="1" applyFill="1" applyBorder="1" applyAlignment="1">
      <alignment horizontal="center" vertical="top" wrapText="1"/>
    </xf>
    <xf numFmtId="166" fontId="15" fillId="12" borderId="53" xfId="0" applyNumberFormat="1" applyFont="1" applyFill="1" applyBorder="1" applyAlignment="1">
      <alignment horizontal="center" vertical="top" wrapText="1"/>
    </xf>
    <xf numFmtId="0" fontId="5" fillId="13" borderId="42" xfId="0" applyFont="1" applyFill="1" applyBorder="1" applyAlignment="1">
      <alignment vertical="top" wrapText="1"/>
    </xf>
    <xf numFmtId="0" fontId="5" fillId="13" borderId="46" xfId="0" applyFont="1" applyFill="1" applyBorder="1" applyAlignment="1">
      <alignment vertical="top" wrapText="1"/>
    </xf>
    <xf numFmtId="0" fontId="15" fillId="13" borderId="40" xfId="0" applyFont="1" applyFill="1" applyBorder="1" applyAlignment="1">
      <alignment vertical="top" wrapText="1"/>
    </xf>
    <xf numFmtId="0" fontId="5" fillId="13" borderId="68" xfId="0" applyFont="1" applyFill="1" applyBorder="1" applyAlignment="1">
      <alignment horizontal="left" vertical="top" wrapText="1"/>
    </xf>
    <xf numFmtId="0" fontId="5" fillId="13" borderId="53" xfId="0" applyFont="1" applyFill="1" applyBorder="1" applyAlignment="1">
      <alignment vertical="top" wrapText="1"/>
    </xf>
    <xf numFmtId="0" fontId="4" fillId="16" borderId="71" xfId="0" applyFont="1" applyFill="1" applyBorder="1" applyAlignment="1">
      <alignment vertical="top" wrapText="1"/>
    </xf>
    <xf numFmtId="164" fontId="5" fillId="7" borderId="69" xfId="0" applyNumberFormat="1" applyFont="1" applyFill="1" applyBorder="1" applyAlignment="1">
      <alignment horizontal="left" vertical="top" wrapText="1"/>
    </xf>
    <xf numFmtId="49" fontId="4" fillId="7" borderId="64" xfId="0" applyNumberFormat="1" applyFont="1" applyFill="1" applyBorder="1" applyAlignment="1">
      <alignment horizontal="center" vertical="top" wrapText="1"/>
    </xf>
    <xf numFmtId="164" fontId="4" fillId="7" borderId="64" xfId="0" applyNumberFormat="1" applyFont="1" applyFill="1" applyBorder="1" applyAlignment="1">
      <alignment horizontal="center" vertical="top"/>
    </xf>
    <xf numFmtId="164" fontId="4" fillId="7" borderId="70" xfId="0" applyNumberFormat="1" applyFont="1" applyFill="1" applyBorder="1" applyAlignment="1">
      <alignment horizontal="center" vertical="top"/>
    </xf>
    <xf numFmtId="164" fontId="15" fillId="3" borderId="42" xfId="0" applyNumberFormat="1" applyFont="1" applyFill="1" applyBorder="1" applyAlignment="1">
      <alignment horizontal="center" vertical="top"/>
    </xf>
    <xf numFmtId="164" fontId="4" fillId="3" borderId="46" xfId="0" applyNumberFormat="1" applyFont="1" applyFill="1" applyBorder="1" applyAlignment="1">
      <alignment horizontal="center" vertical="top"/>
    </xf>
    <xf numFmtId="0" fontId="21" fillId="3" borderId="40" xfId="0" applyFont="1" applyFill="1" applyBorder="1" applyAlignment="1">
      <alignment horizontal="left" vertical="top" wrapText="1"/>
    </xf>
    <xf numFmtId="164" fontId="22" fillId="3" borderId="51" xfId="0" applyNumberFormat="1" applyFont="1" applyFill="1" applyBorder="1" applyAlignment="1">
      <alignment horizontal="center" vertical="top"/>
    </xf>
    <xf numFmtId="4" fontId="22" fillId="3" borderId="50" xfId="0" applyNumberFormat="1" applyFont="1" applyFill="1" applyBorder="1" applyAlignment="1">
      <alignment horizontal="center" vertical="top"/>
    </xf>
    <xf numFmtId="164" fontId="22" fillId="3" borderId="98" xfId="0" applyNumberFormat="1" applyFont="1" applyFill="1" applyBorder="1" applyAlignment="1">
      <alignment horizontal="center" vertical="top"/>
    </xf>
    <xf numFmtId="164" fontId="11" fillId="3" borderId="42" xfId="0" applyNumberFormat="1" applyFont="1" applyFill="1" applyBorder="1" applyAlignment="1">
      <alignment horizontal="center" vertical="top"/>
    </xf>
    <xf numFmtId="164" fontId="11" fillId="3" borderId="46" xfId="0" applyNumberFormat="1" applyFont="1" applyFill="1" applyBorder="1" applyAlignment="1">
      <alignment horizontal="center" vertical="top"/>
    </xf>
    <xf numFmtId="164" fontId="11" fillId="3" borderId="51" xfId="0" applyNumberFormat="1" applyFont="1" applyFill="1" applyBorder="1" applyAlignment="1">
      <alignment horizontal="center" vertical="top"/>
    </xf>
    <xf numFmtId="164" fontId="11" fillId="3" borderId="88" xfId="0" applyNumberFormat="1" applyFont="1" applyFill="1" applyBorder="1" applyAlignment="1">
      <alignment horizontal="center" vertical="top"/>
    </xf>
    <xf numFmtId="164" fontId="5" fillId="8" borderId="40" xfId="0" applyNumberFormat="1" applyFont="1" applyFill="1" applyBorder="1" applyAlignment="1">
      <alignment horizontal="left" vertical="top" wrapText="1"/>
    </xf>
    <xf numFmtId="49" fontId="6" fillId="8" borderId="42" xfId="0" applyNumberFormat="1" applyFont="1" applyFill="1" applyBorder="1" applyAlignment="1">
      <alignment horizontal="center" vertical="top" wrapText="1"/>
    </xf>
    <xf numFmtId="0" fontId="5" fillId="0" borderId="51" xfId="0" applyFont="1" applyBorder="1" applyAlignment="1">
      <alignment vertical="top" wrapText="1"/>
    </xf>
    <xf numFmtId="49" fontId="4" fillId="0" borderId="51" xfId="0" applyNumberFormat="1" applyFont="1" applyBorder="1" applyAlignment="1">
      <alignment horizontal="center" vertical="top" wrapText="1"/>
    </xf>
    <xf numFmtId="164" fontId="4" fillId="5" borderId="51" xfId="0" applyNumberFormat="1" applyFont="1" applyFill="1" applyBorder="1" applyAlignment="1">
      <alignment horizontal="center" vertical="top"/>
    </xf>
    <xf numFmtId="164" fontId="4" fillId="5" borderId="88" xfId="0" applyNumberFormat="1" applyFont="1" applyFill="1" applyBorder="1" applyAlignment="1">
      <alignment horizontal="center" vertical="top"/>
    </xf>
    <xf numFmtId="49" fontId="6" fillId="7" borderId="64" xfId="0" applyNumberFormat="1" applyFont="1" applyFill="1" applyBorder="1" applyAlignment="1">
      <alignment horizontal="center" vertical="top" wrapText="1"/>
    </xf>
    <xf numFmtId="164" fontId="4" fillId="3" borderId="42" xfId="0" applyNumberFormat="1" applyFont="1" applyFill="1" applyBorder="1" applyAlignment="1">
      <alignment horizontal="center" vertical="top"/>
    </xf>
    <xf numFmtId="3" fontId="6" fillId="3" borderId="66" xfId="0" applyNumberFormat="1" applyFont="1" applyFill="1" applyBorder="1" applyAlignment="1">
      <alignment vertical="top" wrapText="1"/>
    </xf>
    <xf numFmtId="49" fontId="6" fillId="3" borderId="101" xfId="0" applyNumberFormat="1" applyFont="1" applyFill="1" applyBorder="1" applyAlignment="1">
      <alignment horizontal="center" vertical="top"/>
    </xf>
    <xf numFmtId="0" fontId="2" fillId="3" borderId="87" xfId="0" applyFont="1" applyFill="1" applyBorder="1" applyAlignment="1">
      <alignment horizontal="center" vertical="top" wrapText="1"/>
    </xf>
    <xf numFmtId="0" fontId="2" fillId="8" borderId="75" xfId="0" applyFont="1" applyFill="1" applyBorder="1" applyAlignment="1">
      <alignment horizontal="justify" vertical="top" wrapText="1"/>
    </xf>
    <xf numFmtId="164" fontId="5" fillId="8" borderId="40" xfId="0" applyNumberFormat="1" applyFont="1" applyFill="1" applyBorder="1" applyAlignment="1">
      <alignment vertical="top" wrapText="1"/>
    </xf>
    <xf numFmtId="49" fontId="4" fillId="8" borderId="42" xfId="0" applyNumberFormat="1" applyFont="1" applyFill="1" applyBorder="1" applyAlignment="1">
      <alignment horizontal="center" vertical="top" wrapText="1"/>
    </xf>
    <xf numFmtId="164" fontId="15" fillId="8" borderId="42" xfId="0" applyNumberFormat="1" applyFont="1" applyFill="1" applyBorder="1" applyAlignment="1">
      <alignment horizontal="center" vertical="top"/>
    </xf>
    <xf numFmtId="164" fontId="15" fillId="8" borderId="46" xfId="0" applyNumberFormat="1" applyFont="1" applyFill="1" applyBorder="1" applyAlignment="1">
      <alignment horizontal="center" vertical="top"/>
    </xf>
    <xf numFmtId="164" fontId="15" fillId="5" borderId="51" xfId="0" applyNumberFormat="1" applyFont="1" applyFill="1" applyBorder="1" applyAlignment="1">
      <alignment horizontal="center" vertical="top"/>
    </xf>
    <xf numFmtId="164" fontId="15" fillId="5" borderId="88" xfId="0" applyNumberFormat="1" applyFont="1" applyFill="1" applyBorder="1" applyAlignment="1">
      <alignment horizontal="center" vertical="top"/>
    </xf>
    <xf numFmtId="0" fontId="21" fillId="0" borderId="40" xfId="0" applyFont="1" applyBorder="1" applyAlignment="1">
      <alignment horizontal="left" vertical="top" wrapText="1"/>
    </xf>
    <xf numFmtId="0" fontId="5" fillId="3" borderId="44" xfId="0" applyFont="1" applyFill="1" applyBorder="1" applyAlignment="1">
      <alignment vertical="top" wrapText="1"/>
    </xf>
    <xf numFmtId="0" fontId="11" fillId="3" borderId="74" xfId="0" applyFont="1" applyFill="1" applyBorder="1" applyAlignment="1">
      <alignment vertical="top" wrapText="1"/>
    </xf>
    <xf numFmtId="0" fontId="2" fillId="3" borderId="39" xfId="0" applyFont="1" applyFill="1" applyBorder="1" applyAlignment="1">
      <alignment vertical="top" wrapText="1"/>
    </xf>
    <xf numFmtId="0" fontId="11" fillId="3" borderId="73" xfId="0" applyFont="1" applyFill="1" applyBorder="1" applyAlignment="1">
      <alignment vertical="top" wrapText="1"/>
    </xf>
    <xf numFmtId="0" fontId="2" fillId="3" borderId="74" xfId="0" applyFont="1" applyFill="1" applyBorder="1" applyAlignment="1">
      <alignment vertical="top" wrapText="1"/>
    </xf>
    <xf numFmtId="0" fontId="11" fillId="3" borderId="29" xfId="0" applyFont="1" applyFill="1" applyBorder="1" applyAlignment="1">
      <alignment vertical="top" wrapText="1"/>
    </xf>
    <xf numFmtId="164" fontId="4" fillId="3" borderId="43" xfId="0" applyNumberFormat="1" applyFont="1" applyFill="1" applyBorder="1" applyAlignment="1">
      <alignment horizontal="center" vertical="top"/>
    </xf>
    <xf numFmtId="164" fontId="11" fillId="3" borderId="14" xfId="0" applyNumberFormat="1" applyFont="1" applyFill="1" applyBorder="1" applyAlignment="1">
      <alignment horizontal="center" vertical="top"/>
    </xf>
    <xf numFmtId="164" fontId="11" fillId="3" borderId="50" xfId="0" applyNumberFormat="1" applyFont="1" applyFill="1" applyBorder="1" applyAlignment="1">
      <alignment horizontal="center" vertical="top"/>
    </xf>
    <xf numFmtId="164" fontId="11" fillId="3" borderId="43" xfId="0" applyNumberFormat="1" applyFont="1" applyFill="1" applyBorder="1" applyAlignment="1">
      <alignment horizontal="center" vertical="top"/>
    </xf>
    <xf numFmtId="164" fontId="11" fillId="3" borderId="32" xfId="0" applyNumberFormat="1" applyFont="1" applyFill="1" applyBorder="1" applyAlignment="1">
      <alignment horizontal="center" vertical="top"/>
    </xf>
    <xf numFmtId="0" fontId="26" fillId="3" borderId="42" xfId="0" applyFont="1" applyFill="1" applyBorder="1" applyAlignment="1">
      <alignment vertical="top" wrapText="1"/>
    </xf>
    <xf numFmtId="0" fontId="2" fillId="3" borderId="73" xfId="0" applyFont="1" applyFill="1" applyBorder="1" applyAlignment="1">
      <alignment vertical="top" wrapText="1"/>
    </xf>
    <xf numFmtId="0" fontId="2" fillId="3" borderId="13" xfId="0" applyFont="1" applyFill="1" applyBorder="1" applyAlignment="1">
      <alignment vertical="top" wrapText="1"/>
    </xf>
    <xf numFmtId="164" fontId="2" fillId="3" borderId="50" xfId="0" applyNumberFormat="1" applyFont="1" applyFill="1" applyBorder="1" applyAlignment="1">
      <alignment horizontal="center" vertical="top" wrapText="1"/>
    </xf>
    <xf numFmtId="164" fontId="2" fillId="3" borderId="43" xfId="0" applyNumberFormat="1" applyFont="1" applyFill="1" applyBorder="1" applyAlignment="1">
      <alignment horizontal="center" vertical="top" wrapText="1"/>
    </xf>
    <xf numFmtId="164" fontId="2" fillId="3" borderId="36" xfId="0" applyNumberFormat="1" applyFont="1" applyFill="1" applyBorder="1" applyAlignment="1">
      <alignment horizontal="center" vertical="top" wrapText="1"/>
    </xf>
    <xf numFmtId="0" fontId="2" fillId="3" borderId="15" xfId="0" applyFont="1" applyFill="1" applyBorder="1" applyAlignment="1">
      <alignment vertical="top" wrapText="1"/>
    </xf>
    <xf numFmtId="0" fontId="15" fillId="3" borderId="44" xfId="0" applyFont="1" applyFill="1" applyBorder="1" applyAlignment="1">
      <alignment vertical="top" wrapText="1"/>
    </xf>
    <xf numFmtId="0" fontId="6" fillId="3" borderId="74" xfId="0" applyFont="1" applyFill="1" applyBorder="1" applyAlignment="1">
      <alignment vertical="top" wrapText="1"/>
    </xf>
    <xf numFmtId="0" fontId="4" fillId="0" borderId="44" xfId="0" applyFont="1" applyBorder="1" applyAlignment="1">
      <alignment vertical="top" wrapText="1"/>
    </xf>
    <xf numFmtId="0" fontId="22" fillId="0" borderId="74" xfId="0" applyFont="1" applyBorder="1" applyAlignment="1">
      <alignment vertical="top" wrapText="1"/>
    </xf>
    <xf numFmtId="164" fontId="11" fillId="3" borderId="43" xfId="0" applyNumberFormat="1" applyFont="1" applyFill="1" applyBorder="1" applyAlignment="1">
      <alignment horizontal="center" vertical="top" wrapText="1"/>
    </xf>
    <xf numFmtId="164" fontId="11" fillId="0" borderId="10" xfId="0" applyNumberFormat="1" applyFont="1" applyBorder="1" applyAlignment="1">
      <alignment horizontal="center" vertical="top" wrapText="1"/>
    </xf>
    <xf numFmtId="164" fontId="15" fillId="3" borderId="43" xfId="0" applyNumberFormat="1" applyFont="1" applyFill="1" applyBorder="1" applyAlignment="1">
      <alignment horizontal="center" vertical="top" wrapText="1"/>
    </xf>
    <xf numFmtId="164" fontId="15" fillId="0" borderId="43" xfId="0" applyNumberFormat="1" applyFont="1" applyBorder="1" applyAlignment="1">
      <alignment horizontal="center" vertical="top" wrapText="1"/>
    </xf>
    <xf numFmtId="164" fontId="5" fillId="0" borderId="43" xfId="0" applyNumberFormat="1" applyFont="1" applyBorder="1" applyAlignment="1">
      <alignment horizontal="center" vertical="top" wrapText="1"/>
    </xf>
    <xf numFmtId="164" fontId="11" fillId="3" borderId="12" xfId="0" applyNumberFormat="1" applyFont="1" applyFill="1" applyBorder="1" applyAlignment="1">
      <alignment horizontal="center" vertical="top" wrapText="1"/>
    </xf>
    <xf numFmtId="164" fontId="2" fillId="0" borderId="10" xfId="0" applyNumberFormat="1" applyFont="1" applyBorder="1" applyAlignment="1">
      <alignment horizontal="center" vertical="top" wrapText="1"/>
    </xf>
    <xf numFmtId="164" fontId="2" fillId="0" borderId="107" xfId="0" applyNumberFormat="1" applyFont="1" applyBorder="1" applyAlignment="1">
      <alignment horizontal="center" vertical="top" wrapText="1"/>
    </xf>
    <xf numFmtId="0" fontId="2" fillId="3" borderId="65" xfId="0" applyFont="1" applyFill="1" applyBorder="1" applyAlignment="1">
      <alignment vertical="top" wrapText="1"/>
    </xf>
    <xf numFmtId="0" fontId="2" fillId="3" borderId="115" xfId="0" applyFont="1" applyFill="1" applyBorder="1" applyAlignment="1">
      <alignment vertical="top" wrapText="1"/>
    </xf>
    <xf numFmtId="0" fontId="2" fillId="3" borderId="29" xfId="0" applyFont="1" applyFill="1" applyBorder="1" applyAlignment="1">
      <alignment vertical="top" wrapText="1"/>
    </xf>
    <xf numFmtId="164" fontId="2" fillId="3" borderId="12" xfId="0" applyNumberFormat="1" applyFont="1" applyFill="1" applyBorder="1" applyAlignment="1">
      <alignment horizontal="center" vertical="top" wrapText="1"/>
    </xf>
    <xf numFmtId="164" fontId="5" fillId="3" borderId="44" xfId="0" applyNumberFormat="1" applyFont="1" applyFill="1" applyBorder="1" applyAlignment="1">
      <alignment horizontal="center" vertical="top" wrapText="1"/>
    </xf>
    <xf numFmtId="164" fontId="11" fillId="0" borderId="74" xfId="0" applyNumberFormat="1" applyFont="1" applyBorder="1" applyAlignment="1">
      <alignment horizontal="center" vertical="top" wrapText="1"/>
    </xf>
    <xf numFmtId="0" fontId="18" fillId="7" borderId="42" xfId="0" applyFont="1" applyFill="1" applyBorder="1" applyAlignment="1">
      <alignment horizontal="center" vertical="top" wrapText="1"/>
    </xf>
    <xf numFmtId="0" fontId="2" fillId="7" borderId="67" xfId="0" applyFont="1" applyFill="1" applyBorder="1" applyAlignment="1">
      <alignment horizontal="center" vertical="top"/>
    </xf>
    <xf numFmtId="0" fontId="2" fillId="8" borderId="8" xfId="0" applyFont="1" applyFill="1" applyBorder="1" applyAlignment="1">
      <alignment horizontal="center" vertical="top"/>
    </xf>
    <xf numFmtId="0" fontId="1" fillId="0" borderId="8" xfId="0" applyFont="1" applyBorder="1"/>
    <xf numFmtId="0" fontId="1" fillId="0" borderId="29" xfId="0" applyFont="1" applyBorder="1"/>
    <xf numFmtId="0" fontId="9" fillId="2" borderId="69" xfId="0" applyFont="1" applyFill="1" applyBorder="1" applyAlignment="1">
      <alignment horizontal="center" vertical="center" wrapText="1"/>
    </xf>
    <xf numFmtId="0" fontId="9" fillId="2" borderId="64" xfId="0" applyFont="1" applyFill="1" applyBorder="1" applyAlignment="1">
      <alignment horizontal="center" vertical="center" wrapText="1"/>
    </xf>
    <xf numFmtId="0" fontId="9" fillId="2" borderId="70" xfId="0" applyFont="1" applyFill="1" applyBorder="1" applyAlignment="1">
      <alignment horizontal="center" vertical="center" wrapText="1"/>
    </xf>
    <xf numFmtId="0" fontId="28" fillId="2" borderId="69" xfId="0" applyFont="1" applyFill="1" applyBorder="1" applyAlignment="1">
      <alignment horizontal="center" vertical="center" wrapText="1"/>
    </xf>
    <xf numFmtId="0" fontId="28" fillId="2" borderId="64" xfId="0" applyFont="1" applyFill="1" applyBorder="1" applyAlignment="1">
      <alignment horizontal="center" vertical="center" wrapText="1"/>
    </xf>
    <xf numFmtId="0" fontId="28" fillId="2" borderId="54" xfId="0" applyFont="1" applyFill="1" applyBorder="1" applyAlignment="1">
      <alignment horizontal="center" vertical="center" wrapText="1"/>
    </xf>
    <xf numFmtId="0" fontId="28" fillId="2" borderId="70" xfId="0" applyFont="1" applyFill="1" applyBorder="1" applyAlignment="1">
      <alignment horizontal="center" vertical="center" wrapText="1"/>
    </xf>
    <xf numFmtId="164" fontId="11" fillId="3" borderId="3" xfId="1" applyNumberFormat="1" applyFont="1" applyFill="1" applyBorder="1" applyAlignment="1">
      <alignment horizontal="center" vertical="top"/>
    </xf>
    <xf numFmtId="166" fontId="11" fillId="3" borderId="3" xfId="1" applyNumberFormat="1" applyFont="1" applyFill="1" applyBorder="1" applyAlignment="1">
      <alignment horizontal="center" vertical="top"/>
    </xf>
    <xf numFmtId="166" fontId="11" fillId="3" borderId="89" xfId="1" applyNumberFormat="1" applyFont="1" applyFill="1" applyBorder="1" applyAlignment="1">
      <alignment horizontal="center" vertical="top"/>
    </xf>
    <xf numFmtId="0" fontId="1" fillId="0" borderId="86" xfId="0" applyFont="1" applyBorder="1"/>
    <xf numFmtId="0" fontId="1" fillId="0" borderId="3" xfId="0" applyFont="1" applyBorder="1"/>
    <xf numFmtId="0" fontId="1" fillId="0" borderId="89" xfId="0" applyFont="1" applyBorder="1"/>
    <xf numFmtId="0" fontId="6" fillId="3" borderId="6" xfId="0" applyFont="1" applyFill="1" applyBorder="1" applyAlignment="1">
      <alignment vertical="top" wrapText="1"/>
    </xf>
    <xf numFmtId="164" fontId="11" fillId="3" borderId="6" xfId="1" applyNumberFormat="1" applyFont="1" applyFill="1" applyBorder="1" applyAlignment="1">
      <alignment horizontal="center" vertical="top"/>
    </xf>
    <xf numFmtId="166" fontId="11" fillId="3" borderId="6" xfId="1" applyNumberFormat="1" applyFont="1" applyFill="1" applyBorder="1" applyAlignment="1">
      <alignment horizontal="center" vertical="top"/>
    </xf>
    <xf numFmtId="166" fontId="11" fillId="3" borderId="81" xfId="1" applyNumberFormat="1" applyFont="1" applyFill="1" applyBorder="1" applyAlignment="1">
      <alignment horizontal="center" vertical="top"/>
    </xf>
    <xf numFmtId="0" fontId="1" fillId="0" borderId="80" xfId="0" applyFont="1" applyBorder="1"/>
    <xf numFmtId="0" fontId="1" fillId="0" borderId="6" xfId="0" applyFont="1" applyBorder="1"/>
    <xf numFmtId="0" fontId="1" fillId="0" borderId="81" xfId="0" applyFont="1" applyBorder="1"/>
    <xf numFmtId="164" fontId="16" fillId="5" borderId="1" xfId="0" applyNumberFormat="1" applyFont="1" applyFill="1" applyBorder="1" applyAlignment="1">
      <alignment horizontal="center" vertical="top"/>
    </xf>
    <xf numFmtId="164" fontId="20" fillId="3" borderId="2" xfId="0" applyNumberFormat="1" applyFont="1" applyFill="1" applyBorder="1" applyAlignment="1">
      <alignment horizontal="center" vertical="top" wrapText="1"/>
    </xf>
    <xf numFmtId="0" fontId="2" fillId="3" borderId="10" xfId="0" applyFont="1" applyFill="1" applyBorder="1" applyAlignment="1">
      <alignment horizontal="left" vertical="top" wrapText="1"/>
    </xf>
    <xf numFmtId="166" fontId="11" fillId="3" borderId="52" xfId="1" applyNumberFormat="1" applyFont="1" applyFill="1" applyBorder="1" applyAlignment="1">
      <alignment horizontal="center" vertical="top"/>
    </xf>
    <xf numFmtId="0" fontId="21" fillId="3" borderId="41" xfId="0" applyFont="1" applyFill="1" applyBorder="1" applyAlignment="1">
      <alignment horizontal="center" vertical="top" wrapText="1"/>
    </xf>
    <xf numFmtId="0" fontId="21" fillId="3" borderId="3" xfId="0" applyFont="1" applyFill="1" applyBorder="1" applyAlignment="1">
      <alignment horizontal="center" vertical="top" wrapText="1"/>
    </xf>
    <xf numFmtId="0" fontId="21" fillId="3" borderId="51" xfId="0" applyFont="1" applyFill="1" applyBorder="1" applyAlignment="1">
      <alignment horizontal="center" vertical="top" wrapText="1"/>
    </xf>
    <xf numFmtId="0" fontId="20" fillId="0" borderId="66" xfId="0" applyFont="1" applyBorder="1" applyAlignment="1">
      <alignment horizontal="left" vertical="top" wrapText="1"/>
    </xf>
    <xf numFmtId="0" fontId="20" fillId="0" borderId="86" xfId="0" applyFont="1" applyBorder="1" applyAlignment="1">
      <alignment horizontal="left" vertical="top" wrapText="1"/>
    </xf>
    <xf numFmtId="0" fontId="20" fillId="0" borderId="68" xfId="0" applyFont="1" applyBorder="1" applyAlignment="1">
      <alignment horizontal="left" vertical="top" wrapText="1"/>
    </xf>
    <xf numFmtId="0" fontId="2" fillId="0" borderId="66" xfId="0" applyFont="1" applyBorder="1" applyAlignment="1">
      <alignment horizontal="left" vertical="top" wrapText="1"/>
    </xf>
    <xf numFmtId="0" fontId="2" fillId="0" borderId="86" xfId="0" applyFont="1" applyBorder="1" applyAlignment="1">
      <alignment horizontal="left" vertical="top" wrapText="1"/>
    </xf>
    <xf numFmtId="0" fontId="2" fillId="0" borderId="68" xfId="0" applyFont="1" applyBorder="1" applyAlignment="1">
      <alignment horizontal="left" vertical="top" wrapText="1"/>
    </xf>
    <xf numFmtId="0" fontId="6" fillId="3" borderId="41" xfId="0" applyFont="1" applyFill="1" applyBorder="1" applyAlignment="1">
      <alignment horizontal="center" vertical="top" wrapText="1"/>
    </xf>
    <xf numFmtId="0" fontId="6" fillId="3" borderId="3" xfId="0" applyFont="1" applyFill="1" applyBorder="1" applyAlignment="1">
      <alignment horizontal="center" vertical="top" wrapText="1"/>
    </xf>
    <xf numFmtId="0" fontId="6" fillId="3" borderId="51" xfId="0" applyFont="1" applyFill="1" applyBorder="1" applyAlignment="1">
      <alignment horizontal="center" vertical="top" wrapText="1"/>
    </xf>
    <xf numFmtId="0" fontId="15" fillId="2" borderId="66" xfId="0" applyFont="1" applyFill="1" applyBorder="1" applyAlignment="1">
      <alignment horizontal="center" vertical="top" wrapText="1"/>
    </xf>
    <xf numFmtId="0" fontId="15" fillId="2" borderId="68" xfId="0" applyFont="1" applyFill="1" applyBorder="1" applyAlignment="1">
      <alignment horizontal="center" vertical="top" wrapText="1"/>
    </xf>
    <xf numFmtId="0" fontId="15" fillId="2" borderId="44" xfId="0" applyFont="1" applyFill="1" applyBorder="1" applyAlignment="1">
      <alignment horizontal="center" vertical="top" wrapText="1"/>
    </xf>
    <xf numFmtId="0" fontId="15" fillId="2" borderId="67" xfId="0" applyFont="1" applyFill="1" applyBorder="1" applyAlignment="1">
      <alignment horizontal="center" vertical="top" wrapText="1"/>
    </xf>
    <xf numFmtId="0" fontId="15" fillId="2" borderId="43" xfId="0" applyFont="1" applyFill="1" applyBorder="1" applyAlignment="1">
      <alignment horizontal="center" vertical="top" wrapText="1"/>
    </xf>
    <xf numFmtId="0" fontId="15" fillId="2" borderId="46" xfId="0" applyFont="1" applyFill="1" applyBorder="1" applyAlignment="1">
      <alignment horizontal="center" vertical="top" wrapText="1"/>
    </xf>
    <xf numFmtId="0" fontId="15" fillId="2" borderId="53" xfId="0" applyFont="1" applyFill="1" applyBorder="1" applyAlignment="1">
      <alignment horizontal="center" vertical="top" wrapText="1"/>
    </xf>
    <xf numFmtId="0" fontId="17" fillId="0" borderId="0" xfId="0" applyFont="1" applyAlignment="1">
      <alignment horizontal="left" vertical="top"/>
    </xf>
    <xf numFmtId="0" fontId="8" fillId="0" borderId="0" xfId="0" applyFont="1" applyAlignment="1">
      <alignment horizontal="center" vertical="center" wrapText="1"/>
    </xf>
    <xf numFmtId="0" fontId="4" fillId="2" borderId="66" xfId="0" applyFont="1" applyFill="1" applyBorder="1" applyAlignment="1">
      <alignment horizontal="center" vertical="center" wrapText="1"/>
    </xf>
    <xf numFmtId="0" fontId="4" fillId="2" borderId="68" xfId="0" applyFont="1" applyFill="1" applyBorder="1" applyAlignment="1">
      <alignment horizontal="center" vertical="center" wrapText="1"/>
    </xf>
    <xf numFmtId="0" fontId="4" fillId="2" borderId="41" xfId="0" applyFont="1" applyFill="1" applyBorder="1" applyAlignment="1">
      <alignment horizontal="center" vertical="center" wrapText="1"/>
    </xf>
    <xf numFmtId="0" fontId="4" fillId="2" borderId="51" xfId="0" applyFont="1" applyFill="1" applyBorder="1" applyAlignment="1">
      <alignment horizontal="center" vertical="center" wrapText="1"/>
    </xf>
    <xf numFmtId="164" fontId="4" fillId="2" borderId="41" xfId="0" applyNumberFormat="1" applyFont="1" applyFill="1" applyBorder="1" applyAlignment="1">
      <alignment horizontal="center" vertical="center" wrapText="1"/>
    </xf>
    <xf numFmtId="164" fontId="4" fillId="2" borderId="51" xfId="0" applyNumberFormat="1" applyFont="1" applyFill="1" applyBorder="1" applyAlignment="1">
      <alignment horizontal="center" vertical="center" wrapText="1"/>
    </xf>
    <xf numFmtId="164" fontId="4" fillId="2" borderId="87" xfId="0" applyNumberFormat="1" applyFont="1" applyFill="1" applyBorder="1" applyAlignment="1">
      <alignment horizontal="center" vertical="center" wrapText="1"/>
    </xf>
    <xf numFmtId="164" fontId="4" fillId="2" borderId="88" xfId="0" applyNumberFormat="1" applyFont="1" applyFill="1" applyBorder="1" applyAlignment="1">
      <alignment horizontal="center" vertical="center" wrapText="1"/>
    </xf>
    <xf numFmtId="0" fontId="6" fillId="3" borderId="34" xfId="0" applyFont="1" applyFill="1" applyBorder="1" applyAlignment="1">
      <alignment horizontal="center" vertical="top" wrapText="1"/>
    </xf>
    <xf numFmtId="0" fontId="6" fillId="3" borderId="2" xfId="0" applyFont="1" applyFill="1" applyBorder="1" applyAlignment="1">
      <alignment horizontal="center" vertical="top" wrapText="1"/>
    </xf>
    <xf numFmtId="164" fontId="2" fillId="0" borderId="66" xfId="0" applyNumberFormat="1" applyFont="1" applyBorder="1" applyAlignment="1">
      <alignment horizontal="left" vertical="top" wrapText="1"/>
    </xf>
    <xf numFmtId="164" fontId="2" fillId="0" borderId="86" xfId="0" applyNumberFormat="1" applyFont="1" applyBorder="1" applyAlignment="1">
      <alignment horizontal="left" vertical="top" wrapText="1"/>
    </xf>
    <xf numFmtId="164" fontId="2" fillId="0" borderId="68" xfId="0" applyNumberFormat="1" applyFont="1" applyBorder="1" applyAlignment="1">
      <alignment horizontal="left" vertical="top" wrapText="1"/>
    </xf>
    <xf numFmtId="164" fontId="2" fillId="3" borderId="66" xfId="0" applyNumberFormat="1" applyFont="1" applyFill="1" applyBorder="1" applyAlignment="1">
      <alignment horizontal="left" vertical="top" wrapText="1"/>
    </xf>
    <xf numFmtId="164" fontId="2" fillId="3" borderId="86" xfId="0" applyNumberFormat="1" applyFont="1" applyFill="1" applyBorder="1" applyAlignment="1">
      <alignment horizontal="left" vertical="top" wrapText="1"/>
    </xf>
    <xf numFmtId="164" fontId="2" fillId="3" borderId="68" xfId="0" applyNumberFormat="1" applyFont="1" applyFill="1" applyBorder="1" applyAlignment="1">
      <alignment horizontal="left" vertical="top" wrapText="1"/>
    </xf>
    <xf numFmtId="0" fontId="11" fillId="10" borderId="106" xfId="0" applyFont="1" applyFill="1" applyBorder="1" applyAlignment="1">
      <alignment horizontal="left" vertical="top" wrapText="1"/>
    </xf>
    <xf numFmtId="0" fontId="11" fillId="10" borderId="114" xfId="0" applyFont="1" applyFill="1" applyBorder="1" applyAlignment="1">
      <alignment horizontal="left" vertical="top" wrapText="1"/>
    </xf>
    <xf numFmtId="0" fontId="6" fillId="3" borderId="66" xfId="0" applyFont="1" applyFill="1" applyBorder="1" applyAlignment="1">
      <alignment horizontal="left" vertical="top" wrapText="1"/>
    </xf>
    <xf numFmtId="0" fontId="6" fillId="3" borderId="68" xfId="0" applyFont="1" applyFill="1" applyBorder="1" applyAlignment="1">
      <alignment horizontal="left" vertical="top" wrapText="1"/>
    </xf>
    <xf numFmtId="0" fontId="11" fillId="0" borderId="76" xfId="0" applyFont="1" applyBorder="1" applyAlignment="1">
      <alignment horizontal="center" vertical="top" wrapText="1"/>
    </xf>
    <xf numFmtId="0" fontId="11" fillId="0" borderId="71" xfId="0" applyFont="1" applyBorder="1" applyAlignment="1">
      <alignment horizontal="center" vertical="top" wrapText="1"/>
    </xf>
    <xf numFmtId="0" fontId="6" fillId="3" borderId="86" xfId="0" applyFont="1" applyFill="1" applyBorder="1" applyAlignment="1">
      <alignment horizontal="left" vertical="top" wrapText="1"/>
    </xf>
    <xf numFmtId="0" fontId="2" fillId="3" borderId="66" xfId="0" applyFont="1" applyFill="1" applyBorder="1" applyAlignment="1">
      <alignment horizontal="left" vertical="top" wrapText="1"/>
    </xf>
    <xf numFmtId="0" fontId="2" fillId="3" borderId="86" xfId="0" applyFont="1" applyFill="1" applyBorder="1" applyAlignment="1">
      <alignment horizontal="left" vertical="top" wrapText="1"/>
    </xf>
    <xf numFmtId="0" fontId="2" fillId="3" borderId="68" xfId="0" applyFont="1" applyFill="1" applyBorder="1" applyAlignment="1">
      <alignment horizontal="left" vertical="top" wrapText="1"/>
    </xf>
    <xf numFmtId="0" fontId="4" fillId="3" borderId="79" xfId="0" applyFont="1" applyFill="1" applyBorder="1" applyAlignment="1">
      <alignment horizontal="left" vertical="top" wrapText="1"/>
    </xf>
    <xf numFmtId="0" fontId="4" fillId="3" borderId="86" xfId="0" applyFont="1" applyFill="1" applyBorder="1" applyAlignment="1">
      <alignment horizontal="left" vertical="top" wrapText="1"/>
    </xf>
    <xf numFmtId="0" fontId="4" fillId="3" borderId="68" xfId="0" applyFont="1" applyFill="1" applyBorder="1" applyAlignment="1">
      <alignment horizontal="left" vertical="top" wrapText="1"/>
    </xf>
    <xf numFmtId="0" fontId="5" fillId="0" borderId="79" xfId="0" applyFont="1" applyBorder="1" applyAlignment="1">
      <alignment horizontal="center" vertical="top" wrapText="1"/>
    </xf>
    <xf numFmtId="0" fontId="5" fillId="0" borderId="68" xfId="0" applyFont="1" applyBorder="1" applyAlignment="1">
      <alignment horizontal="center" vertical="top" wrapText="1"/>
    </xf>
    <xf numFmtId="0" fontId="5" fillId="0" borderId="79" xfId="0" applyFont="1" applyBorder="1" applyAlignment="1">
      <alignment horizontal="left" vertical="top" wrapText="1"/>
    </xf>
    <xf numFmtId="0" fontId="5" fillId="0" borderId="86" xfId="0" applyFont="1" applyBorder="1" applyAlignment="1">
      <alignment horizontal="left" vertical="top" wrapText="1"/>
    </xf>
    <xf numFmtId="0" fontId="5" fillId="0" borderId="75" xfId="0" applyFont="1" applyBorder="1" applyAlignment="1">
      <alignment horizontal="left" vertical="top" wrapText="1"/>
    </xf>
    <xf numFmtId="0" fontId="11" fillId="0" borderId="76" xfId="0" applyFont="1" applyBorder="1" applyAlignment="1">
      <alignment horizontal="justify" vertical="top" wrapText="1"/>
    </xf>
    <xf numFmtId="0" fontId="11" fillId="0" borderId="71" xfId="0" applyFont="1" applyBorder="1" applyAlignment="1">
      <alignment horizontal="justify" vertical="top" wrapText="1"/>
    </xf>
    <xf numFmtId="0" fontId="2" fillId="3" borderId="101" xfId="0" applyFont="1" applyFill="1" applyBorder="1" applyAlignment="1">
      <alignment horizontal="center" vertical="top" wrapText="1"/>
    </xf>
    <xf numFmtId="0" fontId="2" fillId="3" borderId="36" xfId="0" applyFont="1" applyFill="1" applyBorder="1" applyAlignment="1">
      <alignment horizontal="center" vertical="top" wrapText="1"/>
    </xf>
    <xf numFmtId="0" fontId="2" fillId="3" borderId="40" xfId="0" applyFont="1" applyFill="1" applyBorder="1" applyAlignment="1">
      <alignment horizontal="left" vertical="top" wrapText="1"/>
    </xf>
    <xf numFmtId="0" fontId="2" fillId="3" borderId="76" xfId="0" applyFont="1" applyFill="1" applyBorder="1" applyAlignment="1">
      <alignment horizontal="left" vertical="top" wrapText="1"/>
    </xf>
    <xf numFmtId="0" fontId="2" fillId="3" borderId="71" xfId="0" applyFont="1" applyFill="1" applyBorder="1" applyAlignment="1">
      <alignment horizontal="left" vertical="top" wrapText="1"/>
    </xf>
    <xf numFmtId="0" fontId="2" fillId="3" borderId="41" xfId="0" applyFont="1" applyFill="1" applyBorder="1" applyAlignment="1">
      <alignment horizontal="center" vertical="top" wrapText="1"/>
    </xf>
    <xf numFmtId="0" fontId="2" fillId="3" borderId="3" xfId="0" applyFont="1" applyFill="1" applyBorder="1" applyAlignment="1">
      <alignment horizontal="center" vertical="top" wrapText="1"/>
    </xf>
    <xf numFmtId="0" fontId="2" fillId="3" borderId="51" xfId="0" applyFont="1" applyFill="1" applyBorder="1" applyAlignment="1">
      <alignment horizontal="center" vertical="top" wrapText="1"/>
    </xf>
    <xf numFmtId="0" fontId="11" fillId="3" borderId="40" xfId="0" applyFont="1" applyFill="1" applyBorder="1" applyAlignment="1">
      <alignment horizontal="left" vertical="top" wrapText="1"/>
    </xf>
    <xf numFmtId="0" fontId="11" fillId="3" borderId="76" xfId="0" applyFont="1" applyFill="1" applyBorder="1" applyAlignment="1">
      <alignment horizontal="left" vertical="top" wrapText="1"/>
    </xf>
    <xf numFmtId="0" fontId="11" fillId="3" borderId="71" xfId="0" applyFont="1" applyFill="1" applyBorder="1" applyAlignment="1">
      <alignment horizontal="left" vertical="top" wrapText="1"/>
    </xf>
    <xf numFmtId="0" fontId="11" fillId="0" borderId="41" xfId="0" applyFont="1" applyBorder="1" applyAlignment="1">
      <alignment horizontal="center" vertical="top" wrapText="1"/>
    </xf>
    <xf numFmtId="0" fontId="11" fillId="0" borderId="3" xfId="0" applyFont="1" applyBorder="1" applyAlignment="1">
      <alignment horizontal="center" vertical="top" wrapText="1"/>
    </xf>
    <xf numFmtId="0" fontId="11" fillId="0" borderId="51" xfId="0" applyFont="1" applyBorder="1" applyAlignment="1">
      <alignment horizontal="center" vertical="top" wrapText="1"/>
    </xf>
    <xf numFmtId="0" fontId="2" fillId="0" borderId="76" xfId="0" applyFont="1" applyBorder="1" applyAlignment="1">
      <alignment horizontal="center" vertical="top" wrapText="1"/>
    </xf>
    <xf numFmtId="0" fontId="2" fillId="0" borderId="71" xfId="0" applyFont="1" applyBorder="1" applyAlignment="1">
      <alignment horizontal="center" vertical="top" wrapText="1"/>
    </xf>
    <xf numFmtId="0" fontId="6" fillId="3" borderId="79" xfId="0" applyFont="1" applyFill="1" applyBorder="1" applyAlignment="1">
      <alignment horizontal="left" vertical="top" wrapText="1"/>
    </xf>
    <xf numFmtId="0" fontId="11" fillId="10" borderId="113" xfId="0" applyFont="1" applyFill="1" applyBorder="1" applyAlignment="1">
      <alignment horizontal="center" vertical="top" wrapText="1"/>
    </xf>
    <xf numFmtId="0" fontId="11" fillId="10" borderId="116" xfId="0" applyFont="1" applyFill="1" applyBorder="1" applyAlignment="1">
      <alignment horizontal="center" vertical="top" wrapText="1"/>
    </xf>
    <xf numFmtId="164" fontId="2" fillId="0" borderId="79" xfId="0" applyNumberFormat="1" applyFont="1" applyBorder="1" applyAlignment="1">
      <alignment horizontal="left" vertical="top" wrapText="1"/>
    </xf>
    <xf numFmtId="0" fontId="11" fillId="0" borderId="66" xfId="0" applyFont="1" applyBorder="1" applyAlignment="1">
      <alignment horizontal="left" vertical="top" wrapText="1"/>
    </xf>
    <xf numFmtId="0" fontId="11" fillId="0" borderId="68" xfId="0" applyFont="1" applyBorder="1" applyAlignment="1">
      <alignment horizontal="left" vertical="top" wrapText="1"/>
    </xf>
    <xf numFmtId="0" fontId="11" fillId="3" borderId="41" xfId="0" applyFont="1" applyFill="1" applyBorder="1" applyAlignment="1">
      <alignment horizontal="center" vertical="top" wrapText="1"/>
    </xf>
    <xf numFmtId="0" fontId="11" fillId="3" borderId="51" xfId="0" applyFont="1" applyFill="1" applyBorder="1" applyAlignment="1">
      <alignment horizontal="center" vertical="top" wrapText="1"/>
    </xf>
    <xf numFmtId="0" fontId="11" fillId="3" borderId="113" xfId="0" applyFont="1" applyFill="1" applyBorder="1" applyAlignment="1">
      <alignment horizontal="center" vertical="top" wrapText="1"/>
    </xf>
    <xf numFmtId="0" fontId="11" fillId="3" borderId="22" xfId="0" applyFont="1" applyFill="1" applyBorder="1" applyAlignment="1">
      <alignment horizontal="center" vertical="top" wrapText="1"/>
    </xf>
    <xf numFmtId="0" fontId="11" fillId="3" borderId="116" xfId="0" applyFont="1" applyFill="1" applyBorder="1" applyAlignment="1">
      <alignment horizontal="center" vertical="top" wrapText="1"/>
    </xf>
    <xf numFmtId="0" fontId="18" fillId="0" borderId="42" xfId="0" applyFont="1" applyBorder="1" applyAlignment="1">
      <alignment horizontal="center" vertical="top" wrapText="1"/>
    </xf>
    <xf numFmtId="0" fontId="18" fillId="0" borderId="1" xfId="0" applyFont="1" applyBorder="1" applyAlignment="1">
      <alignment horizontal="center" vertical="top" wrapText="1"/>
    </xf>
    <xf numFmtId="0" fontId="18" fillId="0" borderId="2" xfId="0" applyFont="1" applyBorder="1" applyAlignment="1">
      <alignment horizontal="center" vertical="top" wrapText="1"/>
    </xf>
    <xf numFmtId="0" fontId="6" fillId="3" borderId="0" xfId="0" applyFont="1" applyFill="1" applyAlignment="1">
      <alignment horizontal="left" vertical="top" wrapText="1"/>
    </xf>
    <xf numFmtId="0" fontId="6" fillId="0" borderId="0" xfId="0" applyFont="1" applyAlignment="1">
      <alignment horizontal="left" vertical="top" wrapText="1"/>
    </xf>
    <xf numFmtId="49" fontId="6" fillId="0" borderId="41" xfId="0" applyNumberFormat="1" applyFont="1" applyBorder="1" applyAlignment="1">
      <alignment horizontal="center" vertical="top" wrapText="1"/>
    </xf>
    <xf numFmtId="49" fontId="6" fillId="0" borderId="3" xfId="0" applyNumberFormat="1" applyFont="1" applyBorder="1" applyAlignment="1">
      <alignment horizontal="center" vertical="top" wrapText="1"/>
    </xf>
    <xf numFmtId="49" fontId="6" fillId="0" borderId="51" xfId="0" applyNumberFormat="1" applyFont="1" applyBorder="1" applyAlignment="1">
      <alignment horizontal="center" vertical="top" wrapText="1"/>
    </xf>
    <xf numFmtId="164" fontId="5" fillId="0" borderId="79" xfId="0" applyNumberFormat="1" applyFont="1" applyBorder="1" applyAlignment="1">
      <alignment horizontal="center" vertical="top" wrapText="1"/>
    </xf>
    <xf numFmtId="164" fontId="5" fillId="0" borderId="86" xfId="0" applyNumberFormat="1" applyFont="1" applyBorder="1" applyAlignment="1">
      <alignment horizontal="center" vertical="top" wrapText="1"/>
    </xf>
    <xf numFmtId="164" fontId="5" fillId="0" borderId="68" xfId="0" applyNumberFormat="1" applyFont="1" applyBorder="1" applyAlignment="1">
      <alignment horizontal="center" vertical="top" wrapText="1"/>
    </xf>
    <xf numFmtId="49" fontId="6" fillId="3" borderId="41"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49" fontId="6" fillId="3" borderId="51" xfId="0" applyNumberFormat="1" applyFont="1" applyFill="1" applyBorder="1" applyAlignment="1">
      <alignment horizontal="center" vertical="top" wrapText="1"/>
    </xf>
    <xf numFmtId="164" fontId="5" fillId="3" borderId="79" xfId="0" applyNumberFormat="1" applyFont="1" applyFill="1" applyBorder="1" applyAlignment="1">
      <alignment horizontal="center" vertical="top" wrapText="1"/>
    </xf>
    <xf numFmtId="164" fontId="5" fillId="3" borderId="68" xfId="0" applyNumberFormat="1" applyFont="1" applyFill="1" applyBorder="1" applyAlignment="1">
      <alignment horizontal="center" vertical="top" wrapText="1"/>
    </xf>
    <xf numFmtId="0" fontId="6" fillId="0" borderId="0" xfId="0" applyFont="1" applyAlignment="1">
      <alignment vertical="top" wrapText="1"/>
    </xf>
    <xf numFmtId="164" fontId="5" fillId="3" borderId="79" xfId="0" applyNumberFormat="1" applyFont="1" applyFill="1" applyBorder="1" applyAlignment="1">
      <alignment horizontal="left" vertical="top" wrapText="1"/>
    </xf>
    <xf numFmtId="164" fontId="5" fillId="3" borderId="86" xfId="0" applyNumberFormat="1" applyFont="1" applyFill="1" applyBorder="1" applyAlignment="1">
      <alignment horizontal="left" vertical="top" wrapText="1"/>
    </xf>
    <xf numFmtId="164" fontId="5" fillId="3" borderId="75" xfId="0" applyNumberFormat="1" applyFont="1" applyFill="1" applyBorder="1" applyAlignment="1">
      <alignment horizontal="left" vertical="top" wrapText="1"/>
    </xf>
    <xf numFmtId="0" fontId="2" fillId="3" borderId="42" xfId="0" applyFont="1" applyFill="1" applyBorder="1" applyAlignment="1">
      <alignment horizontal="center" vertical="top" wrapText="1"/>
    </xf>
    <xf numFmtId="0" fontId="2" fillId="3" borderId="1" xfId="0" applyFont="1" applyFill="1" applyBorder="1" applyAlignment="1">
      <alignment horizontal="center" vertical="top" wrapText="1"/>
    </xf>
    <xf numFmtId="0" fontId="2" fillId="3" borderId="52" xfId="0" applyFont="1" applyFill="1" applyBorder="1" applyAlignment="1">
      <alignment horizontal="center" vertical="top" wrapText="1"/>
    </xf>
    <xf numFmtId="0" fontId="23" fillId="3" borderId="42" xfId="0" applyFont="1" applyFill="1" applyBorder="1" applyAlignment="1">
      <alignment horizontal="center" vertical="top" wrapText="1"/>
    </xf>
    <xf numFmtId="0" fontId="23" fillId="3" borderId="1" xfId="0" applyFont="1" applyFill="1" applyBorder="1" applyAlignment="1">
      <alignment horizontal="center" vertical="top" wrapText="1"/>
    </xf>
    <xf numFmtId="0" fontId="23" fillId="3" borderId="52" xfId="0" applyFont="1" applyFill="1" applyBorder="1" applyAlignment="1">
      <alignment horizontal="center" vertical="top" wrapText="1"/>
    </xf>
    <xf numFmtId="0" fontId="11" fillId="10" borderId="99" xfId="0" applyFont="1" applyFill="1" applyBorder="1" applyAlignment="1">
      <alignment horizontal="left" vertical="top" wrapText="1"/>
    </xf>
    <xf numFmtId="0" fontId="11" fillId="10" borderId="22" xfId="0" applyFont="1" applyFill="1" applyBorder="1" applyAlignment="1">
      <alignment horizontal="center" vertical="top" wrapText="1"/>
    </xf>
    <xf numFmtId="49" fontId="18" fillId="3" borderId="41" xfId="0" applyNumberFormat="1" applyFont="1" applyFill="1" applyBorder="1" applyAlignment="1">
      <alignment horizontal="center" vertical="top" wrapText="1"/>
    </xf>
    <xf numFmtId="49" fontId="11" fillId="3" borderId="3" xfId="0" applyNumberFormat="1" applyFont="1" applyFill="1" applyBorder="1" applyAlignment="1">
      <alignment horizontal="center" vertical="top" wrapText="1"/>
    </xf>
    <xf numFmtId="49" fontId="11" fillId="3" borderId="51" xfId="0" applyNumberFormat="1" applyFont="1" applyFill="1" applyBorder="1" applyAlignment="1">
      <alignment horizontal="center" vertical="top" wrapText="1"/>
    </xf>
    <xf numFmtId="0" fontId="18" fillId="3" borderId="60" xfId="0" applyFont="1" applyFill="1" applyBorder="1" applyAlignment="1">
      <alignment horizontal="center" vertical="top" wrapText="1"/>
    </xf>
    <xf numFmtId="0" fontId="2" fillId="3" borderId="0" xfId="0" applyFont="1" applyFill="1" applyAlignment="1">
      <alignment horizontal="center" vertical="top" wrapText="1"/>
    </xf>
    <xf numFmtId="0" fontId="2" fillId="0" borderId="41" xfId="0" applyFont="1" applyBorder="1" applyAlignment="1">
      <alignment horizontal="center" vertical="top" wrapText="1"/>
    </xf>
    <xf numFmtId="0" fontId="2" fillId="0" borderId="3" xfId="0" applyFont="1" applyBorder="1" applyAlignment="1">
      <alignment horizontal="center" vertical="top" wrapText="1"/>
    </xf>
    <xf numFmtId="0" fontId="2" fillId="0" borderId="51" xfId="0" applyFont="1" applyBorder="1" applyAlignment="1">
      <alignment horizontal="center" vertical="top" wrapText="1"/>
    </xf>
    <xf numFmtId="0" fontId="11" fillId="3" borderId="66" xfId="0" applyFont="1" applyFill="1" applyBorder="1" applyAlignment="1">
      <alignment horizontal="left" vertical="top" wrapText="1"/>
    </xf>
    <xf numFmtId="0" fontId="11" fillId="3" borderId="86" xfId="0" applyFont="1" applyFill="1" applyBorder="1" applyAlignment="1">
      <alignment horizontal="left" vertical="top" wrapText="1"/>
    </xf>
    <xf numFmtId="0" fontId="15" fillId="3" borderId="79" xfId="0" applyFont="1" applyFill="1" applyBorder="1" applyAlignment="1">
      <alignment horizontal="center" vertical="top" wrapText="1"/>
    </xf>
    <xf numFmtId="0" fontId="15" fillId="3" borderId="68" xfId="0" applyFont="1" applyFill="1" applyBorder="1" applyAlignment="1">
      <alignment horizontal="center" vertical="top" wrapText="1"/>
    </xf>
    <xf numFmtId="0" fontId="15" fillId="3" borderId="86" xfId="0" applyFont="1" applyFill="1" applyBorder="1" applyAlignment="1">
      <alignment horizontal="center" vertical="top" wrapText="1"/>
    </xf>
    <xf numFmtId="0" fontId="15" fillId="3" borderId="79" xfId="0" applyFont="1" applyFill="1" applyBorder="1" applyAlignment="1">
      <alignment horizontal="left" vertical="top" wrapText="1"/>
    </xf>
    <xf numFmtId="0" fontId="15" fillId="3" borderId="68" xfId="0" applyFont="1" applyFill="1" applyBorder="1" applyAlignment="1">
      <alignment horizontal="left" vertical="top" wrapText="1"/>
    </xf>
    <xf numFmtId="0" fontId="2" fillId="0" borderId="79" xfId="0" applyFont="1" applyBorder="1" applyAlignment="1">
      <alignment horizontal="center" vertical="top" wrapText="1"/>
    </xf>
    <xf numFmtId="0" fontId="2" fillId="0" borderId="86" xfId="0" applyFont="1" applyBorder="1" applyAlignment="1">
      <alignment horizontal="center" vertical="top" wrapText="1"/>
    </xf>
    <xf numFmtId="0" fontId="2" fillId="0" borderId="68" xfId="0" applyFont="1" applyBorder="1" applyAlignment="1">
      <alignment horizontal="center" vertical="top" wrapText="1"/>
    </xf>
    <xf numFmtId="0" fontId="6" fillId="3" borderId="31" xfId="0" applyFont="1" applyFill="1" applyBorder="1" applyAlignment="1">
      <alignment horizontal="center" vertical="top" wrapText="1"/>
    </xf>
    <xf numFmtId="0" fontId="6" fillId="3" borderId="11" xfId="0" applyFont="1" applyFill="1" applyBorder="1" applyAlignment="1">
      <alignment horizontal="center" vertical="top" wrapText="1"/>
    </xf>
    <xf numFmtId="0" fontId="6" fillId="3" borderId="25" xfId="0" applyFont="1" applyFill="1" applyBorder="1" applyAlignment="1">
      <alignment horizontal="center" vertical="top" wrapText="1"/>
    </xf>
    <xf numFmtId="0" fontId="11" fillId="12" borderId="79" xfId="0" applyFont="1" applyFill="1" applyBorder="1" applyAlignment="1">
      <alignment horizontal="left" vertical="top" wrapText="1"/>
    </xf>
    <xf numFmtId="0" fontId="11" fillId="12" borderId="86" xfId="0" applyFont="1" applyFill="1" applyBorder="1" applyAlignment="1">
      <alignment horizontal="left" vertical="top" wrapText="1"/>
    </xf>
    <xf numFmtId="0" fontId="11" fillId="12" borderId="68" xfId="0" applyFont="1" applyFill="1" applyBorder="1" applyAlignment="1">
      <alignment horizontal="left" vertical="top" wrapText="1"/>
    </xf>
    <xf numFmtId="164" fontId="2" fillId="0" borderId="75" xfId="0" applyNumberFormat="1" applyFont="1" applyBorder="1" applyAlignment="1">
      <alignment horizontal="left" vertical="top" wrapText="1"/>
    </xf>
    <xf numFmtId="0" fontId="2" fillId="0" borderId="79" xfId="0" applyFont="1" applyBorder="1" applyAlignment="1">
      <alignment horizontal="left" vertical="top" wrapText="1"/>
    </xf>
    <xf numFmtId="0" fontId="2" fillId="3" borderId="58" xfId="0" applyFont="1" applyFill="1" applyBorder="1" applyAlignment="1">
      <alignment horizontal="left" vertical="top" wrapText="1"/>
    </xf>
    <xf numFmtId="0" fontId="18" fillId="0" borderId="11" xfId="0" applyFont="1" applyBorder="1" applyAlignment="1">
      <alignment horizontal="center" vertical="top" wrapText="1"/>
    </xf>
    <xf numFmtId="0" fontId="18" fillId="0" borderId="49" xfId="0" applyFont="1" applyBorder="1" applyAlignment="1">
      <alignment horizontal="center" vertical="top" wrapText="1"/>
    </xf>
    <xf numFmtId="0" fontId="18" fillId="3" borderId="11" xfId="0" applyFont="1" applyFill="1" applyBorder="1" applyAlignment="1">
      <alignment horizontal="center" vertical="top" wrapText="1"/>
    </xf>
    <xf numFmtId="0" fontId="18" fillId="3" borderId="49" xfId="0" applyFont="1" applyFill="1" applyBorder="1" applyAlignment="1">
      <alignment horizontal="center" vertical="top" wrapText="1"/>
    </xf>
    <xf numFmtId="0" fontId="18" fillId="3" borderId="41" xfId="0" applyFont="1" applyFill="1" applyBorder="1" applyAlignment="1">
      <alignment horizontal="center" vertical="top" wrapText="1"/>
    </xf>
    <xf numFmtId="0" fontId="2" fillId="0" borderId="75" xfId="0" applyFont="1" applyBorder="1" applyAlignment="1">
      <alignment horizontal="left" vertical="top" wrapText="1"/>
    </xf>
    <xf numFmtId="0" fontId="2" fillId="3" borderId="79" xfId="0" applyFont="1" applyFill="1" applyBorder="1" applyAlignment="1">
      <alignment horizontal="center" vertical="top" wrapText="1"/>
    </xf>
    <xf numFmtId="0" fontId="2" fillId="3" borderId="86" xfId="0" applyFont="1" applyFill="1" applyBorder="1" applyAlignment="1">
      <alignment horizontal="center" vertical="top" wrapText="1"/>
    </xf>
    <xf numFmtId="0" fontId="2" fillId="3" borderId="68" xfId="0" applyFont="1" applyFill="1" applyBorder="1" applyAlignment="1">
      <alignment horizontal="center" vertical="top" wrapText="1"/>
    </xf>
    <xf numFmtId="0" fontId="11" fillId="0" borderId="42" xfId="0" applyFont="1" applyBorder="1" applyAlignment="1">
      <alignment horizontal="center" vertical="top" wrapText="1"/>
    </xf>
    <xf numFmtId="0" fontId="11" fillId="0" borderId="1" xfId="0" applyFont="1" applyBorder="1" applyAlignment="1">
      <alignment horizontal="center" vertical="top" wrapText="1"/>
    </xf>
    <xf numFmtId="0" fontId="11" fillId="0" borderId="52" xfId="0" applyFont="1" applyBorder="1" applyAlignment="1">
      <alignment horizontal="center" vertical="top" wrapText="1"/>
    </xf>
    <xf numFmtId="0" fontId="4" fillId="3" borderId="79" xfId="0" applyFont="1" applyFill="1" applyBorder="1" applyAlignment="1">
      <alignment horizontal="center" vertical="top" wrapText="1"/>
    </xf>
    <xf numFmtId="0" fontId="4" fillId="3" borderId="86" xfId="0" applyFont="1" applyFill="1" applyBorder="1" applyAlignment="1">
      <alignment horizontal="center" vertical="top" wrapText="1"/>
    </xf>
    <xf numFmtId="0" fontId="6" fillId="3" borderId="91" xfId="0" applyFont="1" applyFill="1" applyBorder="1" applyAlignment="1">
      <alignment horizontal="left" vertical="top" wrapText="1"/>
    </xf>
    <xf numFmtId="0" fontId="2" fillId="3" borderId="57" xfId="0" applyFont="1" applyFill="1" applyBorder="1" applyAlignment="1">
      <alignment horizontal="left" vertical="top" wrapText="1"/>
    </xf>
    <xf numFmtId="0" fontId="18" fillId="3" borderId="3" xfId="0" applyFont="1" applyFill="1" applyBorder="1" applyAlignment="1">
      <alignment horizontal="center" vertical="top" wrapText="1"/>
    </xf>
    <xf numFmtId="0" fontId="18" fillId="3" borderId="51" xfId="0" applyFont="1" applyFill="1" applyBorder="1" applyAlignment="1">
      <alignment horizontal="center" vertical="top" wrapText="1"/>
    </xf>
    <xf numFmtId="0" fontId="2" fillId="0" borderId="66" xfId="0" applyFont="1" applyBorder="1" applyAlignment="1">
      <alignment horizontal="center" vertical="top" wrapText="1"/>
    </xf>
    <xf numFmtId="0" fontId="11" fillId="3" borderId="57" xfId="0" applyFont="1" applyFill="1" applyBorder="1" applyAlignment="1">
      <alignment horizontal="left" vertical="top" wrapText="1"/>
    </xf>
    <xf numFmtId="0" fontId="11" fillId="3" borderId="59" xfId="0" applyFont="1" applyFill="1" applyBorder="1" applyAlignment="1">
      <alignment horizontal="left" vertical="top" wrapText="1"/>
    </xf>
    <xf numFmtId="0" fontId="0" fillId="0" borderId="51" xfId="0" applyBorder="1" applyAlignment="1">
      <alignment horizontal="center" vertical="top" wrapText="1"/>
    </xf>
    <xf numFmtId="0" fontId="5" fillId="3" borderId="79" xfId="0" applyFont="1" applyFill="1" applyBorder="1" applyAlignment="1">
      <alignment horizontal="center" vertical="top" wrapText="1"/>
    </xf>
    <xf numFmtId="0" fontId="5" fillId="3" borderId="68" xfId="0" applyFont="1" applyFill="1" applyBorder="1" applyAlignment="1">
      <alignment horizontal="center" vertical="top" wrapText="1"/>
    </xf>
    <xf numFmtId="0" fontId="6" fillId="3" borderId="72" xfId="0" applyFont="1" applyFill="1" applyBorder="1" applyAlignment="1">
      <alignment horizontal="center" vertical="top" wrapText="1"/>
    </xf>
    <xf numFmtId="0" fontId="6" fillId="3" borderId="15" xfId="0" applyFont="1" applyFill="1" applyBorder="1" applyAlignment="1">
      <alignment horizontal="center" vertical="top" wrapText="1"/>
    </xf>
    <xf numFmtId="0" fontId="0" fillId="0" borderId="3" xfId="0" applyBorder="1" applyAlignment="1">
      <alignment horizontal="center" vertical="top" wrapText="1"/>
    </xf>
    <xf numFmtId="0" fontId="11" fillId="3" borderId="58" xfId="0" applyFont="1" applyFill="1" applyBorder="1" applyAlignment="1">
      <alignment horizontal="left" vertical="top" wrapText="1"/>
    </xf>
    <xf numFmtId="0" fontId="2" fillId="3" borderId="102" xfId="0" applyFont="1" applyFill="1" applyBorder="1" applyAlignment="1">
      <alignment horizontal="center" vertical="top" wrapText="1"/>
    </xf>
    <xf numFmtId="0" fontId="2" fillId="3" borderId="17" xfId="0" applyFont="1" applyFill="1" applyBorder="1" applyAlignment="1">
      <alignment horizontal="center" vertical="top" wrapText="1"/>
    </xf>
    <xf numFmtId="0" fontId="2" fillId="3" borderId="18" xfId="0" applyFont="1" applyFill="1" applyBorder="1" applyAlignment="1">
      <alignment horizontal="center" vertical="top" wrapText="1"/>
    </xf>
    <xf numFmtId="0" fontId="2" fillId="3" borderId="59" xfId="0" applyFont="1" applyFill="1" applyBorder="1" applyAlignment="1">
      <alignment horizontal="left" vertical="top" wrapText="1"/>
    </xf>
    <xf numFmtId="0" fontId="2" fillId="3" borderId="50" xfId="0" applyFont="1" applyFill="1" applyBorder="1" applyAlignment="1">
      <alignment horizontal="center" vertical="top" wrapText="1"/>
    </xf>
    <xf numFmtId="0" fontId="18" fillId="3" borderId="101" xfId="0" applyFont="1" applyFill="1" applyBorder="1" applyAlignment="1">
      <alignment horizontal="center" vertical="top" wrapText="1"/>
    </xf>
    <xf numFmtId="0" fontId="18" fillId="3" borderId="50" xfId="0" applyFont="1" applyFill="1" applyBorder="1" applyAlignment="1">
      <alignment horizontal="center" vertical="top" wrapText="1"/>
    </xf>
    <xf numFmtId="0" fontId="5" fillId="3" borderId="79" xfId="0" applyFont="1" applyFill="1" applyBorder="1" applyAlignment="1">
      <alignment horizontal="left" vertical="top" wrapText="1"/>
    </xf>
    <xf numFmtId="0" fontId="5" fillId="3" borderId="68" xfId="0" applyFont="1" applyFill="1" applyBorder="1" applyAlignment="1">
      <alignment horizontal="left" vertical="top" wrapText="1"/>
    </xf>
    <xf numFmtId="0" fontId="13" fillId="7" borderId="8" xfId="0" applyFont="1" applyFill="1" applyBorder="1" applyAlignment="1">
      <alignment horizontal="center" vertical="center" wrapText="1"/>
    </xf>
    <xf numFmtId="0" fontId="13" fillId="7" borderId="28"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2" fillId="0" borderId="0" xfId="0" applyFont="1" applyAlignment="1">
      <alignment horizontal="center" vertical="center" wrapText="1"/>
    </xf>
  </cellXfs>
  <cellStyles count="2">
    <cellStyle name="Excel Built-in Normal" xfId="1" xr:uid="{48795526-0D47-4B88-AE3F-56B560CE652A}"/>
    <cellStyle name="Įprastas" xfId="0" builtinId="0"/>
  </cellStyles>
  <dxfs count="0"/>
  <tableStyles count="0" defaultTableStyle="TableStyleMedium2" defaultPivotStyle="PivotStyleLight16"/>
  <colors>
    <mruColors>
      <color rgb="FFFFCCFF"/>
      <color rgb="FFFFFFCC"/>
      <color rgb="FFCCFFCC"/>
      <color rgb="FF99FFCC"/>
      <color rgb="FF99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B1:P428"/>
  <sheetViews>
    <sheetView tabSelected="1" zoomScaleNormal="100" zoomScaleSheetLayoutView="100" workbookViewId="0">
      <selection activeCell="B4" sqref="B4:N4"/>
    </sheetView>
  </sheetViews>
  <sheetFormatPr defaultColWidth="9.140625" defaultRowHeight="12.75" x14ac:dyDescent="0.2"/>
  <cols>
    <col min="1" max="1" width="2.5703125" style="3" customWidth="1"/>
    <col min="2" max="2" width="12.85546875" style="8" customWidth="1"/>
    <col min="3" max="3" width="39.85546875" style="8" customWidth="1"/>
    <col min="4" max="4" width="13.28515625" style="9" customWidth="1"/>
    <col min="5" max="5" width="10.7109375" style="1" customWidth="1"/>
    <col min="6" max="7" width="10" style="1" customWidth="1"/>
    <col min="8" max="8" width="10.28515625" style="1" customWidth="1"/>
    <col min="9" max="9" width="30" style="3" customWidth="1"/>
    <col min="10" max="10" width="8.28515625" style="3" customWidth="1"/>
    <col min="11" max="11" width="7.85546875" style="3" customWidth="1"/>
    <col min="12" max="12" width="8.28515625" style="3" customWidth="1"/>
    <col min="13" max="13" width="8.140625" style="3" customWidth="1"/>
    <col min="14" max="14" width="10.42578125" style="3" customWidth="1"/>
    <col min="15" max="16384" width="9.140625" style="3"/>
  </cols>
  <sheetData>
    <row r="1" spans="2:14" ht="17.25" customHeight="1" x14ac:dyDescent="0.2">
      <c r="B1" s="2"/>
      <c r="C1" s="2"/>
      <c r="D1" s="96"/>
      <c r="E1" s="96"/>
      <c r="F1" s="96"/>
      <c r="G1" s="96"/>
      <c r="H1" s="97"/>
      <c r="M1" s="975" t="s">
        <v>0</v>
      </c>
      <c r="N1" s="975"/>
    </row>
    <row r="2" spans="2:14" ht="19.149999999999999" customHeight="1" x14ac:dyDescent="0.2">
      <c r="B2" s="2"/>
      <c r="C2" s="2"/>
      <c r="D2" s="95"/>
      <c r="E2" s="95"/>
      <c r="F2" s="95"/>
      <c r="G2" s="95"/>
      <c r="H2" s="97"/>
      <c r="M2" s="975" t="s">
        <v>1</v>
      </c>
      <c r="N2" s="975"/>
    </row>
    <row r="3" spans="2:14" ht="16.899999999999999" customHeight="1" x14ac:dyDescent="0.2">
      <c r="B3" s="2"/>
      <c r="C3" s="2"/>
      <c r="D3" s="95"/>
      <c r="E3" s="95"/>
      <c r="F3" s="95"/>
      <c r="G3" s="95"/>
      <c r="H3" s="97"/>
    </row>
    <row r="4" spans="2:14" ht="34.15" customHeight="1" thickBot="1" x14ac:dyDescent="0.25">
      <c r="B4" s="976" t="s">
        <v>2</v>
      </c>
      <c r="C4" s="976"/>
      <c r="D4" s="976"/>
      <c r="E4" s="976"/>
      <c r="F4" s="976"/>
      <c r="G4" s="976"/>
      <c r="H4" s="976"/>
      <c r="I4" s="976"/>
      <c r="J4" s="976"/>
      <c r="K4" s="976"/>
      <c r="L4" s="976"/>
      <c r="M4" s="976"/>
      <c r="N4" s="976"/>
    </row>
    <row r="5" spans="2:14" ht="45.75" customHeight="1" x14ac:dyDescent="0.2">
      <c r="B5" s="977" t="s">
        <v>3</v>
      </c>
      <c r="C5" s="979" t="s">
        <v>4</v>
      </c>
      <c r="D5" s="979" t="s">
        <v>5</v>
      </c>
      <c r="E5" s="981" t="s">
        <v>6</v>
      </c>
      <c r="F5" s="981" t="s">
        <v>7</v>
      </c>
      <c r="G5" s="981" t="s">
        <v>8</v>
      </c>
      <c r="H5" s="983" t="s">
        <v>9</v>
      </c>
      <c r="I5" s="968" t="s">
        <v>10</v>
      </c>
      <c r="J5" s="970" t="s">
        <v>11</v>
      </c>
      <c r="K5" s="971"/>
      <c r="L5" s="971"/>
      <c r="M5" s="972"/>
      <c r="N5" s="973" t="s">
        <v>12</v>
      </c>
    </row>
    <row r="6" spans="2:14" ht="26.25" customHeight="1" thickBot="1" x14ac:dyDescent="0.25">
      <c r="B6" s="978"/>
      <c r="C6" s="980"/>
      <c r="D6" s="980"/>
      <c r="E6" s="982"/>
      <c r="F6" s="982"/>
      <c r="G6" s="982"/>
      <c r="H6" s="984"/>
      <c r="I6" s="969"/>
      <c r="J6" s="284" t="s">
        <v>13</v>
      </c>
      <c r="K6" s="284" t="s">
        <v>14</v>
      </c>
      <c r="L6" s="284" t="s">
        <v>15</v>
      </c>
      <c r="M6" s="284" t="s">
        <v>16</v>
      </c>
      <c r="N6" s="974"/>
    </row>
    <row r="7" spans="2:14" ht="12.6" customHeight="1" x14ac:dyDescent="0.2">
      <c r="B7" s="932">
        <v>1</v>
      </c>
      <c r="C7" s="933">
        <v>2</v>
      </c>
      <c r="D7" s="933">
        <v>3</v>
      </c>
      <c r="E7" s="933">
        <v>4</v>
      </c>
      <c r="F7" s="933">
        <v>5</v>
      </c>
      <c r="G7" s="933">
        <v>6</v>
      </c>
      <c r="H7" s="934">
        <v>7</v>
      </c>
      <c r="I7" s="935">
        <v>8</v>
      </c>
      <c r="J7" s="936">
        <v>9</v>
      </c>
      <c r="K7" s="937">
        <v>10</v>
      </c>
      <c r="L7" s="937">
        <v>11</v>
      </c>
      <c r="M7" s="937">
        <v>12</v>
      </c>
      <c r="N7" s="938">
        <v>13</v>
      </c>
    </row>
    <row r="8" spans="2:14" ht="54" customHeight="1" thickBot="1" x14ac:dyDescent="0.25">
      <c r="B8" s="285" t="s">
        <v>17</v>
      </c>
      <c r="C8" s="286" t="s">
        <v>18</v>
      </c>
      <c r="D8" s="286"/>
      <c r="E8" s="286"/>
      <c r="F8" s="286"/>
      <c r="G8" s="286"/>
      <c r="H8" s="287"/>
      <c r="I8" s="296"/>
      <c r="J8" s="286"/>
      <c r="K8" s="286"/>
      <c r="L8" s="286"/>
      <c r="M8" s="286"/>
      <c r="N8" s="287"/>
    </row>
    <row r="9" spans="2:14" ht="44.25" customHeight="1" x14ac:dyDescent="0.2">
      <c r="B9" s="288"/>
      <c r="C9" s="289"/>
      <c r="D9" s="289"/>
      <c r="E9" s="289"/>
      <c r="F9" s="289"/>
      <c r="G9" s="289"/>
      <c r="H9" s="365"/>
      <c r="I9" s="297" t="s">
        <v>19</v>
      </c>
      <c r="J9" s="290">
        <v>13.55</v>
      </c>
      <c r="K9" s="290">
        <v>16.8</v>
      </c>
      <c r="L9" s="290">
        <v>16.7</v>
      </c>
      <c r="M9" s="290">
        <v>16.5</v>
      </c>
      <c r="N9" s="291" t="s">
        <v>20</v>
      </c>
    </row>
    <row r="10" spans="2:14" ht="34.5" customHeight="1" thickBot="1" x14ac:dyDescent="0.25">
      <c r="B10" s="292"/>
      <c r="C10" s="293"/>
      <c r="D10" s="293"/>
      <c r="E10" s="293"/>
      <c r="F10" s="293"/>
      <c r="G10" s="293"/>
      <c r="H10" s="366"/>
      <c r="I10" s="298" t="s">
        <v>21</v>
      </c>
      <c r="J10" s="294">
        <v>46</v>
      </c>
      <c r="K10" s="294">
        <v>47</v>
      </c>
      <c r="L10" s="294">
        <v>47</v>
      </c>
      <c r="M10" s="294">
        <v>47</v>
      </c>
      <c r="N10" s="295"/>
    </row>
    <row r="11" spans="2:14" ht="31.15" customHeight="1" thickBot="1" x14ac:dyDescent="0.25">
      <c r="B11" s="455" t="s">
        <v>22</v>
      </c>
      <c r="C11" s="456" t="s">
        <v>23</v>
      </c>
      <c r="D11" s="457"/>
      <c r="E11" s="458"/>
      <c r="F11" s="458"/>
      <c r="G11" s="458"/>
      <c r="H11" s="459"/>
      <c r="I11" s="460"/>
      <c r="J11" s="458"/>
      <c r="K11" s="458"/>
      <c r="L11" s="458"/>
      <c r="M11" s="458"/>
      <c r="N11" s="459"/>
    </row>
    <row r="12" spans="2:14" ht="54.6" customHeight="1" x14ac:dyDescent="0.2">
      <c r="B12" s="962" t="s">
        <v>24</v>
      </c>
      <c r="C12" s="461" t="s">
        <v>25</v>
      </c>
      <c r="D12" s="462"/>
      <c r="E12" s="463"/>
      <c r="F12" s="463"/>
      <c r="G12" s="463"/>
      <c r="H12" s="464"/>
      <c r="I12" s="465"/>
      <c r="J12" s="267"/>
      <c r="K12" s="267"/>
      <c r="L12" s="267"/>
      <c r="M12" s="267"/>
      <c r="N12" s="268"/>
    </row>
    <row r="13" spans="2:14" ht="31.5" customHeight="1" x14ac:dyDescent="0.2">
      <c r="B13" s="963"/>
      <c r="C13" s="10" t="s">
        <v>26</v>
      </c>
      <c r="D13" s="986" t="s">
        <v>27</v>
      </c>
      <c r="E13" s="58">
        <f>5023.2-122.8</f>
        <v>4900.3999999999996</v>
      </c>
      <c r="F13" s="58">
        <v>5213.7</v>
      </c>
      <c r="G13" s="58">
        <v>5213.7</v>
      </c>
      <c r="H13" s="367">
        <v>5213.7</v>
      </c>
      <c r="I13" s="300" t="s">
        <v>28</v>
      </c>
      <c r="J13" s="122">
        <v>1586</v>
      </c>
      <c r="K13" s="122">
        <v>1385</v>
      </c>
      <c r="L13" s="122">
        <v>1385</v>
      </c>
      <c r="M13" s="122">
        <v>1385</v>
      </c>
      <c r="N13" s="301"/>
    </row>
    <row r="14" spans="2:14" ht="32.25" customHeight="1" x14ac:dyDescent="0.2">
      <c r="B14" s="963"/>
      <c r="C14" s="10" t="s">
        <v>29</v>
      </c>
      <c r="D14" s="966"/>
      <c r="E14" s="73">
        <f>1143+9.7+48+47.3</f>
        <v>1248</v>
      </c>
      <c r="F14" s="73">
        <v>1133.5</v>
      </c>
      <c r="G14" s="73">
        <v>1130.7</v>
      </c>
      <c r="H14" s="368">
        <v>1122.3</v>
      </c>
      <c r="I14" s="302" t="s">
        <v>30</v>
      </c>
      <c r="J14" s="122">
        <v>6135</v>
      </c>
      <c r="K14" s="122">
        <v>4896</v>
      </c>
      <c r="L14" s="122">
        <v>4896</v>
      </c>
      <c r="M14" s="122">
        <v>4896</v>
      </c>
      <c r="N14" s="303"/>
    </row>
    <row r="15" spans="2:14" ht="41.25" customHeight="1" x14ac:dyDescent="0.2">
      <c r="B15" s="963"/>
      <c r="C15" s="10"/>
      <c r="D15" s="186"/>
      <c r="E15" s="192"/>
      <c r="F15" s="192"/>
      <c r="G15" s="192"/>
      <c r="H15" s="369"/>
      <c r="I15" s="304" t="s">
        <v>31</v>
      </c>
      <c r="J15" s="122">
        <v>110</v>
      </c>
      <c r="K15" s="122">
        <v>103</v>
      </c>
      <c r="L15" s="122">
        <v>103</v>
      </c>
      <c r="M15" s="122">
        <v>103</v>
      </c>
      <c r="N15" s="303"/>
    </row>
    <row r="16" spans="2:14" ht="67.5" customHeight="1" x14ac:dyDescent="0.2">
      <c r="B16" s="963"/>
      <c r="C16" s="10"/>
      <c r="D16" s="186"/>
      <c r="E16" s="192"/>
      <c r="F16" s="192"/>
      <c r="G16" s="192"/>
      <c r="H16" s="369"/>
      <c r="I16" s="305" t="s">
        <v>32</v>
      </c>
      <c r="J16" s="68">
        <v>6</v>
      </c>
      <c r="K16" s="68">
        <v>6</v>
      </c>
      <c r="L16" s="68">
        <v>6</v>
      </c>
      <c r="M16" s="68">
        <v>6</v>
      </c>
      <c r="N16" s="303"/>
    </row>
    <row r="17" spans="2:14" ht="18.600000000000001" customHeight="1" x14ac:dyDescent="0.2">
      <c r="B17" s="963"/>
      <c r="C17" s="114"/>
      <c r="D17" s="186"/>
      <c r="E17" s="192"/>
      <c r="F17" s="192"/>
      <c r="G17" s="192"/>
      <c r="H17" s="369"/>
      <c r="I17" s="306" t="s">
        <v>33</v>
      </c>
      <c r="J17" s="195">
        <v>2004</v>
      </c>
      <c r="K17" s="195">
        <v>1986</v>
      </c>
      <c r="L17" s="195">
        <v>1981</v>
      </c>
      <c r="M17" s="195">
        <v>1966</v>
      </c>
      <c r="N17" s="307"/>
    </row>
    <row r="18" spans="2:14" ht="54.75" customHeight="1" x14ac:dyDescent="0.2">
      <c r="B18" s="963"/>
      <c r="C18" s="194" t="s">
        <v>29</v>
      </c>
      <c r="D18" s="985" t="s">
        <v>34</v>
      </c>
      <c r="E18" s="74">
        <f>1464.5-721.9+170.7</f>
        <v>913.3</v>
      </c>
      <c r="F18" s="74">
        <v>742.6</v>
      </c>
      <c r="G18" s="74">
        <v>742.6</v>
      </c>
      <c r="H18" s="370">
        <v>742.6</v>
      </c>
      <c r="I18" s="308" t="s">
        <v>35</v>
      </c>
      <c r="J18" s="196">
        <v>377</v>
      </c>
      <c r="K18" s="196">
        <v>377</v>
      </c>
      <c r="L18" s="196">
        <v>377</v>
      </c>
      <c r="M18" s="196">
        <v>377</v>
      </c>
      <c r="N18" s="309"/>
    </row>
    <row r="19" spans="2:14" ht="70.5" customHeight="1" thickBot="1" x14ac:dyDescent="0.25">
      <c r="B19" s="964"/>
      <c r="C19" s="466" t="s">
        <v>26</v>
      </c>
      <c r="D19" s="967"/>
      <c r="E19" s="467">
        <f>38-16</f>
        <v>22</v>
      </c>
      <c r="F19" s="468">
        <v>120</v>
      </c>
      <c r="G19" s="468">
        <v>120</v>
      </c>
      <c r="H19" s="469">
        <v>120</v>
      </c>
      <c r="I19" s="470" t="s">
        <v>36</v>
      </c>
      <c r="J19" s="257"/>
      <c r="K19" s="257">
        <v>50</v>
      </c>
      <c r="L19" s="257">
        <v>50</v>
      </c>
      <c r="M19" s="257">
        <v>50</v>
      </c>
      <c r="N19" s="471"/>
    </row>
    <row r="20" spans="2:14" ht="46.5" customHeight="1" x14ac:dyDescent="0.2">
      <c r="B20" s="959" t="s">
        <v>37</v>
      </c>
      <c r="C20" s="472" t="s">
        <v>38</v>
      </c>
      <c r="D20" s="956" t="s">
        <v>39</v>
      </c>
      <c r="E20" s="473"/>
      <c r="F20" s="473"/>
      <c r="G20" s="473"/>
      <c r="H20" s="474"/>
      <c r="I20" s="475" t="s">
        <v>40</v>
      </c>
      <c r="J20" s="476">
        <v>715</v>
      </c>
      <c r="K20" s="477">
        <v>715</v>
      </c>
      <c r="L20" s="477">
        <v>715</v>
      </c>
      <c r="M20" s="477">
        <v>715</v>
      </c>
      <c r="N20" s="478"/>
    </row>
    <row r="21" spans="2:14" ht="42.75" customHeight="1" x14ac:dyDescent="0.2">
      <c r="B21" s="960"/>
      <c r="C21" s="10" t="s">
        <v>29</v>
      </c>
      <c r="D21" s="957"/>
      <c r="E21" s="58">
        <f>8768.3+3529.4</f>
        <v>12297.699999999999</v>
      </c>
      <c r="F21" s="58">
        <v>14520</v>
      </c>
      <c r="G21" s="58">
        <v>14520</v>
      </c>
      <c r="H21" s="367">
        <v>14520</v>
      </c>
      <c r="I21" s="310" t="s">
        <v>41</v>
      </c>
      <c r="J21" s="198">
        <v>65</v>
      </c>
      <c r="K21" s="193">
        <v>70</v>
      </c>
      <c r="L21" s="193">
        <v>70</v>
      </c>
      <c r="M21" s="193">
        <v>70</v>
      </c>
      <c r="N21" s="303"/>
    </row>
    <row r="22" spans="2:14" ht="41.25" customHeight="1" x14ac:dyDescent="0.2">
      <c r="B22" s="960"/>
      <c r="C22" s="10" t="s">
        <v>26</v>
      </c>
      <c r="D22" s="957"/>
      <c r="E22" s="58">
        <f>1783.8-38-81.8</f>
        <v>1664</v>
      </c>
      <c r="F22" s="58"/>
      <c r="G22" s="58"/>
      <c r="H22" s="367"/>
      <c r="I22" s="310" t="s">
        <v>42</v>
      </c>
      <c r="J22" s="193">
        <v>123</v>
      </c>
      <c r="K22" s="193">
        <v>120</v>
      </c>
      <c r="L22" s="193">
        <v>120</v>
      </c>
      <c r="M22" s="193">
        <v>120</v>
      </c>
      <c r="N22" s="303"/>
    </row>
    <row r="23" spans="2:14" ht="45" customHeight="1" x14ac:dyDescent="0.2">
      <c r="B23" s="960"/>
      <c r="C23" s="10"/>
      <c r="D23" s="957"/>
      <c r="E23" s="58"/>
      <c r="F23" s="58"/>
      <c r="G23" s="58"/>
      <c r="H23" s="367"/>
      <c r="I23" s="310" t="s">
        <v>43</v>
      </c>
      <c r="J23" s="193">
        <v>32</v>
      </c>
      <c r="K23" s="193">
        <v>44</v>
      </c>
      <c r="L23" s="193">
        <v>44</v>
      </c>
      <c r="M23" s="193">
        <v>44</v>
      </c>
      <c r="N23" s="303"/>
    </row>
    <row r="24" spans="2:14" ht="33" customHeight="1" x14ac:dyDescent="0.2">
      <c r="B24" s="960"/>
      <c r="C24" s="10"/>
      <c r="D24" s="957"/>
      <c r="E24" s="58"/>
      <c r="F24" s="58"/>
      <c r="G24" s="58"/>
      <c r="H24" s="367"/>
      <c r="I24" s="310" t="s">
        <v>44</v>
      </c>
      <c r="J24" s="193">
        <v>19</v>
      </c>
      <c r="K24" s="193">
        <v>19</v>
      </c>
      <c r="L24" s="193">
        <v>19</v>
      </c>
      <c r="M24" s="193">
        <v>19</v>
      </c>
      <c r="N24" s="303"/>
    </row>
    <row r="25" spans="2:14" ht="105" customHeight="1" thickBot="1" x14ac:dyDescent="0.25">
      <c r="B25" s="961"/>
      <c r="C25" s="466"/>
      <c r="D25" s="958"/>
      <c r="E25" s="479"/>
      <c r="F25" s="479"/>
      <c r="G25" s="479"/>
      <c r="H25" s="480"/>
      <c r="I25" s="481" t="s">
        <v>45</v>
      </c>
      <c r="J25" s="482">
        <v>8</v>
      </c>
      <c r="K25" s="482">
        <v>8</v>
      </c>
      <c r="L25" s="482">
        <v>8</v>
      </c>
      <c r="M25" s="482">
        <v>8</v>
      </c>
      <c r="N25" s="483"/>
    </row>
    <row r="26" spans="2:14" ht="43.5" customHeight="1" x14ac:dyDescent="0.2">
      <c r="B26" s="962" t="s">
        <v>46</v>
      </c>
      <c r="C26" s="472" t="s">
        <v>47</v>
      </c>
      <c r="D26" s="965" t="s">
        <v>48</v>
      </c>
      <c r="E26" s="473"/>
      <c r="F26" s="473"/>
      <c r="G26" s="473"/>
      <c r="H26" s="474"/>
      <c r="I26" s="484" t="s">
        <v>49</v>
      </c>
      <c r="J26" s="476">
        <v>56</v>
      </c>
      <c r="K26" s="476">
        <v>56</v>
      </c>
      <c r="L26" s="476">
        <v>56</v>
      </c>
      <c r="M26" s="476">
        <v>56</v>
      </c>
      <c r="N26" s="478"/>
    </row>
    <row r="27" spans="2:14" ht="43.5" customHeight="1" thickBot="1" x14ac:dyDescent="0.25">
      <c r="B27" s="964"/>
      <c r="C27" s="466" t="s">
        <v>29</v>
      </c>
      <c r="D27" s="967"/>
      <c r="E27" s="479">
        <f>1689.5+281</f>
        <v>1970.5</v>
      </c>
      <c r="F27" s="479">
        <v>1668.1</v>
      </c>
      <c r="G27" s="479">
        <v>1668.1</v>
      </c>
      <c r="H27" s="480">
        <v>1668.1</v>
      </c>
      <c r="I27" s="485" t="s">
        <v>50</v>
      </c>
      <c r="J27" s="486">
        <v>8</v>
      </c>
      <c r="K27" s="486">
        <v>8</v>
      </c>
      <c r="L27" s="486">
        <v>8</v>
      </c>
      <c r="M27" s="486">
        <v>8</v>
      </c>
      <c r="N27" s="483"/>
    </row>
    <row r="28" spans="2:14" ht="42" customHeight="1" x14ac:dyDescent="0.2">
      <c r="B28" s="962" t="s">
        <v>51</v>
      </c>
      <c r="C28" s="492" t="s">
        <v>52</v>
      </c>
      <c r="D28" s="1119" t="s">
        <v>27</v>
      </c>
      <c r="E28" s="490"/>
      <c r="F28" s="490"/>
      <c r="G28" s="490"/>
      <c r="H28" s="491"/>
      <c r="I28" s="488" t="s">
        <v>53</v>
      </c>
      <c r="J28" s="489">
        <v>6295</v>
      </c>
      <c r="K28" s="489">
        <v>6527</v>
      </c>
      <c r="L28" s="489">
        <v>6480</v>
      </c>
      <c r="M28" s="489">
        <v>6370</v>
      </c>
      <c r="N28" s="251" t="s">
        <v>54</v>
      </c>
    </row>
    <row r="29" spans="2:14" ht="32.25" customHeight="1" thickBot="1" x14ac:dyDescent="0.25">
      <c r="B29" s="964"/>
      <c r="C29" s="493" t="s">
        <v>29</v>
      </c>
      <c r="D29" s="1120"/>
      <c r="E29" s="479">
        <f>3155.9+55.3-14.8</f>
        <v>3196.4</v>
      </c>
      <c r="F29" s="479">
        <v>3073</v>
      </c>
      <c r="G29" s="479">
        <v>2939.7</v>
      </c>
      <c r="H29" s="480">
        <v>2889.9</v>
      </c>
      <c r="I29" s="470" t="s">
        <v>55</v>
      </c>
      <c r="J29" s="257">
        <v>909</v>
      </c>
      <c r="K29" s="257">
        <v>910</v>
      </c>
      <c r="L29" s="257">
        <v>900</v>
      </c>
      <c r="M29" s="257">
        <v>870</v>
      </c>
      <c r="N29" s="483"/>
    </row>
    <row r="30" spans="2:14" ht="30.75" customHeight="1" x14ac:dyDescent="0.2">
      <c r="B30" s="963" t="s">
        <v>56</v>
      </c>
      <c r="C30" s="494" t="s">
        <v>57</v>
      </c>
      <c r="D30" s="1121"/>
      <c r="E30" s="197"/>
      <c r="F30" s="197"/>
      <c r="G30" s="197"/>
      <c r="H30" s="371"/>
      <c r="I30" s="487" t="s">
        <v>58</v>
      </c>
      <c r="J30" s="143">
        <v>6295</v>
      </c>
      <c r="K30" s="143">
        <v>6527</v>
      </c>
      <c r="L30" s="143">
        <v>6480</v>
      </c>
      <c r="M30" s="143">
        <v>6370</v>
      </c>
      <c r="N30" s="264" t="s">
        <v>54</v>
      </c>
    </row>
    <row r="31" spans="2:14" ht="32.25" customHeight="1" thickBot="1" x14ac:dyDescent="0.25">
      <c r="B31" s="964"/>
      <c r="C31" s="493" t="s">
        <v>26</v>
      </c>
      <c r="D31" s="1116"/>
      <c r="E31" s="479">
        <v>705.9</v>
      </c>
      <c r="F31" s="479">
        <v>689.2</v>
      </c>
      <c r="G31" s="479">
        <v>659.4</v>
      </c>
      <c r="H31" s="480">
        <v>648.20000000000005</v>
      </c>
      <c r="I31" s="364"/>
      <c r="J31" s="272"/>
      <c r="K31" s="272"/>
      <c r="L31" s="272"/>
      <c r="M31" s="272"/>
      <c r="N31" s="273"/>
    </row>
    <row r="32" spans="2:14" ht="35.450000000000003" customHeight="1" x14ac:dyDescent="0.2">
      <c r="B32" s="962" t="s">
        <v>59</v>
      </c>
      <c r="C32" s="472" t="s">
        <v>60</v>
      </c>
      <c r="D32" s="965" t="s">
        <v>61</v>
      </c>
      <c r="E32" s="473"/>
      <c r="F32" s="473"/>
      <c r="G32" s="473"/>
      <c r="H32" s="474"/>
      <c r="I32" s="355" t="s">
        <v>62</v>
      </c>
      <c r="J32" s="489">
        <v>22</v>
      </c>
      <c r="K32" s="489">
        <v>23</v>
      </c>
      <c r="L32" s="489">
        <v>23</v>
      </c>
      <c r="M32" s="489">
        <v>23</v>
      </c>
      <c r="N32" s="495" t="s">
        <v>63</v>
      </c>
    </row>
    <row r="33" spans="2:14" ht="47.25" customHeight="1" thickBot="1" x14ac:dyDescent="0.25">
      <c r="B33" s="964"/>
      <c r="C33" s="466" t="s">
        <v>26</v>
      </c>
      <c r="D33" s="1116"/>
      <c r="E33" s="479">
        <f>152.8+150+81.1+2.8</f>
        <v>386.7</v>
      </c>
      <c r="F33" s="479">
        <f>385.7+150</f>
        <v>535.70000000000005</v>
      </c>
      <c r="G33" s="479">
        <f>385.7+150</f>
        <v>535.70000000000005</v>
      </c>
      <c r="H33" s="480">
        <f>385.7+150</f>
        <v>535.70000000000005</v>
      </c>
      <c r="I33" s="364"/>
      <c r="J33" s="272"/>
      <c r="K33" s="272"/>
      <c r="L33" s="272"/>
      <c r="M33" s="272"/>
      <c r="N33" s="273"/>
    </row>
    <row r="34" spans="2:14" ht="29.25" customHeight="1" x14ac:dyDescent="0.2">
      <c r="B34" s="962" t="s">
        <v>64</v>
      </c>
      <c r="C34" s="496" t="s">
        <v>65</v>
      </c>
      <c r="D34" s="965" t="s">
        <v>66</v>
      </c>
      <c r="E34" s="497"/>
      <c r="F34" s="497"/>
      <c r="G34" s="497"/>
      <c r="H34" s="498"/>
      <c r="I34" s="355" t="s">
        <v>67</v>
      </c>
      <c r="J34" s="476">
        <v>4344</v>
      </c>
      <c r="K34" s="476">
        <v>4400</v>
      </c>
      <c r="L34" s="476">
        <v>4400</v>
      </c>
      <c r="M34" s="476">
        <v>4400</v>
      </c>
      <c r="N34" s="478"/>
    </row>
    <row r="35" spans="2:14" ht="27.75" customHeight="1" thickBot="1" x14ac:dyDescent="0.25">
      <c r="B35" s="964"/>
      <c r="C35" s="499" t="s">
        <v>68</v>
      </c>
      <c r="D35" s="967"/>
      <c r="E35" s="500">
        <v>10.9</v>
      </c>
      <c r="F35" s="500">
        <v>11</v>
      </c>
      <c r="G35" s="500">
        <v>11</v>
      </c>
      <c r="H35" s="258">
        <v>11</v>
      </c>
      <c r="I35" s="364"/>
      <c r="J35" s="272"/>
      <c r="K35" s="272"/>
      <c r="L35" s="272"/>
      <c r="M35" s="272"/>
      <c r="N35" s="273"/>
    </row>
    <row r="36" spans="2:14" ht="45" customHeight="1" x14ac:dyDescent="0.2">
      <c r="B36" s="962" t="s">
        <v>69</v>
      </c>
      <c r="C36" s="501" t="s">
        <v>70</v>
      </c>
      <c r="D36" s="965" t="s">
        <v>71</v>
      </c>
      <c r="E36" s="502"/>
      <c r="F36" s="502"/>
      <c r="G36" s="502"/>
      <c r="H36" s="503"/>
      <c r="I36" s="504" t="s">
        <v>72</v>
      </c>
      <c r="J36" s="476">
        <v>2</v>
      </c>
      <c r="K36" s="476">
        <v>13</v>
      </c>
      <c r="L36" s="476">
        <v>13</v>
      </c>
      <c r="M36" s="476">
        <v>13</v>
      </c>
      <c r="N36" s="478"/>
    </row>
    <row r="37" spans="2:14" ht="33.75" customHeight="1" x14ac:dyDescent="0.2">
      <c r="B37" s="963"/>
      <c r="C37" s="200" t="s">
        <v>29</v>
      </c>
      <c r="D37" s="966"/>
      <c r="E37" s="58">
        <f>144.6-115.9</f>
        <v>28.699999999999989</v>
      </c>
      <c r="F37" s="58">
        <v>144.6</v>
      </c>
      <c r="G37" s="58">
        <v>144.6</v>
      </c>
      <c r="H37" s="367">
        <v>144.6</v>
      </c>
      <c r="I37" s="313" t="s">
        <v>73</v>
      </c>
      <c r="J37" s="198">
        <v>2</v>
      </c>
      <c r="K37" s="198">
        <v>2</v>
      </c>
      <c r="L37" s="198">
        <v>2</v>
      </c>
      <c r="M37" s="198">
        <v>2</v>
      </c>
      <c r="N37" s="303"/>
    </row>
    <row r="38" spans="2:14" ht="31.5" customHeight="1" x14ac:dyDescent="0.2">
      <c r="B38" s="963"/>
      <c r="C38" s="48" t="s">
        <v>26</v>
      </c>
      <c r="D38" s="966"/>
      <c r="E38" s="59">
        <f>5.5-2.8</f>
        <v>2.7</v>
      </c>
      <c r="F38" s="58">
        <v>35</v>
      </c>
      <c r="G38" s="58">
        <v>35</v>
      </c>
      <c r="H38" s="367">
        <v>35</v>
      </c>
      <c r="I38" s="313" t="s">
        <v>74</v>
      </c>
      <c r="J38" s="198">
        <v>3</v>
      </c>
      <c r="K38" s="198">
        <v>3</v>
      </c>
      <c r="L38" s="198">
        <v>3</v>
      </c>
      <c r="M38" s="198">
        <v>3</v>
      </c>
      <c r="N38" s="303"/>
    </row>
    <row r="39" spans="2:14" ht="45" customHeight="1" thickBot="1" x14ac:dyDescent="0.25">
      <c r="B39" s="964"/>
      <c r="C39" s="505"/>
      <c r="D39" s="967"/>
      <c r="E39" s="506"/>
      <c r="F39" s="479"/>
      <c r="G39" s="479"/>
      <c r="H39" s="480"/>
      <c r="I39" s="507" t="s">
        <v>75</v>
      </c>
      <c r="J39" s="486">
        <v>2</v>
      </c>
      <c r="K39" s="486">
        <v>2</v>
      </c>
      <c r="L39" s="486">
        <v>2</v>
      </c>
      <c r="M39" s="486">
        <v>2</v>
      </c>
      <c r="N39" s="483"/>
    </row>
    <row r="40" spans="2:14" ht="59.25" customHeight="1" x14ac:dyDescent="0.2">
      <c r="B40" s="1114" t="s">
        <v>76</v>
      </c>
      <c r="C40" s="509" t="s">
        <v>77</v>
      </c>
      <c r="D40" s="1128" t="s">
        <v>78</v>
      </c>
      <c r="E40" s="510"/>
      <c r="F40" s="510"/>
      <c r="G40" s="510"/>
      <c r="H40" s="511"/>
      <c r="I40" s="355" t="s">
        <v>79</v>
      </c>
      <c r="J40" s="512">
        <v>1049</v>
      </c>
      <c r="K40" s="512">
        <v>1028</v>
      </c>
      <c r="L40" s="512">
        <v>1028</v>
      </c>
      <c r="M40" s="512">
        <v>1028</v>
      </c>
      <c r="N40" s="478"/>
    </row>
    <row r="41" spans="2:14" ht="31.5" customHeight="1" thickBot="1" x14ac:dyDescent="0.25">
      <c r="B41" s="1115"/>
      <c r="C41" s="513" t="s">
        <v>26</v>
      </c>
      <c r="D41" s="1129"/>
      <c r="E41" s="479">
        <f>1853.9+350</f>
        <v>2203.9</v>
      </c>
      <c r="F41" s="479">
        <v>2196.1999999999998</v>
      </c>
      <c r="G41" s="479">
        <v>2196.1999999999998</v>
      </c>
      <c r="H41" s="480">
        <v>2196.1999999999998</v>
      </c>
      <c r="I41" s="364"/>
      <c r="J41" s="272"/>
      <c r="K41" s="272"/>
      <c r="L41" s="272"/>
      <c r="M41" s="272"/>
      <c r="N41" s="273"/>
    </row>
    <row r="42" spans="2:14" ht="31.5" customHeight="1" x14ac:dyDescent="0.2">
      <c r="B42" s="995"/>
      <c r="C42" s="517" t="s">
        <v>80</v>
      </c>
      <c r="D42" s="965" t="s">
        <v>27</v>
      </c>
      <c r="E42" s="510"/>
      <c r="F42" s="510"/>
      <c r="G42" s="510"/>
      <c r="H42" s="511"/>
      <c r="I42" s="518" t="s">
        <v>81</v>
      </c>
      <c r="J42" s="519">
        <v>1</v>
      </c>
      <c r="K42" s="519"/>
      <c r="L42" s="519"/>
      <c r="M42" s="519"/>
      <c r="N42" s="520"/>
    </row>
    <row r="43" spans="2:14" ht="24" customHeight="1" thickBot="1" x14ac:dyDescent="0.25">
      <c r="B43" s="996"/>
      <c r="C43" s="521" t="s">
        <v>29</v>
      </c>
      <c r="D43" s="967"/>
      <c r="E43" s="479">
        <v>0.2</v>
      </c>
      <c r="F43" s="479"/>
      <c r="G43" s="479"/>
      <c r="H43" s="480"/>
      <c r="I43" s="364"/>
      <c r="J43" s="272"/>
      <c r="K43" s="272"/>
      <c r="L43" s="272"/>
      <c r="M43" s="272"/>
      <c r="N43" s="273"/>
    </row>
    <row r="44" spans="2:14" ht="16.899999999999999" customHeight="1" x14ac:dyDescent="0.2">
      <c r="B44" s="522"/>
      <c r="C44" s="523" t="s">
        <v>82</v>
      </c>
      <c r="D44" s="524"/>
      <c r="E44" s="525">
        <f>SUM(E45:E47)</f>
        <v>29540.400000000001</v>
      </c>
      <c r="F44" s="525">
        <f t="shared" ref="F44:H44" si="0">SUM(F45:F47)</f>
        <v>30071.599999999995</v>
      </c>
      <c r="G44" s="525">
        <f t="shared" si="0"/>
        <v>29905.699999999997</v>
      </c>
      <c r="H44" s="526">
        <f t="shared" si="0"/>
        <v>29836.3</v>
      </c>
      <c r="I44" s="527"/>
      <c r="J44" s="528"/>
      <c r="K44" s="528"/>
      <c r="L44" s="528"/>
      <c r="M44" s="528"/>
      <c r="N44" s="529"/>
    </row>
    <row r="45" spans="2:14" ht="17.45" customHeight="1" x14ac:dyDescent="0.2">
      <c r="B45" s="1008"/>
      <c r="C45" s="15" t="s">
        <v>83</v>
      </c>
      <c r="D45" s="22"/>
      <c r="E45" s="56"/>
      <c r="F45" s="56"/>
      <c r="G45" s="56"/>
      <c r="H45" s="375"/>
      <c r="I45" s="299"/>
      <c r="J45" s="191"/>
      <c r="K45" s="191"/>
      <c r="L45" s="191"/>
      <c r="M45" s="191"/>
      <c r="N45" s="270"/>
    </row>
    <row r="46" spans="2:14" ht="30" customHeight="1" x14ac:dyDescent="0.2">
      <c r="B46" s="1009"/>
      <c r="C46" s="15" t="s">
        <v>84</v>
      </c>
      <c r="D46" s="22"/>
      <c r="E46" s="7">
        <f>SUMIF($C12:$C43,$C13,E12:E43)</f>
        <v>9885.5999999999985</v>
      </c>
      <c r="F46" s="7">
        <f t="shared" ref="F46:H46" si="1">SUMIF($C12:$C43,$C13,F12:F43)</f>
        <v>8789.7999999999993</v>
      </c>
      <c r="G46" s="7">
        <f t="shared" si="1"/>
        <v>8760</v>
      </c>
      <c r="H46" s="346">
        <f t="shared" si="1"/>
        <v>8748.7999999999993</v>
      </c>
      <c r="I46" s="299"/>
      <c r="J46" s="191"/>
      <c r="K46" s="191"/>
      <c r="L46" s="191"/>
      <c r="M46" s="191"/>
      <c r="N46" s="270"/>
    </row>
    <row r="47" spans="2:14" ht="19.899999999999999" customHeight="1" x14ac:dyDescent="0.2">
      <c r="B47" s="1010"/>
      <c r="C47" s="15" t="s">
        <v>85</v>
      </c>
      <c r="D47" s="22"/>
      <c r="E47" s="7">
        <f>SUMIF($C12:$C43,$C14,E12:E43)</f>
        <v>19654.800000000003</v>
      </c>
      <c r="F47" s="7">
        <f t="shared" ref="F47:H47" si="2">SUMIF($C12:$C43,$C14,F12:F43)</f>
        <v>21281.799999999996</v>
      </c>
      <c r="G47" s="7">
        <f t="shared" si="2"/>
        <v>21145.699999999997</v>
      </c>
      <c r="H47" s="346">
        <f t="shared" si="2"/>
        <v>21087.5</v>
      </c>
      <c r="I47" s="299"/>
      <c r="J47" s="191"/>
      <c r="K47" s="191"/>
      <c r="L47" s="191"/>
      <c r="M47" s="191"/>
      <c r="N47" s="270"/>
    </row>
    <row r="48" spans="2:14" ht="18" customHeight="1" x14ac:dyDescent="0.2">
      <c r="B48" s="376"/>
      <c r="C48" s="12" t="s">
        <v>86</v>
      </c>
      <c r="D48" s="26"/>
      <c r="E48" s="14">
        <f>E50</f>
        <v>10.9</v>
      </c>
      <c r="F48" s="14">
        <f>F50</f>
        <v>11</v>
      </c>
      <c r="G48" s="14">
        <f>G50</f>
        <v>11</v>
      </c>
      <c r="H48" s="377">
        <f t="shared" ref="H48" si="3">H50</f>
        <v>11</v>
      </c>
      <c r="I48" s="314"/>
      <c r="J48" s="203"/>
      <c r="K48" s="203"/>
      <c r="L48" s="203"/>
      <c r="M48" s="203"/>
      <c r="N48" s="315"/>
    </row>
    <row r="49" spans="2:14" ht="19.899999999999999" customHeight="1" x14ac:dyDescent="0.2">
      <c r="B49" s="1006"/>
      <c r="C49" s="15" t="s">
        <v>87</v>
      </c>
      <c r="D49" s="22"/>
      <c r="E49" s="7"/>
      <c r="F49" s="7"/>
      <c r="G49" s="7"/>
      <c r="H49" s="346"/>
      <c r="I49" s="299"/>
      <c r="J49" s="191"/>
      <c r="K49" s="191"/>
      <c r="L49" s="191"/>
      <c r="M49" s="191"/>
      <c r="N49" s="270"/>
    </row>
    <row r="50" spans="2:14" ht="18" customHeight="1" thickBot="1" x14ac:dyDescent="0.25">
      <c r="B50" s="1007"/>
      <c r="C50" s="530" t="s">
        <v>88</v>
      </c>
      <c r="D50" s="531"/>
      <c r="E50" s="532">
        <f>SUMIF($C12:$C43,$C35,E12:E43)</f>
        <v>10.9</v>
      </c>
      <c r="F50" s="532">
        <f t="shared" ref="F50:H50" si="4">SUMIF($C12:$C43,$C35,F12:F43)</f>
        <v>11</v>
      </c>
      <c r="G50" s="532">
        <f t="shared" si="4"/>
        <v>11</v>
      </c>
      <c r="H50" s="533">
        <f t="shared" si="4"/>
        <v>11</v>
      </c>
      <c r="I50" s="364"/>
      <c r="J50" s="272"/>
      <c r="K50" s="272"/>
      <c r="L50" s="272"/>
      <c r="M50" s="272"/>
      <c r="N50" s="273"/>
    </row>
    <row r="51" spans="2:14" ht="55.5" customHeight="1" x14ac:dyDescent="0.2">
      <c r="B51" s="534" t="s">
        <v>89</v>
      </c>
      <c r="C51" s="535" t="s">
        <v>90</v>
      </c>
      <c r="D51" s="536" t="s">
        <v>66</v>
      </c>
      <c r="E51" s="537"/>
      <c r="F51" s="537"/>
      <c r="G51" s="537"/>
      <c r="H51" s="538"/>
      <c r="I51" s="539" t="s">
        <v>81</v>
      </c>
      <c r="J51" s="540">
        <v>5337</v>
      </c>
      <c r="K51" s="540">
        <v>5206</v>
      </c>
      <c r="L51" s="540">
        <v>5206</v>
      </c>
      <c r="M51" s="540">
        <v>5206</v>
      </c>
      <c r="N51" s="541"/>
    </row>
    <row r="52" spans="2:14" ht="19.149999999999999" customHeight="1" x14ac:dyDescent="0.2">
      <c r="B52" s="378"/>
      <c r="C52" s="12" t="s">
        <v>86</v>
      </c>
      <c r="D52" s="41"/>
      <c r="E52" s="42">
        <f>E54</f>
        <v>16154</v>
      </c>
      <c r="F52" s="42">
        <f>F54</f>
        <v>16264.5</v>
      </c>
      <c r="G52" s="42">
        <f>G54</f>
        <v>16264.5</v>
      </c>
      <c r="H52" s="379">
        <f>H54</f>
        <v>16264.5</v>
      </c>
      <c r="I52" s="314"/>
      <c r="J52" s="203"/>
      <c r="K52" s="203"/>
      <c r="L52" s="203"/>
      <c r="M52" s="203"/>
      <c r="N52" s="315"/>
    </row>
    <row r="53" spans="2:14" ht="20.45" customHeight="1" x14ac:dyDescent="0.2">
      <c r="B53" s="1130"/>
      <c r="C53" s="17" t="s">
        <v>87</v>
      </c>
      <c r="D53" s="184"/>
      <c r="E53" s="34"/>
      <c r="F53" s="34"/>
      <c r="G53" s="34"/>
      <c r="H53" s="380"/>
      <c r="I53" s="299"/>
      <c r="J53" s="191"/>
      <c r="K53" s="191"/>
      <c r="L53" s="191"/>
      <c r="M53" s="191"/>
      <c r="N53" s="270"/>
    </row>
    <row r="54" spans="2:14" ht="18" customHeight="1" thickBot="1" x14ac:dyDescent="0.25">
      <c r="B54" s="1131"/>
      <c r="C54" s="542" t="s">
        <v>91</v>
      </c>
      <c r="D54" s="543"/>
      <c r="E54" s="544">
        <f>14677.5+57.1+1419.4</f>
        <v>16154</v>
      </c>
      <c r="F54" s="544">
        <v>16264.5</v>
      </c>
      <c r="G54" s="544">
        <v>16264.5</v>
      </c>
      <c r="H54" s="545">
        <v>16264.5</v>
      </c>
      <c r="I54" s="364"/>
      <c r="J54" s="272"/>
      <c r="K54" s="272"/>
      <c r="L54" s="272"/>
      <c r="M54" s="272"/>
      <c r="N54" s="273"/>
    </row>
    <row r="55" spans="2:14" s="4" customFormat="1" ht="54" customHeight="1" x14ac:dyDescent="0.2">
      <c r="B55" s="534" t="s">
        <v>92</v>
      </c>
      <c r="C55" s="546" t="s">
        <v>93</v>
      </c>
      <c r="D55" s="536" t="s">
        <v>94</v>
      </c>
      <c r="E55" s="547"/>
      <c r="F55" s="547"/>
      <c r="G55" s="547"/>
      <c r="H55" s="548"/>
      <c r="I55" s="539" t="s">
        <v>81</v>
      </c>
      <c r="J55" s="549">
        <v>30600</v>
      </c>
      <c r="K55" s="549">
        <v>30000</v>
      </c>
      <c r="L55" s="549">
        <v>29850</v>
      </c>
      <c r="M55" s="549">
        <v>29700</v>
      </c>
      <c r="N55" s="541"/>
    </row>
    <row r="56" spans="2:14" ht="19.149999999999999" customHeight="1" x14ac:dyDescent="0.2">
      <c r="B56" s="350"/>
      <c r="C56" s="12" t="s">
        <v>86</v>
      </c>
      <c r="D56" s="27"/>
      <c r="E56" s="104">
        <f>SUM(E58:E58)</f>
        <v>52559.6</v>
      </c>
      <c r="F56" s="104">
        <f t="shared" ref="F56:H56" si="5">SUM(F58:F58)</f>
        <v>51994.400000000001</v>
      </c>
      <c r="G56" s="104">
        <f t="shared" si="5"/>
        <v>51811.9</v>
      </c>
      <c r="H56" s="381">
        <f t="shared" si="5"/>
        <v>51653.2</v>
      </c>
      <c r="I56" s="314"/>
      <c r="J56" s="203"/>
      <c r="K56" s="203"/>
      <c r="L56" s="203"/>
      <c r="M56" s="203"/>
      <c r="N56" s="315"/>
    </row>
    <row r="57" spans="2:14" ht="16.5" customHeight="1" x14ac:dyDescent="0.2">
      <c r="B57" s="1027"/>
      <c r="C57" s="17" t="s">
        <v>87</v>
      </c>
      <c r="D57" s="22"/>
      <c r="E57" s="105"/>
      <c r="F57" s="105"/>
      <c r="G57" s="105"/>
      <c r="H57" s="383"/>
      <c r="I57" s="299"/>
      <c r="J57" s="191"/>
      <c r="K57" s="191"/>
      <c r="L57" s="191"/>
      <c r="M57" s="191"/>
      <c r="N57" s="270"/>
    </row>
    <row r="58" spans="2:14" ht="19.149999999999999" customHeight="1" thickBot="1" x14ac:dyDescent="0.25">
      <c r="B58" s="1028"/>
      <c r="C58" s="542" t="s">
        <v>91</v>
      </c>
      <c r="D58" s="531"/>
      <c r="E58" s="550">
        <f>50755.2+852.4+952</f>
        <v>52559.6</v>
      </c>
      <c r="F58" s="550">
        <v>51994.400000000001</v>
      </c>
      <c r="G58" s="550">
        <v>51811.9</v>
      </c>
      <c r="H58" s="551">
        <v>51653.2</v>
      </c>
      <c r="I58" s="364"/>
      <c r="J58" s="272"/>
      <c r="K58" s="272"/>
      <c r="L58" s="272"/>
      <c r="M58" s="272"/>
      <c r="N58" s="273"/>
    </row>
    <row r="59" spans="2:14" s="4" customFormat="1" ht="43.5" customHeight="1" x14ac:dyDescent="0.2">
      <c r="B59" s="552" t="s">
        <v>95</v>
      </c>
      <c r="C59" s="553" t="s">
        <v>96</v>
      </c>
      <c r="D59" s="536" t="s">
        <v>97</v>
      </c>
      <c r="E59" s="554"/>
      <c r="F59" s="554"/>
      <c r="G59" s="554"/>
      <c r="H59" s="555"/>
      <c r="I59" s="556" t="s">
        <v>98</v>
      </c>
      <c r="J59" s="557">
        <v>23</v>
      </c>
      <c r="K59" s="557">
        <v>39</v>
      </c>
      <c r="L59" s="557">
        <v>39</v>
      </c>
      <c r="M59" s="557">
        <v>39</v>
      </c>
      <c r="N59" s="541"/>
    </row>
    <row r="60" spans="2:14" ht="32.25" customHeight="1" x14ac:dyDescent="0.2">
      <c r="B60" s="384"/>
      <c r="C60" s="13" t="s">
        <v>82</v>
      </c>
      <c r="D60" s="27"/>
      <c r="E60" s="14">
        <f>+E62</f>
        <v>294.89999999999998</v>
      </c>
      <c r="F60" s="14">
        <f t="shared" ref="F60:H60" si="6">+F62</f>
        <v>389.1</v>
      </c>
      <c r="G60" s="14">
        <f t="shared" si="6"/>
        <v>389.1</v>
      </c>
      <c r="H60" s="377">
        <f t="shared" si="6"/>
        <v>389.1</v>
      </c>
      <c r="I60" s="316" t="s">
        <v>99</v>
      </c>
      <c r="J60" s="206">
        <v>117</v>
      </c>
      <c r="K60" s="206">
        <v>187</v>
      </c>
      <c r="L60" s="206">
        <v>187</v>
      </c>
      <c r="M60" s="206">
        <v>187</v>
      </c>
      <c r="N60" s="317"/>
    </row>
    <row r="61" spans="2:14" ht="68.25" customHeight="1" x14ac:dyDescent="0.2">
      <c r="B61" s="1011"/>
      <c r="C61" s="15" t="s">
        <v>83</v>
      </c>
      <c r="D61" s="22"/>
      <c r="E61" s="11"/>
      <c r="F61" s="11"/>
      <c r="G61" s="11"/>
      <c r="H61" s="385"/>
      <c r="I61" s="305" t="s">
        <v>100</v>
      </c>
      <c r="J61" s="205">
        <v>14</v>
      </c>
      <c r="K61" s="205">
        <v>14</v>
      </c>
      <c r="L61" s="205">
        <v>14</v>
      </c>
      <c r="M61" s="205">
        <v>14</v>
      </c>
      <c r="N61" s="318"/>
    </row>
    <row r="62" spans="2:14" ht="19.899999999999999" customHeight="1" thickBot="1" x14ac:dyDescent="0.25">
      <c r="B62" s="1012"/>
      <c r="C62" s="542" t="s">
        <v>29</v>
      </c>
      <c r="D62" s="531"/>
      <c r="E62" s="550">
        <v>294.89999999999998</v>
      </c>
      <c r="F62" s="550">
        <v>389.1</v>
      </c>
      <c r="G62" s="550">
        <v>389.1</v>
      </c>
      <c r="H62" s="551">
        <v>389.1</v>
      </c>
      <c r="I62" s="364"/>
      <c r="J62" s="272"/>
      <c r="K62" s="272"/>
      <c r="L62" s="272"/>
      <c r="M62" s="272"/>
      <c r="N62" s="273"/>
    </row>
    <row r="63" spans="2:14" ht="56.25" customHeight="1" x14ac:dyDescent="0.2">
      <c r="B63" s="552" t="s">
        <v>101</v>
      </c>
      <c r="C63" s="553" t="s">
        <v>102</v>
      </c>
      <c r="D63" s="536" t="s">
        <v>103</v>
      </c>
      <c r="E63" s="547"/>
      <c r="F63" s="547"/>
      <c r="G63" s="547"/>
      <c r="H63" s="548"/>
      <c r="I63" s="558" t="s">
        <v>104</v>
      </c>
      <c r="J63" s="549">
        <v>5</v>
      </c>
      <c r="K63" s="549">
        <v>5</v>
      </c>
      <c r="L63" s="549">
        <v>5</v>
      </c>
      <c r="M63" s="549">
        <v>5</v>
      </c>
      <c r="N63" s="541"/>
    </row>
    <row r="64" spans="2:14" ht="16.899999999999999" customHeight="1" x14ac:dyDescent="0.2">
      <c r="B64" s="344"/>
      <c r="C64" s="13" t="s">
        <v>82</v>
      </c>
      <c r="D64" s="27"/>
      <c r="E64" s="104">
        <f>E66</f>
        <v>105.5</v>
      </c>
      <c r="F64" s="104">
        <f t="shared" ref="F64:H64" si="7">F66</f>
        <v>105.5</v>
      </c>
      <c r="G64" s="104">
        <f t="shared" si="7"/>
        <v>105.5</v>
      </c>
      <c r="H64" s="381">
        <f t="shared" si="7"/>
        <v>105.5</v>
      </c>
      <c r="I64" s="314"/>
      <c r="J64" s="203"/>
      <c r="K64" s="203"/>
      <c r="L64" s="203"/>
      <c r="M64" s="203"/>
      <c r="N64" s="315"/>
    </row>
    <row r="65" spans="2:14" ht="14.45" customHeight="1" x14ac:dyDescent="0.2">
      <c r="B65" s="997"/>
      <c r="C65" s="15" t="s">
        <v>83</v>
      </c>
      <c r="D65" s="22"/>
      <c r="E65" s="138"/>
      <c r="F65" s="138"/>
      <c r="G65" s="138"/>
      <c r="H65" s="386"/>
      <c r="I65" s="299"/>
      <c r="J65" s="191"/>
      <c r="K65" s="191"/>
      <c r="L65" s="191"/>
      <c r="M65" s="191"/>
      <c r="N65" s="270"/>
    </row>
    <row r="66" spans="2:14" ht="19.899999999999999" customHeight="1" thickBot="1" x14ac:dyDescent="0.25">
      <c r="B66" s="998"/>
      <c r="C66" s="542" t="s">
        <v>29</v>
      </c>
      <c r="D66" s="531"/>
      <c r="E66" s="550">
        <v>105.5</v>
      </c>
      <c r="F66" s="550">
        <v>105.5</v>
      </c>
      <c r="G66" s="550">
        <v>105.5</v>
      </c>
      <c r="H66" s="551">
        <v>105.5</v>
      </c>
      <c r="I66" s="364"/>
      <c r="J66" s="272"/>
      <c r="K66" s="272"/>
      <c r="L66" s="272"/>
      <c r="M66" s="272"/>
      <c r="N66" s="273"/>
    </row>
    <row r="67" spans="2:14" ht="55.5" customHeight="1" x14ac:dyDescent="0.2">
      <c r="B67" s="552" t="s">
        <v>105</v>
      </c>
      <c r="C67" s="553" t="s">
        <v>106</v>
      </c>
      <c r="D67" s="559" t="s">
        <v>103</v>
      </c>
      <c r="E67" s="560"/>
      <c r="F67" s="561"/>
      <c r="G67" s="562"/>
      <c r="H67" s="555"/>
      <c r="I67" s="558" t="s">
        <v>107</v>
      </c>
      <c r="J67" s="549">
        <v>62</v>
      </c>
      <c r="K67" s="549">
        <v>60</v>
      </c>
      <c r="L67" s="549">
        <v>60</v>
      </c>
      <c r="M67" s="549">
        <v>60</v>
      </c>
      <c r="N67" s="541" t="s">
        <v>108</v>
      </c>
    </row>
    <row r="68" spans="2:14" ht="21" customHeight="1" x14ac:dyDescent="0.2">
      <c r="B68" s="344"/>
      <c r="C68" s="13" t="s">
        <v>82</v>
      </c>
      <c r="D68" s="25"/>
      <c r="E68" s="115">
        <f>E70</f>
        <v>849.5</v>
      </c>
      <c r="F68" s="115">
        <f t="shared" ref="F68:H68" si="8">F70</f>
        <v>849.6</v>
      </c>
      <c r="G68" s="115">
        <f t="shared" si="8"/>
        <v>849.6</v>
      </c>
      <c r="H68" s="387">
        <f t="shared" si="8"/>
        <v>849.6</v>
      </c>
      <c r="I68" s="314"/>
      <c r="J68" s="203"/>
      <c r="K68" s="203"/>
      <c r="L68" s="203"/>
      <c r="M68" s="203"/>
      <c r="N68" s="315"/>
    </row>
    <row r="69" spans="2:14" ht="15.6" customHeight="1" x14ac:dyDescent="0.2">
      <c r="B69" s="997"/>
      <c r="C69" s="15" t="s">
        <v>83</v>
      </c>
      <c r="D69" s="28"/>
      <c r="E69" s="60"/>
      <c r="F69" s="60"/>
      <c r="G69" s="60"/>
      <c r="H69" s="388"/>
      <c r="I69" s="299"/>
      <c r="J69" s="191"/>
      <c r="K69" s="191"/>
      <c r="L69" s="191"/>
      <c r="M69" s="191"/>
      <c r="N69" s="270"/>
    </row>
    <row r="70" spans="2:14" ht="18.75" customHeight="1" thickBot="1" x14ac:dyDescent="0.25">
      <c r="B70" s="998"/>
      <c r="C70" s="542" t="s">
        <v>29</v>
      </c>
      <c r="D70" s="563"/>
      <c r="E70" s="564">
        <f>329.6+238+281.9</f>
        <v>849.5</v>
      </c>
      <c r="F70" s="564">
        <v>849.6</v>
      </c>
      <c r="G70" s="564">
        <v>849.6</v>
      </c>
      <c r="H70" s="565">
        <v>849.6</v>
      </c>
      <c r="I70" s="364"/>
      <c r="J70" s="272"/>
      <c r="K70" s="272"/>
      <c r="L70" s="272"/>
      <c r="M70" s="272"/>
      <c r="N70" s="273"/>
    </row>
    <row r="71" spans="2:14" ht="54" customHeight="1" x14ac:dyDescent="0.2">
      <c r="B71" s="552" t="s">
        <v>109</v>
      </c>
      <c r="C71" s="535" t="s">
        <v>110</v>
      </c>
      <c r="D71" s="536" t="s">
        <v>103</v>
      </c>
      <c r="E71" s="554"/>
      <c r="F71" s="554"/>
      <c r="G71" s="554"/>
      <c r="H71" s="555"/>
      <c r="I71" s="566" t="s">
        <v>111</v>
      </c>
      <c r="J71" s="549">
        <v>275</v>
      </c>
      <c r="K71" s="549">
        <v>295</v>
      </c>
      <c r="L71" s="549">
        <v>295</v>
      </c>
      <c r="M71" s="549">
        <v>295</v>
      </c>
      <c r="N71" s="567"/>
    </row>
    <row r="72" spans="2:14" ht="20.45" customHeight="1" x14ac:dyDescent="0.2">
      <c r="B72" s="389"/>
      <c r="C72" s="13" t="s">
        <v>82</v>
      </c>
      <c r="D72" s="27"/>
      <c r="E72" s="14">
        <f>SUM(E74:E75)</f>
        <v>222</v>
      </c>
      <c r="F72" s="14">
        <f t="shared" ref="F72:H72" si="9">SUM(F74:F75)</f>
        <v>243.9</v>
      </c>
      <c r="G72" s="14">
        <f t="shared" si="9"/>
        <v>243.9</v>
      </c>
      <c r="H72" s="377">
        <f t="shared" si="9"/>
        <v>243.9</v>
      </c>
      <c r="I72" s="314"/>
      <c r="J72" s="203"/>
      <c r="K72" s="203"/>
      <c r="L72" s="203"/>
      <c r="M72" s="203"/>
      <c r="N72" s="315"/>
    </row>
    <row r="73" spans="2:14" ht="19.899999999999999" customHeight="1" x14ac:dyDescent="0.2">
      <c r="B73" s="1003"/>
      <c r="C73" s="15" t="s">
        <v>83</v>
      </c>
      <c r="D73" s="33"/>
      <c r="E73" s="35"/>
      <c r="F73" s="35"/>
      <c r="G73" s="35"/>
      <c r="H73" s="390"/>
      <c r="I73" s="299"/>
      <c r="J73" s="191"/>
      <c r="K73" s="191"/>
      <c r="L73" s="191"/>
      <c r="M73" s="191"/>
      <c r="N73" s="270"/>
    </row>
    <row r="74" spans="2:14" ht="32.450000000000003" customHeight="1" x14ac:dyDescent="0.2">
      <c r="B74" s="1004"/>
      <c r="C74" s="15" t="s">
        <v>26</v>
      </c>
      <c r="D74" s="33"/>
      <c r="E74" s="102">
        <f>92.4+13.8</f>
        <v>106.2</v>
      </c>
      <c r="F74" s="102">
        <v>123.9</v>
      </c>
      <c r="G74" s="102">
        <v>123.9</v>
      </c>
      <c r="H74" s="372">
        <v>123.9</v>
      </c>
      <c r="I74" s="299"/>
      <c r="J74" s="191"/>
      <c r="K74" s="191"/>
      <c r="L74" s="191"/>
      <c r="M74" s="191"/>
      <c r="N74" s="270"/>
    </row>
    <row r="75" spans="2:14" ht="20.45" customHeight="1" thickBot="1" x14ac:dyDescent="0.25">
      <c r="B75" s="1005"/>
      <c r="C75" s="542" t="s">
        <v>29</v>
      </c>
      <c r="D75" s="568"/>
      <c r="E75" s="550">
        <f>120-4.2</f>
        <v>115.8</v>
      </c>
      <c r="F75" s="550">
        <v>120</v>
      </c>
      <c r="G75" s="550">
        <v>120</v>
      </c>
      <c r="H75" s="551">
        <v>120</v>
      </c>
      <c r="I75" s="364"/>
      <c r="J75" s="272"/>
      <c r="K75" s="272"/>
      <c r="L75" s="272"/>
      <c r="M75" s="272"/>
      <c r="N75" s="273"/>
    </row>
    <row r="76" spans="2:14" ht="30" customHeight="1" x14ac:dyDescent="0.2">
      <c r="B76" s="569" t="s">
        <v>112</v>
      </c>
      <c r="C76" s="553" t="s">
        <v>113</v>
      </c>
      <c r="D76" s="536"/>
      <c r="E76" s="554"/>
      <c r="F76" s="554"/>
      <c r="G76" s="554"/>
      <c r="H76" s="555"/>
      <c r="I76" s="570"/>
      <c r="J76" s="571"/>
      <c r="K76" s="571"/>
      <c r="L76" s="571"/>
      <c r="M76" s="571"/>
      <c r="N76" s="572"/>
    </row>
    <row r="77" spans="2:14" ht="33.75" customHeight="1" x14ac:dyDescent="0.2">
      <c r="B77" s="1029" t="s">
        <v>114</v>
      </c>
      <c r="C77" s="15" t="s">
        <v>115</v>
      </c>
      <c r="D77" s="1019" t="s">
        <v>116</v>
      </c>
      <c r="E77" s="35"/>
      <c r="F77" s="35"/>
      <c r="G77" s="35"/>
      <c r="H77" s="390"/>
      <c r="I77" s="319" t="s">
        <v>117</v>
      </c>
      <c r="J77" s="207">
        <v>2.5</v>
      </c>
      <c r="K77" s="207">
        <v>2.5</v>
      </c>
      <c r="L77" s="207">
        <v>2.5</v>
      </c>
      <c r="M77" s="207">
        <v>2.5</v>
      </c>
      <c r="N77" s="320"/>
    </row>
    <row r="78" spans="2:14" ht="21" customHeight="1" x14ac:dyDescent="0.2">
      <c r="B78" s="999"/>
      <c r="C78" s="10" t="s">
        <v>29</v>
      </c>
      <c r="D78" s="1019"/>
      <c r="E78" s="32">
        <f>51.9+17.4</f>
        <v>69.3</v>
      </c>
      <c r="F78" s="32">
        <v>51.9</v>
      </c>
      <c r="G78" s="32">
        <v>51.9</v>
      </c>
      <c r="H78" s="312">
        <v>51.9</v>
      </c>
      <c r="I78" s="299"/>
      <c r="J78" s="191"/>
      <c r="K78" s="191"/>
      <c r="L78" s="191"/>
      <c r="M78" s="191"/>
      <c r="N78" s="270"/>
    </row>
    <row r="79" spans="2:14" ht="22.15" customHeight="1" x14ac:dyDescent="0.2">
      <c r="B79" s="391"/>
      <c r="C79" s="13" t="s">
        <v>82</v>
      </c>
      <c r="D79" s="27"/>
      <c r="E79" s="14">
        <f>E81</f>
        <v>69.3</v>
      </c>
      <c r="F79" s="14">
        <f t="shared" ref="F79:H79" si="10">F81</f>
        <v>51.9</v>
      </c>
      <c r="G79" s="14">
        <f t="shared" si="10"/>
        <v>51.9</v>
      </c>
      <c r="H79" s="377">
        <f t="shared" si="10"/>
        <v>51.9</v>
      </c>
      <c r="I79" s="314"/>
      <c r="J79" s="203"/>
      <c r="K79" s="203"/>
      <c r="L79" s="203"/>
      <c r="M79" s="203"/>
      <c r="N79" s="315"/>
    </row>
    <row r="80" spans="2:14" ht="22.15" customHeight="1" x14ac:dyDescent="0.2">
      <c r="B80" s="1109"/>
      <c r="C80" s="15" t="s">
        <v>83</v>
      </c>
      <c r="D80" s="33"/>
      <c r="E80" s="35"/>
      <c r="F80" s="35"/>
      <c r="G80" s="35"/>
      <c r="H80" s="390"/>
      <c r="I80" s="299"/>
      <c r="J80" s="191"/>
      <c r="K80" s="191"/>
      <c r="L80" s="191"/>
      <c r="M80" s="191"/>
      <c r="N80" s="270"/>
    </row>
    <row r="81" spans="2:14" ht="21.6" customHeight="1" thickBot="1" x14ac:dyDescent="0.25">
      <c r="B81" s="996"/>
      <c r="C81" s="542" t="s">
        <v>85</v>
      </c>
      <c r="D81" s="568"/>
      <c r="E81" s="573">
        <f>SUMIF($C77:$C78,$C78,E77:E78)</f>
        <v>69.3</v>
      </c>
      <c r="F81" s="573">
        <f t="shared" ref="F81:H81" si="11">SUMIF($C77:$C78,$C78,F77:F78)</f>
        <v>51.9</v>
      </c>
      <c r="G81" s="573">
        <f t="shared" si="11"/>
        <v>51.9</v>
      </c>
      <c r="H81" s="574">
        <f t="shared" si="11"/>
        <v>51.9</v>
      </c>
      <c r="I81" s="364"/>
      <c r="J81" s="272"/>
      <c r="K81" s="272"/>
      <c r="L81" s="272"/>
      <c r="M81" s="272"/>
      <c r="N81" s="273"/>
    </row>
    <row r="82" spans="2:14" ht="55.5" customHeight="1" x14ac:dyDescent="0.2">
      <c r="B82" s="575" t="s">
        <v>118</v>
      </c>
      <c r="C82" s="576" t="s">
        <v>119</v>
      </c>
      <c r="D82" s="577" t="s">
        <v>103</v>
      </c>
      <c r="E82" s="547"/>
      <c r="F82" s="547"/>
      <c r="G82" s="547"/>
      <c r="H82" s="548"/>
      <c r="I82" s="566" t="s">
        <v>120</v>
      </c>
      <c r="J82" s="549">
        <v>3</v>
      </c>
      <c r="K82" s="549">
        <v>10</v>
      </c>
      <c r="L82" s="549">
        <v>10</v>
      </c>
      <c r="M82" s="549">
        <v>10</v>
      </c>
      <c r="N82" s="541"/>
    </row>
    <row r="83" spans="2:14" ht="22.5" customHeight="1" x14ac:dyDescent="0.2">
      <c r="B83" s="392"/>
      <c r="C83" s="136" t="s">
        <v>82</v>
      </c>
      <c r="D83" s="137"/>
      <c r="E83" s="104">
        <f>E85</f>
        <v>5.8000000000000007</v>
      </c>
      <c r="F83" s="104">
        <f t="shared" ref="F83:H83" si="12">F85</f>
        <v>5</v>
      </c>
      <c r="G83" s="104">
        <f t="shared" si="12"/>
        <v>5</v>
      </c>
      <c r="H83" s="381">
        <f t="shared" si="12"/>
        <v>5</v>
      </c>
      <c r="I83" s="314"/>
      <c r="J83" s="203"/>
      <c r="K83" s="203"/>
      <c r="L83" s="203"/>
      <c r="M83" s="203"/>
      <c r="N83" s="315"/>
    </row>
    <row r="84" spans="2:14" ht="21" customHeight="1" x14ac:dyDescent="0.2">
      <c r="B84" s="393"/>
      <c r="C84" s="72" t="s">
        <v>83</v>
      </c>
      <c r="D84" s="122"/>
      <c r="E84" s="102"/>
      <c r="F84" s="102"/>
      <c r="G84" s="102"/>
      <c r="H84" s="372"/>
      <c r="I84" s="299"/>
      <c r="J84" s="191"/>
      <c r="K84" s="191"/>
      <c r="L84" s="191"/>
      <c r="M84" s="191"/>
      <c r="N84" s="270"/>
    </row>
    <row r="85" spans="2:14" ht="32.450000000000003" customHeight="1" thickBot="1" x14ac:dyDescent="0.25">
      <c r="B85" s="578"/>
      <c r="C85" s="579" t="s">
        <v>26</v>
      </c>
      <c r="D85" s="257"/>
      <c r="E85" s="550">
        <f>16.8-11</f>
        <v>5.8000000000000007</v>
      </c>
      <c r="F85" s="550">
        <v>5</v>
      </c>
      <c r="G85" s="550">
        <v>5</v>
      </c>
      <c r="H85" s="551">
        <v>5</v>
      </c>
      <c r="I85" s="364"/>
      <c r="J85" s="272"/>
      <c r="K85" s="272"/>
      <c r="L85" s="272"/>
      <c r="M85" s="272"/>
      <c r="N85" s="273"/>
    </row>
    <row r="86" spans="2:14" ht="71.45" customHeight="1" x14ac:dyDescent="0.2">
      <c r="B86" s="569" t="s">
        <v>121</v>
      </c>
      <c r="C86" s="546" t="s">
        <v>122</v>
      </c>
      <c r="D86" s="536" t="s">
        <v>66</v>
      </c>
      <c r="E86" s="554"/>
      <c r="F86" s="554"/>
      <c r="G86" s="554"/>
      <c r="H86" s="555"/>
      <c r="I86" s="556" t="s">
        <v>123</v>
      </c>
      <c r="J86" s="580">
        <v>137</v>
      </c>
      <c r="K86" s="580"/>
      <c r="L86" s="580"/>
      <c r="M86" s="928"/>
      <c r="N86" s="541"/>
    </row>
    <row r="87" spans="2:14" ht="55.5" customHeight="1" x14ac:dyDescent="0.2">
      <c r="B87" s="394"/>
      <c r="C87" s="13" t="s">
        <v>82</v>
      </c>
      <c r="D87" s="27"/>
      <c r="E87" s="14">
        <f>E89</f>
        <v>79.100000000000009</v>
      </c>
      <c r="F87" s="14">
        <f>F89</f>
        <v>0</v>
      </c>
      <c r="G87" s="14">
        <f>G89</f>
        <v>0</v>
      </c>
      <c r="H87" s="377">
        <f t="shared" ref="H87" si="13">H89</f>
        <v>0</v>
      </c>
      <c r="I87" s="316" t="s">
        <v>124</v>
      </c>
      <c r="J87" s="208">
        <v>130</v>
      </c>
      <c r="K87" s="208"/>
      <c r="L87" s="208"/>
      <c r="M87" s="929"/>
      <c r="N87" s="317"/>
    </row>
    <row r="88" spans="2:14" ht="19.899999999999999" customHeight="1" x14ac:dyDescent="0.2">
      <c r="B88" s="1107"/>
      <c r="C88" s="15" t="s">
        <v>83</v>
      </c>
      <c r="D88" s="33"/>
      <c r="E88" s="35"/>
      <c r="F88" s="35"/>
      <c r="G88" s="35"/>
      <c r="H88" s="390"/>
      <c r="I88" s="299"/>
      <c r="J88" s="191"/>
      <c r="K88" s="191"/>
      <c r="L88" s="191"/>
      <c r="M88" s="930"/>
      <c r="N88" s="270"/>
    </row>
    <row r="89" spans="2:14" ht="19.899999999999999" customHeight="1" thickBot="1" x14ac:dyDescent="0.25">
      <c r="B89" s="1108"/>
      <c r="C89" s="581" t="s">
        <v>29</v>
      </c>
      <c r="D89" s="185"/>
      <c r="E89" s="76">
        <f>8.8+30.1+21.2+19</f>
        <v>79.100000000000009</v>
      </c>
      <c r="F89" s="76"/>
      <c r="G89" s="76"/>
      <c r="H89" s="582"/>
      <c r="I89" s="354"/>
      <c r="J89" s="244"/>
      <c r="K89" s="244"/>
      <c r="L89" s="244"/>
      <c r="M89" s="931"/>
      <c r="N89" s="273"/>
    </row>
    <row r="90" spans="2:14" ht="40.5" customHeight="1" thickBot="1" x14ac:dyDescent="0.25">
      <c r="B90" s="583" t="s">
        <v>125</v>
      </c>
      <c r="C90" s="584" t="s">
        <v>126</v>
      </c>
      <c r="D90" s="585"/>
      <c r="E90" s="585"/>
      <c r="F90" s="585"/>
      <c r="G90" s="585"/>
      <c r="H90" s="586"/>
      <c r="I90" s="587"/>
      <c r="J90" s="588"/>
      <c r="K90" s="588"/>
      <c r="L90" s="588"/>
      <c r="M90" s="588"/>
      <c r="N90" s="589"/>
    </row>
    <row r="91" spans="2:14" ht="32.25" customHeight="1" x14ac:dyDescent="0.2">
      <c r="B91" s="592"/>
      <c r="C91" s="593"/>
      <c r="D91" s="594"/>
      <c r="E91" s="595"/>
      <c r="F91" s="595"/>
      <c r="G91" s="595"/>
      <c r="H91" s="596"/>
      <c r="I91" s="597" t="s">
        <v>127</v>
      </c>
      <c r="J91" s="598">
        <v>97</v>
      </c>
      <c r="K91" s="598">
        <v>97</v>
      </c>
      <c r="L91" s="598">
        <v>97</v>
      </c>
      <c r="M91" s="598">
        <v>97</v>
      </c>
      <c r="N91" s="599" t="s">
        <v>128</v>
      </c>
    </row>
    <row r="92" spans="2:14" ht="34.5" customHeight="1" x14ac:dyDescent="0.2">
      <c r="B92" s="395"/>
      <c r="C92" s="209"/>
      <c r="D92" s="210"/>
      <c r="E92" s="211"/>
      <c r="F92" s="211"/>
      <c r="G92" s="211"/>
      <c r="H92" s="396"/>
      <c r="I92" s="323" t="s">
        <v>129</v>
      </c>
      <c r="J92" s="212">
        <v>28</v>
      </c>
      <c r="K92" s="212">
        <v>28</v>
      </c>
      <c r="L92" s="212">
        <v>28</v>
      </c>
      <c r="M92" s="212">
        <v>28</v>
      </c>
      <c r="N92" s="322" t="s">
        <v>130</v>
      </c>
    </row>
    <row r="93" spans="2:14" ht="33.75" customHeight="1" x14ac:dyDescent="0.2">
      <c r="B93" s="395"/>
      <c r="C93" s="209"/>
      <c r="D93" s="210"/>
      <c r="E93" s="211"/>
      <c r="F93" s="211"/>
      <c r="G93" s="211"/>
      <c r="H93" s="396"/>
      <c r="I93" s="323" t="s">
        <v>131</v>
      </c>
      <c r="J93" s="212">
        <v>75.5</v>
      </c>
      <c r="K93" s="212">
        <v>75.5</v>
      </c>
      <c r="L93" s="212">
        <v>75.5</v>
      </c>
      <c r="M93" s="212">
        <v>75.5</v>
      </c>
      <c r="N93" s="322"/>
    </row>
    <row r="94" spans="2:14" ht="47.25" customHeight="1" x14ac:dyDescent="0.2">
      <c r="B94" s="395"/>
      <c r="C94" s="209"/>
      <c r="D94" s="210"/>
      <c r="E94" s="211"/>
      <c r="F94" s="211"/>
      <c r="G94" s="211"/>
      <c r="H94" s="396"/>
      <c r="I94" s="321" t="s">
        <v>132</v>
      </c>
      <c r="J94" s="190">
        <v>26</v>
      </c>
      <c r="K94" s="190">
        <v>26</v>
      </c>
      <c r="L94" s="190">
        <v>26</v>
      </c>
      <c r="M94" s="190">
        <v>26</v>
      </c>
      <c r="N94" s="322" t="s">
        <v>133</v>
      </c>
    </row>
    <row r="95" spans="2:14" ht="45" customHeight="1" x14ac:dyDescent="0.2">
      <c r="B95" s="395"/>
      <c r="C95" s="209"/>
      <c r="D95" s="210"/>
      <c r="E95" s="211"/>
      <c r="F95" s="211"/>
      <c r="G95" s="211"/>
      <c r="H95" s="396"/>
      <c r="I95" s="321" t="s">
        <v>134</v>
      </c>
      <c r="J95" s="190">
        <v>24</v>
      </c>
      <c r="K95" s="190">
        <v>24</v>
      </c>
      <c r="L95" s="190">
        <v>24</v>
      </c>
      <c r="M95" s="190">
        <v>24</v>
      </c>
      <c r="N95" s="322" t="s">
        <v>135</v>
      </c>
    </row>
    <row r="96" spans="2:14" ht="45" customHeight="1" thickBot="1" x14ac:dyDescent="0.25">
      <c r="B96" s="600"/>
      <c r="C96" s="601"/>
      <c r="D96" s="602"/>
      <c r="E96" s="602"/>
      <c r="F96" s="602"/>
      <c r="G96" s="602"/>
      <c r="H96" s="603"/>
      <c r="I96" s="604" t="s">
        <v>136</v>
      </c>
      <c r="J96" s="294">
        <v>67</v>
      </c>
      <c r="K96" s="294">
        <v>67</v>
      </c>
      <c r="L96" s="294">
        <v>67</v>
      </c>
      <c r="M96" s="294">
        <v>67</v>
      </c>
      <c r="N96" s="605" t="s">
        <v>137</v>
      </c>
    </row>
    <row r="97" spans="2:14" ht="31.5" customHeight="1" thickBot="1" x14ac:dyDescent="0.25">
      <c r="B97" s="609" t="s">
        <v>138</v>
      </c>
      <c r="C97" s="610" t="s">
        <v>139</v>
      </c>
      <c r="D97" s="611"/>
      <c r="E97" s="612"/>
      <c r="F97" s="612"/>
      <c r="G97" s="612"/>
      <c r="H97" s="613"/>
      <c r="I97" s="614"/>
      <c r="J97" s="615"/>
      <c r="K97" s="615"/>
      <c r="L97" s="615"/>
      <c r="M97" s="615"/>
      <c r="N97" s="616"/>
    </row>
    <row r="98" spans="2:14" ht="24" customHeight="1" x14ac:dyDescent="0.2">
      <c r="B98" s="1094" t="s">
        <v>140</v>
      </c>
      <c r="C98" s="606" t="s">
        <v>141</v>
      </c>
      <c r="D98" s="1123" t="s">
        <v>142</v>
      </c>
      <c r="E98" s="607"/>
      <c r="F98" s="189"/>
      <c r="G98" s="189"/>
      <c r="H98" s="411"/>
      <c r="I98" s="330" t="s">
        <v>143</v>
      </c>
      <c r="J98" s="216" t="s">
        <v>144</v>
      </c>
      <c r="K98" s="216" t="s">
        <v>144</v>
      </c>
      <c r="L98" s="216" t="s">
        <v>144</v>
      </c>
      <c r="M98" s="216" t="s">
        <v>144</v>
      </c>
      <c r="N98" s="608"/>
    </row>
    <row r="99" spans="2:14" ht="30" customHeight="1" x14ac:dyDescent="0.2">
      <c r="B99" s="1094"/>
      <c r="C99" s="151" t="s">
        <v>26</v>
      </c>
      <c r="D99" s="1124"/>
      <c r="E99" s="162">
        <v>1009</v>
      </c>
      <c r="F99" s="63">
        <v>1032.8</v>
      </c>
      <c r="G99" s="63">
        <v>1032.8</v>
      </c>
      <c r="H99" s="397">
        <v>1032.8</v>
      </c>
      <c r="I99" s="299"/>
      <c r="J99" s="191"/>
      <c r="K99" s="191"/>
      <c r="L99" s="191"/>
      <c r="M99" s="191"/>
      <c r="N99" s="270"/>
    </row>
    <row r="100" spans="2:14" ht="21.6" customHeight="1" x14ac:dyDescent="0.2">
      <c r="B100" s="1094"/>
      <c r="C100" s="152" t="s">
        <v>29</v>
      </c>
      <c r="D100" s="1124"/>
      <c r="E100" s="163">
        <v>16.600000000000001</v>
      </c>
      <c r="F100" s="135"/>
      <c r="G100" s="63"/>
      <c r="H100" s="397"/>
      <c r="I100" s="299"/>
      <c r="J100" s="191"/>
      <c r="K100" s="191"/>
      <c r="L100" s="191"/>
      <c r="M100" s="191"/>
      <c r="N100" s="270"/>
    </row>
    <row r="101" spans="2:14" ht="26.25" customHeight="1" x14ac:dyDescent="0.2">
      <c r="B101" s="1094"/>
      <c r="C101" s="153" t="s">
        <v>145</v>
      </c>
      <c r="D101" s="1124"/>
      <c r="E101" s="131">
        <v>612</v>
      </c>
      <c r="F101" s="32">
        <v>789</v>
      </c>
      <c r="G101" s="32">
        <v>800</v>
      </c>
      <c r="H101" s="312">
        <v>850</v>
      </c>
      <c r="I101" s="299"/>
      <c r="J101" s="191"/>
      <c r="K101" s="191"/>
      <c r="L101" s="191"/>
      <c r="M101" s="191"/>
      <c r="N101" s="270"/>
    </row>
    <row r="102" spans="2:14" ht="20.45" customHeight="1" thickBot="1" x14ac:dyDescent="0.25">
      <c r="B102" s="1126"/>
      <c r="C102" s="922" t="s">
        <v>146</v>
      </c>
      <c r="D102" s="1124"/>
      <c r="E102" s="626">
        <v>161.19999999999999</v>
      </c>
      <c r="F102" s="623">
        <v>61.9</v>
      </c>
      <c r="G102" s="623"/>
      <c r="H102" s="624"/>
      <c r="I102" s="364"/>
      <c r="J102" s="272"/>
      <c r="K102" s="272"/>
      <c r="L102" s="272"/>
      <c r="M102" s="272"/>
      <c r="N102" s="273"/>
    </row>
    <row r="103" spans="2:14" ht="79.5" customHeight="1" x14ac:dyDescent="0.2">
      <c r="B103" s="1114" t="s">
        <v>147</v>
      </c>
      <c r="C103" s="672" t="s">
        <v>148</v>
      </c>
      <c r="D103" s="1124"/>
      <c r="E103" s="906"/>
      <c r="F103" s="625"/>
      <c r="G103" s="625"/>
      <c r="H103" s="495"/>
      <c r="I103" s="620" t="s">
        <v>149</v>
      </c>
      <c r="J103" s="621" t="s">
        <v>150</v>
      </c>
      <c r="K103" s="621"/>
      <c r="L103" s="621"/>
      <c r="M103" s="621"/>
      <c r="N103" s="622"/>
    </row>
    <row r="104" spans="2:14" ht="70.5" customHeight="1" x14ac:dyDescent="0.2">
      <c r="B104" s="1122"/>
      <c r="C104" s="154" t="s">
        <v>26</v>
      </c>
      <c r="D104" s="1124"/>
      <c r="E104" s="131">
        <v>84</v>
      </c>
      <c r="F104" s="32">
        <v>4.5999999999999996</v>
      </c>
      <c r="G104" s="6"/>
      <c r="H104" s="252"/>
      <c r="I104" s="324" t="s">
        <v>151</v>
      </c>
      <c r="J104" s="213"/>
      <c r="K104" s="213"/>
      <c r="L104" s="213" t="s">
        <v>152</v>
      </c>
      <c r="M104" s="213"/>
      <c r="N104" s="318"/>
    </row>
    <row r="105" spans="2:14" ht="26.25" customHeight="1" x14ac:dyDescent="0.2">
      <c r="B105" s="1122"/>
      <c r="C105" s="159" t="s">
        <v>153</v>
      </c>
      <c r="D105" s="1124"/>
      <c r="E105" s="131">
        <f>51.1-33.4</f>
        <v>17.700000000000003</v>
      </c>
      <c r="F105" s="131"/>
      <c r="G105" s="6">
        <v>4.4000000000000004</v>
      </c>
      <c r="H105" s="252"/>
      <c r="I105" s="299"/>
      <c r="J105" s="191"/>
      <c r="K105" s="191"/>
      <c r="L105" s="191"/>
      <c r="M105" s="191"/>
      <c r="N105" s="270"/>
    </row>
    <row r="106" spans="2:14" ht="26.25" customHeight="1" thickBot="1" x14ac:dyDescent="0.25">
      <c r="B106" s="1122"/>
      <c r="C106" s="923" t="s">
        <v>68</v>
      </c>
      <c r="D106" s="1125"/>
      <c r="E106" s="924">
        <v>33.4</v>
      </c>
      <c r="F106" s="924">
        <v>76.099999999999994</v>
      </c>
      <c r="G106" s="36">
        <v>1.2</v>
      </c>
      <c r="H106" s="276"/>
      <c r="I106" s="354"/>
      <c r="J106" s="244"/>
      <c r="K106" s="244"/>
      <c r="L106" s="244"/>
      <c r="M106" s="244"/>
      <c r="N106" s="275"/>
    </row>
    <row r="107" spans="2:14" ht="28.5" customHeight="1" x14ac:dyDescent="0.2">
      <c r="B107" s="1015" t="s">
        <v>154</v>
      </c>
      <c r="C107" s="891" t="s">
        <v>155</v>
      </c>
      <c r="D107" s="1018" t="s">
        <v>156</v>
      </c>
      <c r="E107" s="906"/>
      <c r="F107" s="625"/>
      <c r="G107" s="625"/>
      <c r="H107" s="495"/>
      <c r="I107" s="631" t="s">
        <v>157</v>
      </c>
      <c r="J107" s="621" t="s">
        <v>158</v>
      </c>
      <c r="K107" s="621" t="s">
        <v>158</v>
      </c>
      <c r="L107" s="621" t="s">
        <v>158</v>
      </c>
      <c r="M107" s="621" t="s">
        <v>158</v>
      </c>
      <c r="N107" s="632" t="s">
        <v>159</v>
      </c>
    </row>
    <row r="108" spans="2:14" ht="34.5" customHeight="1" x14ac:dyDescent="0.2">
      <c r="B108" s="1016"/>
      <c r="C108" s="48" t="s">
        <v>26</v>
      </c>
      <c r="D108" s="1019"/>
      <c r="E108" s="131">
        <f>2534.3-0.8-0.8</f>
        <v>2532.6999999999998</v>
      </c>
      <c r="F108" s="32">
        <f>2858.9-6-4</f>
        <v>2848.9</v>
      </c>
      <c r="G108" s="32">
        <v>2747.2</v>
      </c>
      <c r="H108" s="312">
        <v>2747.2</v>
      </c>
      <c r="I108" s="326" t="s">
        <v>574</v>
      </c>
      <c r="J108" s="214" t="s">
        <v>160</v>
      </c>
      <c r="K108" s="214" t="s">
        <v>161</v>
      </c>
      <c r="L108" s="214" t="s">
        <v>161</v>
      </c>
      <c r="M108" s="214" t="s">
        <v>161</v>
      </c>
      <c r="N108" s="327" t="s">
        <v>108</v>
      </c>
    </row>
    <row r="109" spans="2:14" ht="33" customHeight="1" x14ac:dyDescent="0.2">
      <c r="B109" s="1016"/>
      <c r="C109" s="130" t="s">
        <v>29</v>
      </c>
      <c r="D109" s="1019"/>
      <c r="E109" s="131">
        <f>119.8+0.8+0.8</f>
        <v>121.39999999999999</v>
      </c>
      <c r="F109" s="32"/>
      <c r="G109" s="6"/>
      <c r="H109" s="252"/>
      <c r="I109" s="328" t="s">
        <v>162</v>
      </c>
      <c r="J109" s="215"/>
      <c r="K109" s="215" t="s">
        <v>163</v>
      </c>
      <c r="L109" s="215" t="s">
        <v>163</v>
      </c>
      <c r="M109" s="215" t="s">
        <v>163</v>
      </c>
      <c r="N109" s="329"/>
    </row>
    <row r="110" spans="2:14" ht="28.5" customHeight="1" x14ac:dyDescent="0.2">
      <c r="B110" s="1016"/>
      <c r="C110" s="161" t="s">
        <v>145</v>
      </c>
      <c r="D110" s="1019"/>
      <c r="E110" s="131">
        <v>160.30000000000001</v>
      </c>
      <c r="F110" s="32">
        <v>166.1</v>
      </c>
      <c r="G110" s="32">
        <v>167</v>
      </c>
      <c r="H110" s="312">
        <v>168</v>
      </c>
      <c r="I110" s="330" t="s">
        <v>164</v>
      </c>
      <c r="J110" s="216" t="s">
        <v>165</v>
      </c>
      <c r="K110" s="216" t="s">
        <v>166</v>
      </c>
      <c r="L110" s="216" t="s">
        <v>167</v>
      </c>
      <c r="M110" s="216" t="s">
        <v>168</v>
      </c>
      <c r="N110" s="331"/>
    </row>
    <row r="111" spans="2:14" ht="33" customHeight="1" x14ac:dyDescent="0.2">
      <c r="B111" s="1016"/>
      <c r="C111" s="161" t="s">
        <v>146</v>
      </c>
      <c r="D111" s="1019"/>
      <c r="E111" s="131">
        <v>19.8</v>
      </c>
      <c r="F111" s="32">
        <v>17</v>
      </c>
      <c r="G111" s="32"/>
      <c r="H111" s="312"/>
      <c r="I111" s="332" t="s">
        <v>575</v>
      </c>
      <c r="J111" s="213" t="s">
        <v>169</v>
      </c>
      <c r="K111" s="213" t="s">
        <v>170</v>
      </c>
      <c r="L111" s="213" t="s">
        <v>171</v>
      </c>
      <c r="M111" s="213" t="s">
        <v>172</v>
      </c>
      <c r="N111" s="325"/>
    </row>
    <row r="112" spans="2:14" ht="30" customHeight="1" x14ac:dyDescent="0.2">
      <c r="B112" s="1016"/>
      <c r="C112" s="161"/>
      <c r="D112" s="1019"/>
      <c r="E112" s="131"/>
      <c r="F112" s="32"/>
      <c r="G112" s="32"/>
      <c r="H112" s="312"/>
      <c r="I112" s="324" t="s">
        <v>173</v>
      </c>
      <c r="J112" s="213"/>
      <c r="K112" s="213" t="s">
        <v>174</v>
      </c>
      <c r="L112" s="213" t="s">
        <v>175</v>
      </c>
      <c r="M112" s="213" t="s">
        <v>176</v>
      </c>
      <c r="N112" s="325"/>
    </row>
    <row r="113" spans="2:14" ht="20.45" customHeight="1" x14ac:dyDescent="0.2">
      <c r="B113" s="1016"/>
      <c r="C113" s="161"/>
      <c r="D113" s="1019"/>
      <c r="E113" s="131"/>
      <c r="F113" s="32"/>
      <c r="G113" s="32"/>
      <c r="H113" s="312"/>
      <c r="I113" s="324" t="s">
        <v>177</v>
      </c>
      <c r="J113" s="213" t="s">
        <v>178</v>
      </c>
      <c r="K113" s="213" t="s">
        <v>178</v>
      </c>
      <c r="L113" s="213" t="s">
        <v>178</v>
      </c>
      <c r="M113" s="213" t="s">
        <v>178</v>
      </c>
      <c r="N113" s="325"/>
    </row>
    <row r="114" spans="2:14" ht="30.75" customHeight="1" x14ac:dyDescent="0.2">
      <c r="B114" s="1016"/>
      <c r="C114" s="161"/>
      <c r="D114" s="1019"/>
      <c r="E114" s="131"/>
      <c r="F114" s="32"/>
      <c r="G114" s="32"/>
      <c r="H114" s="312"/>
      <c r="I114" s="324" t="s">
        <v>179</v>
      </c>
      <c r="J114" s="213" t="s">
        <v>180</v>
      </c>
      <c r="K114" s="213" t="s">
        <v>181</v>
      </c>
      <c r="L114" s="213"/>
      <c r="M114" s="213"/>
      <c r="N114" s="325"/>
    </row>
    <row r="115" spans="2:14" ht="20.45" customHeight="1" x14ac:dyDescent="0.2">
      <c r="B115" s="1016"/>
      <c r="C115" s="161"/>
      <c r="D115" s="1019"/>
      <c r="E115" s="131"/>
      <c r="F115" s="32"/>
      <c r="G115" s="32"/>
      <c r="H115" s="312"/>
      <c r="I115" s="300" t="s">
        <v>182</v>
      </c>
      <c r="J115" s="213" t="s">
        <v>183</v>
      </c>
      <c r="K115" s="213"/>
      <c r="L115" s="213"/>
      <c r="M115" s="213"/>
      <c r="N115" s="325"/>
    </row>
    <row r="116" spans="2:14" ht="20.45" customHeight="1" x14ac:dyDescent="0.2">
      <c r="B116" s="1016"/>
      <c r="C116" s="161"/>
      <c r="D116" s="1019"/>
      <c r="E116" s="131"/>
      <c r="F116" s="32"/>
      <c r="G116" s="32"/>
      <c r="H116" s="312"/>
      <c r="I116" s="300" t="s">
        <v>184</v>
      </c>
      <c r="J116" s="213"/>
      <c r="K116" s="213" t="s">
        <v>152</v>
      </c>
      <c r="L116" s="213"/>
      <c r="M116" s="213"/>
      <c r="N116" s="325"/>
    </row>
    <row r="117" spans="2:14" ht="20.45" customHeight="1" x14ac:dyDescent="0.2">
      <c r="B117" s="1016"/>
      <c r="C117" s="161"/>
      <c r="D117" s="1019"/>
      <c r="E117" s="131"/>
      <c r="F117" s="32"/>
      <c r="G117" s="32"/>
      <c r="H117" s="312"/>
      <c r="I117" s="300" t="s">
        <v>185</v>
      </c>
      <c r="J117" s="213"/>
      <c r="K117" s="217" t="s">
        <v>186</v>
      </c>
      <c r="L117" s="213"/>
      <c r="M117" s="213"/>
      <c r="N117" s="325"/>
    </row>
    <row r="118" spans="2:14" ht="20.45" customHeight="1" thickBot="1" x14ac:dyDescent="0.25">
      <c r="B118" s="1017"/>
      <c r="C118" s="895"/>
      <c r="D118" s="1019"/>
      <c r="E118" s="626"/>
      <c r="F118" s="623"/>
      <c r="G118" s="623"/>
      <c r="H118" s="624"/>
      <c r="I118" s="633" t="s">
        <v>187</v>
      </c>
      <c r="J118" s="634"/>
      <c r="K118" s="635" t="s">
        <v>188</v>
      </c>
      <c r="L118" s="634"/>
      <c r="M118" s="634"/>
      <c r="N118" s="636"/>
    </row>
    <row r="119" spans="2:14" ht="43.5" customHeight="1" x14ac:dyDescent="0.2">
      <c r="B119" s="627" t="s">
        <v>189</v>
      </c>
      <c r="C119" s="891" t="s">
        <v>190</v>
      </c>
      <c r="D119" s="1019"/>
      <c r="E119" s="906"/>
      <c r="F119" s="625"/>
      <c r="G119" s="625"/>
      <c r="H119" s="495"/>
      <c r="I119" s="620" t="s">
        <v>191</v>
      </c>
      <c r="J119" s="637" t="s">
        <v>192</v>
      </c>
      <c r="K119" s="637" t="s">
        <v>193</v>
      </c>
      <c r="L119" s="637" t="s">
        <v>193</v>
      </c>
      <c r="M119" s="637" t="s">
        <v>193</v>
      </c>
      <c r="N119" s="638" t="s">
        <v>159</v>
      </c>
    </row>
    <row r="120" spans="2:14" ht="32.450000000000003" customHeight="1" thickBot="1" x14ac:dyDescent="0.25">
      <c r="B120" s="628"/>
      <c r="C120" s="895" t="s">
        <v>26</v>
      </c>
      <c r="D120" s="1019"/>
      <c r="E120" s="626">
        <f>215.1-100</f>
        <v>115.1</v>
      </c>
      <c r="F120" s="623">
        <v>115</v>
      </c>
      <c r="G120" s="623">
        <v>115</v>
      </c>
      <c r="H120" s="624">
        <v>115</v>
      </c>
      <c r="I120" s="364"/>
      <c r="J120" s="272"/>
      <c r="K120" s="272"/>
      <c r="L120" s="272"/>
      <c r="M120" s="272"/>
      <c r="N120" s="273"/>
    </row>
    <row r="121" spans="2:14" ht="42" customHeight="1" x14ac:dyDescent="0.2">
      <c r="B121" s="1000" t="s">
        <v>194</v>
      </c>
      <c r="C121" s="909" t="s">
        <v>195</v>
      </c>
      <c r="D121" s="1019"/>
      <c r="E121" s="906"/>
      <c r="F121" s="625"/>
      <c r="G121" s="625"/>
      <c r="H121" s="495"/>
      <c r="I121" s="639" t="s">
        <v>196</v>
      </c>
      <c r="J121" s="640" t="s">
        <v>197</v>
      </c>
      <c r="K121" s="637" t="s">
        <v>198</v>
      </c>
      <c r="L121" s="640"/>
      <c r="M121" s="640"/>
      <c r="N121" s="622"/>
    </row>
    <row r="122" spans="2:14" ht="20.45" customHeight="1" thickBot="1" x14ac:dyDescent="0.25">
      <c r="B122" s="1002"/>
      <c r="C122" s="895" t="s">
        <v>68</v>
      </c>
      <c r="D122" s="1020"/>
      <c r="E122" s="697">
        <v>304.39999999999998</v>
      </c>
      <c r="F122" s="506">
        <v>445.6</v>
      </c>
      <c r="G122" s="506"/>
      <c r="H122" s="480"/>
      <c r="I122" s="364"/>
      <c r="J122" s="272"/>
      <c r="K122" s="272"/>
      <c r="L122" s="272"/>
      <c r="M122" s="272"/>
      <c r="N122" s="273"/>
    </row>
    <row r="123" spans="2:14" ht="30" customHeight="1" x14ac:dyDescent="0.2">
      <c r="B123" s="1000" t="s">
        <v>199</v>
      </c>
      <c r="C123" s="641" t="s">
        <v>200</v>
      </c>
      <c r="D123" s="1013" t="s">
        <v>201</v>
      </c>
      <c r="E123" s="625"/>
      <c r="F123" s="625"/>
      <c r="G123" s="625"/>
      <c r="H123" s="495"/>
      <c r="I123" s="639" t="s">
        <v>576</v>
      </c>
      <c r="J123" s="642" t="s">
        <v>163</v>
      </c>
      <c r="K123" s="642" t="s">
        <v>197</v>
      </c>
      <c r="L123" s="642" t="s">
        <v>197</v>
      </c>
      <c r="M123" s="642" t="s">
        <v>197</v>
      </c>
      <c r="N123" s="622"/>
    </row>
    <row r="124" spans="2:14" ht="41.25" customHeight="1" x14ac:dyDescent="0.2">
      <c r="B124" s="1001"/>
      <c r="C124" s="10" t="s">
        <v>26</v>
      </c>
      <c r="D124" s="1014"/>
      <c r="E124" s="32">
        <v>976.5</v>
      </c>
      <c r="F124" s="32">
        <f>982.6+17.6</f>
        <v>1000.2</v>
      </c>
      <c r="G124" s="32">
        <v>982.6</v>
      </c>
      <c r="H124" s="312">
        <v>982.6</v>
      </c>
      <c r="I124" s="333" t="s">
        <v>202</v>
      </c>
      <c r="J124" s="220" t="s">
        <v>163</v>
      </c>
      <c r="K124" s="220" t="s">
        <v>203</v>
      </c>
      <c r="L124" s="220" t="s">
        <v>203</v>
      </c>
      <c r="M124" s="220" t="s">
        <v>203</v>
      </c>
      <c r="N124" s="318" t="s">
        <v>108</v>
      </c>
    </row>
    <row r="125" spans="2:14" ht="34.5" customHeight="1" x14ac:dyDescent="0.2">
      <c r="B125" s="1001"/>
      <c r="C125" s="82" t="s">
        <v>29</v>
      </c>
      <c r="D125" s="1014"/>
      <c r="E125" s="6">
        <v>63</v>
      </c>
      <c r="F125" s="6"/>
      <c r="G125" s="6"/>
      <c r="H125" s="252"/>
      <c r="I125" s="333" t="s">
        <v>204</v>
      </c>
      <c r="J125" s="218"/>
      <c r="K125" s="218" t="s">
        <v>152</v>
      </c>
      <c r="L125" s="220"/>
      <c r="M125" s="220"/>
      <c r="N125" s="318"/>
    </row>
    <row r="126" spans="2:14" ht="29.25" customHeight="1" x14ac:dyDescent="0.2">
      <c r="B126" s="1001"/>
      <c r="C126" s="43" t="s">
        <v>145</v>
      </c>
      <c r="D126" s="1014"/>
      <c r="E126" s="6">
        <v>179.5</v>
      </c>
      <c r="F126" s="32">
        <v>180</v>
      </c>
      <c r="G126" s="32">
        <v>180</v>
      </c>
      <c r="H126" s="312">
        <v>180</v>
      </c>
      <c r="I126" s="333"/>
      <c r="J126" s="218"/>
      <c r="K126" s="218"/>
      <c r="L126" s="220"/>
      <c r="M126" s="220"/>
      <c r="N126" s="318"/>
    </row>
    <row r="127" spans="2:14" ht="20.45" customHeight="1" x14ac:dyDescent="0.2">
      <c r="B127" s="1001"/>
      <c r="C127" s="23" t="s">
        <v>146</v>
      </c>
      <c r="D127" s="1014"/>
      <c r="E127" s="32">
        <v>15.5</v>
      </c>
      <c r="F127" s="6">
        <v>13.7</v>
      </c>
      <c r="G127" s="6"/>
      <c r="H127" s="252"/>
      <c r="I127" s="299"/>
      <c r="J127" s="191"/>
      <c r="K127" s="191"/>
      <c r="L127" s="191"/>
      <c r="M127" s="191"/>
      <c r="N127" s="270"/>
    </row>
    <row r="128" spans="2:14" ht="20.45" customHeight="1" thickBot="1" x14ac:dyDescent="0.25">
      <c r="B128" s="1126"/>
      <c r="C128" s="643" t="s">
        <v>205</v>
      </c>
      <c r="D128" s="1127"/>
      <c r="E128" s="623"/>
      <c r="F128" s="623">
        <v>6.5</v>
      </c>
      <c r="G128" s="500">
        <v>6.5</v>
      </c>
      <c r="H128" s="258">
        <v>6.5</v>
      </c>
      <c r="I128" s="364"/>
      <c r="J128" s="272"/>
      <c r="K128" s="272"/>
      <c r="L128" s="272"/>
      <c r="M128" s="272"/>
      <c r="N128" s="273"/>
    </row>
    <row r="129" spans="2:14" ht="33" customHeight="1" x14ac:dyDescent="0.2">
      <c r="B129" s="1000" t="s">
        <v>206</v>
      </c>
      <c r="C129" s="891" t="s">
        <v>207</v>
      </c>
      <c r="D129" s="1018" t="s">
        <v>208</v>
      </c>
      <c r="E129" s="706"/>
      <c r="F129" s="644"/>
      <c r="G129" s="644"/>
      <c r="H129" s="251"/>
      <c r="I129" s="645" t="s">
        <v>209</v>
      </c>
      <c r="J129" s="642" t="s">
        <v>174</v>
      </c>
      <c r="K129" s="642" t="s">
        <v>174</v>
      </c>
      <c r="L129" s="642" t="s">
        <v>174</v>
      </c>
      <c r="M129" s="642" t="s">
        <v>174</v>
      </c>
      <c r="N129" s="622"/>
    </row>
    <row r="130" spans="2:14" ht="34.5" customHeight="1" x14ac:dyDescent="0.2">
      <c r="B130" s="1001"/>
      <c r="C130" s="48" t="s">
        <v>26</v>
      </c>
      <c r="D130" s="1019"/>
      <c r="E130" s="919">
        <f>1870.8-0.2-0.6</f>
        <v>1870</v>
      </c>
      <c r="F130" s="32">
        <f>2080.9-10.2</f>
        <v>2070.7000000000003</v>
      </c>
      <c r="G130" s="32">
        <v>1905.5</v>
      </c>
      <c r="H130" s="312">
        <v>1905.5</v>
      </c>
      <c r="I130" s="334" t="s">
        <v>210</v>
      </c>
      <c r="J130" s="220" t="s">
        <v>211</v>
      </c>
      <c r="K130" s="220" t="s">
        <v>211</v>
      </c>
      <c r="L130" s="220" t="s">
        <v>181</v>
      </c>
      <c r="M130" s="220" t="s">
        <v>181</v>
      </c>
      <c r="N130" s="318"/>
    </row>
    <row r="131" spans="2:14" ht="32.25" customHeight="1" x14ac:dyDescent="0.2">
      <c r="B131" s="398"/>
      <c r="C131" s="130" t="s">
        <v>29</v>
      </c>
      <c r="D131" s="1019"/>
      <c r="E131" s="919">
        <f>132.8+0.3+0.5</f>
        <v>133.60000000000002</v>
      </c>
      <c r="F131" s="6"/>
      <c r="G131" s="6"/>
      <c r="H131" s="252"/>
      <c r="I131" s="353" t="s">
        <v>577</v>
      </c>
      <c r="J131" s="220" t="s">
        <v>212</v>
      </c>
      <c r="K131" s="218" t="s">
        <v>213</v>
      </c>
      <c r="L131" s="218" t="s">
        <v>213</v>
      </c>
      <c r="M131" s="218" t="s">
        <v>213</v>
      </c>
      <c r="N131" s="318"/>
    </row>
    <row r="132" spans="2:14" ht="29.25" customHeight="1" x14ac:dyDescent="0.2">
      <c r="B132" s="398"/>
      <c r="C132" s="921" t="s">
        <v>205</v>
      </c>
      <c r="D132" s="1019"/>
      <c r="E132" s="919"/>
      <c r="F132" s="6">
        <v>7.2</v>
      </c>
      <c r="G132" s="6">
        <v>7.2</v>
      </c>
      <c r="H132" s="252">
        <v>7.2</v>
      </c>
      <c r="I132" s="302" t="s">
        <v>214</v>
      </c>
      <c r="J132" s="220"/>
      <c r="K132" s="218" t="s">
        <v>215</v>
      </c>
      <c r="L132" s="218" t="s">
        <v>215</v>
      </c>
      <c r="M132" s="218" t="s">
        <v>215</v>
      </c>
      <c r="N132" s="318"/>
    </row>
    <row r="133" spans="2:14" ht="28.5" customHeight="1" x14ac:dyDescent="0.2">
      <c r="B133" s="269"/>
      <c r="C133" s="921"/>
      <c r="D133" s="1019"/>
      <c r="E133" s="919"/>
      <c r="F133" s="6"/>
      <c r="G133" s="6"/>
      <c r="H133" s="252"/>
      <c r="I133" s="300" t="s">
        <v>216</v>
      </c>
      <c r="J133" s="220" t="s">
        <v>217</v>
      </c>
      <c r="K133" s="218" t="s">
        <v>218</v>
      </c>
      <c r="L133" s="218" t="s">
        <v>219</v>
      </c>
      <c r="M133" s="218" t="s">
        <v>219</v>
      </c>
      <c r="N133" s="318"/>
    </row>
    <row r="134" spans="2:14" ht="41.25" customHeight="1" x14ac:dyDescent="0.2">
      <c r="B134" s="269"/>
      <c r="C134" s="921"/>
      <c r="D134" s="1019"/>
      <c r="E134" s="919"/>
      <c r="F134" s="6"/>
      <c r="G134" s="6"/>
      <c r="H134" s="252"/>
      <c r="I134" s="324" t="s">
        <v>220</v>
      </c>
      <c r="J134" s="213" t="s">
        <v>211</v>
      </c>
      <c r="K134" s="217" t="s">
        <v>181</v>
      </c>
      <c r="L134" s="217" t="s">
        <v>181</v>
      </c>
      <c r="M134" s="217" t="s">
        <v>181</v>
      </c>
      <c r="N134" s="318"/>
    </row>
    <row r="135" spans="2:14" ht="42.75" customHeight="1" x14ac:dyDescent="0.2">
      <c r="B135" s="269"/>
      <c r="C135" s="921"/>
      <c r="D135" s="1019"/>
      <c r="E135" s="919"/>
      <c r="F135" s="6"/>
      <c r="G135" s="6"/>
      <c r="H135" s="252"/>
      <c r="I135" s="324" t="s">
        <v>221</v>
      </c>
      <c r="J135" s="213" t="s">
        <v>222</v>
      </c>
      <c r="K135" s="217" t="s">
        <v>215</v>
      </c>
      <c r="L135" s="217" t="s">
        <v>215</v>
      </c>
      <c r="M135" s="217" t="s">
        <v>215</v>
      </c>
      <c r="N135" s="318"/>
    </row>
    <row r="136" spans="2:14" ht="20.25" customHeight="1" x14ac:dyDescent="0.2">
      <c r="B136" s="269"/>
      <c r="C136" s="921"/>
      <c r="D136" s="1019"/>
      <c r="E136" s="919"/>
      <c r="F136" s="6"/>
      <c r="G136" s="6"/>
      <c r="H136" s="252"/>
      <c r="I136" s="324" t="s">
        <v>223</v>
      </c>
      <c r="J136" s="217" t="s">
        <v>224</v>
      </c>
      <c r="K136" s="217" t="s">
        <v>178</v>
      </c>
      <c r="L136" s="217"/>
      <c r="M136" s="217"/>
      <c r="N136" s="318"/>
    </row>
    <row r="137" spans="2:14" ht="21" customHeight="1" x14ac:dyDescent="0.2">
      <c r="B137" s="269"/>
      <c r="C137" s="921"/>
      <c r="D137" s="1019"/>
      <c r="E137" s="919"/>
      <c r="F137" s="6"/>
      <c r="G137" s="6"/>
      <c r="H137" s="252"/>
      <c r="I137" s="324" t="s">
        <v>182</v>
      </c>
      <c r="J137" s="217"/>
      <c r="K137" s="217" t="s">
        <v>225</v>
      </c>
      <c r="L137" s="217"/>
      <c r="M137" s="217"/>
      <c r="N137" s="318"/>
    </row>
    <row r="138" spans="2:14" ht="19.5" customHeight="1" x14ac:dyDescent="0.2">
      <c r="B138" s="269"/>
      <c r="C138" s="921"/>
      <c r="D138" s="1019"/>
      <c r="E138" s="919"/>
      <c r="F138" s="6"/>
      <c r="G138" s="6"/>
      <c r="H138" s="252"/>
      <c r="I138" s="324" t="s">
        <v>187</v>
      </c>
      <c r="J138" s="217"/>
      <c r="K138" s="217" t="s">
        <v>226</v>
      </c>
      <c r="L138" s="217"/>
      <c r="M138" s="217"/>
      <c r="N138" s="318"/>
    </row>
    <row r="139" spans="2:14" ht="20.25" customHeight="1" thickBot="1" x14ac:dyDescent="0.25">
      <c r="B139" s="271"/>
      <c r="C139" s="922"/>
      <c r="D139" s="1019"/>
      <c r="E139" s="920"/>
      <c r="F139" s="500"/>
      <c r="G139" s="500"/>
      <c r="H139" s="258"/>
      <c r="I139" s="646" t="s">
        <v>227</v>
      </c>
      <c r="J139" s="635"/>
      <c r="K139" s="635" t="s">
        <v>228</v>
      </c>
      <c r="L139" s="635"/>
      <c r="M139" s="635"/>
      <c r="N139" s="647"/>
    </row>
    <row r="140" spans="2:14" ht="43.5" customHeight="1" x14ac:dyDescent="0.2">
      <c r="B140" s="1110" t="s">
        <v>229</v>
      </c>
      <c r="C140" s="672" t="s">
        <v>230</v>
      </c>
      <c r="D140" s="1019"/>
      <c r="E140" s="706"/>
      <c r="F140" s="644"/>
      <c r="G140" s="644"/>
      <c r="H140" s="251"/>
      <c r="I140" s="650" t="s">
        <v>231</v>
      </c>
      <c r="J140" s="621" t="s">
        <v>224</v>
      </c>
      <c r="K140" s="621" t="s">
        <v>224</v>
      </c>
      <c r="L140" s="621" t="s">
        <v>224</v>
      </c>
      <c r="M140" s="621" t="s">
        <v>232</v>
      </c>
      <c r="N140" s="622"/>
    </row>
    <row r="141" spans="2:14" ht="32.450000000000003" customHeight="1" x14ac:dyDescent="0.2">
      <c r="B141" s="1001"/>
      <c r="C141" s="164" t="s">
        <v>26</v>
      </c>
      <c r="D141" s="1019"/>
      <c r="E141" s="919">
        <v>106.6</v>
      </c>
      <c r="F141" s="32">
        <v>110.3</v>
      </c>
      <c r="G141" s="32">
        <v>152.19999999999999</v>
      </c>
      <c r="H141" s="312">
        <v>238.6</v>
      </c>
      <c r="I141" s="299"/>
      <c r="J141" s="191"/>
      <c r="K141" s="191"/>
      <c r="L141" s="191"/>
      <c r="M141" s="191"/>
      <c r="N141" s="270"/>
    </row>
    <row r="142" spans="2:14" ht="33" customHeight="1" thickBot="1" x14ac:dyDescent="0.25">
      <c r="B142" s="1001"/>
      <c r="C142" s="165" t="s">
        <v>153</v>
      </c>
      <c r="D142" s="1020"/>
      <c r="E142" s="920">
        <f>117.3+2.5</f>
        <v>119.8</v>
      </c>
      <c r="F142" s="500">
        <v>128.30000000000001</v>
      </c>
      <c r="G142" s="500">
        <v>86.4</v>
      </c>
      <c r="H142" s="258"/>
      <c r="I142" s="364"/>
      <c r="J142" s="272"/>
      <c r="K142" s="272"/>
      <c r="L142" s="272"/>
      <c r="M142" s="272"/>
      <c r="N142" s="273"/>
    </row>
    <row r="143" spans="2:14" ht="22.5" customHeight="1" x14ac:dyDescent="0.2">
      <c r="B143" s="1000" t="s">
        <v>233</v>
      </c>
      <c r="C143" s="472" t="s">
        <v>234</v>
      </c>
      <c r="D143" s="1018" t="s">
        <v>235</v>
      </c>
      <c r="E143" s="644"/>
      <c r="F143" s="644"/>
      <c r="G143" s="644"/>
      <c r="H143" s="251"/>
      <c r="I143" s="648" t="s">
        <v>143</v>
      </c>
      <c r="J143" s="621" t="s">
        <v>236</v>
      </c>
      <c r="K143" s="621" t="s">
        <v>236</v>
      </c>
      <c r="L143" s="621" t="s">
        <v>236</v>
      </c>
      <c r="M143" s="621" t="s">
        <v>236</v>
      </c>
      <c r="N143" s="622"/>
    </row>
    <row r="144" spans="2:14" ht="28.9" customHeight="1" x14ac:dyDescent="0.2">
      <c r="B144" s="1001"/>
      <c r="C144" s="10" t="s">
        <v>26</v>
      </c>
      <c r="D144" s="1019"/>
      <c r="E144" s="6">
        <v>1112.2</v>
      </c>
      <c r="F144" s="32">
        <v>1090.5</v>
      </c>
      <c r="G144" s="32">
        <v>1090.5</v>
      </c>
      <c r="H144" s="312">
        <v>1090.5</v>
      </c>
      <c r="I144" s="324" t="s">
        <v>237</v>
      </c>
      <c r="J144" s="213" t="s">
        <v>186</v>
      </c>
      <c r="K144" s="213" t="s">
        <v>186</v>
      </c>
      <c r="L144" s="213" t="s">
        <v>186</v>
      </c>
      <c r="M144" s="213" t="s">
        <v>186</v>
      </c>
      <c r="N144" s="318"/>
    </row>
    <row r="145" spans="2:14" ht="69.75" customHeight="1" x14ac:dyDescent="0.2">
      <c r="B145" s="1001"/>
      <c r="C145" s="82" t="s">
        <v>29</v>
      </c>
      <c r="D145" s="1019"/>
      <c r="E145" s="6">
        <v>37.299999999999997</v>
      </c>
      <c r="F145" s="32"/>
      <c r="G145" s="32"/>
      <c r="H145" s="312"/>
      <c r="I145" s="324" t="s">
        <v>238</v>
      </c>
      <c r="J145" s="213" t="s">
        <v>186</v>
      </c>
      <c r="K145" s="213" t="s">
        <v>186</v>
      </c>
      <c r="L145" s="213" t="s">
        <v>186</v>
      </c>
      <c r="M145" s="213" t="s">
        <v>186</v>
      </c>
      <c r="N145" s="318"/>
    </row>
    <row r="146" spans="2:14" ht="28.5" customHeight="1" x14ac:dyDescent="0.2">
      <c r="B146" s="1001"/>
      <c r="C146" s="43" t="s">
        <v>145</v>
      </c>
      <c r="D146" s="1019"/>
      <c r="E146" s="6">
        <v>22.6</v>
      </c>
      <c r="F146" s="32">
        <v>27.6</v>
      </c>
      <c r="G146" s="32">
        <v>27.6</v>
      </c>
      <c r="H146" s="312">
        <v>27.6</v>
      </c>
      <c r="I146" s="324" t="s">
        <v>239</v>
      </c>
      <c r="J146" s="213" t="s">
        <v>186</v>
      </c>
      <c r="K146" s="213"/>
      <c r="L146" s="213"/>
      <c r="M146" s="213"/>
      <c r="N146" s="318"/>
    </row>
    <row r="147" spans="2:14" ht="22.5" customHeight="1" thickBot="1" x14ac:dyDescent="0.25">
      <c r="B147" s="1002"/>
      <c r="C147" s="649" t="s">
        <v>146</v>
      </c>
      <c r="D147" s="1020"/>
      <c r="E147" s="623">
        <v>8.3000000000000007</v>
      </c>
      <c r="F147" s="623">
        <v>7</v>
      </c>
      <c r="G147" s="623"/>
      <c r="H147" s="624"/>
      <c r="I147" s="364"/>
      <c r="J147" s="272"/>
      <c r="K147" s="272"/>
      <c r="L147" s="272"/>
      <c r="M147" s="272"/>
      <c r="N147" s="273"/>
    </row>
    <row r="148" spans="2:14" ht="24.75" customHeight="1" x14ac:dyDescent="0.2">
      <c r="B148" s="1000" t="s">
        <v>240</v>
      </c>
      <c r="C148" s="651" t="s">
        <v>241</v>
      </c>
      <c r="D148" s="1013" t="s">
        <v>242</v>
      </c>
      <c r="E148" s="625"/>
      <c r="F148" s="625"/>
      <c r="G148" s="625"/>
      <c r="H148" s="495"/>
      <c r="I148" s="639" t="s">
        <v>243</v>
      </c>
      <c r="J148" s="642" t="s">
        <v>244</v>
      </c>
      <c r="K148" s="642"/>
      <c r="L148" s="642"/>
      <c r="M148" s="642"/>
      <c r="N148" s="622"/>
    </row>
    <row r="149" spans="2:14" ht="57.75" customHeight="1" x14ac:dyDescent="0.2">
      <c r="B149" s="1001"/>
      <c r="C149" s="10" t="s">
        <v>26</v>
      </c>
      <c r="D149" s="1014"/>
      <c r="E149" s="32">
        <f>1651.9+104.4-2.2</f>
        <v>1754.1000000000001</v>
      </c>
      <c r="F149" s="32">
        <v>1795.9</v>
      </c>
      <c r="G149" s="32">
        <v>1793.4</v>
      </c>
      <c r="H149" s="312">
        <v>1793.4</v>
      </c>
      <c r="I149" s="300" t="s">
        <v>245</v>
      </c>
      <c r="J149" s="220"/>
      <c r="K149" s="220" t="s">
        <v>244</v>
      </c>
      <c r="L149" s="220" t="s">
        <v>244</v>
      </c>
      <c r="M149" s="220" t="s">
        <v>244</v>
      </c>
      <c r="N149" s="318"/>
    </row>
    <row r="150" spans="2:14" ht="33" customHeight="1" x14ac:dyDescent="0.2">
      <c r="B150" s="1001"/>
      <c r="C150" s="82" t="s">
        <v>29</v>
      </c>
      <c r="D150" s="1014"/>
      <c r="E150" s="32">
        <f>61.8+1.5+2.1</f>
        <v>65.399999999999991</v>
      </c>
      <c r="F150" s="32"/>
      <c r="G150" s="6"/>
      <c r="H150" s="252"/>
      <c r="I150" s="300" t="s">
        <v>246</v>
      </c>
      <c r="J150" s="220" t="s">
        <v>247</v>
      </c>
      <c r="K150" s="220" t="s">
        <v>178</v>
      </c>
      <c r="L150" s="220" t="s">
        <v>178</v>
      </c>
      <c r="M150" s="220" t="s">
        <v>178</v>
      </c>
      <c r="N150" s="318"/>
    </row>
    <row r="151" spans="2:14" ht="24.75" customHeight="1" x14ac:dyDescent="0.2">
      <c r="B151" s="1001"/>
      <c r="C151" s="43" t="s">
        <v>145</v>
      </c>
      <c r="D151" s="1014"/>
      <c r="E151" s="32">
        <v>101.9</v>
      </c>
      <c r="F151" s="32">
        <v>134</v>
      </c>
      <c r="G151" s="6">
        <v>135</v>
      </c>
      <c r="H151" s="252">
        <v>136</v>
      </c>
      <c r="I151" s="337" t="s">
        <v>248</v>
      </c>
      <c r="J151" s="220" t="s">
        <v>215</v>
      </c>
      <c r="K151" s="220"/>
      <c r="L151" s="220"/>
      <c r="M151" s="220"/>
      <c r="N151" s="318"/>
    </row>
    <row r="152" spans="2:14" ht="20.45" customHeight="1" x14ac:dyDescent="0.2">
      <c r="B152" s="1001"/>
      <c r="C152" s="43" t="s">
        <v>146</v>
      </c>
      <c r="D152" s="1014"/>
      <c r="E152" s="32">
        <v>27.1</v>
      </c>
      <c r="F152" s="32">
        <v>29</v>
      </c>
      <c r="G152" s="6"/>
      <c r="H152" s="252"/>
      <c r="I152" s="300" t="s">
        <v>249</v>
      </c>
      <c r="J152" s="220"/>
      <c r="K152" s="220" t="s">
        <v>152</v>
      </c>
      <c r="L152" s="220"/>
      <c r="M152" s="220"/>
      <c r="N152" s="318"/>
    </row>
    <row r="153" spans="2:14" ht="20.45" customHeight="1" thickBot="1" x14ac:dyDescent="0.25">
      <c r="B153" s="1002"/>
      <c r="C153" s="643" t="s">
        <v>205</v>
      </c>
      <c r="D153" s="1127"/>
      <c r="E153" s="623"/>
      <c r="F153" s="623">
        <v>40</v>
      </c>
      <c r="G153" s="500">
        <v>40</v>
      </c>
      <c r="H153" s="258">
        <v>40</v>
      </c>
      <c r="I153" s="364"/>
      <c r="J153" s="272"/>
      <c r="K153" s="272"/>
      <c r="L153" s="272"/>
      <c r="M153" s="272"/>
      <c r="N153" s="273"/>
    </row>
    <row r="154" spans="2:14" ht="22.5" customHeight="1" x14ac:dyDescent="0.2">
      <c r="B154" s="1000" t="s">
        <v>250</v>
      </c>
      <c r="C154" s="652" t="s">
        <v>251</v>
      </c>
      <c r="D154" s="1018" t="s">
        <v>252</v>
      </c>
      <c r="E154" s="625"/>
      <c r="F154" s="625"/>
      <c r="G154" s="644"/>
      <c r="H154" s="251"/>
      <c r="I154" s="648" t="s">
        <v>253</v>
      </c>
      <c r="J154" s="642" t="s">
        <v>254</v>
      </c>
      <c r="K154" s="642" t="s">
        <v>254</v>
      </c>
      <c r="L154" s="642" t="s">
        <v>254</v>
      </c>
      <c r="M154" s="642" t="s">
        <v>254</v>
      </c>
      <c r="N154" s="622"/>
    </row>
    <row r="155" spans="2:14" ht="28.9" customHeight="1" x14ac:dyDescent="0.2">
      <c r="B155" s="1001"/>
      <c r="C155" s="48" t="s">
        <v>26</v>
      </c>
      <c r="D155" s="1019"/>
      <c r="E155" s="6">
        <v>2137.6999999999998</v>
      </c>
      <c r="F155" s="32">
        <v>2307.8000000000002</v>
      </c>
      <c r="G155" s="32">
        <v>2284.4</v>
      </c>
      <c r="H155" s="312">
        <v>2284.4</v>
      </c>
      <c r="I155" s="338" t="s">
        <v>255</v>
      </c>
      <c r="J155" s="217" t="s">
        <v>224</v>
      </c>
      <c r="K155" s="217"/>
      <c r="L155" s="217"/>
      <c r="M155" s="217"/>
      <c r="N155" s="318"/>
    </row>
    <row r="156" spans="2:14" ht="81" customHeight="1" x14ac:dyDescent="0.2">
      <c r="B156" s="1001"/>
      <c r="C156" s="48" t="s">
        <v>29</v>
      </c>
      <c r="D156" s="1019"/>
      <c r="E156" s="6">
        <v>64.099999999999994</v>
      </c>
      <c r="F156" s="32"/>
      <c r="G156" s="32"/>
      <c r="H156" s="312"/>
      <c r="I156" s="311" t="s">
        <v>256</v>
      </c>
      <c r="J156" s="219" t="s">
        <v>180</v>
      </c>
      <c r="K156" s="219"/>
      <c r="L156" s="219"/>
      <c r="M156" s="219"/>
      <c r="N156" s="318"/>
    </row>
    <row r="157" spans="2:14" ht="45" customHeight="1" x14ac:dyDescent="0.2">
      <c r="B157" s="1001"/>
      <c r="C157" s="48" t="s">
        <v>145</v>
      </c>
      <c r="D157" s="1019"/>
      <c r="E157" s="32">
        <v>0.3</v>
      </c>
      <c r="F157" s="32">
        <v>0.6</v>
      </c>
      <c r="G157" s="32">
        <v>0.6</v>
      </c>
      <c r="H157" s="312">
        <v>0.6</v>
      </c>
      <c r="I157" s="311" t="s">
        <v>257</v>
      </c>
      <c r="J157" s="219" t="s">
        <v>258</v>
      </c>
      <c r="K157" s="219" t="s">
        <v>259</v>
      </c>
      <c r="L157" s="219" t="s">
        <v>259</v>
      </c>
      <c r="M157" s="219" t="s">
        <v>259</v>
      </c>
      <c r="N157" s="318"/>
    </row>
    <row r="158" spans="2:14" ht="67.5" customHeight="1" x14ac:dyDescent="0.2">
      <c r="B158" s="1001"/>
      <c r="C158" s="161" t="s">
        <v>146</v>
      </c>
      <c r="D158" s="1019"/>
      <c r="E158" s="32"/>
      <c r="F158" s="32">
        <v>0.5</v>
      </c>
      <c r="G158" s="32"/>
      <c r="H158" s="312"/>
      <c r="I158" s="336" t="s">
        <v>260</v>
      </c>
      <c r="J158" s="218"/>
      <c r="K158" s="218" t="s">
        <v>181</v>
      </c>
      <c r="L158" s="218" t="s">
        <v>181</v>
      </c>
      <c r="M158" s="218" t="s">
        <v>181</v>
      </c>
      <c r="N158" s="318"/>
    </row>
    <row r="159" spans="2:14" ht="18.75" customHeight="1" x14ac:dyDescent="0.2">
      <c r="B159" s="1001"/>
      <c r="C159" s="221" t="s">
        <v>205</v>
      </c>
      <c r="D159" s="1019"/>
      <c r="E159" s="32"/>
      <c r="F159" s="32">
        <v>284.89999999999998</v>
      </c>
      <c r="G159" s="32">
        <v>284.89999999999998</v>
      </c>
      <c r="H159" s="312">
        <v>284.89999999999998</v>
      </c>
      <c r="I159" s="311" t="s">
        <v>261</v>
      </c>
      <c r="J159" s="218"/>
      <c r="K159" s="218" t="s">
        <v>152</v>
      </c>
      <c r="L159" s="218"/>
      <c r="M159" s="218"/>
      <c r="N159" s="318"/>
    </row>
    <row r="160" spans="2:14" ht="30.75" customHeight="1" thickBot="1" x14ac:dyDescent="0.25">
      <c r="B160" s="1002"/>
      <c r="C160" s="653"/>
      <c r="D160" s="1020"/>
      <c r="E160" s="623"/>
      <c r="F160" s="623"/>
      <c r="G160" s="623"/>
      <c r="H160" s="624"/>
      <c r="I160" s="485" t="s">
        <v>262</v>
      </c>
      <c r="J160" s="654"/>
      <c r="K160" s="654" t="s">
        <v>222</v>
      </c>
      <c r="L160" s="654" t="s">
        <v>183</v>
      </c>
      <c r="M160" s="654" t="s">
        <v>263</v>
      </c>
      <c r="N160" s="647"/>
    </row>
    <row r="161" spans="2:14" ht="32.25" customHeight="1" x14ac:dyDescent="0.2">
      <c r="B161" s="629" t="s">
        <v>264</v>
      </c>
      <c r="C161" s="641" t="s">
        <v>578</v>
      </c>
      <c r="D161" s="1099" t="s">
        <v>265</v>
      </c>
      <c r="E161" s="625"/>
      <c r="F161" s="625"/>
      <c r="G161" s="625"/>
      <c r="H161" s="495"/>
      <c r="I161" s="656" t="s">
        <v>266</v>
      </c>
      <c r="J161" s="657" t="s">
        <v>267</v>
      </c>
      <c r="K161" s="657" t="s">
        <v>267</v>
      </c>
      <c r="L161" s="657" t="s">
        <v>267</v>
      </c>
      <c r="M161" s="657" t="s">
        <v>267</v>
      </c>
      <c r="N161" s="622"/>
    </row>
    <row r="162" spans="2:14" ht="30" customHeight="1" thickBot="1" x14ac:dyDescent="0.25">
      <c r="B162" s="630"/>
      <c r="C162" s="466" t="s">
        <v>26</v>
      </c>
      <c r="D162" s="1020"/>
      <c r="E162" s="658">
        <v>15</v>
      </c>
      <c r="F162" s="658">
        <v>15</v>
      </c>
      <c r="G162" s="658">
        <v>15</v>
      </c>
      <c r="H162" s="659">
        <v>15</v>
      </c>
      <c r="I162" s="364"/>
      <c r="J162" s="272"/>
      <c r="K162" s="272"/>
      <c r="L162" s="272"/>
      <c r="M162" s="272"/>
      <c r="N162" s="273"/>
    </row>
    <row r="163" spans="2:14" ht="20.25" customHeight="1" x14ac:dyDescent="0.2">
      <c r="B163" s="1015" t="s">
        <v>268</v>
      </c>
      <c r="C163" s="472" t="s">
        <v>269</v>
      </c>
      <c r="D163" s="1013" t="s">
        <v>270</v>
      </c>
      <c r="E163" s="625"/>
      <c r="F163" s="625"/>
      <c r="G163" s="625"/>
      <c r="H163" s="495"/>
      <c r="I163" s="484" t="s">
        <v>271</v>
      </c>
      <c r="J163" s="661">
        <v>9</v>
      </c>
      <c r="K163" s="661">
        <v>9</v>
      </c>
      <c r="L163" s="661">
        <v>9</v>
      </c>
      <c r="M163" s="661">
        <v>9</v>
      </c>
      <c r="N163" s="622"/>
    </row>
    <row r="164" spans="2:14" ht="31.9" customHeight="1" x14ac:dyDescent="0.2">
      <c r="B164" s="1016"/>
      <c r="C164" s="10" t="s">
        <v>26</v>
      </c>
      <c r="D164" s="1014"/>
      <c r="E164" s="58">
        <f>402-50-50</f>
        <v>302</v>
      </c>
      <c r="F164" s="58">
        <v>301</v>
      </c>
      <c r="G164" s="58">
        <v>320</v>
      </c>
      <c r="H164" s="367">
        <v>350</v>
      </c>
      <c r="I164" s="311" t="s">
        <v>272</v>
      </c>
      <c r="J164" s="224">
        <v>5</v>
      </c>
      <c r="K164" s="224">
        <v>5</v>
      </c>
      <c r="L164" s="224">
        <v>5</v>
      </c>
      <c r="M164" s="224">
        <v>5</v>
      </c>
      <c r="N164" s="318"/>
    </row>
    <row r="165" spans="2:14" ht="41.25" customHeight="1" x14ac:dyDescent="0.2">
      <c r="B165" s="1016"/>
      <c r="C165" s="10"/>
      <c r="D165" s="222"/>
      <c r="E165" s="58"/>
      <c r="F165" s="58"/>
      <c r="G165" s="58"/>
      <c r="H165" s="367"/>
      <c r="I165" s="302" t="s">
        <v>273</v>
      </c>
      <c r="J165" s="224">
        <v>3</v>
      </c>
      <c r="K165" s="224">
        <v>3</v>
      </c>
      <c r="L165" s="224">
        <v>3</v>
      </c>
      <c r="M165" s="224">
        <v>3</v>
      </c>
      <c r="N165" s="318"/>
    </row>
    <row r="166" spans="2:14" ht="31.9" customHeight="1" thickBot="1" x14ac:dyDescent="0.25">
      <c r="B166" s="1016"/>
      <c r="C166" s="10"/>
      <c r="D166" s="222"/>
      <c r="E166" s="58"/>
      <c r="F166" s="58"/>
      <c r="G166" s="58"/>
      <c r="H166" s="367"/>
      <c r="I166" s="339" t="s">
        <v>274</v>
      </c>
      <c r="J166" s="225">
        <v>7</v>
      </c>
      <c r="K166" s="225">
        <v>7</v>
      </c>
      <c r="L166" s="225">
        <v>7</v>
      </c>
      <c r="M166" s="225">
        <v>7</v>
      </c>
      <c r="N166" s="340"/>
    </row>
    <row r="167" spans="2:14" ht="31.9" customHeight="1" x14ac:dyDescent="0.2">
      <c r="B167" s="1021" t="s">
        <v>275</v>
      </c>
      <c r="C167" s="663" t="s">
        <v>276</v>
      </c>
      <c r="D167" s="1024" t="s">
        <v>277</v>
      </c>
      <c r="E167" s="664"/>
      <c r="F167" s="664"/>
      <c r="G167" s="664"/>
      <c r="H167" s="665"/>
      <c r="I167" s="620" t="s">
        <v>278</v>
      </c>
      <c r="J167" s="512">
        <v>40</v>
      </c>
      <c r="K167" s="666">
        <v>24</v>
      </c>
      <c r="L167" s="666">
        <v>31</v>
      </c>
      <c r="M167" s="666">
        <v>25</v>
      </c>
      <c r="N167" s="622"/>
    </row>
    <row r="168" spans="2:14" ht="31.9" customHeight="1" x14ac:dyDescent="0.2">
      <c r="B168" s="1022"/>
      <c r="C168" s="54" t="s">
        <v>26</v>
      </c>
      <c r="D168" s="1025"/>
      <c r="E168" s="59">
        <v>53.6</v>
      </c>
      <c r="F168" s="58">
        <v>45</v>
      </c>
      <c r="G168" s="58">
        <v>47.7</v>
      </c>
      <c r="H168" s="367">
        <v>39.6</v>
      </c>
      <c r="I168" s="341" t="s">
        <v>279</v>
      </c>
      <c r="J168" s="227"/>
      <c r="K168" s="228">
        <v>10</v>
      </c>
      <c r="L168" s="228">
        <v>10</v>
      </c>
      <c r="M168" s="228"/>
      <c r="N168" s="318"/>
    </row>
    <row r="169" spans="2:14" ht="21" customHeight="1" x14ac:dyDescent="0.2">
      <c r="B169" s="1022"/>
      <c r="C169" s="54"/>
      <c r="D169" s="1025"/>
      <c r="E169" s="59"/>
      <c r="F169" s="58"/>
      <c r="G169" s="58"/>
      <c r="H169" s="367"/>
      <c r="I169" s="341" t="s">
        <v>280</v>
      </c>
      <c r="J169" s="227"/>
      <c r="K169" s="228">
        <v>9</v>
      </c>
      <c r="L169" s="228">
        <v>1</v>
      </c>
      <c r="M169" s="228">
        <v>2</v>
      </c>
      <c r="N169" s="318"/>
    </row>
    <row r="170" spans="2:14" ht="22.5" customHeight="1" thickBot="1" x14ac:dyDescent="0.25">
      <c r="B170" s="1023"/>
      <c r="C170" s="667"/>
      <c r="D170" s="1026"/>
      <c r="E170" s="506"/>
      <c r="F170" s="479"/>
      <c r="G170" s="479"/>
      <c r="H170" s="480"/>
      <c r="I170" s="646" t="s">
        <v>281</v>
      </c>
      <c r="J170" s="668">
        <v>100</v>
      </c>
      <c r="K170" s="669">
        <v>125</v>
      </c>
      <c r="L170" s="669">
        <v>125</v>
      </c>
      <c r="M170" s="669">
        <v>125</v>
      </c>
      <c r="N170" s="647"/>
    </row>
    <row r="171" spans="2:14" ht="31.9" customHeight="1" x14ac:dyDescent="0.2">
      <c r="B171" s="508" t="s">
        <v>282</v>
      </c>
      <c r="C171" s="672" t="s">
        <v>283</v>
      </c>
      <c r="D171" s="1104" t="s">
        <v>284</v>
      </c>
      <c r="E171" s="664"/>
      <c r="F171" s="664"/>
      <c r="G171" s="664"/>
      <c r="H171" s="665"/>
      <c r="I171" s="673" t="s">
        <v>285</v>
      </c>
      <c r="J171" s="512">
        <v>2</v>
      </c>
      <c r="K171" s="512"/>
      <c r="L171" s="512"/>
      <c r="M171" s="512"/>
      <c r="N171" s="622"/>
    </row>
    <row r="172" spans="2:14" ht="31.5" customHeight="1" x14ac:dyDescent="0.2">
      <c r="B172" s="400"/>
      <c r="C172" s="139" t="s">
        <v>26</v>
      </c>
      <c r="D172" s="1105"/>
      <c r="E172" s="59">
        <f>144.5-57.4</f>
        <v>87.1</v>
      </c>
      <c r="F172" s="58">
        <v>102.1</v>
      </c>
      <c r="G172" s="58">
        <v>102.1</v>
      </c>
      <c r="H172" s="367">
        <v>102.1</v>
      </c>
      <c r="I172" s="342" t="s">
        <v>286</v>
      </c>
      <c r="J172" s="227">
        <v>24</v>
      </c>
      <c r="K172" s="227">
        <v>26</v>
      </c>
      <c r="L172" s="227">
        <v>26</v>
      </c>
      <c r="M172" s="227">
        <v>26</v>
      </c>
      <c r="N172" s="318"/>
    </row>
    <row r="173" spans="2:14" ht="30.75" customHeight="1" x14ac:dyDescent="0.2">
      <c r="B173" s="400"/>
      <c r="C173" s="139"/>
      <c r="D173" s="1105"/>
      <c r="E173" s="59"/>
      <c r="F173" s="58"/>
      <c r="G173" s="58"/>
      <c r="H173" s="367"/>
      <c r="I173" s="342" t="s">
        <v>287</v>
      </c>
      <c r="J173" s="227">
        <v>1</v>
      </c>
      <c r="K173" s="227"/>
      <c r="L173" s="227"/>
      <c r="M173" s="227"/>
      <c r="N173" s="318"/>
    </row>
    <row r="174" spans="2:14" ht="31.5" customHeight="1" x14ac:dyDescent="0.2">
      <c r="B174" s="400"/>
      <c r="C174" s="139"/>
      <c r="D174" s="1105"/>
      <c r="E174" s="59"/>
      <c r="F174" s="58"/>
      <c r="G174" s="58"/>
      <c r="H174" s="367"/>
      <c r="I174" s="342" t="s">
        <v>288</v>
      </c>
      <c r="J174" s="227">
        <v>11</v>
      </c>
      <c r="K174" s="227">
        <v>11</v>
      </c>
      <c r="L174" s="227">
        <v>11</v>
      </c>
      <c r="M174" s="227">
        <v>11</v>
      </c>
      <c r="N174" s="318"/>
    </row>
    <row r="175" spans="2:14" ht="32.25" customHeight="1" x14ac:dyDescent="0.2">
      <c r="B175" s="400"/>
      <c r="C175" s="139"/>
      <c r="D175" s="1105"/>
      <c r="E175" s="59"/>
      <c r="F175" s="58"/>
      <c r="G175" s="58"/>
      <c r="H175" s="367"/>
      <c r="I175" s="342" t="s">
        <v>289</v>
      </c>
      <c r="J175" s="227">
        <v>23</v>
      </c>
      <c r="K175" s="227">
        <v>23</v>
      </c>
      <c r="L175" s="227">
        <v>23</v>
      </c>
      <c r="M175" s="227">
        <v>23</v>
      </c>
      <c r="N175" s="318"/>
    </row>
    <row r="176" spans="2:14" ht="39" customHeight="1" x14ac:dyDescent="0.2">
      <c r="B176" s="400"/>
      <c r="C176" s="139"/>
      <c r="D176" s="1105"/>
      <c r="E176" s="59"/>
      <c r="F176" s="58"/>
      <c r="G176" s="58"/>
      <c r="H176" s="367"/>
      <c r="I176" s="343" t="s">
        <v>290</v>
      </c>
      <c r="J176" s="227">
        <v>11</v>
      </c>
      <c r="K176" s="227">
        <v>18</v>
      </c>
      <c r="L176" s="227">
        <v>18</v>
      </c>
      <c r="M176" s="227">
        <v>18</v>
      </c>
      <c r="N176" s="318"/>
    </row>
    <row r="177" spans="2:14" ht="40.5" customHeight="1" x14ac:dyDescent="0.2">
      <c r="B177" s="400"/>
      <c r="C177" s="139"/>
      <c r="D177" s="1105"/>
      <c r="E177" s="59"/>
      <c r="F177" s="58"/>
      <c r="G177" s="58"/>
      <c r="H177" s="367"/>
      <c r="I177" s="343" t="s">
        <v>291</v>
      </c>
      <c r="J177" s="227">
        <v>2</v>
      </c>
      <c r="K177" s="227"/>
      <c r="L177" s="227"/>
      <c r="M177" s="227"/>
      <c r="N177" s="318"/>
    </row>
    <row r="178" spans="2:14" ht="39.75" customHeight="1" thickBot="1" x14ac:dyDescent="0.25">
      <c r="B178" s="674"/>
      <c r="C178" s="675"/>
      <c r="D178" s="1106"/>
      <c r="E178" s="506"/>
      <c r="F178" s="479"/>
      <c r="G178" s="479"/>
      <c r="H178" s="480"/>
      <c r="I178" s="676" t="s">
        <v>292</v>
      </c>
      <c r="J178" s="668">
        <v>59</v>
      </c>
      <c r="K178" s="668">
        <v>59</v>
      </c>
      <c r="L178" s="668">
        <v>59</v>
      </c>
      <c r="M178" s="668">
        <v>59</v>
      </c>
      <c r="N178" s="647"/>
    </row>
    <row r="179" spans="2:14" ht="21.6" customHeight="1" x14ac:dyDescent="0.2">
      <c r="B179" s="677"/>
      <c r="C179" s="523" t="s">
        <v>82</v>
      </c>
      <c r="D179" s="678"/>
      <c r="E179" s="679">
        <f>SUM(E181:E185)</f>
        <v>14102.999999999998</v>
      </c>
      <c r="F179" s="679">
        <f t="shared" ref="F179:H179" si="14">SUM(F181:F185)</f>
        <v>14394.5</v>
      </c>
      <c r="G179" s="679">
        <f t="shared" si="14"/>
        <v>13989.400000000001</v>
      </c>
      <c r="H179" s="680">
        <f t="shared" si="14"/>
        <v>14058.900000000001</v>
      </c>
      <c r="I179" s="527"/>
      <c r="J179" s="528"/>
      <c r="K179" s="528"/>
      <c r="L179" s="528"/>
      <c r="M179" s="528"/>
      <c r="N179" s="529"/>
    </row>
    <row r="180" spans="2:14" ht="15.6" customHeight="1" x14ac:dyDescent="0.2">
      <c r="B180" s="1093"/>
      <c r="C180" s="16" t="s">
        <v>83</v>
      </c>
      <c r="D180" s="28"/>
      <c r="E180" s="5"/>
      <c r="F180" s="5"/>
      <c r="G180" s="5"/>
      <c r="H180" s="401"/>
      <c r="I180" s="299"/>
      <c r="J180" s="191"/>
      <c r="K180" s="191"/>
      <c r="L180" s="191"/>
      <c r="M180" s="191"/>
      <c r="N180" s="270"/>
    </row>
    <row r="181" spans="2:14" ht="29.45" customHeight="1" x14ac:dyDescent="0.2">
      <c r="B181" s="963"/>
      <c r="C181" s="15" t="s">
        <v>84</v>
      </c>
      <c r="D181" s="22"/>
      <c r="E181" s="177">
        <f>SUMIF($C98:$C172,$C99,E98:E172)</f>
        <v>12155.599999999999</v>
      </c>
      <c r="F181" s="177">
        <f>SUMIF($C98:$C172,$C99,F98:F172)</f>
        <v>12839.800000000001</v>
      </c>
      <c r="G181" s="177">
        <f>SUMIF($C98:$C172,$C99,G98:G172)</f>
        <v>12588.400000000001</v>
      </c>
      <c r="H181" s="402">
        <f>SUMIF($C98:$C172,$C99,H98:H172)</f>
        <v>12696.7</v>
      </c>
      <c r="I181" s="299"/>
      <c r="J181" s="191"/>
      <c r="K181" s="191"/>
      <c r="L181" s="191"/>
      <c r="M181" s="191"/>
      <c r="N181" s="270"/>
    </row>
    <row r="182" spans="2:14" ht="18.600000000000001" customHeight="1" x14ac:dyDescent="0.2">
      <c r="B182" s="963"/>
      <c r="C182" s="15" t="s">
        <v>85</v>
      </c>
      <c r="D182" s="22"/>
      <c r="E182" s="56">
        <f>SUMIF($C98:$C172,$C156,E98:E172)</f>
        <v>501.4</v>
      </c>
      <c r="F182" s="56">
        <f>SUMIF($C98:$C172,$C156,F98:F172)</f>
        <v>0</v>
      </c>
      <c r="G182" s="56">
        <f>SUMIF($C98:$C172,$C156,G98:G172)</f>
        <v>0</v>
      </c>
      <c r="H182" s="375">
        <f>SUMIF($C98:$C172,$C156,H98:H172)</f>
        <v>0</v>
      </c>
      <c r="I182" s="299"/>
      <c r="J182" s="191"/>
      <c r="K182" s="191"/>
      <c r="L182" s="191"/>
      <c r="M182" s="191"/>
      <c r="N182" s="270"/>
    </row>
    <row r="183" spans="2:14" ht="19.899999999999999" customHeight="1" x14ac:dyDescent="0.2">
      <c r="B183" s="963"/>
      <c r="C183" s="17" t="s">
        <v>293</v>
      </c>
      <c r="D183" s="22"/>
      <c r="E183" s="188">
        <f>SUMIF($C98:$C172,$C101,E98:E172)</f>
        <v>1076.5999999999999</v>
      </c>
      <c r="F183" s="188">
        <f>SUMIF($C98:$C172,$C101,F98:F172)</f>
        <v>1297.2999999999997</v>
      </c>
      <c r="G183" s="188">
        <f>SUMIF($C98:$C172,$C101,G98:G172)</f>
        <v>1310.1999999999998</v>
      </c>
      <c r="H183" s="348">
        <f>SUMIF($C98:$C172,$C101,H98:H172)</f>
        <v>1362.1999999999998</v>
      </c>
      <c r="I183" s="299"/>
      <c r="J183" s="191"/>
      <c r="K183" s="191"/>
      <c r="L183" s="191"/>
      <c r="M183" s="191"/>
      <c r="N183" s="270"/>
    </row>
    <row r="184" spans="2:14" ht="29.45" customHeight="1" x14ac:dyDescent="0.2">
      <c r="B184" s="963"/>
      <c r="C184" s="15" t="s">
        <v>294</v>
      </c>
      <c r="D184" s="118"/>
      <c r="E184" s="117">
        <f>SUMIF($C98:$C172,$C142,E98:E172)</f>
        <v>137.5</v>
      </c>
      <c r="F184" s="117">
        <f>SUMIF($C98:$C172,$C142,F98:F172)</f>
        <v>128.30000000000001</v>
      </c>
      <c r="G184" s="117">
        <f>SUMIF($C98:$C172,$C142,G98:G172)</f>
        <v>90.800000000000011</v>
      </c>
      <c r="H184" s="403">
        <f>SUMIF($C98:$C172,$C142,H98:H172)</f>
        <v>0</v>
      </c>
      <c r="I184" s="299"/>
      <c r="J184" s="191"/>
      <c r="K184" s="191"/>
      <c r="L184" s="191"/>
      <c r="M184" s="191"/>
      <c r="N184" s="270"/>
    </row>
    <row r="185" spans="2:14" ht="18.600000000000001" customHeight="1" x14ac:dyDescent="0.2">
      <c r="B185" s="1100"/>
      <c r="C185" s="17" t="s">
        <v>295</v>
      </c>
      <c r="D185" s="118"/>
      <c r="E185" s="150">
        <f>SUMIF($C98:$C172,$C102,E98:E172)</f>
        <v>231.9</v>
      </c>
      <c r="F185" s="150">
        <f>SUMIF($C98:$C172,$C102,F98:F172)</f>
        <v>129.10000000000002</v>
      </c>
      <c r="G185" s="150">
        <f>SUMIF($C98:$C172,$C102,G98:G172)</f>
        <v>0</v>
      </c>
      <c r="H185" s="404">
        <f>SUMIF($C98:$C172,$C102,H98:H172)</f>
        <v>0</v>
      </c>
      <c r="I185" s="299"/>
      <c r="J185" s="191"/>
      <c r="K185" s="191"/>
      <c r="L185" s="191"/>
      <c r="M185" s="191"/>
      <c r="N185" s="270"/>
    </row>
    <row r="186" spans="2:14" ht="18.600000000000001" customHeight="1" x14ac:dyDescent="0.2">
      <c r="B186" s="405"/>
      <c r="C186" s="12" t="s">
        <v>86</v>
      </c>
      <c r="D186" s="26"/>
      <c r="E186" s="57">
        <f>E188</f>
        <v>337.79999999999995</v>
      </c>
      <c r="F186" s="57">
        <f>F188+F189</f>
        <v>860.3</v>
      </c>
      <c r="G186" s="57">
        <f t="shared" ref="G186:H186" si="15">G188+G189</f>
        <v>339.79999999999995</v>
      </c>
      <c r="H186" s="374">
        <f t="shared" si="15"/>
        <v>338.59999999999997</v>
      </c>
      <c r="I186" s="314"/>
      <c r="J186" s="203"/>
      <c r="K186" s="203"/>
      <c r="L186" s="203"/>
      <c r="M186" s="203"/>
      <c r="N186" s="315"/>
    </row>
    <row r="187" spans="2:14" ht="18.600000000000001" customHeight="1" x14ac:dyDescent="0.2">
      <c r="B187" s="1101"/>
      <c r="C187" s="17" t="s">
        <v>87</v>
      </c>
      <c r="D187" s="44"/>
      <c r="E187" s="189"/>
      <c r="F187" s="189"/>
      <c r="G187" s="35"/>
      <c r="H187" s="390"/>
      <c r="I187" s="299"/>
      <c r="J187" s="191"/>
      <c r="K187" s="191"/>
      <c r="L187" s="191"/>
      <c r="M187" s="191"/>
      <c r="N187" s="270"/>
    </row>
    <row r="188" spans="2:14" ht="18.600000000000001" customHeight="1" x14ac:dyDescent="0.2">
      <c r="B188" s="1102"/>
      <c r="C188" s="17" t="s">
        <v>88</v>
      </c>
      <c r="D188" s="44"/>
      <c r="E188" s="35">
        <f>SUMIF($C98:$C172,$C122,E98:E172)</f>
        <v>337.79999999999995</v>
      </c>
      <c r="F188" s="35">
        <f>SUMIF($C98:$C172,$C122,F98:F172)</f>
        <v>521.70000000000005</v>
      </c>
      <c r="G188" s="35">
        <f>SUMIF($C98:$C172,$C122,G98:G172)</f>
        <v>1.2</v>
      </c>
      <c r="H188" s="390">
        <f>SUMIF($C98:$C172,$C122,H98:H172)</f>
        <v>0</v>
      </c>
      <c r="I188" s="299"/>
      <c r="J188" s="191"/>
      <c r="K188" s="191"/>
      <c r="L188" s="191"/>
      <c r="M188" s="191"/>
      <c r="N188" s="270"/>
    </row>
    <row r="189" spans="2:14" ht="18.600000000000001" customHeight="1" thickBot="1" x14ac:dyDescent="0.25">
      <c r="B189" s="1103"/>
      <c r="C189" s="681" t="s">
        <v>296</v>
      </c>
      <c r="D189" s="682"/>
      <c r="E189" s="573">
        <f>SUMIF($C98:$C172,$C159,E98:E172)</f>
        <v>0</v>
      </c>
      <c r="F189" s="573">
        <f>SUMIF($C98:$C172,$C159,F98:F172)</f>
        <v>338.59999999999997</v>
      </c>
      <c r="G189" s="573">
        <f>SUMIF($C98:$C172,$C159,G98:G172)</f>
        <v>338.59999999999997</v>
      </c>
      <c r="H189" s="574">
        <f>SUMIF($C98:$C172,$C159,H98:H172)</f>
        <v>338.59999999999997</v>
      </c>
      <c r="I189" s="364"/>
      <c r="J189" s="272"/>
      <c r="K189" s="272"/>
      <c r="L189" s="272"/>
      <c r="M189" s="272"/>
      <c r="N189" s="273"/>
    </row>
    <row r="190" spans="2:14" ht="32.450000000000003" customHeight="1" thickBot="1" x14ac:dyDescent="0.25">
      <c r="B190" s="609" t="s">
        <v>297</v>
      </c>
      <c r="C190" s="610" t="s">
        <v>298</v>
      </c>
      <c r="D190" s="611"/>
      <c r="E190" s="612"/>
      <c r="F190" s="612"/>
      <c r="G190" s="612"/>
      <c r="H190" s="613"/>
      <c r="I190" s="614"/>
      <c r="J190" s="615"/>
      <c r="K190" s="615"/>
      <c r="L190" s="615"/>
      <c r="M190" s="615"/>
      <c r="N190" s="616"/>
    </row>
    <row r="191" spans="2:14" ht="44.25" customHeight="1" x14ac:dyDescent="0.2">
      <c r="B191" s="627" t="s">
        <v>299</v>
      </c>
      <c r="C191" s="652" t="s">
        <v>300</v>
      </c>
      <c r="D191" s="1018" t="s">
        <v>103</v>
      </c>
      <c r="E191" s="694"/>
      <c r="F191" s="618"/>
      <c r="G191" s="618"/>
      <c r="H191" s="619"/>
      <c r="I191" s="684" t="s">
        <v>301</v>
      </c>
      <c r="J191" s="621" t="s">
        <v>302</v>
      </c>
      <c r="K191" s="621" t="s">
        <v>165</v>
      </c>
      <c r="L191" s="621" t="s">
        <v>165</v>
      </c>
      <c r="M191" s="685" t="s">
        <v>165</v>
      </c>
      <c r="N191" s="622"/>
    </row>
    <row r="192" spans="2:14" ht="30.6" customHeight="1" thickBot="1" x14ac:dyDescent="0.25">
      <c r="B192" s="628"/>
      <c r="C192" s="493" t="s">
        <v>26</v>
      </c>
      <c r="D192" s="1019"/>
      <c r="E192" s="695">
        <f>1559+13.8</f>
        <v>1572.8</v>
      </c>
      <c r="F192" s="479">
        <v>1761.4</v>
      </c>
      <c r="G192" s="479">
        <v>1761.4</v>
      </c>
      <c r="H192" s="480">
        <v>1761.4</v>
      </c>
      <c r="I192" s="364"/>
      <c r="J192" s="272"/>
      <c r="K192" s="272"/>
      <c r="L192" s="272"/>
      <c r="M192" s="272"/>
      <c r="N192" s="273"/>
    </row>
    <row r="193" spans="2:14" ht="33" customHeight="1" x14ac:dyDescent="0.2">
      <c r="B193" s="962" t="s">
        <v>303</v>
      </c>
      <c r="C193" s="492" t="s">
        <v>304</v>
      </c>
      <c r="D193" s="1019"/>
      <c r="E193" s="696"/>
      <c r="F193" s="490"/>
      <c r="G193" s="490"/>
      <c r="H193" s="491"/>
      <c r="I193" s="687" t="s">
        <v>305</v>
      </c>
      <c r="J193" s="688">
        <v>2</v>
      </c>
      <c r="K193" s="688">
        <v>2</v>
      </c>
      <c r="L193" s="688">
        <v>2</v>
      </c>
      <c r="M193" s="688">
        <v>2</v>
      </c>
      <c r="N193" s="251" t="s">
        <v>306</v>
      </c>
    </row>
    <row r="194" spans="2:14" ht="30" customHeight="1" thickBot="1" x14ac:dyDescent="0.25">
      <c r="B194" s="964"/>
      <c r="C194" s="493" t="s">
        <v>26</v>
      </c>
      <c r="D194" s="1019"/>
      <c r="E194" s="697">
        <f>77.6-47.6-13.8</f>
        <v>16.199999999999992</v>
      </c>
      <c r="F194" s="479">
        <v>72.3</v>
      </c>
      <c r="G194" s="479">
        <v>72.3</v>
      </c>
      <c r="H194" s="480">
        <v>72.3</v>
      </c>
      <c r="I194" s="364"/>
      <c r="J194" s="272"/>
      <c r="K194" s="272"/>
      <c r="L194" s="272"/>
      <c r="M194" s="272"/>
      <c r="N194" s="273"/>
    </row>
    <row r="195" spans="2:14" ht="33" customHeight="1" x14ac:dyDescent="0.2">
      <c r="B195" s="999" t="s">
        <v>307</v>
      </c>
      <c r="C195" s="692" t="s">
        <v>308</v>
      </c>
      <c r="D195" s="1019"/>
      <c r="E195" s="698"/>
      <c r="F195" s="182"/>
      <c r="G195" s="182"/>
      <c r="H195" s="660"/>
      <c r="I195" s="686" t="s">
        <v>309</v>
      </c>
      <c r="J195" s="683">
        <v>3</v>
      </c>
      <c r="K195" s="683">
        <v>2</v>
      </c>
      <c r="L195" s="683">
        <v>2</v>
      </c>
      <c r="M195" s="683">
        <v>2</v>
      </c>
      <c r="N195" s="264"/>
    </row>
    <row r="196" spans="2:14" ht="30" customHeight="1" thickBot="1" x14ac:dyDescent="0.25">
      <c r="B196" s="999"/>
      <c r="C196" s="693" t="s">
        <v>26</v>
      </c>
      <c r="D196" s="1020"/>
      <c r="E196" s="699">
        <f>62.3+1.2</f>
        <v>63.5</v>
      </c>
      <c r="F196" s="199">
        <v>54.2</v>
      </c>
      <c r="G196" s="199">
        <v>54.2</v>
      </c>
      <c r="H196" s="689">
        <v>54.2</v>
      </c>
      <c r="I196" s="354"/>
      <c r="J196" s="244"/>
      <c r="K196" s="244"/>
      <c r="L196" s="244"/>
      <c r="M196" s="244"/>
      <c r="N196" s="275"/>
    </row>
    <row r="197" spans="2:14" ht="19.899999999999999" customHeight="1" x14ac:dyDescent="0.2">
      <c r="B197" s="522"/>
      <c r="C197" s="523" t="s">
        <v>82</v>
      </c>
      <c r="D197" s="524"/>
      <c r="E197" s="679">
        <f>SUM(E192:E196)</f>
        <v>1652.5</v>
      </c>
      <c r="F197" s="679">
        <f t="shared" ref="F197:H197" si="16">SUM(F192:F196)</f>
        <v>1887.9</v>
      </c>
      <c r="G197" s="679">
        <f t="shared" si="16"/>
        <v>1887.9</v>
      </c>
      <c r="H197" s="680">
        <f t="shared" si="16"/>
        <v>1887.9</v>
      </c>
      <c r="I197" s="527"/>
      <c r="J197" s="528"/>
      <c r="K197" s="528"/>
      <c r="L197" s="528"/>
      <c r="M197" s="528"/>
      <c r="N197" s="529"/>
    </row>
    <row r="198" spans="2:14" ht="18" customHeight="1" x14ac:dyDescent="0.2">
      <c r="B198" s="406"/>
      <c r="C198" s="16" t="s">
        <v>83</v>
      </c>
      <c r="D198" s="187"/>
      <c r="E198" s="35"/>
      <c r="F198" s="35"/>
      <c r="G198" s="35"/>
      <c r="H198" s="390"/>
      <c r="I198" s="299"/>
      <c r="J198" s="191"/>
      <c r="K198" s="191"/>
      <c r="L198" s="191"/>
      <c r="M198" s="191"/>
      <c r="N198" s="270"/>
    </row>
    <row r="199" spans="2:14" ht="30" customHeight="1" thickBot="1" x14ac:dyDescent="0.25">
      <c r="B199" s="690"/>
      <c r="C199" s="542" t="s">
        <v>84</v>
      </c>
      <c r="D199" s="691"/>
      <c r="E199" s="573">
        <f>SUMIF($C191:$C196,$C192,E191:E196)</f>
        <v>1652.5</v>
      </c>
      <c r="F199" s="573">
        <f t="shared" ref="F199:H199" si="17">SUMIF($C191:$C196,$C192,F191:F196)</f>
        <v>1887.9</v>
      </c>
      <c r="G199" s="573">
        <f t="shared" si="17"/>
        <v>1887.9</v>
      </c>
      <c r="H199" s="574">
        <f t="shared" si="17"/>
        <v>1887.9</v>
      </c>
      <c r="I199" s="364"/>
      <c r="J199" s="272"/>
      <c r="K199" s="272"/>
      <c r="L199" s="272"/>
      <c r="M199" s="272"/>
      <c r="N199" s="273"/>
    </row>
    <row r="200" spans="2:14" ht="55.15" customHeight="1" thickBot="1" x14ac:dyDescent="0.25">
      <c r="B200" s="609" t="s">
        <v>310</v>
      </c>
      <c r="C200" s="610" t="s">
        <v>311</v>
      </c>
      <c r="D200" s="611"/>
      <c r="E200" s="612"/>
      <c r="F200" s="612"/>
      <c r="G200" s="612"/>
      <c r="H200" s="700"/>
      <c r="I200" s="614"/>
      <c r="J200" s="615"/>
      <c r="K200" s="615"/>
      <c r="L200" s="615"/>
      <c r="M200" s="615"/>
      <c r="N200" s="616"/>
    </row>
    <row r="201" spans="2:14" ht="57" customHeight="1" x14ac:dyDescent="0.2">
      <c r="B201" s="1000" t="s">
        <v>312</v>
      </c>
      <c r="C201" s="909" t="s">
        <v>313</v>
      </c>
      <c r="D201" s="1018" t="s">
        <v>71</v>
      </c>
      <c r="E201" s="694"/>
      <c r="F201" s="618"/>
      <c r="G201" s="618"/>
      <c r="H201" s="925"/>
      <c r="I201" s="620" t="s">
        <v>314</v>
      </c>
      <c r="J201" s="621" t="s">
        <v>178</v>
      </c>
      <c r="K201" s="621" t="s">
        <v>178</v>
      </c>
      <c r="L201" s="621" t="s">
        <v>178</v>
      </c>
      <c r="M201" s="621" t="s">
        <v>178</v>
      </c>
      <c r="N201" s="622"/>
    </row>
    <row r="202" spans="2:14" ht="30.6" customHeight="1" thickBot="1" x14ac:dyDescent="0.25">
      <c r="B202" s="1002"/>
      <c r="C202" s="892" t="s">
        <v>26</v>
      </c>
      <c r="D202" s="1019"/>
      <c r="E202" s="697">
        <f>141.1-12+4.6</f>
        <v>133.69999999999999</v>
      </c>
      <c r="F202" s="479">
        <v>140.6</v>
      </c>
      <c r="G202" s="506">
        <v>140.6</v>
      </c>
      <c r="H202" s="926">
        <v>140.6</v>
      </c>
      <c r="I202" s="364"/>
      <c r="J202" s="272"/>
      <c r="K202" s="272"/>
      <c r="L202" s="272"/>
      <c r="M202" s="272"/>
      <c r="N202" s="273"/>
    </row>
    <row r="203" spans="2:14" ht="42" customHeight="1" x14ac:dyDescent="0.2">
      <c r="B203" s="627" t="s">
        <v>315</v>
      </c>
      <c r="C203" s="909" t="s">
        <v>316</v>
      </c>
      <c r="D203" s="1019"/>
      <c r="E203" s="913"/>
      <c r="F203" s="490"/>
      <c r="G203" s="490"/>
      <c r="H203" s="491"/>
      <c r="I203" s="639" t="s">
        <v>317</v>
      </c>
      <c r="J203" s="621" t="s">
        <v>178</v>
      </c>
      <c r="K203" s="621" t="s">
        <v>178</v>
      </c>
      <c r="L203" s="621" t="s">
        <v>178</v>
      </c>
      <c r="M203" s="621" t="s">
        <v>178</v>
      </c>
      <c r="N203" s="622"/>
    </row>
    <row r="204" spans="2:14" ht="30.6" customHeight="1" x14ac:dyDescent="0.2">
      <c r="B204" s="349"/>
      <c r="C204" s="140" t="s">
        <v>26</v>
      </c>
      <c r="D204" s="1019"/>
      <c r="E204" s="914">
        <f>109.8-4.9-7.2</f>
        <v>97.699999999999989</v>
      </c>
      <c r="F204" s="58">
        <v>109.4</v>
      </c>
      <c r="G204" s="59">
        <v>109.4</v>
      </c>
      <c r="H204" s="399">
        <v>109.4</v>
      </c>
      <c r="I204" s="299"/>
      <c r="J204" s="191"/>
      <c r="K204" s="191"/>
      <c r="L204" s="191"/>
      <c r="M204" s="191"/>
      <c r="N204" s="270"/>
    </row>
    <row r="205" spans="2:14" ht="22.15" customHeight="1" thickBot="1" x14ac:dyDescent="0.25">
      <c r="B205" s="628"/>
      <c r="C205" s="892" t="s">
        <v>29</v>
      </c>
      <c r="D205" s="1019"/>
      <c r="E205" s="695">
        <f>5+7.2</f>
        <v>12.2</v>
      </c>
      <c r="F205" s="479"/>
      <c r="G205" s="479"/>
      <c r="H205" s="480"/>
      <c r="I205" s="364"/>
      <c r="J205" s="272"/>
      <c r="K205" s="272"/>
      <c r="L205" s="272"/>
      <c r="M205" s="272"/>
      <c r="N205" s="273"/>
    </row>
    <row r="206" spans="2:14" ht="44.25" customHeight="1" x14ac:dyDescent="0.2">
      <c r="B206" s="1000" t="s">
        <v>318</v>
      </c>
      <c r="C206" s="909" t="s">
        <v>319</v>
      </c>
      <c r="D206" s="1019"/>
      <c r="E206" s="913"/>
      <c r="F206" s="490"/>
      <c r="G206" s="490"/>
      <c r="H206" s="491"/>
      <c r="I206" s="639" t="s">
        <v>320</v>
      </c>
      <c r="J206" s="621" t="s">
        <v>321</v>
      </c>
      <c r="K206" s="621" t="s">
        <v>322</v>
      </c>
      <c r="L206" s="621" t="s">
        <v>322</v>
      </c>
      <c r="M206" s="621" t="s">
        <v>322</v>
      </c>
      <c r="N206" s="622" t="s">
        <v>323</v>
      </c>
    </row>
    <row r="207" spans="2:14" ht="30.6" customHeight="1" x14ac:dyDescent="0.2">
      <c r="B207" s="1001"/>
      <c r="C207" s="48" t="s">
        <v>26</v>
      </c>
      <c r="D207" s="1019"/>
      <c r="E207" s="914">
        <f>1132.5-6.2-73.4-6</f>
        <v>1046.8999999999999</v>
      </c>
      <c r="F207" s="58">
        <v>1132.5</v>
      </c>
      <c r="G207" s="59">
        <v>1132.5</v>
      </c>
      <c r="H207" s="399">
        <v>1132.5</v>
      </c>
      <c r="I207" s="299"/>
      <c r="J207" s="191"/>
      <c r="K207" s="191"/>
      <c r="L207" s="191"/>
      <c r="M207" s="191"/>
      <c r="N207" s="270"/>
    </row>
    <row r="208" spans="2:14" ht="19.899999999999999" customHeight="1" thickBot="1" x14ac:dyDescent="0.25">
      <c r="B208" s="630"/>
      <c r="C208" s="910" t="s">
        <v>29</v>
      </c>
      <c r="D208" s="1019"/>
      <c r="E208" s="695">
        <f>6.3+10.3</f>
        <v>16.600000000000001</v>
      </c>
      <c r="F208" s="479"/>
      <c r="G208" s="479"/>
      <c r="H208" s="480"/>
      <c r="I208" s="364"/>
      <c r="J208" s="272"/>
      <c r="K208" s="272"/>
      <c r="L208" s="272"/>
      <c r="M208" s="272"/>
      <c r="N208" s="273"/>
    </row>
    <row r="209" spans="2:14" ht="39.75" customHeight="1" x14ac:dyDescent="0.2">
      <c r="B209" s="1000" t="s">
        <v>324</v>
      </c>
      <c r="C209" s="492" t="s">
        <v>325</v>
      </c>
      <c r="D209" s="1019"/>
      <c r="E209" s="915"/>
      <c r="F209" s="473"/>
      <c r="G209" s="473"/>
      <c r="H209" s="474"/>
      <c r="I209" s="639" t="s">
        <v>326</v>
      </c>
      <c r="J209" s="621" t="s">
        <v>327</v>
      </c>
      <c r="K209" s="621" t="s">
        <v>328</v>
      </c>
      <c r="L209" s="621" t="s">
        <v>328</v>
      </c>
      <c r="M209" s="621" t="s">
        <v>328</v>
      </c>
      <c r="N209" s="622"/>
    </row>
    <row r="210" spans="2:14" ht="30.6" customHeight="1" thickBot="1" x14ac:dyDescent="0.25">
      <c r="B210" s="1002"/>
      <c r="C210" s="493" t="s">
        <v>26</v>
      </c>
      <c r="D210" s="1019"/>
      <c r="E210" s="697">
        <f>1376.9+123.1+736.9+9.9</f>
        <v>2246.8000000000002</v>
      </c>
      <c r="F210" s="479">
        <v>2572.4</v>
      </c>
      <c r="G210" s="506">
        <v>2572.4</v>
      </c>
      <c r="H210" s="701">
        <v>2572.4</v>
      </c>
      <c r="I210" s="364"/>
      <c r="J210" s="272"/>
      <c r="K210" s="272"/>
      <c r="L210" s="272"/>
      <c r="M210" s="272"/>
      <c r="N210" s="273"/>
    </row>
    <row r="211" spans="2:14" ht="43.15" customHeight="1" x14ac:dyDescent="0.2">
      <c r="B211" s="1000" t="s">
        <v>329</v>
      </c>
      <c r="C211" s="492" t="s">
        <v>330</v>
      </c>
      <c r="D211" s="1019"/>
      <c r="E211" s="916"/>
      <c r="F211" s="502"/>
      <c r="G211" s="502"/>
      <c r="H211" s="503"/>
      <c r="I211" s="639" t="s">
        <v>331</v>
      </c>
      <c r="J211" s="621" t="s">
        <v>165</v>
      </c>
      <c r="K211" s="621" t="s">
        <v>165</v>
      </c>
      <c r="L211" s="621" t="s">
        <v>165</v>
      </c>
      <c r="M211" s="621" t="s">
        <v>165</v>
      </c>
      <c r="N211" s="622"/>
    </row>
    <row r="212" spans="2:14" ht="30.6" customHeight="1" thickBot="1" x14ac:dyDescent="0.25">
      <c r="B212" s="1002"/>
      <c r="C212" s="493" t="s">
        <v>26</v>
      </c>
      <c r="D212" s="1019"/>
      <c r="E212" s="697">
        <f>28.6+15.5</f>
        <v>44.1</v>
      </c>
      <c r="F212" s="506">
        <v>33</v>
      </c>
      <c r="G212" s="506">
        <v>33</v>
      </c>
      <c r="H212" s="701">
        <v>33</v>
      </c>
      <c r="I212" s="364"/>
      <c r="J212" s="272"/>
      <c r="K212" s="272"/>
      <c r="L212" s="272"/>
      <c r="M212" s="272"/>
      <c r="N212" s="273"/>
    </row>
    <row r="213" spans="2:14" ht="30.6" customHeight="1" x14ac:dyDescent="0.2">
      <c r="B213" s="1000" t="s">
        <v>332</v>
      </c>
      <c r="C213" s="911" t="s">
        <v>333</v>
      </c>
      <c r="D213" s="1019"/>
      <c r="E213" s="917"/>
      <c r="F213" s="497"/>
      <c r="G213" s="497"/>
      <c r="H213" s="498"/>
      <c r="I213" s="639" t="s">
        <v>334</v>
      </c>
      <c r="J213" s="702" t="s">
        <v>335</v>
      </c>
      <c r="K213" s="702" t="s">
        <v>183</v>
      </c>
      <c r="L213" s="702" t="s">
        <v>183</v>
      </c>
      <c r="M213" s="702" t="s">
        <v>183</v>
      </c>
      <c r="N213" s="622"/>
    </row>
    <row r="214" spans="2:14" ht="30.6" customHeight="1" thickBot="1" x14ac:dyDescent="0.25">
      <c r="B214" s="1002"/>
      <c r="C214" s="493" t="s">
        <v>26</v>
      </c>
      <c r="D214" s="1019"/>
      <c r="E214" s="697">
        <f>31.6-9-1</f>
        <v>21.6</v>
      </c>
      <c r="F214" s="479">
        <v>55.5</v>
      </c>
      <c r="G214" s="506">
        <v>55.5</v>
      </c>
      <c r="H214" s="701">
        <v>55.5</v>
      </c>
      <c r="I214" s="364"/>
      <c r="J214" s="272"/>
      <c r="K214" s="272"/>
      <c r="L214" s="272"/>
      <c r="M214" s="272"/>
      <c r="N214" s="273"/>
    </row>
    <row r="215" spans="2:14" ht="56.25" customHeight="1" x14ac:dyDescent="0.2">
      <c r="B215" s="1000" t="s">
        <v>336</v>
      </c>
      <c r="C215" s="911" t="s">
        <v>579</v>
      </c>
      <c r="D215" s="1019"/>
      <c r="E215" s="916"/>
      <c r="F215" s="473"/>
      <c r="G215" s="502"/>
      <c r="H215" s="503"/>
      <c r="I215" s="639" t="s">
        <v>111</v>
      </c>
      <c r="J215" s="621" t="s">
        <v>224</v>
      </c>
      <c r="K215" s="702" t="s">
        <v>192</v>
      </c>
      <c r="L215" s="702" t="s">
        <v>192</v>
      </c>
      <c r="M215" s="702" t="s">
        <v>192</v>
      </c>
      <c r="N215" s="622"/>
    </row>
    <row r="216" spans="2:14" ht="30.6" customHeight="1" thickBot="1" x14ac:dyDescent="0.25">
      <c r="B216" s="1002"/>
      <c r="C216" s="493" t="s">
        <v>26</v>
      </c>
      <c r="D216" s="1019"/>
      <c r="E216" s="697">
        <f>59.1-37-4.6</f>
        <v>17.5</v>
      </c>
      <c r="F216" s="479">
        <v>23.7</v>
      </c>
      <c r="G216" s="506">
        <v>23.7</v>
      </c>
      <c r="H216" s="701">
        <v>23.7</v>
      </c>
      <c r="I216" s="364"/>
      <c r="J216" s="272"/>
      <c r="K216" s="272"/>
      <c r="L216" s="272"/>
      <c r="M216" s="272"/>
      <c r="N216" s="273"/>
    </row>
    <row r="217" spans="2:14" ht="30.6" customHeight="1" x14ac:dyDescent="0.2">
      <c r="B217" s="1000" t="s">
        <v>337</v>
      </c>
      <c r="C217" s="492" t="s">
        <v>338</v>
      </c>
      <c r="D217" s="1019"/>
      <c r="E217" s="696"/>
      <c r="F217" s="664"/>
      <c r="G217" s="664"/>
      <c r="H217" s="665"/>
      <c r="I217" s="639" t="s">
        <v>339</v>
      </c>
      <c r="J217" s="621" t="s">
        <v>340</v>
      </c>
      <c r="K217" s="621" t="s">
        <v>341</v>
      </c>
      <c r="L217" s="621" t="s">
        <v>341</v>
      </c>
      <c r="M217" s="621" t="s">
        <v>341</v>
      </c>
      <c r="N217" s="495" t="s">
        <v>108</v>
      </c>
    </row>
    <row r="218" spans="2:14" ht="30.6" customHeight="1" x14ac:dyDescent="0.2">
      <c r="B218" s="1001"/>
      <c r="C218" s="165" t="s">
        <v>26</v>
      </c>
      <c r="D218" s="1019"/>
      <c r="E218" s="914">
        <f>3010.9+1270.9</f>
        <v>4281.8</v>
      </c>
      <c r="F218" s="59">
        <v>4286</v>
      </c>
      <c r="G218" s="59">
        <v>4286</v>
      </c>
      <c r="H218" s="399">
        <v>4286</v>
      </c>
      <c r="I218" s="299"/>
      <c r="J218" s="191"/>
      <c r="K218" s="191"/>
      <c r="L218" s="191"/>
      <c r="M218" s="191"/>
      <c r="N218" s="270"/>
    </row>
    <row r="219" spans="2:14" ht="20.25" customHeight="1" thickBot="1" x14ac:dyDescent="0.25">
      <c r="B219" s="1126"/>
      <c r="C219" s="912" t="s">
        <v>29</v>
      </c>
      <c r="D219" s="1019"/>
      <c r="E219" s="697">
        <v>2.2000000000000002</v>
      </c>
      <c r="F219" s="506"/>
      <c r="G219" s="506"/>
      <c r="H219" s="701"/>
      <c r="I219" s="364"/>
      <c r="J219" s="272"/>
      <c r="K219" s="272"/>
      <c r="L219" s="272"/>
      <c r="M219" s="272"/>
      <c r="N219" s="273"/>
    </row>
    <row r="220" spans="2:14" ht="43.5" customHeight="1" x14ac:dyDescent="0.2">
      <c r="B220" s="1076" t="s">
        <v>342</v>
      </c>
      <c r="C220" s="652" t="s">
        <v>580</v>
      </c>
      <c r="D220" s="1019"/>
      <c r="E220" s="913"/>
      <c r="F220" s="490"/>
      <c r="G220" s="490"/>
      <c r="H220" s="491"/>
      <c r="I220" s="639" t="s">
        <v>581</v>
      </c>
      <c r="J220" s="702" t="s">
        <v>152</v>
      </c>
      <c r="K220" s="702" t="s">
        <v>152</v>
      </c>
      <c r="L220" s="702" t="s">
        <v>152</v>
      </c>
      <c r="M220" s="702" t="s">
        <v>152</v>
      </c>
      <c r="N220" s="495"/>
    </row>
    <row r="221" spans="2:14" ht="30.6" customHeight="1" thickBot="1" x14ac:dyDescent="0.25">
      <c r="B221" s="1077"/>
      <c r="C221" s="896" t="s">
        <v>26</v>
      </c>
      <c r="D221" s="1020"/>
      <c r="E221" s="918">
        <f>11.5+0.5-2.9</f>
        <v>9.1</v>
      </c>
      <c r="F221" s="73">
        <v>9.4</v>
      </c>
      <c r="G221" s="73">
        <v>9.4</v>
      </c>
      <c r="H221" s="368">
        <v>9.4</v>
      </c>
      <c r="I221" s="354"/>
      <c r="J221" s="244"/>
      <c r="K221" s="244"/>
      <c r="L221" s="244"/>
      <c r="M221" s="244"/>
      <c r="N221" s="275"/>
    </row>
    <row r="222" spans="2:14" ht="15.6" customHeight="1" x14ac:dyDescent="0.2">
      <c r="B222" s="677"/>
      <c r="C222" s="523" t="s">
        <v>82</v>
      </c>
      <c r="D222" s="678"/>
      <c r="E222" s="679">
        <f>E224+E225</f>
        <v>7930.2000000000007</v>
      </c>
      <c r="F222" s="679">
        <f t="shared" ref="F222:H222" si="18">F224+F225</f>
        <v>8362.5</v>
      </c>
      <c r="G222" s="679">
        <f t="shared" si="18"/>
        <v>8362.5</v>
      </c>
      <c r="H222" s="680">
        <f t="shared" si="18"/>
        <v>8362.5</v>
      </c>
      <c r="I222" s="527"/>
      <c r="J222" s="528"/>
      <c r="K222" s="528"/>
      <c r="L222" s="528"/>
      <c r="M222" s="528"/>
      <c r="N222" s="529"/>
    </row>
    <row r="223" spans="2:14" ht="15.6" customHeight="1" x14ac:dyDescent="0.2">
      <c r="B223" s="1083"/>
      <c r="C223" s="16" t="s">
        <v>83</v>
      </c>
      <c r="D223" s="28"/>
      <c r="E223" s="5"/>
      <c r="F223" s="5"/>
      <c r="G223" s="5"/>
      <c r="H223" s="401"/>
      <c r="I223" s="299"/>
      <c r="J223" s="191"/>
      <c r="K223" s="191"/>
      <c r="L223" s="191"/>
      <c r="M223" s="191"/>
      <c r="N223" s="270"/>
    </row>
    <row r="224" spans="2:14" ht="29.45" customHeight="1" x14ac:dyDescent="0.2">
      <c r="B224" s="1084"/>
      <c r="C224" s="15" t="s">
        <v>84</v>
      </c>
      <c r="D224" s="22"/>
      <c r="E224" s="7">
        <f>SUMIF($C201:$C221,$C204,E201:E221)</f>
        <v>7899.2000000000007</v>
      </c>
      <c r="F224" s="7">
        <f t="shared" ref="F224:H224" si="19">SUMIF($C201:$C221,$C204,F201:F221)</f>
        <v>8362.5</v>
      </c>
      <c r="G224" s="7">
        <f t="shared" si="19"/>
        <v>8362.5</v>
      </c>
      <c r="H224" s="346">
        <f t="shared" si="19"/>
        <v>8362.5</v>
      </c>
      <c r="I224" s="299"/>
      <c r="J224" s="191"/>
      <c r="K224" s="191"/>
      <c r="L224" s="191"/>
      <c r="M224" s="191"/>
      <c r="N224" s="270"/>
    </row>
    <row r="225" spans="2:14" ht="23.45" customHeight="1" thickBot="1" x14ac:dyDescent="0.25">
      <c r="B225" s="1085"/>
      <c r="C225" s="542" t="s">
        <v>85</v>
      </c>
      <c r="D225" s="531"/>
      <c r="E225" s="532">
        <f>SUMIF($C201:$C221,$C205,E201:E221)</f>
        <v>31</v>
      </c>
      <c r="F225" s="532">
        <f t="shared" ref="F225:H225" si="20">SUMIF($C201:$C221,$C205,F201:F221)</f>
        <v>0</v>
      </c>
      <c r="G225" s="532">
        <f t="shared" si="20"/>
        <v>0</v>
      </c>
      <c r="H225" s="533">
        <f t="shared" si="20"/>
        <v>0</v>
      </c>
      <c r="I225" s="364"/>
      <c r="J225" s="272"/>
      <c r="K225" s="272"/>
      <c r="L225" s="272"/>
      <c r="M225" s="272"/>
      <c r="N225" s="273"/>
    </row>
    <row r="226" spans="2:14" ht="21" customHeight="1" thickBot="1" x14ac:dyDescent="0.25">
      <c r="B226" s="609" t="s">
        <v>343</v>
      </c>
      <c r="C226" s="610" t="s">
        <v>344</v>
      </c>
      <c r="D226" s="611"/>
      <c r="E226" s="612"/>
      <c r="F226" s="612"/>
      <c r="G226" s="612"/>
      <c r="H226" s="613"/>
      <c r="I226" s="614"/>
      <c r="J226" s="615"/>
      <c r="K226" s="615"/>
      <c r="L226" s="615"/>
      <c r="M226" s="615"/>
      <c r="N226" s="616"/>
    </row>
    <row r="227" spans="2:14" ht="46.5" customHeight="1" x14ac:dyDescent="0.2">
      <c r="B227" s="962" t="s">
        <v>345</v>
      </c>
      <c r="C227" s="492" t="s">
        <v>346</v>
      </c>
      <c r="D227" s="1073" t="s">
        <v>71</v>
      </c>
      <c r="E227" s="706"/>
      <c r="F227" s="644"/>
      <c r="G227" s="644"/>
      <c r="H227" s="251"/>
      <c r="I227" s="703" t="s">
        <v>347</v>
      </c>
      <c r="J227" s="489">
        <v>11</v>
      </c>
      <c r="K227" s="489">
        <v>13</v>
      </c>
      <c r="L227" s="489">
        <v>13</v>
      </c>
      <c r="M227" s="489">
        <v>13</v>
      </c>
      <c r="N227" s="638"/>
    </row>
    <row r="228" spans="2:14" ht="30" customHeight="1" thickBot="1" x14ac:dyDescent="0.25">
      <c r="B228" s="964"/>
      <c r="C228" s="493" t="s">
        <v>26</v>
      </c>
      <c r="D228" s="1074"/>
      <c r="E228" s="697">
        <v>110</v>
      </c>
      <c r="F228" s="479">
        <v>110</v>
      </c>
      <c r="G228" s="479">
        <v>110</v>
      </c>
      <c r="H228" s="480">
        <v>110</v>
      </c>
      <c r="I228" s="364"/>
      <c r="J228" s="272"/>
      <c r="K228" s="272"/>
      <c r="L228" s="272"/>
      <c r="M228" s="272"/>
      <c r="N228" s="273"/>
    </row>
    <row r="229" spans="2:14" ht="93.75" customHeight="1" x14ac:dyDescent="0.2">
      <c r="B229" s="962" t="s">
        <v>348</v>
      </c>
      <c r="C229" s="704" t="s">
        <v>349</v>
      </c>
      <c r="D229" s="1074"/>
      <c r="E229" s="696"/>
      <c r="F229" s="664"/>
      <c r="G229" s="664"/>
      <c r="H229" s="665"/>
      <c r="I229" s="703" t="s">
        <v>350</v>
      </c>
      <c r="J229" s="489">
        <v>2</v>
      </c>
      <c r="K229" s="489">
        <v>4</v>
      </c>
      <c r="L229" s="489">
        <v>4</v>
      </c>
      <c r="M229" s="489">
        <v>4</v>
      </c>
      <c r="N229" s="638"/>
    </row>
    <row r="230" spans="2:14" ht="29.45" customHeight="1" thickBot="1" x14ac:dyDescent="0.25">
      <c r="B230" s="964"/>
      <c r="C230" s="705" t="s">
        <v>26</v>
      </c>
      <c r="D230" s="1075"/>
      <c r="E230" s="697">
        <f>140-63.6</f>
        <v>76.400000000000006</v>
      </c>
      <c r="F230" s="506">
        <v>140</v>
      </c>
      <c r="G230" s="506">
        <v>140</v>
      </c>
      <c r="H230" s="701">
        <v>140</v>
      </c>
      <c r="I230" s="364"/>
      <c r="J230" s="272"/>
      <c r="K230" s="272"/>
      <c r="L230" s="272"/>
      <c r="M230" s="272"/>
      <c r="N230" s="273"/>
    </row>
    <row r="231" spans="2:14" ht="19.899999999999999" customHeight="1" x14ac:dyDescent="0.2">
      <c r="B231" s="707"/>
      <c r="C231" s="708" t="s">
        <v>82</v>
      </c>
      <c r="D231" s="678"/>
      <c r="E231" s="679">
        <f>E233</f>
        <v>186.4</v>
      </c>
      <c r="F231" s="679">
        <f t="shared" ref="F231:H231" si="21">F233</f>
        <v>250</v>
      </c>
      <c r="G231" s="679">
        <f t="shared" si="21"/>
        <v>250</v>
      </c>
      <c r="H231" s="680">
        <f t="shared" si="21"/>
        <v>250</v>
      </c>
      <c r="I231" s="527"/>
      <c r="J231" s="528"/>
      <c r="K231" s="528"/>
      <c r="L231" s="528"/>
      <c r="M231" s="528"/>
      <c r="N231" s="529"/>
    </row>
    <row r="232" spans="2:14" ht="16.899999999999999" customHeight="1" x14ac:dyDescent="0.2">
      <c r="B232" s="1093"/>
      <c r="C232" s="72" t="s">
        <v>83</v>
      </c>
      <c r="D232" s="22"/>
      <c r="E232" s="7"/>
      <c r="F232" s="7"/>
      <c r="G232" s="7"/>
      <c r="H232" s="346"/>
      <c r="I232" s="299"/>
      <c r="J232" s="191"/>
      <c r="K232" s="191"/>
      <c r="L232" s="191"/>
      <c r="M232" s="191"/>
      <c r="N232" s="270"/>
    </row>
    <row r="233" spans="2:14" ht="34.15" customHeight="1" thickBot="1" x14ac:dyDescent="0.25">
      <c r="B233" s="964"/>
      <c r="C233" s="579" t="s">
        <v>84</v>
      </c>
      <c r="D233" s="531"/>
      <c r="E233" s="532">
        <f>SUMIF($C227:$C230,$C228,E227:E230)</f>
        <v>186.4</v>
      </c>
      <c r="F233" s="532">
        <f t="shared" ref="F233:H233" si="22">SUMIF($C227:$C230,$C228,F227:F230)</f>
        <v>250</v>
      </c>
      <c r="G233" s="532">
        <f t="shared" si="22"/>
        <v>250</v>
      </c>
      <c r="H233" s="533">
        <f t="shared" si="22"/>
        <v>250</v>
      </c>
      <c r="I233" s="364"/>
      <c r="J233" s="272"/>
      <c r="K233" s="272"/>
      <c r="L233" s="272"/>
      <c r="M233" s="272"/>
      <c r="N233" s="273"/>
    </row>
    <row r="234" spans="2:14" ht="56.45" customHeight="1" x14ac:dyDescent="0.2">
      <c r="B234" s="534" t="s">
        <v>351</v>
      </c>
      <c r="C234" s="535" t="s">
        <v>352</v>
      </c>
      <c r="D234" s="536" t="s">
        <v>270</v>
      </c>
      <c r="E234" s="554"/>
      <c r="F234" s="554"/>
      <c r="G234" s="554"/>
      <c r="H234" s="555"/>
      <c r="I234" s="709" t="s">
        <v>353</v>
      </c>
      <c r="J234" s="540">
        <v>60</v>
      </c>
      <c r="K234" s="540">
        <v>70</v>
      </c>
      <c r="L234" s="540">
        <v>70</v>
      </c>
      <c r="M234" s="540">
        <v>70</v>
      </c>
      <c r="N234" s="541"/>
    </row>
    <row r="235" spans="2:14" ht="43.5" customHeight="1" x14ac:dyDescent="0.2">
      <c r="B235" s="408"/>
      <c r="C235" s="13" t="s">
        <v>82</v>
      </c>
      <c r="D235" s="27"/>
      <c r="E235" s="14">
        <f>SUM(E236:E238)</f>
        <v>754.5</v>
      </c>
      <c r="F235" s="14">
        <f t="shared" ref="F235:H235" si="23">SUM(F236:F238)</f>
        <v>328.1</v>
      </c>
      <c r="G235" s="14">
        <f t="shared" si="23"/>
        <v>330</v>
      </c>
      <c r="H235" s="377">
        <f t="shared" si="23"/>
        <v>330</v>
      </c>
      <c r="I235" s="344" t="s">
        <v>354</v>
      </c>
      <c r="J235" s="230">
        <v>40</v>
      </c>
      <c r="K235" s="230">
        <v>50</v>
      </c>
      <c r="L235" s="230">
        <v>50</v>
      </c>
      <c r="M235" s="230">
        <v>50</v>
      </c>
      <c r="N235" s="317"/>
    </row>
    <row r="236" spans="2:14" ht="31.5" customHeight="1" x14ac:dyDescent="0.2">
      <c r="B236" s="407"/>
      <c r="C236" s="16" t="s">
        <v>83</v>
      </c>
      <c r="D236" s="33"/>
      <c r="E236" s="35"/>
      <c r="F236" s="35"/>
      <c r="G236" s="35"/>
      <c r="H236" s="390"/>
      <c r="I236" s="345" t="s">
        <v>355</v>
      </c>
      <c r="J236" s="143">
        <v>39</v>
      </c>
      <c r="K236" s="143">
        <v>64</v>
      </c>
      <c r="L236" s="143">
        <v>64</v>
      </c>
      <c r="M236" s="143">
        <v>64</v>
      </c>
      <c r="N236" s="320"/>
    </row>
    <row r="237" spans="2:14" ht="28.15" customHeight="1" x14ac:dyDescent="0.2">
      <c r="B237" s="407"/>
      <c r="C237" s="61" t="s">
        <v>26</v>
      </c>
      <c r="D237" s="62"/>
      <c r="E237" s="106">
        <v>323.10000000000002</v>
      </c>
      <c r="F237" s="106">
        <v>328.1</v>
      </c>
      <c r="G237" s="106">
        <v>330</v>
      </c>
      <c r="H237" s="409">
        <v>330</v>
      </c>
      <c r="I237" s="299"/>
      <c r="J237" s="191"/>
      <c r="K237" s="191"/>
      <c r="L237" s="191"/>
      <c r="M237" s="191"/>
      <c r="N237" s="270"/>
    </row>
    <row r="238" spans="2:14" ht="21" customHeight="1" x14ac:dyDescent="0.2">
      <c r="B238" s="407"/>
      <c r="C238" s="83" t="s">
        <v>29</v>
      </c>
      <c r="D238" s="84"/>
      <c r="E238" s="107">
        <v>431.4</v>
      </c>
      <c r="F238" s="107"/>
      <c r="G238" s="107"/>
      <c r="H238" s="410"/>
      <c r="I238" s="299"/>
      <c r="J238" s="191"/>
      <c r="K238" s="191"/>
      <c r="L238" s="191"/>
      <c r="M238" s="191"/>
      <c r="N238" s="270"/>
    </row>
    <row r="239" spans="2:14" ht="18.75" customHeight="1" x14ac:dyDescent="0.2">
      <c r="B239" s="350"/>
      <c r="C239" s="12" t="s">
        <v>86</v>
      </c>
      <c r="D239" s="27"/>
      <c r="E239" s="104">
        <f>SUM(E241:E241)</f>
        <v>0</v>
      </c>
      <c r="F239" s="104">
        <f>SUM(F241:F241)</f>
        <v>431.5</v>
      </c>
      <c r="G239" s="104">
        <f>SUM(G241:G241)</f>
        <v>435</v>
      </c>
      <c r="H239" s="381">
        <f>SUM(H241:H241)</f>
        <v>435</v>
      </c>
      <c r="I239" s="314"/>
      <c r="J239" s="203"/>
      <c r="K239" s="203"/>
      <c r="L239" s="203"/>
      <c r="M239" s="203"/>
      <c r="N239" s="315"/>
    </row>
    <row r="240" spans="2:14" ht="15.75" customHeight="1" x14ac:dyDescent="0.2">
      <c r="B240" s="1027"/>
      <c r="C240" s="17" t="s">
        <v>87</v>
      </c>
      <c r="D240" s="22"/>
      <c r="E240" s="105"/>
      <c r="F240" s="105"/>
      <c r="G240" s="105"/>
      <c r="H240" s="383"/>
      <c r="I240" s="299"/>
      <c r="J240" s="191"/>
      <c r="K240" s="191"/>
      <c r="L240" s="191"/>
      <c r="M240" s="191"/>
      <c r="N240" s="270"/>
    </row>
    <row r="241" spans="2:14" ht="19.5" customHeight="1" thickBot="1" x14ac:dyDescent="0.25">
      <c r="B241" s="1028"/>
      <c r="C241" s="710" t="s">
        <v>91</v>
      </c>
      <c r="D241" s="682"/>
      <c r="E241" s="550"/>
      <c r="F241" s="550">
        <v>431.5</v>
      </c>
      <c r="G241" s="550">
        <v>435</v>
      </c>
      <c r="H241" s="551">
        <v>435</v>
      </c>
      <c r="I241" s="364"/>
      <c r="J241" s="272"/>
      <c r="K241" s="272"/>
      <c r="L241" s="272"/>
      <c r="M241" s="272"/>
      <c r="N241" s="273"/>
    </row>
    <row r="242" spans="2:14" ht="27" customHeight="1" thickBot="1" x14ac:dyDescent="0.25">
      <c r="B242" s="609" t="s">
        <v>356</v>
      </c>
      <c r="C242" s="610" t="s">
        <v>357</v>
      </c>
      <c r="D242" s="611"/>
      <c r="E242" s="612"/>
      <c r="F242" s="612"/>
      <c r="G242" s="612"/>
      <c r="H242" s="613"/>
      <c r="I242" s="711"/>
      <c r="J242" s="712"/>
      <c r="K242" s="712"/>
      <c r="L242" s="712"/>
      <c r="M242" s="712"/>
      <c r="N242" s="613"/>
    </row>
    <row r="243" spans="2:14" ht="28.5" customHeight="1" x14ac:dyDescent="0.2">
      <c r="B243" s="1000" t="s">
        <v>358</v>
      </c>
      <c r="C243" s="891" t="s">
        <v>359</v>
      </c>
      <c r="D243" s="1018" t="s">
        <v>360</v>
      </c>
      <c r="E243" s="694"/>
      <c r="F243" s="618"/>
      <c r="G243" s="618"/>
      <c r="H243" s="619"/>
      <c r="I243" s="713" t="s">
        <v>361</v>
      </c>
      <c r="J243" s="714">
        <v>1</v>
      </c>
      <c r="K243" s="714">
        <v>1</v>
      </c>
      <c r="L243" s="714">
        <v>1</v>
      </c>
      <c r="M243" s="714">
        <v>1</v>
      </c>
      <c r="N243" s="498"/>
    </row>
    <row r="244" spans="2:14" ht="31.5" customHeight="1" thickBot="1" x14ac:dyDescent="0.25">
      <c r="B244" s="1002"/>
      <c r="C244" s="903" t="s">
        <v>26</v>
      </c>
      <c r="D244" s="1019"/>
      <c r="E244" s="905">
        <f>20+3.2</f>
        <v>23.2</v>
      </c>
      <c r="F244" s="715">
        <v>27.5</v>
      </c>
      <c r="G244" s="715">
        <v>27.5</v>
      </c>
      <c r="H244" s="716">
        <v>27.5</v>
      </c>
      <c r="I244" s="364"/>
      <c r="J244" s="272"/>
      <c r="K244" s="272"/>
      <c r="L244" s="272"/>
      <c r="M244" s="272"/>
      <c r="N244" s="273"/>
    </row>
    <row r="245" spans="2:14" ht="33" customHeight="1" x14ac:dyDescent="0.2">
      <c r="B245" s="1000" t="s">
        <v>362</v>
      </c>
      <c r="C245" s="891" t="s">
        <v>363</v>
      </c>
      <c r="D245" s="1019"/>
      <c r="E245" s="906"/>
      <c r="F245" s="625"/>
      <c r="G245" s="625"/>
      <c r="H245" s="495"/>
      <c r="I245" s="717" t="s">
        <v>361</v>
      </c>
      <c r="J245" s="718"/>
      <c r="K245" s="718">
        <v>1</v>
      </c>
      <c r="L245" s="718">
        <v>1</v>
      </c>
      <c r="M245" s="718">
        <v>1</v>
      </c>
      <c r="N245" s="464"/>
    </row>
    <row r="246" spans="2:14" ht="29.25" customHeight="1" thickBot="1" x14ac:dyDescent="0.25">
      <c r="B246" s="1002"/>
      <c r="C246" s="903" t="s">
        <v>26</v>
      </c>
      <c r="D246" s="1019"/>
      <c r="E246" s="905"/>
      <c r="F246" s="715">
        <v>18.2</v>
      </c>
      <c r="G246" s="715">
        <v>18.2</v>
      </c>
      <c r="H246" s="716">
        <v>18.2</v>
      </c>
      <c r="I246" s="364"/>
      <c r="J246" s="272"/>
      <c r="K246" s="272"/>
      <c r="L246" s="272"/>
      <c r="M246" s="272"/>
      <c r="N246" s="273"/>
    </row>
    <row r="247" spans="2:14" ht="29.25" customHeight="1" x14ac:dyDescent="0.2">
      <c r="B247" s="1000" t="s">
        <v>364</v>
      </c>
      <c r="C247" s="891" t="s">
        <v>365</v>
      </c>
      <c r="D247" s="1019"/>
      <c r="E247" s="906"/>
      <c r="F247" s="625"/>
      <c r="G247" s="625"/>
      <c r="H247" s="495"/>
      <c r="I247" s="719" t="s">
        <v>366</v>
      </c>
      <c r="J247" s="720"/>
      <c r="K247" s="688">
        <v>10</v>
      </c>
      <c r="L247" s="688"/>
      <c r="M247" s="688"/>
      <c r="N247" s="498"/>
    </row>
    <row r="248" spans="2:14" ht="40.5" customHeight="1" x14ac:dyDescent="0.2">
      <c r="B248" s="1001"/>
      <c r="C248" s="904" t="s">
        <v>26</v>
      </c>
      <c r="D248" s="1019"/>
      <c r="E248" s="617"/>
      <c r="F248" s="47">
        <v>85</v>
      </c>
      <c r="G248" s="47"/>
      <c r="H248" s="363"/>
      <c r="I248" s="349" t="s">
        <v>367</v>
      </c>
      <c r="J248" s="229"/>
      <c r="K248" s="229">
        <v>1</v>
      </c>
      <c r="L248" s="229"/>
      <c r="M248" s="229"/>
      <c r="N248" s="346"/>
    </row>
    <row r="249" spans="2:14" ht="32.25" customHeight="1" thickBot="1" x14ac:dyDescent="0.25">
      <c r="B249" s="1001"/>
      <c r="C249" s="908"/>
      <c r="D249" s="1020"/>
      <c r="E249" s="907"/>
      <c r="F249" s="721"/>
      <c r="G249" s="721"/>
      <c r="H249" s="722"/>
      <c r="I249" s="347" t="s">
        <v>368</v>
      </c>
      <c r="J249" s="231"/>
      <c r="K249" s="231">
        <v>1</v>
      </c>
      <c r="L249" s="231"/>
      <c r="M249" s="231"/>
      <c r="N249" s="348"/>
    </row>
    <row r="250" spans="2:14" ht="19.149999999999999" customHeight="1" x14ac:dyDescent="0.2">
      <c r="B250" s="723"/>
      <c r="C250" s="523" t="s">
        <v>82</v>
      </c>
      <c r="D250" s="678"/>
      <c r="E250" s="679">
        <f>E252</f>
        <v>23.2</v>
      </c>
      <c r="F250" s="679">
        <f t="shared" ref="F250:H250" si="24">F252</f>
        <v>130.69999999999999</v>
      </c>
      <c r="G250" s="679">
        <f t="shared" si="24"/>
        <v>45.7</v>
      </c>
      <c r="H250" s="680">
        <f t="shared" si="24"/>
        <v>45.7</v>
      </c>
      <c r="I250" s="527"/>
      <c r="J250" s="528"/>
      <c r="K250" s="528"/>
      <c r="L250" s="528"/>
      <c r="M250" s="528"/>
      <c r="N250" s="529"/>
    </row>
    <row r="251" spans="2:14" ht="17.45" customHeight="1" x14ac:dyDescent="0.2">
      <c r="B251" s="1117"/>
      <c r="C251" s="45" t="s">
        <v>83</v>
      </c>
      <c r="D251" s="184"/>
      <c r="E251" s="189"/>
      <c r="F251" s="189"/>
      <c r="G251" s="189"/>
      <c r="H251" s="411"/>
      <c r="I251" s="299"/>
      <c r="J251" s="191"/>
      <c r="K251" s="191"/>
      <c r="L251" s="191"/>
      <c r="M251" s="191"/>
      <c r="N251" s="270"/>
    </row>
    <row r="252" spans="2:14" ht="30.75" customHeight="1" thickBot="1" x14ac:dyDescent="0.25">
      <c r="B252" s="1118"/>
      <c r="C252" s="542" t="s">
        <v>84</v>
      </c>
      <c r="D252" s="568"/>
      <c r="E252" s="550">
        <f>SUMIF($C243:$C248,$C246,E243:E248)</f>
        <v>23.2</v>
      </c>
      <c r="F252" s="550">
        <f>SUMIF($C243:$C248,$C246,F243:F248)</f>
        <v>130.69999999999999</v>
      </c>
      <c r="G252" s="550">
        <f>SUMIF($C243:$C248,$C246,G243:G248)</f>
        <v>45.7</v>
      </c>
      <c r="H252" s="551">
        <f>SUMIF($C243:$C248,$C246,H243:H248)</f>
        <v>45.7</v>
      </c>
      <c r="I252" s="364"/>
      <c r="J252" s="272"/>
      <c r="K252" s="272"/>
      <c r="L252" s="272"/>
      <c r="M252" s="272"/>
      <c r="N252" s="273"/>
    </row>
    <row r="253" spans="2:14" ht="122.25" customHeight="1" x14ac:dyDescent="0.2">
      <c r="B253" s="552"/>
      <c r="C253" s="535" t="s">
        <v>369</v>
      </c>
      <c r="D253" s="927" t="s">
        <v>201</v>
      </c>
      <c r="E253" s="547"/>
      <c r="F253" s="547"/>
      <c r="G253" s="547"/>
      <c r="H253" s="548"/>
      <c r="I253" s="566" t="s">
        <v>361</v>
      </c>
      <c r="J253" s="725">
        <v>1</v>
      </c>
      <c r="K253" s="725"/>
      <c r="L253" s="725"/>
      <c r="M253" s="725"/>
      <c r="N253" s="555"/>
    </row>
    <row r="254" spans="2:14" ht="19.149999999999999" customHeight="1" x14ac:dyDescent="0.2">
      <c r="B254" s="412"/>
      <c r="C254" s="141" t="s">
        <v>82</v>
      </c>
      <c r="D254" s="724"/>
      <c r="E254" s="104">
        <f t="shared" ref="E254" si="25">E256</f>
        <v>18.2</v>
      </c>
      <c r="F254" s="104"/>
      <c r="G254" s="104"/>
      <c r="H254" s="381"/>
      <c r="I254" s="314"/>
      <c r="J254" s="203"/>
      <c r="K254" s="203"/>
      <c r="L254" s="203"/>
      <c r="M254" s="203"/>
      <c r="N254" s="315"/>
    </row>
    <row r="255" spans="2:14" ht="17.45" customHeight="1" x14ac:dyDescent="0.2">
      <c r="B255" s="1078"/>
      <c r="C255" s="142" t="s">
        <v>83</v>
      </c>
      <c r="D255" s="143"/>
      <c r="E255" s="144"/>
      <c r="F255" s="144"/>
      <c r="G255" s="144"/>
      <c r="H255" s="413"/>
      <c r="I255" s="299"/>
      <c r="J255" s="191"/>
      <c r="K255" s="191"/>
      <c r="L255" s="191"/>
      <c r="M255" s="191"/>
      <c r="N255" s="270"/>
    </row>
    <row r="256" spans="2:14" ht="32.25" customHeight="1" thickBot="1" x14ac:dyDescent="0.25">
      <c r="B256" s="1079"/>
      <c r="C256" s="579" t="s">
        <v>26</v>
      </c>
      <c r="D256" s="726"/>
      <c r="E256" s="727">
        <v>18.2</v>
      </c>
      <c r="F256" s="727"/>
      <c r="G256" s="727"/>
      <c r="H256" s="551"/>
      <c r="I256" s="364"/>
      <c r="J256" s="272"/>
      <c r="K256" s="272"/>
      <c r="L256" s="272"/>
      <c r="M256" s="272"/>
      <c r="N256" s="273"/>
    </row>
    <row r="257" spans="2:14" ht="47.25" customHeight="1" x14ac:dyDescent="0.2">
      <c r="B257" s="534" t="s">
        <v>370</v>
      </c>
      <c r="C257" s="553" t="s">
        <v>371</v>
      </c>
      <c r="D257" s="536" t="s">
        <v>103</v>
      </c>
      <c r="E257" s="554"/>
      <c r="F257" s="554"/>
      <c r="G257" s="554"/>
      <c r="H257" s="555"/>
      <c r="I257" s="566" t="s">
        <v>361</v>
      </c>
      <c r="J257" s="577">
        <v>1</v>
      </c>
      <c r="K257" s="577">
        <v>1</v>
      </c>
      <c r="L257" s="577">
        <v>1</v>
      </c>
      <c r="M257" s="577">
        <v>1</v>
      </c>
      <c r="N257" s="541"/>
    </row>
    <row r="258" spans="2:14" ht="19.149999999999999" customHeight="1" x14ac:dyDescent="0.2">
      <c r="B258" s="408"/>
      <c r="C258" s="13" t="s">
        <v>82</v>
      </c>
      <c r="D258" s="27"/>
      <c r="E258" s="14">
        <f>E260</f>
        <v>6.9</v>
      </c>
      <c r="F258" s="14">
        <f t="shared" ref="F258:H258" si="26">F260</f>
        <v>6.9</v>
      </c>
      <c r="G258" s="14">
        <f t="shared" si="26"/>
        <v>6.9</v>
      </c>
      <c r="H258" s="377">
        <f t="shared" si="26"/>
        <v>6.9</v>
      </c>
      <c r="I258" s="314"/>
      <c r="J258" s="203"/>
      <c r="K258" s="203"/>
      <c r="L258" s="203"/>
      <c r="M258" s="203"/>
      <c r="N258" s="315"/>
    </row>
    <row r="259" spans="2:14" ht="19.149999999999999" customHeight="1" x14ac:dyDescent="0.2">
      <c r="B259" s="407"/>
      <c r="C259" s="45" t="s">
        <v>83</v>
      </c>
      <c r="D259" s="33"/>
      <c r="E259" s="35"/>
      <c r="F259" s="35"/>
      <c r="G259" s="35"/>
      <c r="H259" s="390"/>
      <c r="I259" s="299"/>
      <c r="J259" s="191"/>
      <c r="K259" s="191"/>
      <c r="L259" s="191"/>
      <c r="M259" s="191"/>
      <c r="N259" s="270"/>
    </row>
    <row r="260" spans="2:14" ht="32.25" customHeight="1" thickBot="1" x14ac:dyDescent="0.25">
      <c r="B260" s="690"/>
      <c r="C260" s="542" t="s">
        <v>26</v>
      </c>
      <c r="D260" s="568"/>
      <c r="E260" s="550">
        <v>6.9</v>
      </c>
      <c r="F260" s="550">
        <v>6.9</v>
      </c>
      <c r="G260" s="550">
        <v>6.9</v>
      </c>
      <c r="H260" s="551">
        <v>6.9</v>
      </c>
      <c r="I260" s="364"/>
      <c r="J260" s="272"/>
      <c r="K260" s="272"/>
      <c r="L260" s="272"/>
      <c r="M260" s="272"/>
      <c r="N260" s="273"/>
    </row>
    <row r="261" spans="2:14" ht="47.25" customHeight="1" x14ac:dyDescent="0.2">
      <c r="B261" s="552" t="s">
        <v>372</v>
      </c>
      <c r="C261" s="546" t="s">
        <v>582</v>
      </c>
      <c r="D261" s="577" t="s">
        <v>103</v>
      </c>
      <c r="E261" s="547"/>
      <c r="F261" s="547"/>
      <c r="G261" s="547"/>
      <c r="H261" s="548"/>
      <c r="I261" s="566" t="s">
        <v>373</v>
      </c>
      <c r="J261" s="577">
        <v>2</v>
      </c>
      <c r="K261" s="577">
        <v>2</v>
      </c>
      <c r="L261" s="577">
        <v>2</v>
      </c>
      <c r="M261" s="577">
        <v>2</v>
      </c>
      <c r="N261" s="541"/>
    </row>
    <row r="262" spans="2:14" ht="19.149999999999999" customHeight="1" x14ac:dyDescent="0.2">
      <c r="B262" s="412"/>
      <c r="C262" s="141" t="s">
        <v>82</v>
      </c>
      <c r="D262" s="137"/>
      <c r="E262" s="104">
        <f>E264</f>
        <v>10</v>
      </c>
      <c r="F262" s="104">
        <f t="shared" ref="F262:H262" si="27">F264</f>
        <v>10</v>
      </c>
      <c r="G262" s="104">
        <f t="shared" si="27"/>
        <v>10</v>
      </c>
      <c r="H262" s="381">
        <f t="shared" si="27"/>
        <v>10</v>
      </c>
      <c r="I262" s="344" t="s">
        <v>374</v>
      </c>
      <c r="J262" s="137">
        <v>20</v>
      </c>
      <c r="K262" s="137">
        <v>20</v>
      </c>
      <c r="L262" s="137">
        <v>20</v>
      </c>
      <c r="M262" s="137">
        <v>20</v>
      </c>
      <c r="N262" s="317"/>
    </row>
    <row r="263" spans="2:14" ht="16.5" customHeight="1" x14ac:dyDescent="0.2">
      <c r="B263" s="393"/>
      <c r="C263" s="142" t="s">
        <v>83</v>
      </c>
      <c r="D263" s="122"/>
      <c r="E263" s="102"/>
      <c r="F263" s="102"/>
      <c r="G263" s="102"/>
      <c r="H263" s="372"/>
      <c r="I263" s="299"/>
      <c r="J263" s="191"/>
      <c r="K263" s="191"/>
      <c r="L263" s="191"/>
      <c r="M263" s="191"/>
      <c r="N263" s="270"/>
    </row>
    <row r="264" spans="2:14" ht="34.9" customHeight="1" thickBot="1" x14ac:dyDescent="0.25">
      <c r="B264" s="578"/>
      <c r="C264" s="579" t="s">
        <v>26</v>
      </c>
      <c r="D264" s="257"/>
      <c r="E264" s="550">
        <v>10</v>
      </c>
      <c r="F264" s="550">
        <v>10</v>
      </c>
      <c r="G264" s="550">
        <v>10</v>
      </c>
      <c r="H264" s="551">
        <v>10</v>
      </c>
      <c r="I264" s="364"/>
      <c r="J264" s="272"/>
      <c r="K264" s="272"/>
      <c r="L264" s="272"/>
      <c r="M264" s="272"/>
      <c r="N264" s="273"/>
    </row>
    <row r="265" spans="2:14" ht="54" customHeight="1" x14ac:dyDescent="0.2">
      <c r="B265" s="569" t="s">
        <v>375</v>
      </c>
      <c r="C265" s="553" t="s">
        <v>376</v>
      </c>
      <c r="D265" s="536" t="s">
        <v>97</v>
      </c>
      <c r="E265" s="554"/>
      <c r="F265" s="554"/>
      <c r="G265" s="554"/>
      <c r="H265" s="555"/>
      <c r="I265" s="728" t="s">
        <v>377</v>
      </c>
      <c r="J265" s="577">
        <v>2</v>
      </c>
      <c r="K265" s="577">
        <v>2</v>
      </c>
      <c r="L265" s="577">
        <v>2</v>
      </c>
      <c r="M265" s="577">
        <v>2</v>
      </c>
      <c r="N265" s="541"/>
    </row>
    <row r="266" spans="2:14" ht="30" customHeight="1" x14ac:dyDescent="0.2">
      <c r="B266" s="378"/>
      <c r="C266" s="13" t="s">
        <v>82</v>
      </c>
      <c r="D266" s="27"/>
      <c r="E266" s="57">
        <f>SUM(E267:E271)</f>
        <v>258.5</v>
      </c>
      <c r="F266" s="57">
        <f t="shared" ref="F266:H266" si="28">SUM(F267:F271)</f>
        <v>257.2</v>
      </c>
      <c r="G266" s="57">
        <f t="shared" si="28"/>
        <v>202.79999999999998</v>
      </c>
      <c r="H266" s="374">
        <f t="shared" si="28"/>
        <v>103.3</v>
      </c>
      <c r="I266" s="350" t="s">
        <v>378</v>
      </c>
      <c r="J266" s="137">
        <v>2.5</v>
      </c>
      <c r="K266" s="137">
        <v>2.5</v>
      </c>
      <c r="L266" s="137">
        <v>2.5</v>
      </c>
      <c r="M266" s="137">
        <v>2.5</v>
      </c>
      <c r="N266" s="317"/>
    </row>
    <row r="267" spans="2:14" ht="19.149999999999999" customHeight="1" x14ac:dyDescent="0.2">
      <c r="B267" s="406"/>
      <c r="C267" s="45" t="s">
        <v>83</v>
      </c>
      <c r="D267" s="33"/>
      <c r="E267" s="189"/>
      <c r="F267" s="35"/>
      <c r="G267" s="35"/>
      <c r="H267" s="390"/>
      <c r="I267" s="299"/>
      <c r="J267" s="191"/>
      <c r="K267" s="191"/>
      <c r="L267" s="191"/>
      <c r="M267" s="191"/>
      <c r="N267" s="270"/>
    </row>
    <row r="268" spans="2:14" ht="28.15" customHeight="1" x14ac:dyDescent="0.2">
      <c r="B268" s="407"/>
      <c r="C268" s="15" t="s">
        <v>26</v>
      </c>
      <c r="D268" s="33"/>
      <c r="E268" s="103">
        <v>105</v>
      </c>
      <c r="F268" s="102">
        <v>105</v>
      </c>
      <c r="G268" s="102">
        <v>61.3</v>
      </c>
      <c r="H268" s="372"/>
      <c r="I268" s="299"/>
      <c r="J268" s="191"/>
      <c r="K268" s="191"/>
      <c r="L268" s="191"/>
      <c r="M268" s="191"/>
      <c r="N268" s="270"/>
    </row>
    <row r="269" spans="2:14" ht="28.15" customHeight="1" x14ac:dyDescent="0.2">
      <c r="B269" s="407"/>
      <c r="C269" s="24" t="s">
        <v>153</v>
      </c>
      <c r="D269" s="33"/>
      <c r="E269" s="103">
        <v>135.9</v>
      </c>
      <c r="F269" s="102">
        <v>147.4</v>
      </c>
      <c r="G269" s="102">
        <v>137.9</v>
      </c>
      <c r="H269" s="372">
        <v>103.3</v>
      </c>
      <c r="I269" s="299"/>
      <c r="J269" s="191"/>
      <c r="K269" s="191"/>
      <c r="L269" s="191"/>
      <c r="M269" s="191"/>
      <c r="N269" s="270"/>
    </row>
    <row r="270" spans="2:14" ht="21.6" customHeight="1" x14ac:dyDescent="0.2">
      <c r="B270" s="407"/>
      <c r="C270" s="113" t="s">
        <v>145</v>
      </c>
      <c r="D270" s="33"/>
      <c r="E270" s="103">
        <v>4.8</v>
      </c>
      <c r="F270" s="102">
        <v>4.8</v>
      </c>
      <c r="G270" s="102">
        <v>3.6</v>
      </c>
      <c r="H270" s="372"/>
      <c r="I270" s="299"/>
      <c r="J270" s="191"/>
      <c r="K270" s="191"/>
      <c r="L270" s="191"/>
      <c r="M270" s="191"/>
      <c r="N270" s="270"/>
    </row>
    <row r="271" spans="2:14" ht="20.45" customHeight="1" thickBot="1" x14ac:dyDescent="0.25">
      <c r="B271" s="690"/>
      <c r="C271" s="579" t="s">
        <v>146</v>
      </c>
      <c r="D271" s="568"/>
      <c r="E271" s="550">
        <v>12.8</v>
      </c>
      <c r="F271" s="550"/>
      <c r="G271" s="550"/>
      <c r="H271" s="551"/>
      <c r="I271" s="364"/>
      <c r="J271" s="272"/>
      <c r="K271" s="272"/>
      <c r="L271" s="272"/>
      <c r="M271" s="272"/>
      <c r="N271" s="273"/>
    </row>
    <row r="272" spans="2:14" ht="32.450000000000003" customHeight="1" x14ac:dyDescent="0.2">
      <c r="B272" s="569"/>
      <c r="C272" s="553" t="s">
        <v>379</v>
      </c>
      <c r="D272" s="536" t="s">
        <v>97</v>
      </c>
      <c r="E272" s="554"/>
      <c r="F272" s="554"/>
      <c r="G272" s="554"/>
      <c r="H272" s="555"/>
      <c r="I272" s="729" t="s">
        <v>380</v>
      </c>
      <c r="J272" s="730">
        <v>120</v>
      </c>
      <c r="K272" s="730"/>
      <c r="L272" s="730"/>
      <c r="M272" s="730"/>
      <c r="N272" s="731"/>
    </row>
    <row r="273" spans="2:14" ht="21.75" customHeight="1" x14ac:dyDescent="0.2">
      <c r="B273" s="414"/>
      <c r="C273" s="71" t="s">
        <v>82</v>
      </c>
      <c r="D273" s="27"/>
      <c r="E273" s="14">
        <f>SUM(E275:E275)</f>
        <v>12.1</v>
      </c>
      <c r="F273" s="14"/>
      <c r="G273" s="14"/>
      <c r="H273" s="377"/>
      <c r="I273" s="314"/>
      <c r="J273" s="203"/>
      <c r="K273" s="203"/>
      <c r="L273" s="203"/>
      <c r="M273" s="203"/>
      <c r="N273" s="315"/>
    </row>
    <row r="274" spans="2:14" ht="18" customHeight="1" x14ac:dyDescent="0.2">
      <c r="B274" s="1081"/>
      <c r="C274" s="142" t="s">
        <v>83</v>
      </c>
      <c r="D274" s="122"/>
      <c r="E274" s="102"/>
      <c r="F274" s="102"/>
      <c r="G274" s="102"/>
      <c r="H274" s="372"/>
      <c r="I274" s="299"/>
      <c r="J274" s="191"/>
      <c r="K274" s="191"/>
      <c r="L274" s="191"/>
      <c r="M274" s="191"/>
      <c r="N274" s="270"/>
    </row>
    <row r="275" spans="2:14" ht="18.600000000000001" customHeight="1" thickBot="1" x14ac:dyDescent="0.25">
      <c r="B275" s="1082"/>
      <c r="C275" s="579" t="s">
        <v>146</v>
      </c>
      <c r="D275" s="257"/>
      <c r="E275" s="550">
        <v>12.1</v>
      </c>
      <c r="F275" s="550"/>
      <c r="G275" s="550"/>
      <c r="H275" s="551"/>
      <c r="I275" s="364"/>
      <c r="J275" s="272"/>
      <c r="K275" s="272"/>
      <c r="L275" s="272"/>
      <c r="M275" s="272"/>
      <c r="N275" s="273"/>
    </row>
    <row r="276" spans="2:14" ht="43.5" customHeight="1" x14ac:dyDescent="0.2">
      <c r="B276" s="552" t="s">
        <v>381</v>
      </c>
      <c r="C276" s="732" t="s">
        <v>382</v>
      </c>
      <c r="D276" s="577" t="s">
        <v>97</v>
      </c>
      <c r="E276" s="547"/>
      <c r="F276" s="547"/>
      <c r="G276" s="547"/>
      <c r="H276" s="548"/>
      <c r="I276" s="729" t="s">
        <v>383</v>
      </c>
      <c r="J276" s="730"/>
      <c r="K276" s="730">
        <v>55</v>
      </c>
      <c r="L276" s="730">
        <v>65</v>
      </c>
      <c r="M276" s="730">
        <v>75</v>
      </c>
      <c r="N276" s="733"/>
    </row>
    <row r="277" spans="2:14" ht="19.5" customHeight="1" x14ac:dyDescent="0.2">
      <c r="B277" s="415"/>
      <c r="C277" s="145" t="s">
        <v>86</v>
      </c>
      <c r="D277" s="137"/>
      <c r="E277" s="104">
        <f t="shared" ref="E277" si="29">E279</f>
        <v>0</v>
      </c>
      <c r="F277" s="104">
        <f t="shared" ref="F277:H277" si="30">F279</f>
        <v>0</v>
      </c>
      <c r="G277" s="104">
        <f t="shared" si="30"/>
        <v>0</v>
      </c>
      <c r="H277" s="381">
        <f t="shared" si="30"/>
        <v>0</v>
      </c>
      <c r="I277" s="314"/>
      <c r="J277" s="203"/>
      <c r="K277" s="203"/>
      <c r="L277" s="203"/>
      <c r="M277" s="203"/>
      <c r="N277" s="315"/>
    </row>
    <row r="278" spans="2:14" ht="16.5" customHeight="1" x14ac:dyDescent="0.2">
      <c r="B278" s="393"/>
      <c r="C278" s="142" t="s">
        <v>87</v>
      </c>
      <c r="D278" s="122"/>
      <c r="E278" s="102"/>
      <c r="F278" s="102"/>
      <c r="G278" s="102"/>
      <c r="H278" s="372"/>
      <c r="I278" s="299"/>
      <c r="J278" s="191"/>
      <c r="K278" s="191"/>
      <c r="L278" s="191"/>
      <c r="M278" s="191"/>
      <c r="N278" s="270"/>
    </row>
    <row r="279" spans="2:14" ht="30.75" customHeight="1" thickBot="1" x14ac:dyDescent="0.25">
      <c r="B279" s="578"/>
      <c r="C279" s="734" t="s">
        <v>153</v>
      </c>
      <c r="D279" s="257"/>
      <c r="E279" s="550"/>
      <c r="F279" s="550"/>
      <c r="G279" s="550"/>
      <c r="H279" s="551"/>
      <c r="I279" s="364"/>
      <c r="J279" s="272"/>
      <c r="K279" s="272"/>
      <c r="L279" s="272"/>
      <c r="M279" s="272"/>
      <c r="N279" s="273"/>
    </row>
    <row r="280" spans="2:14" ht="32.450000000000003" customHeight="1" x14ac:dyDescent="0.2">
      <c r="B280" s="552" t="s">
        <v>384</v>
      </c>
      <c r="C280" s="732" t="s">
        <v>385</v>
      </c>
      <c r="D280" s="577" t="s">
        <v>97</v>
      </c>
      <c r="E280" s="547"/>
      <c r="F280" s="547"/>
      <c r="G280" s="547"/>
      <c r="H280" s="548"/>
      <c r="I280" s="729" t="s">
        <v>386</v>
      </c>
      <c r="J280" s="730"/>
      <c r="K280" s="577">
        <v>1</v>
      </c>
      <c r="L280" s="730"/>
      <c r="M280" s="730"/>
      <c r="N280" s="733"/>
    </row>
    <row r="281" spans="2:14" ht="19.5" customHeight="1" x14ac:dyDescent="0.2">
      <c r="B281" s="415"/>
      <c r="C281" s="145" t="s">
        <v>86</v>
      </c>
      <c r="D281" s="137"/>
      <c r="E281" s="104">
        <f t="shared" ref="E281" si="31">E283</f>
        <v>0</v>
      </c>
      <c r="F281" s="104">
        <f t="shared" ref="F281:H281" si="32">F283</f>
        <v>0</v>
      </c>
      <c r="G281" s="104">
        <f t="shared" si="32"/>
        <v>0</v>
      </c>
      <c r="H281" s="381">
        <f t="shared" si="32"/>
        <v>0</v>
      </c>
      <c r="I281" s="314"/>
      <c r="J281" s="203"/>
      <c r="K281" s="203"/>
      <c r="L281" s="203"/>
      <c r="M281" s="203"/>
      <c r="N281" s="315"/>
    </row>
    <row r="282" spans="2:14" ht="16.5" customHeight="1" x14ac:dyDescent="0.2">
      <c r="B282" s="393"/>
      <c r="C282" s="142" t="s">
        <v>87</v>
      </c>
      <c r="D282" s="122"/>
      <c r="E282" s="102"/>
      <c r="F282" s="102"/>
      <c r="G282" s="102"/>
      <c r="H282" s="372"/>
      <c r="I282" s="299"/>
      <c r="J282" s="191"/>
      <c r="K282" s="191"/>
      <c r="L282" s="191"/>
      <c r="M282" s="191"/>
      <c r="N282" s="270"/>
    </row>
    <row r="283" spans="2:14" ht="17.45" customHeight="1" thickBot="1" x14ac:dyDescent="0.25">
      <c r="B283" s="578"/>
      <c r="C283" s="735" t="s">
        <v>387</v>
      </c>
      <c r="D283" s="257"/>
      <c r="E283" s="550"/>
      <c r="F283" s="550"/>
      <c r="G283" s="550"/>
      <c r="H283" s="551"/>
      <c r="I283" s="364"/>
      <c r="J283" s="272"/>
      <c r="K283" s="272"/>
      <c r="L283" s="272"/>
      <c r="M283" s="272"/>
      <c r="N283" s="273"/>
    </row>
    <row r="284" spans="2:14" ht="54.75" customHeight="1" x14ac:dyDescent="0.2">
      <c r="B284" s="736" t="s">
        <v>388</v>
      </c>
      <c r="C284" s="737" t="s">
        <v>389</v>
      </c>
      <c r="D284" s="738" t="s">
        <v>390</v>
      </c>
      <c r="E284" s="547"/>
      <c r="F284" s="547"/>
      <c r="G284" s="547"/>
      <c r="H284" s="548"/>
      <c r="I284" s="729" t="s">
        <v>391</v>
      </c>
      <c r="J284" s="730">
        <v>70</v>
      </c>
      <c r="K284" s="739">
        <v>275</v>
      </c>
      <c r="L284" s="739">
        <v>275</v>
      </c>
      <c r="M284" s="739">
        <v>275</v>
      </c>
      <c r="N284" s="733"/>
    </row>
    <row r="285" spans="2:14" ht="32.25" customHeight="1" x14ac:dyDescent="0.2">
      <c r="B285" s="416"/>
      <c r="C285" s="166" t="s">
        <v>86</v>
      </c>
      <c r="D285" s="137"/>
      <c r="E285" s="104">
        <f>E287+E288</f>
        <v>88.9</v>
      </c>
      <c r="F285" s="104">
        <f t="shared" ref="F285:H285" si="33">F287+F288</f>
        <v>343.5</v>
      </c>
      <c r="G285" s="104">
        <f t="shared" si="33"/>
        <v>343</v>
      </c>
      <c r="H285" s="381">
        <f t="shared" si="33"/>
        <v>303.39999999999998</v>
      </c>
      <c r="I285" s="351" t="s">
        <v>392</v>
      </c>
      <c r="J285" s="233">
        <v>27</v>
      </c>
      <c r="K285" s="234">
        <v>227</v>
      </c>
      <c r="L285" s="235">
        <v>200</v>
      </c>
      <c r="M285" s="235">
        <v>200</v>
      </c>
      <c r="N285" s="352"/>
    </row>
    <row r="286" spans="2:14" ht="17.45" customHeight="1" x14ac:dyDescent="0.2">
      <c r="B286" s="1078"/>
      <c r="C286" s="167" t="s">
        <v>87</v>
      </c>
      <c r="D286" s="122"/>
      <c r="E286" s="102"/>
      <c r="F286" s="102"/>
      <c r="G286" s="102"/>
      <c r="H286" s="372"/>
      <c r="I286" s="299"/>
      <c r="J286" s="191"/>
      <c r="K286" s="191"/>
      <c r="L286" s="191"/>
      <c r="M286" s="191"/>
      <c r="N286" s="270"/>
    </row>
    <row r="287" spans="2:14" ht="17.45" customHeight="1" x14ac:dyDescent="0.2">
      <c r="B287" s="1080"/>
      <c r="C287" s="168" t="s">
        <v>68</v>
      </c>
      <c r="D287" s="122"/>
      <c r="E287" s="102">
        <v>66.7</v>
      </c>
      <c r="F287" s="102">
        <v>257.60000000000002</v>
      </c>
      <c r="G287" s="102">
        <v>257.2</v>
      </c>
      <c r="H287" s="372">
        <v>227.6</v>
      </c>
      <c r="I287" s="299"/>
      <c r="J287" s="191"/>
      <c r="K287" s="191"/>
      <c r="L287" s="191"/>
      <c r="M287" s="191"/>
      <c r="N287" s="270"/>
    </row>
    <row r="288" spans="2:14" ht="19.5" customHeight="1" thickBot="1" x14ac:dyDescent="0.25">
      <c r="B288" s="1079"/>
      <c r="C288" s="740" t="s">
        <v>91</v>
      </c>
      <c r="D288" s="257"/>
      <c r="E288" s="550">
        <v>22.2</v>
      </c>
      <c r="F288" s="550">
        <v>85.9</v>
      </c>
      <c r="G288" s="550">
        <v>85.8</v>
      </c>
      <c r="H288" s="551">
        <v>75.8</v>
      </c>
      <c r="I288" s="364"/>
      <c r="J288" s="272"/>
      <c r="K288" s="272"/>
      <c r="L288" s="272"/>
      <c r="M288" s="272"/>
      <c r="N288" s="273"/>
    </row>
    <row r="289" spans="2:14" ht="45.75" customHeight="1" x14ac:dyDescent="0.2">
      <c r="B289" s="552" t="s">
        <v>393</v>
      </c>
      <c r="C289" s="732" t="s">
        <v>394</v>
      </c>
      <c r="D289" s="577" t="s">
        <v>97</v>
      </c>
      <c r="E289" s="547"/>
      <c r="F289" s="547"/>
      <c r="G289" s="547"/>
      <c r="H289" s="548"/>
      <c r="I289" s="566" t="s">
        <v>395</v>
      </c>
      <c r="J289" s="577"/>
      <c r="K289" s="577">
        <v>86</v>
      </c>
      <c r="L289" s="577">
        <v>171</v>
      </c>
      <c r="M289" s="577">
        <v>171</v>
      </c>
      <c r="N289" s="741"/>
    </row>
    <row r="290" spans="2:14" ht="19.5" customHeight="1" x14ac:dyDescent="0.2">
      <c r="B290" s="415"/>
      <c r="C290" s="145" t="s">
        <v>86</v>
      </c>
      <c r="D290" s="137"/>
      <c r="E290" s="104"/>
      <c r="F290" s="104">
        <f t="shared" ref="F290:H290" si="34">F292</f>
        <v>466.4</v>
      </c>
      <c r="G290" s="104">
        <f t="shared" si="34"/>
        <v>932.8</v>
      </c>
      <c r="H290" s="381">
        <f t="shared" si="34"/>
        <v>932.8</v>
      </c>
      <c r="I290" s="314"/>
      <c r="J290" s="203"/>
      <c r="K290" s="203"/>
      <c r="L290" s="203"/>
      <c r="M290" s="203"/>
      <c r="N290" s="315"/>
    </row>
    <row r="291" spans="2:14" ht="16.5" customHeight="1" x14ac:dyDescent="0.2">
      <c r="B291" s="393"/>
      <c r="C291" s="116" t="s">
        <v>87</v>
      </c>
      <c r="D291" s="122"/>
      <c r="E291" s="102"/>
      <c r="F291" s="102"/>
      <c r="G291" s="102"/>
      <c r="H291" s="372"/>
      <c r="I291" s="299"/>
      <c r="J291" s="191"/>
      <c r="K291" s="191"/>
      <c r="L291" s="191"/>
      <c r="M291" s="191"/>
      <c r="N291" s="270"/>
    </row>
    <row r="292" spans="2:14" ht="17.45" customHeight="1" thickBot="1" x14ac:dyDescent="0.25">
      <c r="B292" s="578"/>
      <c r="C292" s="742" t="s">
        <v>68</v>
      </c>
      <c r="D292" s="257"/>
      <c r="E292" s="550"/>
      <c r="F292" s="550">
        <v>466.4</v>
      </c>
      <c r="G292" s="550">
        <v>932.8</v>
      </c>
      <c r="H292" s="551">
        <v>932.8</v>
      </c>
      <c r="I292" s="364"/>
      <c r="J292" s="272"/>
      <c r="K292" s="272"/>
      <c r="L292" s="272"/>
      <c r="M292" s="272"/>
      <c r="N292" s="273"/>
    </row>
    <row r="293" spans="2:14" ht="67.5" customHeight="1" x14ac:dyDescent="0.2">
      <c r="B293" s="583" t="s">
        <v>396</v>
      </c>
      <c r="C293" s="584" t="s">
        <v>397</v>
      </c>
      <c r="D293" s="584"/>
      <c r="E293" s="584"/>
      <c r="F293" s="584"/>
      <c r="G293" s="584"/>
      <c r="H293" s="743"/>
      <c r="I293" s="587"/>
      <c r="J293" s="588"/>
      <c r="K293" s="588"/>
      <c r="L293" s="588"/>
      <c r="M293" s="588"/>
      <c r="N293" s="589"/>
    </row>
    <row r="294" spans="2:14" ht="44.25" customHeight="1" x14ac:dyDescent="0.2">
      <c r="B294" s="744"/>
      <c r="C294" s="745"/>
      <c r="D294" s="745"/>
      <c r="E294" s="745"/>
      <c r="F294" s="745"/>
      <c r="G294" s="745"/>
      <c r="H294" s="746"/>
      <c r="I294" s="747" t="s">
        <v>398</v>
      </c>
      <c r="J294" s="748">
        <v>1</v>
      </c>
      <c r="K294" s="748">
        <v>2</v>
      </c>
      <c r="L294" s="748">
        <v>3</v>
      </c>
      <c r="M294" s="748">
        <v>4</v>
      </c>
      <c r="N294" s="749"/>
    </row>
    <row r="295" spans="2:14" ht="46.15" customHeight="1" thickBot="1" x14ac:dyDescent="0.25">
      <c r="B295" s="750" t="s">
        <v>399</v>
      </c>
      <c r="C295" s="590" t="s">
        <v>400</v>
      </c>
      <c r="D295" s="591"/>
      <c r="E295" s="751"/>
      <c r="F295" s="751"/>
      <c r="G295" s="751"/>
      <c r="H295" s="752"/>
      <c r="I295" s="753"/>
      <c r="J295" s="754"/>
      <c r="K295" s="754"/>
      <c r="L295" s="754"/>
      <c r="M295" s="754"/>
      <c r="N295" s="755"/>
    </row>
    <row r="296" spans="2:14" ht="45" customHeight="1" x14ac:dyDescent="0.2">
      <c r="B296" s="1015" t="s">
        <v>401</v>
      </c>
      <c r="C296" s="641" t="s">
        <v>402</v>
      </c>
      <c r="D296" s="1071" t="s">
        <v>403</v>
      </c>
      <c r="E296" s="473"/>
      <c r="F296" s="473"/>
      <c r="G296" s="473"/>
      <c r="H296" s="474"/>
      <c r="I296" s="355" t="s">
        <v>404</v>
      </c>
      <c r="J296" s="247">
        <v>35</v>
      </c>
      <c r="K296" s="247">
        <v>70</v>
      </c>
      <c r="L296" s="759">
        <v>99</v>
      </c>
      <c r="M296" s="759">
        <v>100</v>
      </c>
      <c r="N296" s="638" t="s">
        <v>405</v>
      </c>
    </row>
    <row r="297" spans="2:14" ht="31.15" customHeight="1" x14ac:dyDescent="0.2">
      <c r="B297" s="1016"/>
      <c r="C297" s="43" t="s">
        <v>26</v>
      </c>
      <c r="D297" s="1072"/>
      <c r="E297" s="132">
        <v>603.6</v>
      </c>
      <c r="F297" s="179">
        <v>1866.9</v>
      </c>
      <c r="G297" s="180">
        <v>614.20000000000005</v>
      </c>
      <c r="H297" s="417">
        <v>20</v>
      </c>
      <c r="I297" s="353" t="s">
        <v>406</v>
      </c>
      <c r="J297" s="237"/>
      <c r="K297" s="237"/>
      <c r="L297" s="238"/>
      <c r="M297" s="238">
        <v>100</v>
      </c>
      <c r="N297" s="320"/>
    </row>
    <row r="298" spans="2:14" ht="42" customHeight="1" x14ac:dyDescent="0.2">
      <c r="B298" s="1016"/>
      <c r="C298" s="155" t="s">
        <v>153</v>
      </c>
      <c r="D298" s="1072"/>
      <c r="E298" s="132">
        <f>3000-200</f>
        <v>2800</v>
      </c>
      <c r="F298" s="179">
        <v>4184.1000000000004</v>
      </c>
      <c r="G298" s="172">
        <v>1239.0999999999999</v>
      </c>
      <c r="H298" s="418">
        <v>50</v>
      </c>
      <c r="I298" s="302" t="s">
        <v>407</v>
      </c>
      <c r="J298" s="237" t="s">
        <v>408</v>
      </c>
      <c r="K298" s="237"/>
      <c r="L298" s="238"/>
      <c r="M298" s="238">
        <v>81</v>
      </c>
      <c r="N298" s="320"/>
    </row>
    <row r="299" spans="2:14" ht="45.75" customHeight="1" thickBot="1" x14ac:dyDescent="0.25">
      <c r="B299" s="1017"/>
      <c r="C299" s="760"/>
      <c r="D299" s="662"/>
      <c r="E299" s="761"/>
      <c r="F299" s="762"/>
      <c r="G299" s="763"/>
      <c r="H299" s="764"/>
      <c r="I299" s="481" t="s">
        <v>409</v>
      </c>
      <c r="J299" s="765" t="s">
        <v>408</v>
      </c>
      <c r="K299" s="765"/>
      <c r="L299" s="765"/>
      <c r="M299" s="765"/>
      <c r="N299" s="766"/>
    </row>
    <row r="300" spans="2:14" ht="69.75" customHeight="1" x14ac:dyDescent="0.2">
      <c r="B300" s="1094" t="s">
        <v>410</v>
      </c>
      <c r="C300" s="236" t="s">
        <v>411</v>
      </c>
      <c r="D300" s="1086" t="s">
        <v>583</v>
      </c>
      <c r="E300" s="756"/>
      <c r="F300" s="757"/>
      <c r="G300" s="757"/>
      <c r="H300" s="758"/>
      <c r="I300" s="330" t="s">
        <v>412</v>
      </c>
      <c r="J300" s="237" t="s">
        <v>408</v>
      </c>
      <c r="K300" s="237"/>
      <c r="L300" s="237"/>
      <c r="M300" s="143"/>
      <c r="N300" s="264"/>
    </row>
    <row r="301" spans="2:14" ht="58.5" customHeight="1" x14ac:dyDescent="0.2">
      <c r="B301" s="1094"/>
      <c r="C301" s="160" t="s">
        <v>26</v>
      </c>
      <c r="D301" s="1087"/>
      <c r="E301" s="170">
        <f>E304+E308+E312+E316+E307+E311+E315</f>
        <v>151.9</v>
      </c>
      <c r="F301" s="123">
        <f>F304+F308+F312+F316+F307+F311+F315</f>
        <v>1119.6999999999998</v>
      </c>
      <c r="G301" s="123">
        <f>G304+G308+G312+G316+G307+G311+G315</f>
        <v>1116.6000000000001</v>
      </c>
      <c r="H301" s="419">
        <f>H304+H308+H312+H316+H307+H311+H315</f>
        <v>2079.9</v>
      </c>
      <c r="I301" s="324" t="s">
        <v>413</v>
      </c>
      <c r="J301" s="280" t="s">
        <v>408</v>
      </c>
      <c r="K301" s="280"/>
      <c r="L301" s="232"/>
      <c r="M301" s="122"/>
      <c r="N301" s="252"/>
    </row>
    <row r="302" spans="2:14" ht="63.75" customHeight="1" thickBot="1" x14ac:dyDescent="0.25">
      <c r="B302" s="1094"/>
      <c r="C302" s="242" t="s">
        <v>153</v>
      </c>
      <c r="D302" s="1088"/>
      <c r="E302" s="243"/>
      <c r="F302" s="274">
        <f>+F305+F309+F313+F317</f>
        <v>493.7</v>
      </c>
      <c r="G302" s="274">
        <f>+G305+G309+G313+G317</f>
        <v>781.3</v>
      </c>
      <c r="H302" s="420">
        <f>+H305+H309+H313+H317</f>
        <v>1275</v>
      </c>
      <c r="I302" s="354"/>
      <c r="J302" s="244"/>
      <c r="K302" s="244"/>
      <c r="L302" s="244"/>
      <c r="M302" s="244"/>
      <c r="N302" s="275"/>
    </row>
    <row r="303" spans="2:14" ht="29.25" customHeight="1" x14ac:dyDescent="0.2">
      <c r="B303" s="1094"/>
      <c r="C303" s="260" t="s">
        <v>414</v>
      </c>
      <c r="D303" s="1040" t="s">
        <v>415</v>
      </c>
      <c r="E303" s="246"/>
      <c r="F303" s="245"/>
      <c r="G303" s="246"/>
      <c r="H303" s="421"/>
      <c r="I303" s="355" t="s">
        <v>416</v>
      </c>
      <c r="J303" s="247">
        <v>1</v>
      </c>
      <c r="K303" s="248"/>
      <c r="L303" s="249"/>
      <c r="M303" s="250"/>
      <c r="N303" s="251" t="s">
        <v>417</v>
      </c>
    </row>
    <row r="304" spans="2:14" ht="35.25" customHeight="1" x14ac:dyDescent="0.2">
      <c r="B304" s="1094"/>
      <c r="C304" s="43" t="s">
        <v>84</v>
      </c>
      <c r="D304" s="1041"/>
      <c r="E304" s="169">
        <f>59.7+2+81.7</f>
        <v>143.4</v>
      </c>
      <c r="F304" s="133">
        <f>835.1+0.4-835.5+850.3</f>
        <v>850.3</v>
      </c>
      <c r="G304" s="127">
        <f>349.2-349.2+267.6-267.6+252.7</f>
        <v>252.7</v>
      </c>
      <c r="H304" s="422"/>
      <c r="I304" s="300" t="s">
        <v>418</v>
      </c>
      <c r="J304" s="237">
        <v>7</v>
      </c>
      <c r="K304" s="237">
        <v>80</v>
      </c>
      <c r="L304" s="238">
        <v>100</v>
      </c>
      <c r="M304" s="122"/>
      <c r="N304" s="252"/>
    </row>
    <row r="305" spans="2:14" ht="35.25" customHeight="1" thickBot="1" x14ac:dyDescent="0.25">
      <c r="B305" s="1094"/>
      <c r="C305" s="767" t="s">
        <v>153</v>
      </c>
      <c r="D305" s="1042"/>
      <c r="E305" s="243"/>
      <c r="F305" s="768">
        <f>508.9-508.9+493.7</f>
        <v>493.7</v>
      </c>
      <c r="G305" s="769">
        <f>129-129+143.8</f>
        <v>143.80000000000001</v>
      </c>
      <c r="H305" s="770"/>
      <c r="I305" s="356" t="s">
        <v>419</v>
      </c>
      <c r="J305" s="262"/>
      <c r="K305" s="262"/>
      <c r="L305" s="263">
        <v>100</v>
      </c>
      <c r="M305" s="195"/>
      <c r="N305" s="276"/>
    </row>
    <row r="306" spans="2:14" ht="20.25" customHeight="1" x14ac:dyDescent="0.2">
      <c r="B306" s="1094"/>
      <c r="C306" s="260" t="s">
        <v>420</v>
      </c>
      <c r="D306" s="772"/>
      <c r="E306" s="773"/>
      <c r="F306" s="774"/>
      <c r="G306" s="775"/>
      <c r="H306" s="776"/>
      <c r="I306" s="465"/>
      <c r="J306" s="267"/>
      <c r="K306" s="267"/>
      <c r="L306" s="777"/>
      <c r="M306" s="267"/>
      <c r="N306" s="268"/>
    </row>
    <row r="307" spans="2:14" ht="43.5" customHeight="1" x14ac:dyDescent="0.2">
      <c r="B307" s="1094"/>
      <c r="C307" s="161" t="s">
        <v>84</v>
      </c>
      <c r="D307" s="183" t="s">
        <v>421</v>
      </c>
      <c r="E307" s="169">
        <v>8.5</v>
      </c>
      <c r="F307" s="133">
        <v>125.4</v>
      </c>
      <c r="G307" s="127"/>
      <c r="H307" s="422"/>
      <c r="I307" s="302" t="s">
        <v>422</v>
      </c>
      <c r="J307" s="237"/>
      <c r="K307" s="241">
        <v>1</v>
      </c>
      <c r="L307" s="239"/>
      <c r="M307" s="240"/>
      <c r="N307" s="252"/>
    </row>
    <row r="308" spans="2:14" ht="30.6" customHeight="1" x14ac:dyDescent="0.2">
      <c r="B308" s="1094"/>
      <c r="C308" s="161" t="s">
        <v>84</v>
      </c>
      <c r="D308" s="1095" t="s">
        <v>415</v>
      </c>
      <c r="E308" s="169"/>
      <c r="F308" s="133"/>
      <c r="G308" s="127">
        <v>740</v>
      </c>
      <c r="H308" s="422">
        <v>200</v>
      </c>
      <c r="I308" s="300" t="s">
        <v>423</v>
      </c>
      <c r="J308" s="237"/>
      <c r="K308" s="237"/>
      <c r="L308" s="238">
        <v>100</v>
      </c>
      <c r="M308" s="122"/>
      <c r="N308" s="252"/>
    </row>
    <row r="309" spans="2:14" ht="53.25" customHeight="1" thickBot="1" x14ac:dyDescent="0.25">
      <c r="B309" s="1094"/>
      <c r="C309" s="261" t="s">
        <v>153</v>
      </c>
      <c r="D309" s="1096"/>
      <c r="E309" s="253"/>
      <c r="F309" s="259"/>
      <c r="G309" s="254">
        <v>637.5</v>
      </c>
      <c r="H309" s="423"/>
      <c r="I309" s="633" t="s">
        <v>424</v>
      </c>
      <c r="J309" s="255"/>
      <c r="K309" s="255"/>
      <c r="L309" s="256"/>
      <c r="M309" s="257">
        <v>100</v>
      </c>
      <c r="N309" s="258"/>
    </row>
    <row r="310" spans="2:14" ht="15.6" customHeight="1" x14ac:dyDescent="0.2">
      <c r="B310" s="1094"/>
      <c r="C310" s="902" t="s">
        <v>425</v>
      </c>
      <c r="D310" s="772"/>
      <c r="E310" s="773"/>
      <c r="F310" s="774"/>
      <c r="G310" s="775"/>
      <c r="H310" s="776"/>
      <c r="I310" s="465"/>
      <c r="J310" s="267"/>
      <c r="K310" s="267"/>
      <c r="L310" s="267"/>
      <c r="M310" s="267"/>
      <c r="N310" s="268"/>
    </row>
    <row r="311" spans="2:14" ht="41.25" customHeight="1" x14ac:dyDescent="0.2">
      <c r="B311" s="1094"/>
      <c r="C311" s="171" t="s">
        <v>84</v>
      </c>
      <c r="D311" s="173" t="s">
        <v>421</v>
      </c>
      <c r="E311" s="169"/>
      <c r="F311" s="133">
        <v>74.5</v>
      </c>
      <c r="G311" s="127">
        <v>59.5</v>
      </c>
      <c r="H311" s="422"/>
      <c r="I311" s="302" t="s">
        <v>426</v>
      </c>
      <c r="J311" s="237"/>
      <c r="K311" s="241"/>
      <c r="L311" s="277">
        <v>1</v>
      </c>
      <c r="M311" s="240"/>
      <c r="N311" s="252"/>
    </row>
    <row r="312" spans="2:14" ht="27" customHeight="1" x14ac:dyDescent="0.2">
      <c r="B312" s="1094"/>
      <c r="C312" s="171" t="s">
        <v>84</v>
      </c>
      <c r="D312" s="1097" t="s">
        <v>415</v>
      </c>
      <c r="E312" s="169"/>
      <c r="F312" s="133"/>
      <c r="G312" s="127"/>
      <c r="H312" s="422">
        <v>940</v>
      </c>
      <c r="I312" s="300" t="s">
        <v>427</v>
      </c>
      <c r="J312" s="237"/>
      <c r="K312" s="237"/>
      <c r="L312" s="238"/>
      <c r="M312" s="122">
        <v>100</v>
      </c>
      <c r="N312" s="252"/>
    </row>
    <row r="313" spans="2:14" ht="52.5" customHeight="1" thickBot="1" x14ac:dyDescent="0.25">
      <c r="B313" s="1094"/>
      <c r="C313" s="261" t="s">
        <v>153</v>
      </c>
      <c r="D313" s="1098"/>
      <c r="E313" s="253"/>
      <c r="F313" s="259"/>
      <c r="G313" s="254"/>
      <c r="H313" s="423">
        <v>637.5</v>
      </c>
      <c r="I313" s="633" t="s">
        <v>428</v>
      </c>
      <c r="J313" s="255"/>
      <c r="K313" s="255"/>
      <c r="L313" s="256"/>
      <c r="M313" s="257">
        <v>100</v>
      </c>
      <c r="N313" s="258"/>
    </row>
    <row r="314" spans="2:14" ht="17.45" customHeight="1" x14ac:dyDescent="0.2">
      <c r="B314" s="1094"/>
      <c r="C314" s="902" t="s">
        <v>429</v>
      </c>
      <c r="D314" s="772"/>
      <c r="E314" s="773"/>
      <c r="F314" s="774"/>
      <c r="G314" s="775"/>
      <c r="H314" s="776"/>
      <c r="I314" s="465"/>
      <c r="J314" s="267"/>
      <c r="K314" s="267"/>
      <c r="L314" s="267"/>
      <c r="M314" s="267"/>
      <c r="N314" s="268"/>
    </row>
    <row r="315" spans="2:14" ht="40.5" customHeight="1" x14ac:dyDescent="0.2">
      <c r="B315" s="1094"/>
      <c r="C315" s="171" t="s">
        <v>84</v>
      </c>
      <c r="D315" s="183" t="s">
        <v>421</v>
      </c>
      <c r="E315" s="169"/>
      <c r="F315" s="133">
        <v>69.5</v>
      </c>
      <c r="G315" s="127">
        <v>64.400000000000006</v>
      </c>
      <c r="H315" s="422"/>
      <c r="I315" s="302" t="s">
        <v>430</v>
      </c>
      <c r="J315" s="232"/>
      <c r="K315" s="232"/>
      <c r="L315" s="278">
        <v>1</v>
      </c>
      <c r="M315" s="279"/>
      <c r="N315" s="252"/>
    </row>
    <row r="316" spans="2:14" ht="28.5" customHeight="1" x14ac:dyDescent="0.2">
      <c r="B316" s="1094"/>
      <c r="C316" s="161" t="s">
        <v>84</v>
      </c>
      <c r="D316" s="1097" t="s">
        <v>415</v>
      </c>
      <c r="E316" s="169"/>
      <c r="F316" s="133"/>
      <c r="G316" s="127"/>
      <c r="H316" s="422">
        <v>939.9</v>
      </c>
      <c r="I316" s="300" t="s">
        <v>431</v>
      </c>
      <c r="J316" s="237"/>
      <c r="K316" s="237"/>
      <c r="L316" s="238"/>
      <c r="M316" s="122">
        <v>100</v>
      </c>
      <c r="N316" s="252"/>
    </row>
    <row r="317" spans="2:14" ht="54.75" customHeight="1" thickBot="1" x14ac:dyDescent="0.25">
      <c r="B317" s="1094"/>
      <c r="C317" s="261" t="s">
        <v>153</v>
      </c>
      <c r="D317" s="1098"/>
      <c r="E317" s="253"/>
      <c r="F317" s="259"/>
      <c r="G317" s="254"/>
      <c r="H317" s="423">
        <v>637.5</v>
      </c>
      <c r="I317" s="633" t="s">
        <v>432</v>
      </c>
      <c r="J317" s="255"/>
      <c r="K317" s="255"/>
      <c r="L317" s="256"/>
      <c r="M317" s="257">
        <v>100</v>
      </c>
      <c r="N317" s="258"/>
    </row>
    <row r="318" spans="2:14" ht="15.75" customHeight="1" x14ac:dyDescent="0.2">
      <c r="B318" s="1094"/>
      <c r="C318" s="771" t="s">
        <v>433</v>
      </c>
      <c r="D318" s="126"/>
      <c r="E318" s="124"/>
      <c r="F318" s="133"/>
      <c r="G318" s="127"/>
      <c r="H318" s="422"/>
      <c r="I318" s="452"/>
      <c r="J318" s="453"/>
      <c r="K318" s="453"/>
      <c r="L318" s="453"/>
      <c r="M318" s="453"/>
      <c r="N318" s="454"/>
    </row>
    <row r="319" spans="2:14" ht="27" customHeight="1" x14ac:dyDescent="0.2">
      <c r="B319" s="1094"/>
      <c r="C319" s="43" t="s">
        <v>84</v>
      </c>
      <c r="D319" s="126"/>
      <c r="E319" s="124"/>
      <c r="F319" s="133"/>
      <c r="G319" s="127"/>
      <c r="H319" s="422"/>
      <c r="I319" s="299"/>
      <c r="J319" s="191"/>
      <c r="K319" s="191"/>
      <c r="L319" s="191"/>
      <c r="M319" s="191"/>
      <c r="N319" s="270"/>
    </row>
    <row r="320" spans="2:14" ht="16.149999999999999" customHeight="1" x14ac:dyDescent="0.2">
      <c r="B320" s="1094"/>
      <c r="C320" s="125" t="s">
        <v>434</v>
      </c>
      <c r="D320" s="126"/>
      <c r="E320" s="124"/>
      <c r="F320" s="133"/>
      <c r="G320" s="127"/>
      <c r="H320" s="422"/>
      <c r="I320" s="299"/>
      <c r="J320" s="191"/>
      <c r="K320" s="191"/>
      <c r="L320" s="191"/>
      <c r="M320" s="191"/>
      <c r="N320" s="270"/>
    </row>
    <row r="321" spans="2:16" ht="30" customHeight="1" x14ac:dyDescent="0.2">
      <c r="B321" s="1094"/>
      <c r="C321" s="43" t="s">
        <v>84</v>
      </c>
      <c r="D321" s="126"/>
      <c r="E321" s="124"/>
      <c r="F321" s="133"/>
      <c r="G321" s="127"/>
      <c r="H321" s="422"/>
      <c r="I321" s="299"/>
      <c r="J321" s="191"/>
      <c r="K321" s="191"/>
      <c r="L321" s="191"/>
      <c r="M321" s="191"/>
      <c r="N321" s="270"/>
    </row>
    <row r="322" spans="2:16" ht="16.149999999999999" customHeight="1" x14ac:dyDescent="0.2">
      <c r="B322" s="1094"/>
      <c r="C322" s="125" t="s">
        <v>435</v>
      </c>
      <c r="D322" s="126"/>
      <c r="E322" s="124"/>
      <c r="F322" s="133"/>
      <c r="G322" s="127"/>
      <c r="H322" s="422"/>
      <c r="I322" s="299"/>
      <c r="J322" s="191"/>
      <c r="K322" s="191"/>
      <c r="L322" s="191"/>
      <c r="M322" s="191"/>
      <c r="N322" s="270"/>
    </row>
    <row r="323" spans="2:16" ht="28.9" customHeight="1" thickBot="1" x14ac:dyDescent="0.25">
      <c r="B323" s="398"/>
      <c r="C323" s="23" t="s">
        <v>84</v>
      </c>
      <c r="D323" s="126"/>
      <c r="E323" s="778"/>
      <c r="F323" s="779"/>
      <c r="G323" s="780"/>
      <c r="H323" s="781"/>
      <c r="I323" s="354"/>
      <c r="J323" s="244"/>
      <c r="K323" s="244"/>
      <c r="L323" s="244"/>
      <c r="M323" s="244"/>
      <c r="N323" s="275"/>
    </row>
    <row r="324" spans="2:16" ht="30" customHeight="1" x14ac:dyDescent="0.2">
      <c r="B324" s="1015" t="s">
        <v>436</v>
      </c>
      <c r="C324" s="651" t="s">
        <v>437</v>
      </c>
      <c r="D324" s="1060" t="s">
        <v>438</v>
      </c>
      <c r="E324" s="265"/>
      <c r="F324" s="782"/>
      <c r="G324" s="782"/>
      <c r="H324" s="783"/>
      <c r="I324" s="639" t="s">
        <v>439</v>
      </c>
      <c r="J324" s="247">
        <v>1</v>
      </c>
      <c r="K324" s="247"/>
      <c r="L324" s="759"/>
      <c r="M324" s="759"/>
      <c r="N324" s="251"/>
    </row>
    <row r="325" spans="2:16" ht="30" customHeight="1" x14ac:dyDescent="0.2">
      <c r="B325" s="1016"/>
      <c r="C325" s="43" t="s">
        <v>26</v>
      </c>
      <c r="D325" s="1061"/>
      <c r="E325" s="170">
        <v>99.9</v>
      </c>
      <c r="F325" s="174">
        <v>89.9</v>
      </c>
      <c r="G325" s="176">
        <v>70.3</v>
      </c>
      <c r="H325" s="425">
        <v>62.9</v>
      </c>
      <c r="I325" s="300" t="s">
        <v>440</v>
      </c>
      <c r="J325" s="237">
        <v>1</v>
      </c>
      <c r="K325" s="237"/>
      <c r="L325" s="238"/>
      <c r="M325" s="238"/>
      <c r="N325" s="252"/>
    </row>
    <row r="326" spans="2:16" ht="33.75" customHeight="1" x14ac:dyDescent="0.2">
      <c r="B326" s="1016"/>
      <c r="C326" s="157" t="s">
        <v>153</v>
      </c>
      <c r="D326" s="1061"/>
      <c r="E326" s="169">
        <v>533.6</v>
      </c>
      <c r="F326" s="175">
        <v>503.7</v>
      </c>
      <c r="G326" s="127">
        <v>398</v>
      </c>
      <c r="H326" s="426">
        <v>356.6</v>
      </c>
      <c r="I326" s="300" t="s">
        <v>441</v>
      </c>
      <c r="J326" s="237">
        <v>1</v>
      </c>
      <c r="K326" s="237">
        <v>2</v>
      </c>
      <c r="L326" s="238">
        <v>1</v>
      </c>
      <c r="M326" s="238"/>
      <c r="N326" s="252"/>
    </row>
    <row r="327" spans="2:16" ht="22.5" customHeight="1" x14ac:dyDescent="0.2">
      <c r="B327" s="1016"/>
      <c r="C327" s="157"/>
      <c r="D327" s="1061"/>
      <c r="E327" s="169"/>
      <c r="F327" s="175"/>
      <c r="G327" s="127"/>
      <c r="H327" s="426"/>
      <c r="I327" s="300" t="s">
        <v>442</v>
      </c>
      <c r="J327" s="237">
        <v>4</v>
      </c>
      <c r="K327" s="237">
        <v>3</v>
      </c>
      <c r="L327" s="238">
        <v>5</v>
      </c>
      <c r="M327" s="238">
        <v>5</v>
      </c>
      <c r="N327" s="252"/>
    </row>
    <row r="328" spans="2:16" ht="68.25" customHeight="1" x14ac:dyDescent="0.2">
      <c r="B328" s="1016"/>
      <c r="C328" s="157"/>
      <c r="D328" s="1061"/>
      <c r="E328" s="169"/>
      <c r="F328" s="175"/>
      <c r="G328" s="127"/>
      <c r="H328" s="426"/>
      <c r="I328" s="324" t="s">
        <v>412</v>
      </c>
      <c r="J328" s="279"/>
      <c r="K328" s="279"/>
      <c r="L328" s="279"/>
      <c r="M328" s="279"/>
      <c r="N328" s="252"/>
    </row>
    <row r="329" spans="2:16" ht="60" customHeight="1" thickBot="1" x14ac:dyDescent="0.25">
      <c r="B329" s="1017"/>
      <c r="C329" s="784"/>
      <c r="D329" s="1062"/>
      <c r="E329" s="253"/>
      <c r="F329" s="785"/>
      <c r="G329" s="254"/>
      <c r="H329" s="786"/>
      <c r="I329" s="633" t="s">
        <v>443</v>
      </c>
      <c r="J329" s="787"/>
      <c r="K329" s="787"/>
      <c r="L329" s="787"/>
      <c r="M329" s="787"/>
      <c r="N329" s="258"/>
    </row>
    <row r="330" spans="2:16" ht="35.25" customHeight="1" x14ac:dyDescent="0.2">
      <c r="B330" s="1015" t="s">
        <v>444</v>
      </c>
      <c r="C330" s="655" t="s">
        <v>445</v>
      </c>
      <c r="D330" s="1063" t="s">
        <v>446</v>
      </c>
      <c r="E330" s="266"/>
      <c r="F330" s="782"/>
      <c r="G330" s="782"/>
      <c r="H330" s="783"/>
      <c r="I330" s="639" t="s">
        <v>404</v>
      </c>
      <c r="J330" s="247"/>
      <c r="K330" s="247">
        <v>100</v>
      </c>
      <c r="L330" s="759"/>
      <c r="M330" s="489"/>
      <c r="N330" s="638"/>
    </row>
    <row r="331" spans="2:16" ht="27.6" customHeight="1" x14ac:dyDescent="0.2">
      <c r="B331" s="1016"/>
      <c r="C331" s="43" t="s">
        <v>26</v>
      </c>
      <c r="D331" s="1064"/>
      <c r="E331" s="128">
        <f>40-30</f>
        <v>10</v>
      </c>
      <c r="F331" s="128">
        <v>126.8</v>
      </c>
      <c r="G331" s="158">
        <v>15.5</v>
      </c>
      <c r="H331" s="427"/>
      <c r="I331" s="338" t="s">
        <v>447</v>
      </c>
      <c r="J331" s="237"/>
      <c r="K331" s="237"/>
      <c r="L331" s="238">
        <v>100</v>
      </c>
      <c r="M331" s="122"/>
      <c r="N331" s="320"/>
    </row>
    <row r="332" spans="2:16" ht="60" customHeight="1" x14ac:dyDescent="0.2">
      <c r="B332" s="1016"/>
      <c r="C332" s="157" t="s">
        <v>153</v>
      </c>
      <c r="D332" s="1064"/>
      <c r="E332" s="133">
        <v>40</v>
      </c>
      <c r="F332" s="133">
        <v>601.79999999999995</v>
      </c>
      <c r="G332" s="127">
        <v>38.200000000000003</v>
      </c>
      <c r="H332" s="422"/>
      <c r="I332" s="300" t="s">
        <v>448</v>
      </c>
      <c r="J332" s="237" t="s">
        <v>408</v>
      </c>
      <c r="K332" s="237"/>
      <c r="L332" s="238">
        <v>8</v>
      </c>
      <c r="M332" s="122"/>
      <c r="N332" s="320"/>
    </row>
    <row r="333" spans="2:16" ht="60.75" customHeight="1" x14ac:dyDescent="0.2">
      <c r="B333" s="1017"/>
      <c r="C333" s="784"/>
      <c r="D333" s="1065"/>
      <c r="E333" s="259"/>
      <c r="F333" s="259"/>
      <c r="G333" s="254"/>
      <c r="H333" s="423"/>
      <c r="I333" s="646" t="s">
        <v>449</v>
      </c>
      <c r="J333" s="255" t="s">
        <v>408</v>
      </c>
      <c r="K333" s="255"/>
      <c r="L333" s="256"/>
      <c r="M333" s="257"/>
      <c r="N333" s="766"/>
    </row>
    <row r="334" spans="2:16" ht="28.9" customHeight="1" x14ac:dyDescent="0.2">
      <c r="B334" s="1113" t="s">
        <v>450</v>
      </c>
      <c r="C334" s="663" t="s">
        <v>451</v>
      </c>
      <c r="D334" s="1099" t="s">
        <v>452</v>
      </c>
      <c r="E334" s="266"/>
      <c r="F334" s="782"/>
      <c r="G334" s="782"/>
      <c r="H334" s="783"/>
      <c r="I334" s="620" t="s">
        <v>404</v>
      </c>
      <c r="J334" s="489">
        <v>26</v>
      </c>
      <c r="K334" s="489">
        <v>100</v>
      </c>
      <c r="L334" s="489"/>
      <c r="M334" s="489"/>
      <c r="N334" s="638"/>
    </row>
    <row r="335" spans="2:16" ht="29.25" customHeight="1" x14ac:dyDescent="0.2">
      <c r="B335" s="1084"/>
      <c r="C335" s="43" t="s">
        <v>26</v>
      </c>
      <c r="D335" s="1111"/>
      <c r="E335" s="128">
        <f>400-81.7</f>
        <v>318.3</v>
      </c>
      <c r="F335" s="147">
        <f>1004.7+81.7-160.8-831.7</f>
        <v>93.900000000000091</v>
      </c>
      <c r="G335" s="158"/>
      <c r="H335" s="424"/>
      <c r="I335" s="299"/>
      <c r="J335" s="191"/>
      <c r="K335" s="191"/>
      <c r="L335" s="191"/>
      <c r="M335" s="191"/>
      <c r="N335" s="270"/>
      <c r="O335" s="4"/>
      <c r="P335" s="4"/>
    </row>
    <row r="336" spans="2:16" ht="21.6" customHeight="1" x14ac:dyDescent="0.2">
      <c r="B336" s="1084"/>
      <c r="C336" s="945" t="s">
        <v>146</v>
      </c>
      <c r="D336" s="1111"/>
      <c r="E336" s="946">
        <v>1</v>
      </c>
      <c r="F336" s="947"/>
      <c r="G336" s="947"/>
      <c r="H336" s="948"/>
      <c r="I336" s="949"/>
      <c r="J336" s="950"/>
      <c r="K336" s="950"/>
      <c r="L336" s="950"/>
      <c r="M336" s="950"/>
      <c r="N336" s="951"/>
      <c r="O336" s="4"/>
      <c r="P336" s="4"/>
    </row>
    <row r="337" spans="2:16" ht="21.6" customHeight="1" x14ac:dyDescent="0.2">
      <c r="B337" s="1085"/>
      <c r="C337" s="954" t="s">
        <v>453</v>
      </c>
      <c r="D337" s="1112"/>
      <c r="E337" s="939"/>
      <c r="F337" s="940">
        <v>831.7</v>
      </c>
      <c r="G337" s="940"/>
      <c r="H337" s="941"/>
      <c r="I337" s="942"/>
      <c r="J337" s="943"/>
      <c r="K337" s="943"/>
      <c r="L337" s="943"/>
      <c r="M337" s="943"/>
      <c r="N337" s="944"/>
      <c r="O337" s="4"/>
      <c r="P337" s="4"/>
    </row>
    <row r="338" spans="2:16" ht="18" customHeight="1" x14ac:dyDescent="0.2">
      <c r="B338" s="1033" t="s">
        <v>454</v>
      </c>
      <c r="C338" s="663" t="s">
        <v>455</v>
      </c>
      <c r="D338" s="1035" t="s">
        <v>456</v>
      </c>
      <c r="E338" s="266"/>
      <c r="F338" s="782"/>
      <c r="G338" s="789"/>
      <c r="H338" s="790"/>
      <c r="I338" s="639" t="s">
        <v>404</v>
      </c>
      <c r="J338" s="489">
        <v>8</v>
      </c>
      <c r="K338" s="489">
        <v>100</v>
      </c>
      <c r="L338" s="489"/>
      <c r="M338" s="489"/>
      <c r="N338" s="638"/>
      <c r="O338" s="4"/>
      <c r="P338" s="4"/>
    </row>
    <row r="339" spans="2:16" ht="28.5" customHeight="1" thickBot="1" x14ac:dyDescent="0.25">
      <c r="B339" s="1034"/>
      <c r="C339" s="791" t="s">
        <v>26</v>
      </c>
      <c r="D339" s="1036"/>
      <c r="E339" s="788">
        <f>524.7-264.7-200</f>
        <v>60.000000000000057</v>
      </c>
      <c r="F339" s="955">
        <f>800-800+760+40</f>
        <v>800</v>
      </c>
      <c r="G339" s="792"/>
      <c r="H339" s="793"/>
      <c r="I339" s="364"/>
      <c r="J339" s="272"/>
      <c r="K339" s="272"/>
      <c r="L339" s="272"/>
      <c r="M339" s="272"/>
      <c r="N339" s="273"/>
      <c r="O339" s="4"/>
      <c r="P339" s="4"/>
    </row>
    <row r="340" spans="2:16" ht="19.149999999999999" customHeight="1" x14ac:dyDescent="0.2">
      <c r="B340" s="794"/>
      <c r="C340" s="795" t="s">
        <v>82</v>
      </c>
      <c r="D340" s="796"/>
      <c r="E340" s="797">
        <f>SUM(E341:E345)</f>
        <v>4618.3</v>
      </c>
      <c r="F340" s="797">
        <f t="shared" ref="F340:H340" si="35">SUM(F341:F345)</f>
        <v>11205.900000000001</v>
      </c>
      <c r="G340" s="797">
        <f t="shared" si="35"/>
        <v>5054.5</v>
      </c>
      <c r="H340" s="798">
        <f t="shared" si="35"/>
        <v>5119.3999999999996</v>
      </c>
      <c r="I340" s="527"/>
      <c r="J340" s="528"/>
      <c r="K340" s="528"/>
      <c r="L340" s="528"/>
      <c r="M340" s="528"/>
      <c r="N340" s="529"/>
    </row>
    <row r="341" spans="2:16" ht="19.149999999999999" customHeight="1" x14ac:dyDescent="0.2">
      <c r="B341" s="1032"/>
      <c r="C341" s="16" t="s">
        <v>83</v>
      </c>
      <c r="D341" s="30"/>
      <c r="E341" s="31"/>
      <c r="F341" s="31"/>
      <c r="G341" s="31"/>
      <c r="H341" s="430"/>
      <c r="I341" s="299"/>
      <c r="J341" s="191"/>
      <c r="K341" s="191"/>
      <c r="L341" s="191"/>
      <c r="M341" s="191"/>
      <c r="N341" s="270"/>
    </row>
    <row r="342" spans="2:16" ht="28.9" customHeight="1" x14ac:dyDescent="0.2">
      <c r="B342" s="988"/>
      <c r="C342" s="15" t="s">
        <v>84</v>
      </c>
      <c r="D342" s="30"/>
      <c r="E342" s="18">
        <f>SUMIF($C296:$C339,$C325,E296:E339)</f>
        <v>1243.7</v>
      </c>
      <c r="F342" s="18">
        <f>SUMIF($C296:$C339,$C325,F296:F339)</f>
        <v>4097.2000000000007</v>
      </c>
      <c r="G342" s="18">
        <f>SUMIF($C296:$C339,$C325,G296:G339)</f>
        <v>1816.6000000000001</v>
      </c>
      <c r="H342" s="431">
        <f>SUMIF($C296:$C339,$C325,H296:H339)</f>
        <v>2162.8000000000002</v>
      </c>
      <c r="I342" s="299"/>
      <c r="J342" s="191"/>
      <c r="K342" s="191"/>
      <c r="L342" s="191"/>
      <c r="M342" s="191"/>
      <c r="N342" s="270"/>
    </row>
    <row r="343" spans="2:16" ht="28.9" customHeight="1" x14ac:dyDescent="0.2">
      <c r="B343" s="988"/>
      <c r="C343" s="16" t="s">
        <v>294</v>
      </c>
      <c r="D343" s="30"/>
      <c r="E343" s="18">
        <f>SUMIF($C296:$C339,$C298,E296:E339)</f>
        <v>3373.6</v>
      </c>
      <c r="F343" s="18">
        <f>SUMIF($C296:$C339,$C298,F296:F339)</f>
        <v>6277</v>
      </c>
      <c r="G343" s="18">
        <f>SUMIF($C296:$C339,$C298,G296:G339)</f>
        <v>3237.8999999999996</v>
      </c>
      <c r="H343" s="431">
        <f>SUMIF($C296:$C339,$C298,H296:H339)</f>
        <v>2956.6</v>
      </c>
      <c r="I343" s="299"/>
      <c r="J343" s="191"/>
      <c r="K343" s="191"/>
      <c r="L343" s="191"/>
      <c r="M343" s="191"/>
      <c r="N343" s="270"/>
    </row>
    <row r="344" spans="2:16" ht="20.25" customHeight="1" x14ac:dyDescent="0.2">
      <c r="B344" s="988"/>
      <c r="C344" s="16" t="s">
        <v>457</v>
      </c>
      <c r="D344" s="30"/>
      <c r="E344" s="18" cm="1">
        <f t="array" ref="E344">SUMIF($C296:$C340,C00,E296:E340)</f>
        <v>0</v>
      </c>
      <c r="F344" s="18">
        <f>SUMIF($C296:$C339,$C337,F296:F339)</f>
        <v>831.7</v>
      </c>
      <c r="G344" s="952">
        <f>SUMIF($C296:$C339,$C337,G296:G339)</f>
        <v>0</v>
      </c>
      <c r="H344" s="952">
        <f>SUMIF($C296:$C339,$C337,H296:H339)</f>
        <v>0</v>
      </c>
      <c r="I344" s="299"/>
      <c r="J344" s="191"/>
      <c r="K344" s="191"/>
      <c r="L344" s="191"/>
      <c r="M344" s="191"/>
      <c r="N344" s="270"/>
    </row>
    <row r="345" spans="2:16" ht="19.149999999999999" customHeight="1" x14ac:dyDescent="0.2">
      <c r="B345" s="1092"/>
      <c r="C345" s="15" t="s">
        <v>295</v>
      </c>
      <c r="D345" s="30"/>
      <c r="E345" s="18">
        <f>SUMIF($C296:$C339,$C336,E296:E339)</f>
        <v>1</v>
      </c>
      <c r="F345" s="18">
        <f>SUMIF($C296:$C339,$C336,F296:F339)</f>
        <v>0</v>
      </c>
      <c r="G345" s="18">
        <f>SUMIF($C296:$C339,$C336,G296:G339)</f>
        <v>0</v>
      </c>
      <c r="H345" s="431">
        <f>SUMIF($C296:$C339,$C336,H296:H339)</f>
        <v>0</v>
      </c>
      <c r="I345" s="299"/>
      <c r="J345" s="191"/>
      <c r="K345" s="191"/>
      <c r="L345" s="191"/>
      <c r="M345" s="191"/>
      <c r="N345" s="270"/>
    </row>
    <row r="346" spans="2:16" ht="19.149999999999999" customHeight="1" x14ac:dyDescent="0.2">
      <c r="B346" s="432"/>
      <c r="C346" s="12" t="s">
        <v>86</v>
      </c>
      <c r="D346" s="29"/>
      <c r="E346" s="19">
        <f t="shared" ref="E346" si="36">SUM(E347:E348)</f>
        <v>0</v>
      </c>
      <c r="F346" s="19">
        <f t="shared" ref="F346:H346" si="37">SUM(F347:F348)</f>
        <v>0</v>
      </c>
      <c r="G346" s="19">
        <f t="shared" si="37"/>
        <v>0</v>
      </c>
      <c r="H346" s="429">
        <f t="shared" si="37"/>
        <v>0</v>
      </c>
      <c r="I346" s="314"/>
      <c r="J346" s="203"/>
      <c r="K346" s="203"/>
      <c r="L346" s="203"/>
      <c r="M346" s="203"/>
      <c r="N346" s="315"/>
    </row>
    <row r="347" spans="2:16" ht="19.149999999999999" customHeight="1" x14ac:dyDescent="0.2">
      <c r="B347" s="1032"/>
      <c r="C347" s="15" t="s">
        <v>87</v>
      </c>
      <c r="D347" s="30"/>
      <c r="E347" s="18"/>
      <c r="F347" s="18"/>
      <c r="G347" s="18"/>
      <c r="H347" s="431"/>
      <c r="I347" s="299"/>
      <c r="J347" s="191"/>
      <c r="K347" s="191"/>
      <c r="L347" s="191"/>
      <c r="M347" s="191"/>
      <c r="N347" s="270"/>
    </row>
    <row r="348" spans="2:16" ht="19.149999999999999" customHeight="1" thickBot="1" x14ac:dyDescent="0.25">
      <c r="B348" s="989"/>
      <c r="C348" s="542" t="s">
        <v>88</v>
      </c>
      <c r="D348" s="799"/>
      <c r="E348" s="800">
        <f>SUMIF($C296:$C339,#REF!,E296:E339)</f>
        <v>0</v>
      </c>
      <c r="F348" s="800">
        <f>SUMIF($C296:$C339,#REF!,F296:F339)</f>
        <v>0</v>
      </c>
      <c r="G348" s="800">
        <f>SUMIF($C296:$C339,#REF!,G296:G339)</f>
        <v>0</v>
      </c>
      <c r="H348" s="801">
        <f>SUMIF($C296:$C339,#REF!,H296:H339)</f>
        <v>0</v>
      </c>
      <c r="I348" s="364"/>
      <c r="J348" s="272"/>
      <c r="K348" s="272"/>
      <c r="L348" s="272"/>
      <c r="M348" s="272"/>
      <c r="N348" s="273"/>
    </row>
    <row r="349" spans="2:16" ht="19.149999999999999" customHeight="1" thickBot="1" x14ac:dyDescent="0.25">
      <c r="B349" s="807" t="s">
        <v>458</v>
      </c>
      <c r="C349" s="808" t="s">
        <v>459</v>
      </c>
      <c r="D349" s="809"/>
      <c r="E349" s="810"/>
      <c r="F349" s="810"/>
      <c r="G349" s="810"/>
      <c r="H349" s="811"/>
      <c r="I349" s="614"/>
      <c r="J349" s="615"/>
      <c r="K349" s="615"/>
      <c r="L349" s="615"/>
      <c r="M349" s="615"/>
      <c r="N349" s="616"/>
    </row>
    <row r="350" spans="2:16" ht="39.75" customHeight="1" x14ac:dyDescent="0.2">
      <c r="B350" s="1066" t="s">
        <v>460</v>
      </c>
      <c r="C350" s="226" t="s">
        <v>461</v>
      </c>
      <c r="D350" s="1037" t="s">
        <v>208</v>
      </c>
      <c r="E350" s="143"/>
      <c r="F350" s="143"/>
      <c r="G350" s="802"/>
      <c r="H350" s="803"/>
      <c r="I350" s="804" t="s">
        <v>462</v>
      </c>
      <c r="J350" s="227">
        <v>100</v>
      </c>
      <c r="K350" s="227"/>
      <c r="L350" s="227"/>
      <c r="M350" s="805"/>
      <c r="N350" s="806"/>
    </row>
    <row r="351" spans="2:16" ht="32.25" customHeight="1" x14ac:dyDescent="0.2">
      <c r="B351" s="1066"/>
      <c r="C351" s="154" t="s">
        <v>26</v>
      </c>
      <c r="D351" s="1038"/>
      <c r="E351" s="146">
        <f>7.3+5+40.7</f>
        <v>53</v>
      </c>
      <c r="F351" s="146">
        <v>6.5</v>
      </c>
      <c r="G351" s="70"/>
      <c r="H351" s="428"/>
      <c r="I351" s="358" t="s">
        <v>463</v>
      </c>
      <c r="J351" s="204">
        <v>1</v>
      </c>
      <c r="K351" s="204"/>
      <c r="L351" s="201"/>
      <c r="M351" s="281"/>
      <c r="N351" s="357"/>
    </row>
    <row r="352" spans="2:16" ht="44.25" customHeight="1" x14ac:dyDescent="0.2">
      <c r="B352" s="1066"/>
      <c r="C352" s="154"/>
      <c r="D352" s="1038"/>
      <c r="E352" s="146"/>
      <c r="F352" s="146"/>
      <c r="G352" s="70"/>
      <c r="H352" s="428"/>
      <c r="I352" s="335" t="s">
        <v>464</v>
      </c>
      <c r="J352" s="204">
        <v>100</v>
      </c>
      <c r="K352" s="204"/>
      <c r="L352" s="201"/>
      <c r="M352" s="281"/>
      <c r="N352" s="357"/>
    </row>
    <row r="353" spans="2:16" ht="29.25" customHeight="1" x14ac:dyDescent="0.2">
      <c r="B353" s="1066"/>
      <c r="C353" s="154"/>
      <c r="D353" s="1038"/>
      <c r="E353" s="146"/>
      <c r="F353" s="146"/>
      <c r="G353" s="70"/>
      <c r="H353" s="428"/>
      <c r="I353" s="335" t="s">
        <v>465</v>
      </c>
      <c r="J353" s="204">
        <v>100</v>
      </c>
      <c r="K353" s="204"/>
      <c r="L353" s="201"/>
      <c r="M353" s="281"/>
      <c r="N353" s="357"/>
    </row>
    <row r="354" spans="2:16" ht="43.5" customHeight="1" thickBot="1" x14ac:dyDescent="0.25">
      <c r="B354" s="1066"/>
      <c r="C354" s="812"/>
      <c r="D354" s="1039"/>
      <c r="E354" s="813"/>
      <c r="F354" s="813"/>
      <c r="G354" s="814"/>
      <c r="H354" s="815"/>
      <c r="I354" s="373" t="s">
        <v>466</v>
      </c>
      <c r="J354" s="816"/>
      <c r="K354" s="816">
        <v>100</v>
      </c>
      <c r="L354" s="202"/>
      <c r="M354" s="817"/>
      <c r="N354" s="818"/>
    </row>
    <row r="355" spans="2:16" ht="31.15" customHeight="1" x14ac:dyDescent="0.2">
      <c r="B355" s="993"/>
      <c r="C355" s="820" t="s">
        <v>467</v>
      </c>
      <c r="D355" s="1030" t="s">
        <v>242</v>
      </c>
      <c r="E355" s="821"/>
      <c r="F355" s="821"/>
      <c r="G355" s="821"/>
      <c r="H355" s="822"/>
      <c r="I355" s="823" t="s">
        <v>468</v>
      </c>
      <c r="J355" s="824">
        <v>2</v>
      </c>
      <c r="K355" s="824"/>
      <c r="L355" s="824"/>
      <c r="M355" s="825"/>
      <c r="N355" s="826"/>
    </row>
    <row r="356" spans="2:16" ht="76.5" customHeight="1" thickBot="1" x14ac:dyDescent="0.25">
      <c r="B356" s="994"/>
      <c r="C356" s="828" t="s">
        <v>26</v>
      </c>
      <c r="D356" s="1031"/>
      <c r="E356" s="829">
        <f>77.5-70.2</f>
        <v>7.2999999999999972</v>
      </c>
      <c r="F356" s="829"/>
      <c r="G356" s="829"/>
      <c r="H356" s="830"/>
      <c r="I356" s="364"/>
      <c r="J356" s="272"/>
      <c r="K356" s="272"/>
      <c r="L356" s="272"/>
      <c r="M356" s="272"/>
      <c r="N356" s="273"/>
    </row>
    <row r="357" spans="2:16" ht="19.149999999999999" customHeight="1" x14ac:dyDescent="0.2">
      <c r="B357" s="819" t="s">
        <v>469</v>
      </c>
      <c r="C357" s="672" t="s">
        <v>470</v>
      </c>
      <c r="D357" s="1037" t="s">
        <v>142</v>
      </c>
      <c r="E357" s="489"/>
      <c r="F357" s="489"/>
      <c r="G357" s="821"/>
      <c r="H357" s="822"/>
      <c r="I357" s="831" t="s">
        <v>471</v>
      </c>
      <c r="J357" s="512">
        <v>100</v>
      </c>
      <c r="K357" s="512"/>
      <c r="L357" s="824"/>
      <c r="M357" s="825"/>
      <c r="N357" s="826"/>
    </row>
    <row r="358" spans="2:16" ht="31.9" customHeight="1" x14ac:dyDescent="0.2">
      <c r="B358" s="434"/>
      <c r="C358" s="154" t="s">
        <v>26</v>
      </c>
      <c r="D358" s="1038"/>
      <c r="E358" s="122">
        <v>43.8</v>
      </c>
      <c r="F358" s="122">
        <v>47.7</v>
      </c>
      <c r="G358" s="68">
        <v>154.9</v>
      </c>
      <c r="H358" s="357"/>
      <c r="I358" s="359" t="s">
        <v>472</v>
      </c>
      <c r="J358" s="201"/>
      <c r="K358" s="204">
        <v>53</v>
      </c>
      <c r="L358" s="223">
        <v>100</v>
      </c>
      <c r="M358" s="282"/>
      <c r="N358" s="357"/>
    </row>
    <row r="359" spans="2:16" ht="42" customHeight="1" thickBot="1" x14ac:dyDescent="0.25">
      <c r="B359" s="827"/>
      <c r="C359" s="832" t="s">
        <v>146</v>
      </c>
      <c r="D359" s="1039"/>
      <c r="E359" s="257"/>
      <c r="F359" s="257">
        <v>163.4</v>
      </c>
      <c r="G359" s="833"/>
      <c r="H359" s="834"/>
      <c r="I359" s="364"/>
      <c r="J359" s="272"/>
      <c r="K359" s="272"/>
      <c r="L359" s="272"/>
      <c r="M359" s="272"/>
      <c r="N359" s="273"/>
    </row>
    <row r="360" spans="2:16" ht="43.5" customHeight="1" x14ac:dyDescent="0.2">
      <c r="B360" s="993" t="s">
        <v>473</v>
      </c>
      <c r="C360" s="835" t="s">
        <v>474</v>
      </c>
      <c r="D360" s="1030" t="s">
        <v>252</v>
      </c>
      <c r="E360" s="821"/>
      <c r="F360" s="821"/>
      <c r="G360" s="821"/>
      <c r="H360" s="822"/>
      <c r="I360" s="836" t="s">
        <v>475</v>
      </c>
      <c r="J360" s="512">
        <v>3</v>
      </c>
      <c r="K360" s="512"/>
      <c r="L360" s="825"/>
      <c r="M360" s="825"/>
      <c r="N360" s="826"/>
    </row>
    <row r="361" spans="2:16" ht="34.5" customHeight="1" x14ac:dyDescent="0.2">
      <c r="B361" s="1066"/>
      <c r="C361" s="65" t="s">
        <v>26</v>
      </c>
      <c r="D361" s="1067"/>
      <c r="E361" s="122">
        <v>70.5</v>
      </c>
      <c r="F361" s="122">
        <v>63.3</v>
      </c>
      <c r="G361" s="64"/>
      <c r="H361" s="433"/>
      <c r="I361" s="360" t="s">
        <v>476</v>
      </c>
      <c r="J361" s="201">
        <v>100</v>
      </c>
      <c r="K361" s="201"/>
      <c r="L361" s="282"/>
      <c r="M361" s="282"/>
      <c r="N361" s="357"/>
    </row>
    <row r="362" spans="2:16" ht="33" customHeight="1" x14ac:dyDescent="0.2">
      <c r="B362" s="1066"/>
      <c r="C362" s="283"/>
      <c r="D362" s="1067"/>
      <c r="E362" s="122"/>
      <c r="F362" s="122"/>
      <c r="G362" s="64"/>
      <c r="H362" s="433"/>
      <c r="I362" s="360" t="s">
        <v>477</v>
      </c>
      <c r="J362" s="201">
        <v>100</v>
      </c>
      <c r="K362" s="201"/>
      <c r="L362" s="282"/>
      <c r="M362" s="282"/>
      <c r="N362" s="357"/>
    </row>
    <row r="363" spans="2:16" ht="45" customHeight="1" x14ac:dyDescent="0.2">
      <c r="B363" s="1066"/>
      <c r="C363" s="283"/>
      <c r="D363" s="1067"/>
      <c r="E363" s="122"/>
      <c r="F363" s="122"/>
      <c r="G363" s="64"/>
      <c r="H363" s="433"/>
      <c r="I363" s="361" t="s">
        <v>478</v>
      </c>
      <c r="J363" s="201"/>
      <c r="K363" s="201">
        <v>100</v>
      </c>
      <c r="L363" s="282"/>
      <c r="M363" s="282"/>
      <c r="N363" s="357"/>
    </row>
    <row r="364" spans="2:16" ht="45.75" customHeight="1" x14ac:dyDescent="0.2">
      <c r="B364" s="1066"/>
      <c r="C364" s="283"/>
      <c r="D364" s="1067"/>
      <c r="E364" s="122"/>
      <c r="F364" s="122"/>
      <c r="G364" s="64"/>
      <c r="H364" s="433"/>
      <c r="I364" s="361" t="s">
        <v>479</v>
      </c>
      <c r="J364" s="201"/>
      <c r="K364" s="201">
        <v>100</v>
      </c>
      <c r="L364" s="282"/>
      <c r="M364" s="282"/>
      <c r="N364" s="357"/>
    </row>
    <row r="365" spans="2:16" ht="44.25" customHeight="1" thickBot="1" x14ac:dyDescent="0.25">
      <c r="B365" s="994"/>
      <c r="C365" s="837"/>
      <c r="D365" s="1031"/>
      <c r="E365" s="257"/>
      <c r="F365" s="257"/>
      <c r="G365" s="829"/>
      <c r="H365" s="830"/>
      <c r="I365" s="838" t="s">
        <v>480</v>
      </c>
      <c r="J365" s="839"/>
      <c r="K365" s="839">
        <v>100</v>
      </c>
      <c r="L365" s="840"/>
      <c r="M365" s="840"/>
      <c r="N365" s="834"/>
    </row>
    <row r="366" spans="2:16" ht="30" customHeight="1" x14ac:dyDescent="0.2">
      <c r="B366" s="993" t="s">
        <v>481</v>
      </c>
      <c r="C366" s="841" t="s">
        <v>482</v>
      </c>
      <c r="D366" s="1030" t="s">
        <v>201</v>
      </c>
      <c r="E366" s="821"/>
      <c r="F366" s="821"/>
      <c r="G366" s="821"/>
      <c r="H366" s="822"/>
      <c r="I366" s="836" t="s">
        <v>483</v>
      </c>
      <c r="J366" s="512">
        <v>100</v>
      </c>
      <c r="K366" s="512"/>
      <c r="L366" s="825"/>
      <c r="M366" s="825"/>
      <c r="N366" s="826"/>
    </row>
    <row r="367" spans="2:16" ht="63.75" customHeight="1" thickBot="1" x14ac:dyDescent="0.25">
      <c r="B367" s="994"/>
      <c r="C367" s="842" t="s">
        <v>26</v>
      </c>
      <c r="D367" s="1031"/>
      <c r="E367" s="829">
        <f>60.1+24.6</f>
        <v>84.7</v>
      </c>
      <c r="F367" s="829">
        <v>6.8</v>
      </c>
      <c r="G367" s="829"/>
      <c r="H367" s="830"/>
      <c r="I367" s="843" t="s">
        <v>484</v>
      </c>
      <c r="J367" s="839"/>
      <c r="K367" s="839">
        <v>100</v>
      </c>
      <c r="L367" s="840"/>
      <c r="M367" s="840"/>
      <c r="N367" s="834"/>
      <c r="P367" s="20"/>
    </row>
    <row r="368" spans="2:16" ht="19.149999999999999" customHeight="1" x14ac:dyDescent="0.2">
      <c r="B368" s="844"/>
      <c r="C368" s="845" t="s">
        <v>82</v>
      </c>
      <c r="D368" s="846"/>
      <c r="E368" s="847">
        <f>E370+E371</f>
        <v>259.3</v>
      </c>
      <c r="F368" s="847">
        <f t="shared" ref="F368:H368" si="38">F370+F371</f>
        <v>287.7</v>
      </c>
      <c r="G368" s="847">
        <f t="shared" si="38"/>
        <v>154.9</v>
      </c>
      <c r="H368" s="848">
        <f t="shared" si="38"/>
        <v>0</v>
      </c>
      <c r="I368" s="527"/>
      <c r="J368" s="528"/>
      <c r="K368" s="528"/>
      <c r="L368" s="528"/>
      <c r="M368" s="528"/>
      <c r="N368" s="529"/>
    </row>
    <row r="369" spans="2:14" ht="19.149999999999999" customHeight="1" x14ac:dyDescent="0.2">
      <c r="B369" s="1089"/>
      <c r="C369" s="66" t="s">
        <v>83</v>
      </c>
      <c r="D369" s="67"/>
      <c r="E369" s="178"/>
      <c r="F369" s="69"/>
      <c r="G369" s="69"/>
      <c r="H369" s="435"/>
      <c r="I369" s="299"/>
      <c r="J369" s="191"/>
      <c r="K369" s="191"/>
      <c r="L369" s="191"/>
      <c r="M369" s="191"/>
      <c r="N369" s="270"/>
    </row>
    <row r="370" spans="2:14" ht="30" customHeight="1" x14ac:dyDescent="0.2">
      <c r="B370" s="1090"/>
      <c r="C370" s="15" t="s">
        <v>84</v>
      </c>
      <c r="D370" s="67"/>
      <c r="E370" s="85">
        <f>SUMIF($C350:$C367,$C351,E350:E367)</f>
        <v>259.3</v>
      </c>
      <c r="F370" s="85">
        <f t="shared" ref="F370:H370" si="39">SUMIF($C350:$C367,$C351,F350:F367)</f>
        <v>124.3</v>
      </c>
      <c r="G370" s="85">
        <f t="shared" si="39"/>
        <v>154.9</v>
      </c>
      <c r="H370" s="436">
        <f t="shared" si="39"/>
        <v>0</v>
      </c>
      <c r="I370" s="299"/>
      <c r="J370" s="191"/>
      <c r="K370" s="191"/>
      <c r="L370" s="191"/>
      <c r="M370" s="191"/>
      <c r="N370" s="270"/>
    </row>
    <row r="371" spans="2:14" ht="20.25" customHeight="1" thickBot="1" x14ac:dyDescent="0.25">
      <c r="B371" s="1091"/>
      <c r="C371" s="579" t="s">
        <v>295</v>
      </c>
      <c r="D371" s="849"/>
      <c r="E371" s="850">
        <f>SUMIF($C350:$C367,$C359,E350:E367)</f>
        <v>0</v>
      </c>
      <c r="F371" s="850">
        <f t="shared" ref="F371:H371" si="40">SUMIF($C350:$C367,$C359,F350:F367)</f>
        <v>163.4</v>
      </c>
      <c r="G371" s="850">
        <f t="shared" si="40"/>
        <v>0</v>
      </c>
      <c r="H371" s="851">
        <f t="shared" si="40"/>
        <v>0</v>
      </c>
      <c r="I371" s="364"/>
      <c r="J371" s="272"/>
      <c r="K371" s="272"/>
      <c r="L371" s="272"/>
      <c r="M371" s="272"/>
      <c r="N371" s="273"/>
    </row>
    <row r="372" spans="2:14" ht="46.5" customHeight="1" thickBot="1" x14ac:dyDescent="0.25">
      <c r="B372" s="583" t="s">
        <v>485</v>
      </c>
      <c r="C372" s="584" t="s">
        <v>486</v>
      </c>
      <c r="D372" s="584"/>
      <c r="E372" s="584"/>
      <c r="F372" s="584"/>
      <c r="G372" s="584"/>
      <c r="H372" s="743"/>
      <c r="I372" s="587"/>
      <c r="J372" s="588"/>
      <c r="K372" s="588"/>
      <c r="L372" s="588"/>
      <c r="M372" s="588"/>
      <c r="N372" s="589"/>
    </row>
    <row r="373" spans="2:14" ht="55.9" customHeight="1" x14ac:dyDescent="0.2">
      <c r="B373" s="592"/>
      <c r="C373" s="852"/>
      <c r="D373" s="852"/>
      <c r="E373" s="852"/>
      <c r="F373" s="852"/>
      <c r="G373" s="852"/>
      <c r="H373" s="853"/>
      <c r="I373" s="854" t="s">
        <v>487</v>
      </c>
      <c r="J373" s="598">
        <v>5.5</v>
      </c>
      <c r="K373" s="598">
        <v>5.5</v>
      </c>
      <c r="L373" s="598">
        <v>5.5</v>
      </c>
      <c r="M373" s="598">
        <v>5.5</v>
      </c>
      <c r="N373" s="291" t="s">
        <v>488</v>
      </c>
    </row>
    <row r="374" spans="2:14" ht="33" customHeight="1" thickBot="1" x14ac:dyDescent="0.25">
      <c r="B374" s="855"/>
      <c r="C374" s="601"/>
      <c r="D374" s="601"/>
      <c r="E374" s="601"/>
      <c r="F374" s="601"/>
      <c r="G374" s="601"/>
      <c r="H374" s="856"/>
      <c r="I374" s="857" t="s">
        <v>489</v>
      </c>
      <c r="J374" s="294">
        <v>15</v>
      </c>
      <c r="K374" s="294">
        <v>15</v>
      </c>
      <c r="L374" s="294">
        <v>15</v>
      </c>
      <c r="M374" s="294">
        <v>15</v>
      </c>
      <c r="N374" s="295"/>
    </row>
    <row r="375" spans="2:14" ht="25.15" customHeight="1" thickBot="1" x14ac:dyDescent="0.25">
      <c r="B375" s="858" t="s">
        <v>490</v>
      </c>
      <c r="C375" s="610" t="s">
        <v>491</v>
      </c>
      <c r="D375" s="859"/>
      <c r="E375" s="860"/>
      <c r="F375" s="860"/>
      <c r="G375" s="860"/>
      <c r="H375" s="861"/>
      <c r="I375" s="614"/>
      <c r="J375" s="615"/>
      <c r="K375" s="615"/>
      <c r="L375" s="615"/>
      <c r="M375" s="615"/>
      <c r="N375" s="616"/>
    </row>
    <row r="376" spans="2:14" ht="31.9" customHeight="1" x14ac:dyDescent="0.2">
      <c r="B376" s="990" t="s">
        <v>492</v>
      </c>
      <c r="C376" s="663" t="s">
        <v>493</v>
      </c>
      <c r="D376" s="1068" t="s">
        <v>446</v>
      </c>
      <c r="E376" s="862"/>
      <c r="F376" s="862"/>
      <c r="G376" s="862"/>
      <c r="H376" s="863"/>
      <c r="I376" s="864" t="s">
        <v>404</v>
      </c>
      <c r="J376" s="759">
        <v>60</v>
      </c>
      <c r="K376" s="759">
        <v>94</v>
      </c>
      <c r="L376" s="759">
        <v>100</v>
      </c>
      <c r="M376" s="759"/>
      <c r="N376" s="622" t="s">
        <v>494</v>
      </c>
    </row>
    <row r="377" spans="2:14" ht="27" customHeight="1" x14ac:dyDescent="0.2">
      <c r="B377" s="991"/>
      <c r="C377" s="49" t="s">
        <v>26</v>
      </c>
      <c r="D377" s="1069"/>
      <c r="E377" s="147">
        <v>400</v>
      </c>
      <c r="F377" s="147"/>
      <c r="G377" s="123">
        <v>1007.9</v>
      </c>
      <c r="H377" s="419"/>
      <c r="I377" s="362" t="s">
        <v>495</v>
      </c>
      <c r="J377" s="238" t="s">
        <v>408</v>
      </c>
      <c r="K377" s="238"/>
      <c r="L377" s="238">
        <v>95</v>
      </c>
      <c r="M377" s="238"/>
      <c r="N377" s="318"/>
    </row>
    <row r="378" spans="2:14" ht="30" customHeight="1" x14ac:dyDescent="0.2">
      <c r="B378" s="991"/>
      <c r="C378" s="155" t="s">
        <v>153</v>
      </c>
      <c r="D378" s="1069"/>
      <c r="E378" s="129">
        <v>3441.8</v>
      </c>
      <c r="F378" s="129">
        <f>4928.3-259.1</f>
        <v>4669.2</v>
      </c>
      <c r="G378" s="121">
        <v>2845.3</v>
      </c>
      <c r="H378" s="437"/>
      <c r="I378" s="335" t="s">
        <v>496</v>
      </c>
      <c r="J378" s="238" t="s">
        <v>408</v>
      </c>
      <c r="K378" s="238"/>
      <c r="L378" s="238">
        <v>95</v>
      </c>
      <c r="M378" s="238"/>
      <c r="N378" s="318"/>
    </row>
    <row r="379" spans="2:14" ht="19.149999999999999" customHeight="1" thickBot="1" x14ac:dyDescent="0.25">
      <c r="B379" s="992"/>
      <c r="C379" s="791" t="s">
        <v>146</v>
      </c>
      <c r="D379" s="1070"/>
      <c r="E379" s="865">
        <f>1135.5+161.5-400</f>
        <v>897</v>
      </c>
      <c r="F379" s="865">
        <v>1668.7</v>
      </c>
      <c r="G379" s="866"/>
      <c r="H379" s="867"/>
      <c r="I379" s="364"/>
      <c r="J379" s="272"/>
      <c r="K379" s="272"/>
      <c r="L379" s="272"/>
      <c r="M379" s="272"/>
      <c r="N379" s="273"/>
    </row>
    <row r="380" spans="2:14" ht="19.899999999999999" customHeight="1" x14ac:dyDescent="0.2">
      <c r="B380" s="987" t="s">
        <v>497</v>
      </c>
      <c r="C380" s="472" t="s">
        <v>498</v>
      </c>
      <c r="D380" s="1045" t="s">
        <v>499</v>
      </c>
      <c r="E380" s="868"/>
      <c r="F380" s="868"/>
      <c r="G380" s="868"/>
      <c r="H380" s="869"/>
      <c r="I380" s="639" t="s">
        <v>500</v>
      </c>
      <c r="J380" s="702" t="s">
        <v>222</v>
      </c>
      <c r="K380" s="702" t="s">
        <v>222</v>
      </c>
      <c r="L380" s="702" t="s">
        <v>222</v>
      </c>
      <c r="M380" s="702" t="s">
        <v>222</v>
      </c>
      <c r="N380" s="622" t="s">
        <v>494</v>
      </c>
    </row>
    <row r="381" spans="2:14" ht="29.25" customHeight="1" x14ac:dyDescent="0.2">
      <c r="B381" s="988"/>
      <c r="C381" s="43" t="s">
        <v>26</v>
      </c>
      <c r="D381" s="1046"/>
      <c r="E381" s="50"/>
      <c r="F381" s="50"/>
      <c r="G381" s="50"/>
      <c r="H381" s="438"/>
      <c r="I381" s="299"/>
      <c r="J381" s="191"/>
      <c r="K381" s="191"/>
      <c r="L381" s="191"/>
      <c r="M381" s="191"/>
      <c r="N381" s="270"/>
    </row>
    <row r="382" spans="2:14" ht="19.149999999999999" customHeight="1" thickBot="1" x14ac:dyDescent="0.25">
      <c r="B382" s="989"/>
      <c r="C382" s="466" t="s">
        <v>146</v>
      </c>
      <c r="D382" s="1047"/>
      <c r="E382" s="870">
        <v>700</v>
      </c>
      <c r="F382" s="870">
        <v>700</v>
      </c>
      <c r="G382" s="870">
        <v>700</v>
      </c>
      <c r="H382" s="871">
        <v>700</v>
      </c>
      <c r="I382" s="364"/>
      <c r="J382" s="272"/>
      <c r="K382" s="272"/>
      <c r="L382" s="272"/>
      <c r="M382" s="272"/>
      <c r="N382" s="273"/>
    </row>
    <row r="383" spans="2:14" ht="18.600000000000001" customHeight="1" x14ac:dyDescent="0.2">
      <c r="B383" s="872"/>
      <c r="C383" s="795" t="s">
        <v>82</v>
      </c>
      <c r="D383" s="873"/>
      <c r="E383" s="797">
        <f>SUM(E384:E387)</f>
        <v>5438.8</v>
      </c>
      <c r="F383" s="797">
        <f t="shared" ref="F383:H383" si="41">SUM(F384:F387)</f>
        <v>7037.9</v>
      </c>
      <c r="G383" s="797">
        <f t="shared" si="41"/>
        <v>4553.2000000000007</v>
      </c>
      <c r="H383" s="798">
        <f t="shared" si="41"/>
        <v>700</v>
      </c>
      <c r="I383" s="527"/>
      <c r="J383" s="528"/>
      <c r="K383" s="528"/>
      <c r="L383" s="528"/>
      <c r="M383" s="528"/>
      <c r="N383" s="529"/>
    </row>
    <row r="384" spans="2:14" ht="16.149999999999999" customHeight="1" x14ac:dyDescent="0.2">
      <c r="B384" s="1048"/>
      <c r="C384" s="16" t="s">
        <v>83</v>
      </c>
      <c r="D384" s="38"/>
      <c r="E384" s="120"/>
      <c r="F384" s="120"/>
      <c r="G384" s="37"/>
      <c r="H384" s="440"/>
      <c r="I384" s="299"/>
      <c r="J384" s="191"/>
      <c r="K384" s="191"/>
      <c r="L384" s="191"/>
      <c r="M384" s="191"/>
      <c r="N384" s="270"/>
    </row>
    <row r="385" spans="2:14" ht="33" customHeight="1" x14ac:dyDescent="0.2">
      <c r="B385" s="1049"/>
      <c r="C385" s="15" t="s">
        <v>84</v>
      </c>
      <c r="D385" s="38"/>
      <c r="E385" s="134">
        <f>SUMIF($C376:$C382,$C377,E376:E382)</f>
        <v>400</v>
      </c>
      <c r="F385" s="134">
        <f t="shared" ref="F385:H385" si="42">SUMIF($C376:$C382,$C377,F376:F382)</f>
        <v>0</v>
      </c>
      <c r="G385" s="134">
        <f t="shared" si="42"/>
        <v>1007.9</v>
      </c>
      <c r="H385" s="441">
        <f t="shared" si="42"/>
        <v>0</v>
      </c>
      <c r="I385" s="299"/>
      <c r="J385" s="191"/>
      <c r="K385" s="191"/>
      <c r="L385" s="191"/>
      <c r="M385" s="191"/>
      <c r="N385" s="270"/>
    </row>
    <row r="386" spans="2:14" ht="31.5" customHeight="1" x14ac:dyDescent="0.2">
      <c r="B386" s="1049"/>
      <c r="C386" s="156" t="s">
        <v>294</v>
      </c>
      <c r="D386" s="38"/>
      <c r="E386" s="119">
        <f>SUM(SUMIF($C376:$C382,$C378,E376:E382))</f>
        <v>3441.8</v>
      </c>
      <c r="F386" s="119">
        <f t="shared" ref="F386:H386" si="43">SUM(SUMIF($C376:$C382,$C378,F376:F382))</f>
        <v>4669.2</v>
      </c>
      <c r="G386" s="119">
        <f t="shared" si="43"/>
        <v>2845.3</v>
      </c>
      <c r="H386" s="442">
        <f t="shared" si="43"/>
        <v>0</v>
      </c>
      <c r="I386" s="299"/>
      <c r="J386" s="191"/>
      <c r="K386" s="191"/>
      <c r="L386" s="191"/>
      <c r="M386" s="191"/>
      <c r="N386" s="270"/>
    </row>
    <row r="387" spans="2:14" ht="21" customHeight="1" thickBot="1" x14ac:dyDescent="0.25">
      <c r="B387" s="1050"/>
      <c r="C387" s="874" t="s">
        <v>295</v>
      </c>
      <c r="D387" s="875"/>
      <c r="E387" s="876">
        <f>SUMIF($C376:$C382,$C382,E376:E382)</f>
        <v>1597</v>
      </c>
      <c r="F387" s="876">
        <f t="shared" ref="F387:H387" si="44">SUMIF($C376:$C382,$C382,F376:F382)</f>
        <v>2368.6999999999998</v>
      </c>
      <c r="G387" s="876">
        <f t="shared" si="44"/>
        <v>700</v>
      </c>
      <c r="H387" s="877">
        <f t="shared" si="44"/>
        <v>700</v>
      </c>
      <c r="I387" s="364"/>
      <c r="J387" s="272"/>
      <c r="K387" s="272"/>
      <c r="L387" s="272"/>
      <c r="M387" s="272"/>
      <c r="N387" s="273"/>
    </row>
    <row r="388" spans="2:14" ht="43.9" customHeight="1" thickBot="1" x14ac:dyDescent="0.25">
      <c r="B388" s="858" t="s">
        <v>501</v>
      </c>
      <c r="C388" s="610" t="s">
        <v>502</v>
      </c>
      <c r="D388" s="878"/>
      <c r="E388" s="860"/>
      <c r="F388" s="860"/>
      <c r="G388" s="860"/>
      <c r="H388" s="861"/>
      <c r="I388" s="614"/>
      <c r="J388" s="615"/>
      <c r="K388" s="615"/>
      <c r="L388" s="615"/>
      <c r="M388" s="615"/>
      <c r="N388" s="616"/>
    </row>
    <row r="389" spans="2:14" ht="30" customHeight="1" x14ac:dyDescent="0.2">
      <c r="B389" s="990" t="s">
        <v>503</v>
      </c>
      <c r="C389" s="891" t="s">
        <v>504</v>
      </c>
      <c r="D389" s="1051" t="s">
        <v>505</v>
      </c>
      <c r="E389" s="897"/>
      <c r="F389" s="879"/>
      <c r="G389" s="879"/>
      <c r="H389" s="863"/>
      <c r="I389" s="823" t="s">
        <v>506</v>
      </c>
      <c r="J389" s="657" t="s">
        <v>258</v>
      </c>
      <c r="K389" s="657" t="s">
        <v>258</v>
      </c>
      <c r="L389" s="657" t="s">
        <v>507</v>
      </c>
      <c r="M389" s="657" t="s">
        <v>259</v>
      </c>
      <c r="N389" s="495" t="s">
        <v>508</v>
      </c>
    </row>
    <row r="390" spans="2:14" ht="21" customHeight="1" x14ac:dyDescent="0.2">
      <c r="B390" s="991"/>
      <c r="C390" s="161" t="s">
        <v>145</v>
      </c>
      <c r="D390" s="1052"/>
      <c r="E390" s="898">
        <v>868.2</v>
      </c>
      <c r="F390" s="50">
        <v>753.1</v>
      </c>
      <c r="G390" s="50">
        <v>752.9</v>
      </c>
      <c r="H390" s="438">
        <v>753</v>
      </c>
      <c r="I390" s="299"/>
      <c r="J390" s="191"/>
      <c r="K390" s="191"/>
      <c r="L390" s="191"/>
      <c r="M390" s="191"/>
      <c r="N390" s="270"/>
    </row>
    <row r="391" spans="2:14" ht="21" customHeight="1" thickBot="1" x14ac:dyDescent="0.25">
      <c r="B391" s="992"/>
      <c r="C391" s="892" t="s">
        <v>146</v>
      </c>
      <c r="D391" s="1052"/>
      <c r="E391" s="899">
        <v>60</v>
      </c>
      <c r="F391" s="870">
        <v>60</v>
      </c>
      <c r="G391" s="870"/>
      <c r="H391" s="871"/>
      <c r="I391" s="364"/>
      <c r="J391" s="272"/>
      <c r="K391" s="272"/>
      <c r="L391" s="272"/>
      <c r="M391" s="272"/>
      <c r="N391" s="273"/>
    </row>
    <row r="392" spans="2:14" ht="44.45" customHeight="1" x14ac:dyDescent="0.2">
      <c r="B392" s="990" t="s">
        <v>509</v>
      </c>
      <c r="C392" s="891" t="s">
        <v>510</v>
      </c>
      <c r="D392" s="1052"/>
      <c r="E392" s="900"/>
      <c r="F392" s="868"/>
      <c r="G392" s="868"/>
      <c r="H392" s="869"/>
      <c r="I392" s="880" t="s">
        <v>511</v>
      </c>
      <c r="J392" s="881" t="s">
        <v>512</v>
      </c>
      <c r="K392" s="881" t="s">
        <v>512</v>
      </c>
      <c r="L392" s="881" t="s">
        <v>513</v>
      </c>
      <c r="M392" s="881" t="s">
        <v>513</v>
      </c>
      <c r="N392" s="882"/>
    </row>
    <row r="393" spans="2:14" ht="21" customHeight="1" x14ac:dyDescent="0.2">
      <c r="B393" s="991"/>
      <c r="C393" s="161" t="s">
        <v>145</v>
      </c>
      <c r="D393" s="1052"/>
      <c r="E393" s="898">
        <f>270.5-55</f>
        <v>215.5</v>
      </c>
      <c r="F393" s="50">
        <v>170.6</v>
      </c>
      <c r="G393" s="50">
        <v>170.1</v>
      </c>
      <c r="H393" s="438">
        <v>170</v>
      </c>
      <c r="I393" s="299"/>
      <c r="J393" s="191"/>
      <c r="K393" s="191"/>
      <c r="L393" s="191"/>
      <c r="M393" s="191"/>
      <c r="N393" s="270"/>
    </row>
    <row r="394" spans="2:14" ht="21" customHeight="1" thickBot="1" x14ac:dyDescent="0.25">
      <c r="B394" s="992"/>
      <c r="C394" s="892" t="s">
        <v>146</v>
      </c>
      <c r="D394" s="1052"/>
      <c r="E394" s="899">
        <v>54.5</v>
      </c>
      <c r="F394" s="870">
        <v>54.5</v>
      </c>
      <c r="G394" s="870"/>
      <c r="H394" s="871"/>
      <c r="I394" s="364"/>
      <c r="J394" s="272"/>
      <c r="K394" s="272"/>
      <c r="L394" s="272"/>
      <c r="M394" s="272"/>
      <c r="N394" s="273"/>
    </row>
    <row r="395" spans="2:14" ht="39.75" customHeight="1" x14ac:dyDescent="0.2">
      <c r="B395" s="990" t="s">
        <v>514</v>
      </c>
      <c r="C395" s="891" t="s">
        <v>515</v>
      </c>
      <c r="D395" s="1052"/>
      <c r="E395" s="900"/>
      <c r="F395" s="868"/>
      <c r="G395" s="868"/>
      <c r="H395" s="869"/>
      <c r="I395" s="890" t="s">
        <v>516</v>
      </c>
      <c r="J395" s="637" t="s">
        <v>507</v>
      </c>
      <c r="K395" s="637" t="s">
        <v>517</v>
      </c>
      <c r="L395" s="637" t="s">
        <v>518</v>
      </c>
      <c r="M395" s="637" t="s">
        <v>183</v>
      </c>
      <c r="N395" s="638"/>
    </row>
    <row r="396" spans="2:14" ht="21" customHeight="1" x14ac:dyDescent="0.2">
      <c r="B396" s="991"/>
      <c r="C396" s="893" t="s">
        <v>145</v>
      </c>
      <c r="D396" s="1052"/>
      <c r="E396" s="901">
        <v>56</v>
      </c>
      <c r="F396" s="51">
        <v>53.4</v>
      </c>
      <c r="G396" s="51">
        <v>53.4</v>
      </c>
      <c r="H396" s="443">
        <v>53.2</v>
      </c>
      <c r="I396" s="299"/>
      <c r="J396" s="191"/>
      <c r="K396" s="191"/>
      <c r="L396" s="191"/>
      <c r="M396" s="191"/>
      <c r="N396" s="270"/>
    </row>
    <row r="397" spans="2:14" ht="21" customHeight="1" thickBot="1" x14ac:dyDescent="0.25">
      <c r="B397" s="992"/>
      <c r="C397" s="894" t="s">
        <v>146</v>
      </c>
      <c r="D397" s="1052"/>
      <c r="E397" s="899">
        <v>5</v>
      </c>
      <c r="F397" s="870">
        <v>3</v>
      </c>
      <c r="G397" s="870"/>
      <c r="H397" s="871"/>
      <c r="I397" s="364"/>
      <c r="J397" s="272"/>
      <c r="K397" s="272"/>
      <c r="L397" s="272"/>
      <c r="M397" s="272"/>
      <c r="N397" s="273"/>
    </row>
    <row r="398" spans="2:14" ht="30" customHeight="1" x14ac:dyDescent="0.2">
      <c r="B398" s="990" t="s">
        <v>519</v>
      </c>
      <c r="C398" s="891" t="s">
        <v>520</v>
      </c>
      <c r="D398" s="1052"/>
      <c r="E398" s="900"/>
      <c r="F398" s="868"/>
      <c r="G398" s="868"/>
      <c r="H398" s="869"/>
      <c r="I398" s="890" t="s">
        <v>521</v>
      </c>
      <c r="J398" s="637" t="s">
        <v>522</v>
      </c>
      <c r="K398" s="637" t="s">
        <v>522</v>
      </c>
      <c r="L398" s="637" t="s">
        <v>522</v>
      </c>
      <c r="M398" s="637" t="s">
        <v>522</v>
      </c>
      <c r="N398" s="638"/>
    </row>
    <row r="399" spans="2:14" ht="22.5" customHeight="1" x14ac:dyDescent="0.2">
      <c r="B399" s="991"/>
      <c r="C399" s="161" t="s">
        <v>145</v>
      </c>
      <c r="D399" s="1052"/>
      <c r="E399" s="898">
        <f>298+115</f>
        <v>413</v>
      </c>
      <c r="F399" s="50">
        <v>520</v>
      </c>
      <c r="G399" s="50">
        <v>520</v>
      </c>
      <c r="H399" s="438">
        <v>520</v>
      </c>
      <c r="I399" s="299"/>
      <c r="J399" s="191"/>
      <c r="K399" s="191"/>
      <c r="L399" s="191"/>
      <c r="M399" s="191"/>
      <c r="N399" s="270"/>
    </row>
    <row r="400" spans="2:14" ht="21" customHeight="1" thickBot="1" x14ac:dyDescent="0.25">
      <c r="B400" s="992"/>
      <c r="C400" s="892" t="s">
        <v>146</v>
      </c>
      <c r="D400" s="1052"/>
      <c r="E400" s="899">
        <v>40</v>
      </c>
      <c r="F400" s="870">
        <v>42</v>
      </c>
      <c r="G400" s="870"/>
      <c r="H400" s="871"/>
      <c r="I400" s="364"/>
      <c r="J400" s="272"/>
      <c r="K400" s="272"/>
      <c r="L400" s="272"/>
      <c r="M400" s="272"/>
      <c r="N400" s="273"/>
    </row>
    <row r="401" spans="2:14" ht="40.5" customHeight="1" x14ac:dyDescent="0.2">
      <c r="B401" s="990" t="s">
        <v>523</v>
      </c>
      <c r="C401" s="891" t="s">
        <v>524</v>
      </c>
      <c r="D401" s="1052"/>
      <c r="E401" s="900"/>
      <c r="F401" s="868"/>
      <c r="G401" s="868"/>
      <c r="H401" s="869"/>
      <c r="I401" s="484" t="s">
        <v>525</v>
      </c>
      <c r="J401" s="637" t="s">
        <v>178</v>
      </c>
      <c r="K401" s="637" t="s">
        <v>178</v>
      </c>
      <c r="L401" s="637" t="s">
        <v>178</v>
      </c>
      <c r="M401" s="637" t="s">
        <v>178</v>
      </c>
      <c r="N401" s="638"/>
    </row>
    <row r="402" spans="2:14" ht="21" customHeight="1" thickBot="1" x14ac:dyDescent="0.25">
      <c r="B402" s="992"/>
      <c r="C402" s="895" t="s">
        <v>91</v>
      </c>
      <c r="D402" s="1052"/>
      <c r="E402" s="899">
        <v>10</v>
      </c>
      <c r="F402" s="870">
        <v>10</v>
      </c>
      <c r="G402" s="870">
        <v>10</v>
      </c>
      <c r="H402" s="871">
        <v>10</v>
      </c>
      <c r="I402" s="364"/>
      <c r="J402" s="272"/>
      <c r="K402" s="272"/>
      <c r="L402" s="272"/>
      <c r="M402" s="272"/>
      <c r="N402" s="273"/>
    </row>
    <row r="403" spans="2:14" ht="39.75" customHeight="1" x14ac:dyDescent="0.2">
      <c r="B403" s="990" t="s">
        <v>526</v>
      </c>
      <c r="C403" s="891" t="s">
        <v>527</v>
      </c>
      <c r="D403" s="1052"/>
      <c r="E403" s="900"/>
      <c r="F403" s="868"/>
      <c r="G403" s="868"/>
      <c r="H403" s="869"/>
      <c r="I403" s="484" t="s">
        <v>528</v>
      </c>
      <c r="J403" s="657" t="s">
        <v>167</v>
      </c>
      <c r="K403" s="657" t="s">
        <v>167</v>
      </c>
      <c r="L403" s="657" t="s">
        <v>167</v>
      </c>
      <c r="M403" s="657" t="s">
        <v>167</v>
      </c>
      <c r="N403" s="638"/>
    </row>
    <row r="404" spans="2:14" ht="21" customHeight="1" x14ac:dyDescent="0.2">
      <c r="B404" s="991"/>
      <c r="C404" s="161" t="s">
        <v>145</v>
      </c>
      <c r="D404" s="1052"/>
      <c r="E404" s="898">
        <f>260-60</f>
        <v>200</v>
      </c>
      <c r="F404" s="50">
        <v>221.4</v>
      </c>
      <c r="G404" s="50">
        <v>221.4</v>
      </c>
      <c r="H404" s="438">
        <v>221</v>
      </c>
      <c r="I404" s="299"/>
      <c r="J404" s="191"/>
      <c r="K404" s="191"/>
      <c r="L404" s="191"/>
      <c r="M404" s="191"/>
      <c r="N404" s="270"/>
    </row>
    <row r="405" spans="2:14" ht="21" customHeight="1" thickBot="1" x14ac:dyDescent="0.25">
      <c r="B405" s="991"/>
      <c r="C405" s="896" t="s">
        <v>146</v>
      </c>
      <c r="D405" s="1053"/>
      <c r="E405" s="899">
        <v>72</v>
      </c>
      <c r="F405" s="870">
        <v>72</v>
      </c>
      <c r="G405" s="870"/>
      <c r="H405" s="871"/>
      <c r="I405" s="364"/>
      <c r="J405" s="272"/>
      <c r="K405" s="272"/>
      <c r="L405" s="272"/>
      <c r="M405" s="272"/>
      <c r="N405" s="273"/>
    </row>
    <row r="406" spans="2:14" ht="21" customHeight="1" x14ac:dyDescent="0.2">
      <c r="B406" s="884"/>
      <c r="C406" s="795" t="s">
        <v>82</v>
      </c>
      <c r="D406" s="885"/>
      <c r="E406" s="886">
        <f>SUM(E407:E409)</f>
        <v>1984.2</v>
      </c>
      <c r="F406" s="886">
        <f t="shared" ref="F406:H406" si="45">SUM(F407:F409)</f>
        <v>1950</v>
      </c>
      <c r="G406" s="886">
        <f t="shared" si="45"/>
        <v>1717.8000000000002</v>
      </c>
      <c r="H406" s="887">
        <f t="shared" si="45"/>
        <v>1717.2</v>
      </c>
      <c r="I406" s="527"/>
      <c r="J406" s="528"/>
      <c r="K406" s="528"/>
      <c r="L406" s="528"/>
      <c r="M406" s="528"/>
      <c r="N406" s="529"/>
    </row>
    <row r="407" spans="2:14" ht="18.600000000000001" customHeight="1" x14ac:dyDescent="0.2">
      <c r="B407" s="1057"/>
      <c r="C407" s="16" t="s">
        <v>83</v>
      </c>
      <c r="D407" s="40"/>
      <c r="E407" s="109"/>
      <c r="F407" s="109"/>
      <c r="G407" s="109"/>
      <c r="H407" s="445"/>
      <c r="I407" s="299"/>
      <c r="J407" s="191"/>
      <c r="K407" s="191"/>
      <c r="L407" s="191"/>
      <c r="M407" s="191"/>
      <c r="N407" s="270"/>
    </row>
    <row r="408" spans="2:14" ht="22.9" customHeight="1" x14ac:dyDescent="0.2">
      <c r="B408" s="1058"/>
      <c r="C408" s="17" t="s">
        <v>293</v>
      </c>
      <c r="D408" s="38"/>
      <c r="E408" s="110">
        <f>SUMIF($C389:$C405,$C390,E389:E405)</f>
        <v>1752.7</v>
      </c>
      <c r="F408" s="110">
        <f t="shared" ref="F408:H408" si="46">SUMIF($C389:$C405,$C390,F389:F405)</f>
        <v>1718.5</v>
      </c>
      <c r="G408" s="110">
        <f t="shared" si="46"/>
        <v>1717.8000000000002</v>
      </c>
      <c r="H408" s="446">
        <f t="shared" si="46"/>
        <v>1717.2</v>
      </c>
      <c r="I408" s="299"/>
      <c r="J408" s="191"/>
      <c r="K408" s="191"/>
      <c r="L408" s="191"/>
      <c r="M408" s="191"/>
      <c r="N408" s="270"/>
    </row>
    <row r="409" spans="2:14" ht="19.149999999999999" customHeight="1" x14ac:dyDescent="0.2">
      <c r="B409" s="1059"/>
      <c r="C409" s="15" t="s">
        <v>295</v>
      </c>
      <c r="D409" s="38"/>
      <c r="E409" s="110">
        <f>SUMIF($C389:$C405,$C394,E389:E405)</f>
        <v>231.5</v>
      </c>
      <c r="F409" s="110">
        <f t="shared" ref="F409:H409" si="47">SUMIF($C389:$C405,$C394,F389:F405)</f>
        <v>231.5</v>
      </c>
      <c r="G409" s="110">
        <f t="shared" si="47"/>
        <v>0</v>
      </c>
      <c r="H409" s="446">
        <f t="shared" si="47"/>
        <v>0</v>
      </c>
      <c r="I409" s="299"/>
      <c r="J409" s="191"/>
      <c r="K409" s="191"/>
      <c r="L409" s="191"/>
      <c r="M409" s="191"/>
      <c r="N409" s="270"/>
    </row>
    <row r="410" spans="2:14" ht="19.149999999999999" customHeight="1" x14ac:dyDescent="0.2">
      <c r="B410" s="439"/>
      <c r="C410" s="12" t="s">
        <v>86</v>
      </c>
      <c r="D410" s="39"/>
      <c r="E410" s="108">
        <f>E412</f>
        <v>10</v>
      </c>
      <c r="F410" s="108">
        <f>F412</f>
        <v>10</v>
      </c>
      <c r="G410" s="108">
        <f t="shared" ref="G410:H410" si="48">G412</f>
        <v>10</v>
      </c>
      <c r="H410" s="444">
        <f t="shared" si="48"/>
        <v>10</v>
      </c>
      <c r="I410" s="314"/>
      <c r="J410" s="203"/>
      <c r="K410" s="203"/>
      <c r="L410" s="203"/>
      <c r="M410" s="203"/>
      <c r="N410" s="315"/>
    </row>
    <row r="411" spans="2:14" ht="19.149999999999999" customHeight="1" x14ac:dyDescent="0.2">
      <c r="B411" s="1054"/>
      <c r="C411" s="15" t="s">
        <v>87</v>
      </c>
      <c r="D411" s="38"/>
      <c r="E411" s="110"/>
      <c r="F411" s="110"/>
      <c r="G411" s="110"/>
      <c r="H411" s="446"/>
      <c r="I411" s="299"/>
      <c r="J411" s="191"/>
      <c r="K411" s="191"/>
      <c r="L411" s="191"/>
      <c r="M411" s="191"/>
      <c r="N411" s="270"/>
    </row>
    <row r="412" spans="2:14" ht="19.149999999999999" customHeight="1" thickBot="1" x14ac:dyDescent="0.25">
      <c r="B412" s="1055"/>
      <c r="C412" s="710" t="s">
        <v>529</v>
      </c>
      <c r="D412" s="875"/>
      <c r="E412" s="888">
        <f>SUMIF($C389:$C405,$C402,E389:E405)</f>
        <v>10</v>
      </c>
      <c r="F412" s="888">
        <f t="shared" ref="F412:H412" si="49">SUMIF($C389:$C405,$C402,F389:F405)</f>
        <v>10</v>
      </c>
      <c r="G412" s="888">
        <f t="shared" si="49"/>
        <v>10</v>
      </c>
      <c r="H412" s="889">
        <f t="shared" si="49"/>
        <v>10</v>
      </c>
      <c r="I412" s="364"/>
      <c r="J412" s="272"/>
      <c r="K412" s="272"/>
      <c r="L412" s="272"/>
      <c r="M412" s="272"/>
      <c r="N412" s="273"/>
    </row>
    <row r="413" spans="2:14" ht="30" customHeight="1" x14ac:dyDescent="0.2">
      <c r="B413" s="883"/>
      <c r="C413" s="46" t="s">
        <v>530</v>
      </c>
      <c r="D413" s="41"/>
      <c r="E413" s="670">
        <f>E44+E48+E52+E56+E60+E64+E68+E72+E79+E83+E87+E179+E186+E197+E222+E231+E235+E239+E250+E254+E258+E262+E266+E273+E277+E281+E285+E340+E346+E368+E383+E406+E410</f>
        <v>137583.79999999999</v>
      </c>
      <c r="F413" s="670">
        <f>F44+F48+F52+F56+F60+F64+F68+F72+F79+F83+F87+F179+F186+F197+F222+F231+F235+F239+F250+F254+F258+F262+F266+F273+F277+F281+F285+F340+F346+F368+F383+F406+F410+F292</f>
        <v>148207.5</v>
      </c>
      <c r="G413" s="670">
        <f>G44+G48+G52+G56+G60+G64+G68+G72+G79+G83+G87+G179+G186+G197+G222+G231+G235+G239+G250+G254+G258+G262+G266+G273+G277+G281+G285+G340+G346+G368+G383+G406+G410+G292</f>
        <v>138264.29999999996</v>
      </c>
      <c r="H413" s="671">
        <f>H44+H48+H52+H56+H60+H64+H68+H72+H79+H83+H87+H179+H186+H197+H222+H231+H235+H239+H250+H254+H258+H262+H266+H273+H277+H281+H285+H340+H346+H368+H383+H406+H410+H292</f>
        <v>134021.59999999998</v>
      </c>
      <c r="I413" s="514"/>
      <c r="J413" s="515"/>
      <c r="K413" s="515"/>
      <c r="L413" s="515"/>
      <c r="M413" s="515"/>
      <c r="N413" s="516"/>
    </row>
    <row r="414" spans="2:14" ht="17.45" customHeight="1" x14ac:dyDescent="0.2">
      <c r="B414" s="382"/>
      <c r="C414" s="16" t="s">
        <v>531</v>
      </c>
      <c r="D414" s="28"/>
      <c r="E414" s="60">
        <f>E297+E298+E301+E325+E331+E377+E378+E379+E326+E332</f>
        <v>8977.8000000000011</v>
      </c>
      <c r="F414" s="60">
        <f t="shared" ref="F414:H414" si="50">F297+F298+F301+F325+F331+F377+F378+F379+F326+F332</f>
        <v>14830.8</v>
      </c>
      <c r="G414" s="60">
        <f t="shared" si="50"/>
        <v>7345.1</v>
      </c>
      <c r="H414" s="388">
        <f t="shared" si="50"/>
        <v>2569.4</v>
      </c>
      <c r="I414" s="299"/>
      <c r="J414" s="191"/>
      <c r="K414" s="191"/>
      <c r="L414" s="191"/>
      <c r="M414" s="191"/>
      <c r="N414" s="270"/>
    </row>
    <row r="415" spans="2:14" ht="43.5" customHeight="1" thickBot="1" x14ac:dyDescent="0.25">
      <c r="B415" s="447"/>
      <c r="C415" s="448" t="s">
        <v>532</v>
      </c>
      <c r="D415" s="449"/>
      <c r="E415" s="450">
        <f>E413-D413</f>
        <v>137583.79999999999</v>
      </c>
      <c r="F415" s="450">
        <f>F413-E413</f>
        <v>10623.700000000012</v>
      </c>
      <c r="G415" s="450">
        <f>G413-F413</f>
        <v>-9943.2000000000407</v>
      </c>
      <c r="H415" s="451">
        <f>H413-G413</f>
        <v>-4242.6999999999825</v>
      </c>
      <c r="I415" s="364"/>
      <c r="J415" s="272"/>
      <c r="K415" s="272"/>
      <c r="L415" s="272"/>
      <c r="M415" s="272"/>
      <c r="N415" s="273"/>
    </row>
    <row r="416" spans="2:14" ht="15" customHeight="1" x14ac:dyDescent="0.2">
      <c r="B416" s="94"/>
      <c r="C416" s="94"/>
      <c r="D416" s="94"/>
      <c r="E416" s="94"/>
      <c r="F416" s="94"/>
      <c r="G416" s="94"/>
      <c r="H416" s="94"/>
    </row>
    <row r="417" spans="2:8" s="21" customFormat="1" ht="15" customHeight="1" x14ac:dyDescent="0.2">
      <c r="B417" s="1044" t="s">
        <v>533</v>
      </c>
      <c r="C417" s="1044"/>
      <c r="D417" s="1044"/>
      <c r="E417" s="1044"/>
      <c r="F417" s="1044"/>
      <c r="G417" s="1044"/>
      <c r="H417" s="1044"/>
    </row>
    <row r="418" spans="2:8" s="21" customFormat="1" ht="15" customHeight="1" x14ac:dyDescent="0.2">
      <c r="B418" s="1056" t="s">
        <v>534</v>
      </c>
      <c r="C418" s="1056"/>
      <c r="D418" s="1056"/>
      <c r="E418" s="1056"/>
      <c r="F418" s="1056"/>
      <c r="G418" s="1056"/>
      <c r="H418" s="1056"/>
    </row>
    <row r="419" spans="2:8" s="21" customFormat="1" ht="15" customHeight="1" x14ac:dyDescent="0.2">
      <c r="B419" s="1044" t="s">
        <v>535</v>
      </c>
      <c r="C419" s="1044"/>
      <c r="D419" s="1044"/>
      <c r="E419" s="1044"/>
      <c r="F419" s="1044"/>
      <c r="G419" s="1044"/>
      <c r="H419" s="1044"/>
    </row>
    <row r="420" spans="2:8" s="21" customFormat="1" ht="15" customHeight="1" x14ac:dyDescent="0.2">
      <c r="B420" s="1044" t="s">
        <v>536</v>
      </c>
      <c r="C420" s="1044"/>
      <c r="D420" s="1044"/>
      <c r="E420" s="1044"/>
      <c r="F420" s="1044"/>
      <c r="G420" s="1044"/>
      <c r="H420" s="1044"/>
    </row>
    <row r="421" spans="2:8" s="21" customFormat="1" ht="15" customHeight="1" x14ac:dyDescent="0.2">
      <c r="B421" s="1043" t="s">
        <v>537</v>
      </c>
      <c r="C421" s="1043"/>
      <c r="D421" s="75"/>
      <c r="E421" s="75"/>
      <c r="F421" s="75"/>
      <c r="G421" s="75"/>
      <c r="H421" s="75"/>
    </row>
    <row r="423" spans="2:8" x14ac:dyDescent="0.2">
      <c r="B423" s="2" t="s">
        <v>538</v>
      </c>
      <c r="C423" s="2"/>
    </row>
    <row r="424" spans="2:8" x14ac:dyDescent="0.2">
      <c r="B424" s="2" t="s">
        <v>539</v>
      </c>
      <c r="C424" s="2"/>
    </row>
    <row r="425" spans="2:8" x14ac:dyDescent="0.2">
      <c r="B425" s="2" t="s">
        <v>540</v>
      </c>
      <c r="C425" s="2"/>
    </row>
    <row r="426" spans="2:8" x14ac:dyDescent="0.2">
      <c r="B426" s="2" t="s">
        <v>541</v>
      </c>
      <c r="C426" s="2"/>
    </row>
    <row r="428" spans="2:8" x14ac:dyDescent="0.2">
      <c r="D428" s="148"/>
      <c r="E428" s="149"/>
      <c r="F428" s="149"/>
    </row>
  </sheetData>
  <mergeCells count="143">
    <mergeCell ref="D334:D337"/>
    <mergeCell ref="B334:B337"/>
    <mergeCell ref="B32:B33"/>
    <mergeCell ref="B40:B41"/>
    <mergeCell ref="D32:D33"/>
    <mergeCell ref="B251:B252"/>
    <mergeCell ref="D28:D31"/>
    <mergeCell ref="B103:B106"/>
    <mergeCell ref="D98:D106"/>
    <mergeCell ref="B123:B128"/>
    <mergeCell ref="D123:D128"/>
    <mergeCell ref="B217:B219"/>
    <mergeCell ref="B243:B244"/>
    <mergeCell ref="B245:B246"/>
    <mergeCell ref="D107:D122"/>
    <mergeCell ref="D129:D142"/>
    <mergeCell ref="D143:D147"/>
    <mergeCell ref="D77:D78"/>
    <mergeCell ref="B98:B102"/>
    <mergeCell ref="B121:B122"/>
    <mergeCell ref="D40:D41"/>
    <mergeCell ref="B53:B54"/>
    <mergeCell ref="B148:B153"/>
    <mergeCell ref="D148:D153"/>
    <mergeCell ref="D34:D35"/>
    <mergeCell ref="D243:D249"/>
    <mergeCell ref="D308:D309"/>
    <mergeCell ref="D312:D313"/>
    <mergeCell ref="D316:D317"/>
    <mergeCell ref="D161:D162"/>
    <mergeCell ref="B180:B185"/>
    <mergeCell ref="B187:B189"/>
    <mergeCell ref="D171:D178"/>
    <mergeCell ref="B88:B89"/>
    <mergeCell ref="B80:B81"/>
    <mergeCell ref="B140:B142"/>
    <mergeCell ref="D191:D196"/>
    <mergeCell ref="B369:B371"/>
    <mergeCell ref="B201:B202"/>
    <mergeCell ref="B193:B194"/>
    <mergeCell ref="B209:B210"/>
    <mergeCell ref="B211:B212"/>
    <mergeCell ref="B341:B345"/>
    <mergeCell ref="B232:B233"/>
    <mergeCell ref="B215:B216"/>
    <mergeCell ref="B324:B329"/>
    <mergeCell ref="B300:B322"/>
    <mergeCell ref="D324:D329"/>
    <mergeCell ref="B330:B333"/>
    <mergeCell ref="D330:D333"/>
    <mergeCell ref="B350:B354"/>
    <mergeCell ref="D360:D365"/>
    <mergeCell ref="D350:D354"/>
    <mergeCell ref="B360:B365"/>
    <mergeCell ref="D201:D221"/>
    <mergeCell ref="D376:D379"/>
    <mergeCell ref="D296:D298"/>
    <mergeCell ref="B206:B207"/>
    <mergeCell ref="D227:D230"/>
    <mergeCell ref="B220:B221"/>
    <mergeCell ref="B255:B256"/>
    <mergeCell ref="B286:B288"/>
    <mergeCell ref="B213:B214"/>
    <mergeCell ref="B274:B275"/>
    <mergeCell ref="B229:B230"/>
    <mergeCell ref="B227:B228"/>
    <mergeCell ref="B223:B225"/>
    <mergeCell ref="B240:B241"/>
    <mergeCell ref="D300:D302"/>
    <mergeCell ref="B247:B249"/>
    <mergeCell ref="B296:B299"/>
    <mergeCell ref="D366:D367"/>
    <mergeCell ref="B347:B348"/>
    <mergeCell ref="B338:B339"/>
    <mergeCell ref="D338:D339"/>
    <mergeCell ref="D355:D356"/>
    <mergeCell ref="D357:D359"/>
    <mergeCell ref="D303:D305"/>
    <mergeCell ref="D26:D27"/>
    <mergeCell ref="B421:C421"/>
    <mergeCell ref="B420:H420"/>
    <mergeCell ref="B392:B394"/>
    <mergeCell ref="B403:B405"/>
    <mergeCell ref="D380:D382"/>
    <mergeCell ref="B384:B387"/>
    <mergeCell ref="B395:B397"/>
    <mergeCell ref="D389:D405"/>
    <mergeCell ref="B419:H419"/>
    <mergeCell ref="B417:H417"/>
    <mergeCell ref="B411:B412"/>
    <mergeCell ref="B418:H418"/>
    <mergeCell ref="B407:B409"/>
    <mergeCell ref="B401:B402"/>
    <mergeCell ref="B398:B400"/>
    <mergeCell ref="B366:B367"/>
    <mergeCell ref="B380:B382"/>
    <mergeCell ref="B389:B391"/>
    <mergeCell ref="B376:B379"/>
    <mergeCell ref="B355:B356"/>
    <mergeCell ref="B42:B43"/>
    <mergeCell ref="D42:D43"/>
    <mergeCell ref="B69:B70"/>
    <mergeCell ref="B195:B196"/>
    <mergeCell ref="B143:B147"/>
    <mergeCell ref="B65:B66"/>
    <mergeCell ref="B73:B75"/>
    <mergeCell ref="B49:B50"/>
    <mergeCell ref="B45:B47"/>
    <mergeCell ref="B61:B62"/>
    <mergeCell ref="D163:D164"/>
    <mergeCell ref="B107:B118"/>
    <mergeCell ref="B154:B160"/>
    <mergeCell ref="D154:D160"/>
    <mergeCell ref="B163:B166"/>
    <mergeCell ref="B167:B170"/>
    <mergeCell ref="D167:D170"/>
    <mergeCell ref="B57:B58"/>
    <mergeCell ref="B129:B130"/>
    <mergeCell ref="B77:B78"/>
    <mergeCell ref="D20:D25"/>
    <mergeCell ref="B20:B25"/>
    <mergeCell ref="B36:B39"/>
    <mergeCell ref="D36:D39"/>
    <mergeCell ref="I5:I6"/>
    <mergeCell ref="J5:M5"/>
    <mergeCell ref="N5:N6"/>
    <mergeCell ref="M1:N1"/>
    <mergeCell ref="M2:N2"/>
    <mergeCell ref="B4:N4"/>
    <mergeCell ref="B5:B6"/>
    <mergeCell ref="C5:C6"/>
    <mergeCell ref="D5:D6"/>
    <mergeCell ref="E5:E6"/>
    <mergeCell ref="F5:F6"/>
    <mergeCell ref="G5:G6"/>
    <mergeCell ref="H5:H6"/>
    <mergeCell ref="D18:D19"/>
    <mergeCell ref="B12:B19"/>
    <mergeCell ref="D13:D14"/>
    <mergeCell ref="B28:B29"/>
    <mergeCell ref="B34:B35"/>
    <mergeCell ref="B26:B27"/>
    <mergeCell ref="B30:B31"/>
  </mergeCells>
  <printOptions horizontalCentered="1"/>
  <pageMargins left="0.39370078740157483" right="0.39370078740157483" top="0.59055118110236227" bottom="0.59055118110236227" header="0" footer="0"/>
  <pageSetup paperSize="9" scale="76" fitToHeight="0" orientation="landscape" r:id="rId1"/>
  <rowBreaks count="25" manualBreakCount="25">
    <brk id="17" max="13" man="1"/>
    <brk id="27" max="13" man="1"/>
    <brk id="41" max="13" man="1"/>
    <brk id="59" max="13" man="1"/>
    <brk id="76" max="13" man="1"/>
    <brk id="92" max="13" man="1"/>
    <brk id="106" max="13" man="1"/>
    <brk id="122" max="13" man="1"/>
    <brk id="139" max="13" man="1"/>
    <brk id="153" max="13" man="1"/>
    <brk id="166" max="13" man="1"/>
    <brk id="185" max="13" man="1"/>
    <brk id="202" max="13" man="1"/>
    <brk id="219" max="13" man="1"/>
    <brk id="234" max="13" man="1"/>
    <brk id="249" max="13" man="1"/>
    <brk id="265" max="13" man="1"/>
    <brk id="285" max="13" man="1"/>
    <brk id="300" max="13" man="1"/>
    <brk id="313" max="13" man="1"/>
    <brk id="329" max="13" man="1"/>
    <brk id="348" max="13" man="1"/>
    <brk id="362" max="13" man="1"/>
    <brk id="378" max="13" man="1"/>
    <brk id="400" max="1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C01-1A7C-4243-B4FE-5036CF71C50D}">
  <sheetPr>
    <pageSetUpPr fitToPage="1"/>
  </sheetPr>
  <dimension ref="B1:J24"/>
  <sheetViews>
    <sheetView zoomScaleNormal="100" workbookViewId="0">
      <selection activeCell="B1" sqref="B1:G1"/>
    </sheetView>
  </sheetViews>
  <sheetFormatPr defaultColWidth="9.140625" defaultRowHeight="12.75" x14ac:dyDescent="0.2"/>
  <cols>
    <col min="1" max="1" width="2.5703125" style="21" customWidth="1"/>
    <col min="2" max="2" width="4.7109375" style="21" customWidth="1"/>
    <col min="3" max="3" width="44.7109375" style="2" customWidth="1"/>
    <col min="4" max="4" width="14.7109375" style="21" customWidth="1"/>
    <col min="5" max="5" width="12.42578125" style="21" customWidth="1"/>
    <col min="6" max="6" width="12.5703125" style="21" customWidth="1"/>
    <col min="7" max="7" width="13" style="21" customWidth="1"/>
    <col min="8" max="16384" width="9.140625" style="21"/>
  </cols>
  <sheetData>
    <row r="1" spans="2:10" ht="25.9" customHeight="1" x14ac:dyDescent="0.2">
      <c r="B1" s="1135" t="s">
        <v>542</v>
      </c>
      <c r="C1" s="1135"/>
      <c r="D1" s="1135"/>
      <c r="E1" s="1135"/>
      <c r="F1" s="1135"/>
      <c r="G1" s="1135"/>
    </row>
    <row r="2" spans="2:10" x14ac:dyDescent="0.2">
      <c r="C2" s="21"/>
    </row>
    <row r="3" spans="2:10" ht="59.25" customHeight="1" x14ac:dyDescent="0.2">
      <c r="B3" s="77" t="s">
        <v>543</v>
      </c>
      <c r="C3" s="78" t="s">
        <v>544</v>
      </c>
      <c r="D3" s="79" t="s">
        <v>545</v>
      </c>
      <c r="E3" s="86" t="s">
        <v>7</v>
      </c>
      <c r="F3" s="86" t="s">
        <v>8</v>
      </c>
      <c r="G3" s="86" t="s">
        <v>9</v>
      </c>
    </row>
    <row r="4" spans="2:10" ht="12.75" customHeight="1" x14ac:dyDescent="0.2">
      <c r="B4" s="88">
        <v>1</v>
      </c>
      <c r="C4" s="89">
        <v>2</v>
      </c>
      <c r="D4" s="90">
        <v>3</v>
      </c>
      <c r="E4" s="93">
        <v>4</v>
      </c>
      <c r="F4" s="93">
        <v>5</v>
      </c>
      <c r="G4" s="93">
        <v>6</v>
      </c>
    </row>
    <row r="5" spans="2:10" ht="15.75" customHeight="1" x14ac:dyDescent="0.2">
      <c r="B5" s="1132" t="s">
        <v>546</v>
      </c>
      <c r="C5" s="1133"/>
      <c r="D5" s="1133"/>
      <c r="E5" s="1133"/>
      <c r="F5" s="1133"/>
      <c r="G5" s="1134"/>
    </row>
    <row r="6" spans="2:10" ht="12.75" customHeight="1" x14ac:dyDescent="0.2">
      <c r="B6" s="91" t="s">
        <v>547</v>
      </c>
      <c r="C6" s="92" t="s">
        <v>82</v>
      </c>
      <c r="D6" s="56">
        <f>SUM(D8:D13)</f>
        <v>68422.600000000006</v>
      </c>
      <c r="E6" s="56">
        <f t="shared" ref="E6:G6" si="0">SUM(E8:E13)</f>
        <v>77825.899999999994</v>
      </c>
      <c r="F6" s="56">
        <f t="shared" si="0"/>
        <v>68116.3</v>
      </c>
      <c r="G6" s="56">
        <f t="shared" si="0"/>
        <v>64073.100000000006</v>
      </c>
    </row>
    <row r="7" spans="2:10" ht="15.75" customHeight="1" x14ac:dyDescent="0.2">
      <c r="B7" s="81"/>
      <c r="C7" s="52" t="s">
        <v>548</v>
      </c>
      <c r="D7" s="36"/>
      <c r="E7" s="87"/>
      <c r="F7" s="87"/>
      <c r="G7" s="87"/>
    </row>
    <row r="8" spans="2:10" ht="27" customHeight="1" x14ac:dyDescent="0.2">
      <c r="B8" s="81" t="s">
        <v>549</v>
      </c>
      <c r="C8" s="111" t="s">
        <v>550</v>
      </c>
      <c r="D8" s="55">
        <f>SUMIF('012 programa 3 lentelė'!$C8:$C414,'012 programa 3 lentelė'!$C13,'012 programa 3 lentelė'!E8:E414)</f>
        <v>34280.700000000004</v>
      </c>
      <c r="E8" s="55">
        <f>SUMIF('012 programa 3 lentelė'!$C8:$C414,'012 programa 3 lentelė'!$C13,'012 programa 3 lentelė'!F8:F414)</f>
        <v>37061.100000000013</v>
      </c>
      <c r="F8" s="55">
        <f>SUMIF('012 programa 3 lentelė'!$C8:$C414,'012 programa 3 lentelė'!$C13,'012 programa 3 lentelė'!G8:G414)</f>
        <v>35411.000000000007</v>
      </c>
      <c r="G8" s="55">
        <f>SUMIF('012 programa 3 lentelė'!$C8:$C414,'012 programa 3 lentelė'!$C13,'012 programa 3 lentelė'!H8:H414)</f>
        <v>34630.200000000004</v>
      </c>
      <c r="H8" s="181"/>
      <c r="I8" s="181"/>
      <c r="J8" s="181"/>
    </row>
    <row r="9" spans="2:10" ht="12.75" customHeight="1" x14ac:dyDescent="0.2">
      <c r="B9" s="81" t="s">
        <v>551</v>
      </c>
      <c r="C9" s="53" t="s">
        <v>29</v>
      </c>
      <c r="D9" s="55">
        <f>SUMIF('012 programa 3 lentelė'!$C8:$C414,'012 programa 3 lentelė'!$C14,'012 programa 3 lentelė'!E8:E414)</f>
        <v>22132.7</v>
      </c>
      <c r="E9" s="55">
        <f>SUMIF('012 programa 3 lentelė'!$C8:$C414,'012 programa 3 lentelė'!$C14,'012 programa 3 lentelė'!F8:F414)</f>
        <v>22797.899999999994</v>
      </c>
      <c r="F9" s="55">
        <f>SUMIF('012 programa 3 lentelė'!$C8:$C414,'012 programa 3 lentelė'!$C14,'012 programa 3 lentelė'!G8:G414)</f>
        <v>22661.799999999996</v>
      </c>
      <c r="G9" s="55">
        <f>SUMIF('012 programa 3 lentelė'!$C8:$C414,'012 programa 3 lentelė'!$C14,'012 programa 3 lentelė'!H8:H414)</f>
        <v>22603.599999999999</v>
      </c>
    </row>
    <row r="10" spans="2:10" ht="12.75" customHeight="1" x14ac:dyDescent="0.2">
      <c r="B10" s="81" t="s">
        <v>552</v>
      </c>
      <c r="C10" s="53" t="s">
        <v>553</v>
      </c>
      <c r="D10" s="55">
        <f>SUMIF('012 programa 3 lentelė'!$C8:$C414,'012 programa 3 lentelė'!$C101,'012 programa 3 lentelė'!E8:E414)</f>
        <v>2834.1</v>
      </c>
      <c r="E10" s="55">
        <f>SUMIF('012 programa 3 lentelė'!$C8:$C414,'012 programa 3 lentelė'!$C101,'012 programa 3 lentelė'!F8:F414)</f>
        <v>3020.6</v>
      </c>
      <c r="F10" s="55">
        <f>SUMIF('012 programa 3 lentelė'!$C8:$C414,'012 programa 3 lentelė'!$C101,'012 programa 3 lentelė'!G8:G414)</f>
        <v>3031.6</v>
      </c>
      <c r="G10" s="55">
        <f>SUMIF('012 programa 3 lentelė'!$C8:$C414,'012 programa 3 lentelė'!$C101,'012 programa 3 lentelė'!H8:H414)</f>
        <v>3079.3999999999996</v>
      </c>
    </row>
    <row r="11" spans="2:10" ht="24.75" customHeight="1" x14ac:dyDescent="0.2">
      <c r="B11" s="81" t="s">
        <v>554</v>
      </c>
      <c r="C11" s="53" t="s">
        <v>153</v>
      </c>
      <c r="D11" s="55">
        <f>SUMIF('012 programa 3 lentelė'!$C8:$C414,'012 programa 3 lentelė'!$C142,'012 programa 3 lentelė'!E8:E414)</f>
        <v>7088.8</v>
      </c>
      <c r="E11" s="55">
        <f>SUMIF('012 programa 3 lentelė'!$C8:$C414,'012 programa 3 lentelė'!$C142,'012 programa 3 lentelė'!F8:F414)</f>
        <v>11221.9</v>
      </c>
      <c r="F11" s="55">
        <f>SUMIF('012 programa 3 lentelė'!$C8:$C414,'012 programa 3 lentelė'!$C142,'012 programa 3 lentelė'!G8:G414)</f>
        <v>6311.9</v>
      </c>
      <c r="G11" s="55">
        <f>SUMIF('012 programa 3 lentelė'!$C8:$C414,'012 programa 3 lentelė'!$C142,'012 programa 3 lentelė'!H8:H414)</f>
        <v>3059.9</v>
      </c>
    </row>
    <row r="12" spans="2:10" ht="12.75" customHeight="1" x14ac:dyDescent="0.2">
      <c r="B12" s="81" t="s">
        <v>555</v>
      </c>
      <c r="C12" s="53" t="s">
        <v>556</v>
      </c>
      <c r="D12" s="55" cm="1">
        <f t="array" ref="D12">SUMIF('012 programa 3 lentelė'!$C8:$C414,'012 programa 3 lentelė'!C00,'012 programa 3 lentelė'!E8:E414)</f>
        <v>0</v>
      </c>
      <c r="E12" s="55">
        <f>SUMIF('012 programa 3 lentelė'!$C8:$C414,'012 programa 3 lentelė'!$C337,'012 programa 3 lentelė'!F8:F414)</f>
        <v>831.7</v>
      </c>
      <c r="F12" s="55">
        <f>SUMIF('012 programa 3 lentelė'!$C8:$C414,'012 programa 3 lentelė'!$C337,'012 programa 3 lentelė'!G8:G414)</f>
        <v>0</v>
      </c>
      <c r="G12" s="953">
        <f>SUMIF('012 programa 3 lentelė'!$C8:$C414,'012 programa 3 lentelė'!$C337,'012 programa 3 lentelė'!H8:H414)</f>
        <v>0</v>
      </c>
    </row>
    <row r="13" spans="2:10" ht="12.75" customHeight="1" x14ac:dyDescent="0.2">
      <c r="B13" s="81" t="s">
        <v>557</v>
      </c>
      <c r="C13" s="53" t="s">
        <v>558</v>
      </c>
      <c r="D13" s="55">
        <f>SUMIF('012 programa 3 lentelė'!$C8:$C414,'012 programa 3 lentelė'!$C102,'012 programa 3 lentelė'!E8:E414)</f>
        <v>2086.3000000000002</v>
      </c>
      <c r="E13" s="55">
        <f>SUMIF('012 programa 3 lentelė'!$C8:$C414,'012 programa 3 lentelė'!$C102,'012 programa 3 lentelė'!F8:F414)</f>
        <v>2892.7</v>
      </c>
      <c r="F13" s="55">
        <f>SUMIF('012 programa 3 lentelė'!$C8:$C414,'012 programa 3 lentelė'!$C102,'012 programa 3 lentelė'!G8:G414)</f>
        <v>700</v>
      </c>
      <c r="G13" s="55">
        <f>SUMIF('012 programa 3 lentelė'!$C8:$C414,'012 programa 3 lentelė'!$C102,'012 programa 3 lentelė'!H8:H414)</f>
        <v>700</v>
      </c>
    </row>
    <row r="14" spans="2:10" ht="41.45" customHeight="1" x14ac:dyDescent="0.2">
      <c r="B14" s="80" t="s">
        <v>559</v>
      </c>
      <c r="C14" s="52" t="s">
        <v>560</v>
      </c>
      <c r="D14" s="76">
        <f>SUM(D16:D21)</f>
        <v>69161.2</v>
      </c>
      <c r="E14" s="76">
        <f>SUM(E16:E21)</f>
        <v>70381.599999999991</v>
      </c>
      <c r="F14" s="76">
        <f t="shared" ref="F14:G14" si="1">SUM(F16:F21)</f>
        <v>70148</v>
      </c>
      <c r="G14" s="76">
        <f t="shared" si="1"/>
        <v>69948.5</v>
      </c>
    </row>
    <row r="15" spans="2:10" ht="15.75" customHeight="1" x14ac:dyDescent="0.2">
      <c r="B15" s="81"/>
      <c r="C15" s="52" t="s">
        <v>548</v>
      </c>
      <c r="D15" s="6"/>
      <c r="E15" s="87"/>
      <c r="F15" s="87"/>
      <c r="G15" s="87"/>
    </row>
    <row r="16" spans="2:10" ht="12.75" customHeight="1" x14ac:dyDescent="0.2">
      <c r="B16" s="81" t="s">
        <v>561</v>
      </c>
      <c r="C16" s="112" t="s">
        <v>562</v>
      </c>
      <c r="D16" s="55">
        <f>SUMIF('012 programa 3 lentelė'!$C8:$C414,'012 programa 3 lentelė'!$C122,'012 programa 3 lentelė'!E8:E414)</f>
        <v>415.4</v>
      </c>
      <c r="E16" s="55">
        <f>SUMIF('012 programa 3 lentelė'!$C8:$C414,'012 programa 3 lentelė'!$C122,'012 programa 3 lentelė'!F8:F414)</f>
        <v>1256.7</v>
      </c>
      <c r="F16" s="55">
        <f>SUMIF('012 programa 3 lentelė'!$C8:$C414,'012 programa 3 lentelė'!$C122,'012 programa 3 lentelė'!G8:G414)</f>
        <v>1202.1999999999998</v>
      </c>
      <c r="G16" s="55">
        <f>SUMIF('012 programa 3 lentelė'!$C8:$C414,'012 programa 3 lentelė'!$C122,'012 programa 3 lentelė'!H8:H414)</f>
        <v>1171.3999999999999</v>
      </c>
    </row>
    <row r="17" spans="2:7" ht="12.75" customHeight="1" x14ac:dyDescent="0.2">
      <c r="B17" s="81" t="s">
        <v>563</v>
      </c>
      <c r="C17" s="112" t="s">
        <v>564</v>
      </c>
      <c r="D17" s="55" cm="1">
        <f t="array" ref="D17">SUMIF('012 programa 3 lentelė'!$C8:$C414,'012 programa 3 lentelė'!C00,'012 programa 3 lentelė'!E8:E414)</f>
        <v>0</v>
      </c>
      <c r="E17" s="55" cm="1">
        <f t="array" ref="E17">SUMIF('012 programa 3 lentelė'!$C8:$C414,'012 programa 3 lentelė'!C00,'012 programa 3 lentelė'!F8:F414)</f>
        <v>0</v>
      </c>
      <c r="F17" s="55" cm="1">
        <f t="array" ref="F17">SUMIF('012 programa 3 lentelė'!$C8:$C414,'012 programa 3 lentelė'!C00,'012 programa 3 lentelė'!G8:G414)</f>
        <v>0</v>
      </c>
      <c r="G17" s="55" cm="1">
        <f t="array" ref="G17">SUMIF('012 programa 3 lentelė'!$C8:$C414,'012 programa 3 lentelė'!C00,'012 programa 3 lentelė'!H8:H414)</f>
        <v>0</v>
      </c>
    </row>
    <row r="18" spans="2:7" ht="24.75" customHeight="1" x14ac:dyDescent="0.2">
      <c r="B18" s="81" t="s">
        <v>565</v>
      </c>
      <c r="C18" s="112" t="s">
        <v>566</v>
      </c>
      <c r="D18" s="55" cm="1">
        <f t="array" ref="D18">SUMIF('012 programa 3 lentelė'!$C8:$C414,'012 programa 3 lentelė'!C00,'012 programa 3 lentelė'!E8:E414)</f>
        <v>0</v>
      </c>
      <c r="E18" s="55" cm="1">
        <f t="array" ref="E18">SUMIF('012 programa 3 lentelė'!$C8:$C414,'012 programa 3 lentelė'!C00,'012 programa 3 lentelė'!F8:F414)</f>
        <v>0</v>
      </c>
      <c r="F18" s="55" cm="1">
        <f t="array" ref="F18">SUMIF('012 programa 3 lentelė'!$C8:$C414,'012 programa 3 lentelė'!C00,'012 programa 3 lentelė'!G8:G414)</f>
        <v>0</v>
      </c>
      <c r="G18" s="55" cm="1">
        <f t="array" ref="G18">SUMIF('012 programa 3 lentelė'!$C8:$C414,'012 programa 3 lentelė'!C00,'012 programa 3 lentelė'!H8:H414)</f>
        <v>0</v>
      </c>
    </row>
    <row r="19" spans="2:7" ht="12.75" customHeight="1" x14ac:dyDescent="0.2">
      <c r="B19" s="81" t="s">
        <v>567</v>
      </c>
      <c r="C19" s="112" t="s">
        <v>568</v>
      </c>
      <c r="D19" s="55">
        <f>SUMIF('012 programa 3 lentelė'!$C8:$C414,'012 programa 3 lentelė'!$C402,'012 programa 3 lentelė'!E8:E414)</f>
        <v>68745.8</v>
      </c>
      <c r="E19" s="55">
        <f>SUMIF('012 programa 3 lentelė'!$C8:$C414,'012 programa 3 lentelė'!$C402,'012 programa 3 lentelė'!F8:F414)</f>
        <v>68786.299999999988</v>
      </c>
      <c r="F19" s="55">
        <f>SUMIF('012 programa 3 lentelė'!$C8:$C414,'012 programa 3 lentelė'!$C402,'012 programa 3 lentelė'!G8:G414)</f>
        <v>68607.199999999997</v>
      </c>
      <c r="G19" s="55">
        <f>SUMIF('012 programa 3 lentelė'!$C8:$C414,'012 programa 3 lentelė'!$C402,'012 programa 3 lentelė'!H8:H414)</f>
        <v>68438.5</v>
      </c>
    </row>
    <row r="20" spans="2:7" ht="12.75" customHeight="1" x14ac:dyDescent="0.2">
      <c r="B20" s="81" t="s">
        <v>569</v>
      </c>
      <c r="C20" s="112" t="s">
        <v>570</v>
      </c>
      <c r="D20" s="55">
        <f>SUMIF('012 programa 3 lentelė'!$C8:$C414,'012 programa 3 lentelė'!$C159,'012 programa 3 lentelė'!E8:E414)</f>
        <v>0</v>
      </c>
      <c r="E20" s="55">
        <f>SUMIF('012 programa 3 lentelė'!$C8:$C414,'012 programa 3 lentelė'!$C159,'012 programa 3 lentelė'!F8:F414)</f>
        <v>338.59999999999997</v>
      </c>
      <c r="F20" s="55">
        <f>SUMIF('012 programa 3 lentelė'!$C8:$C414,'012 programa 3 lentelė'!$C159,'012 programa 3 lentelė'!G8:G414)</f>
        <v>338.59999999999997</v>
      </c>
      <c r="G20" s="55">
        <f>SUMIF('012 programa 3 lentelė'!$C8:$C414,'012 programa 3 lentelė'!$C159,'012 programa 3 lentelė'!H8:H414)</f>
        <v>338.59999999999997</v>
      </c>
    </row>
    <row r="21" spans="2:7" ht="12.75" customHeight="1" x14ac:dyDescent="0.2">
      <c r="B21" s="81" t="s">
        <v>571</v>
      </c>
      <c r="C21" s="112" t="s">
        <v>572</v>
      </c>
      <c r="D21" s="55" cm="1">
        <f t="array" ref="D21">SUMIF('012 programa 3 lentelė'!$C8:$C414,'012 programa 3 lentelė'!C00,'012 programa 3 lentelė'!E8:E414)</f>
        <v>0</v>
      </c>
      <c r="E21" s="55" cm="1">
        <f t="array" ref="E21">SUMIF('012 programa 3 lentelė'!$C8:$C414,'012 programa 3 lentelė'!C00,'012 programa 3 lentelė'!F8:F414)</f>
        <v>0</v>
      </c>
      <c r="F21" s="55" cm="1">
        <f t="array" ref="F21">SUMIF('012 programa 3 lentelė'!$C8:$C414,'012 programa 3 lentelė'!C00,'012 programa 3 lentelė'!G8:G414)</f>
        <v>0</v>
      </c>
      <c r="G21" s="55" cm="1">
        <f t="array" ref="G21">SUMIF('012 programa 3 lentelė'!$C8:$C414,'012 programa 3 lentelė'!C00,'012 programa 3 lentelė'!H8:H414)</f>
        <v>0</v>
      </c>
    </row>
    <row r="22" spans="2:7" ht="25.5" x14ac:dyDescent="0.2">
      <c r="B22" s="81"/>
      <c r="C22" s="53" t="s">
        <v>573</v>
      </c>
      <c r="D22" s="7">
        <f>D6+D14</f>
        <v>137583.79999999999</v>
      </c>
      <c r="E22" s="7">
        <f>E6+E14</f>
        <v>148207.5</v>
      </c>
      <c r="F22" s="7">
        <f t="shared" ref="F22:G22" si="2">F6+F14</f>
        <v>138264.29999999999</v>
      </c>
      <c r="G22" s="7">
        <f t="shared" si="2"/>
        <v>134021.6</v>
      </c>
    </row>
    <row r="23" spans="2:7" ht="19.149999999999999" customHeight="1" x14ac:dyDescent="0.2">
      <c r="B23" s="98"/>
      <c r="C23" s="99" t="s">
        <v>531</v>
      </c>
      <c r="D23" s="36">
        <f>'012 programa 3 lentelė'!E414</f>
        <v>8977.8000000000011</v>
      </c>
      <c r="E23" s="36">
        <f>'012 programa 3 lentelė'!F414</f>
        <v>14830.8</v>
      </c>
      <c r="F23" s="36">
        <f>'012 programa 3 lentelė'!G414</f>
        <v>7345.1</v>
      </c>
      <c r="G23" s="36">
        <f>'012 programa 3 lentelė'!H414</f>
        <v>2569.4</v>
      </c>
    </row>
    <row r="24" spans="2:7" ht="25.5" x14ac:dyDescent="0.2">
      <c r="B24" s="100"/>
      <c r="C24" s="53" t="s">
        <v>532</v>
      </c>
      <c r="D24" s="100"/>
      <c r="E24" s="101">
        <f>E22-D22</f>
        <v>10623.700000000012</v>
      </c>
      <c r="F24" s="101">
        <f t="shared" ref="F24:G24" si="3">F22-E22</f>
        <v>-9943.2000000000116</v>
      </c>
      <c r="G24" s="101">
        <f t="shared" si="3"/>
        <v>-4242.6999999999825</v>
      </c>
    </row>
  </sheetData>
  <sheetProtection sheet="1" objects="1" scenarios="1"/>
  <mergeCells count="2">
    <mergeCell ref="B5:G5"/>
    <mergeCell ref="B1:G1"/>
  </mergeCells>
  <pageMargins left="0.7" right="0.7" top="0.75" bottom="0.75" header="0.3" footer="0.3"/>
  <pageSetup paperSize="9" scale="83" fitToHeight="0" orientation="portrait" r:id="rId1"/>
  <ignoredErrors>
    <ignoredError sqref="E19:G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012 programa 3 lentelė</vt:lpstr>
      <vt:lpstr>Lėšų suvestinė 2 lentelė</vt:lpstr>
      <vt:lpstr>'012 programa 3 lentelė'!Print_Area</vt:lpstr>
      <vt:lpstr>'012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Regina Intienė</cp:lastModifiedBy>
  <cp:revision/>
  <cp:lastPrinted>2025-12-18T12:17:13Z</cp:lastPrinted>
  <dcterms:created xsi:type="dcterms:W3CDTF">2023-07-10T07:04:14Z</dcterms:created>
  <dcterms:modified xsi:type="dcterms:W3CDTF">2025-12-18T13:33:03Z</dcterms:modified>
  <cp:category/>
  <cp:contentStatus/>
</cp:coreProperties>
</file>