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600" windowHeight="11220" activeTab="0"/>
  </bookViews>
  <sheets>
    <sheet name="1pr. pajamos" sheetId="1" r:id="rId1"/>
    <sheet name="1 pr.asignavimai" sheetId="2" r:id="rId2"/>
    <sheet name="2pr." sheetId="3" r:id="rId3"/>
    <sheet name="3pr." sheetId="4" r:id="rId4"/>
    <sheet name="4pr." sheetId="5" r:id="rId5"/>
    <sheet name="5 pr." sheetId="6" r:id="rId6"/>
  </sheets>
  <externalReferences>
    <externalReference r:id="rId9"/>
  </externalReferences>
  <definedNames>
    <definedName name="_xlnm.Print_Titles" localSheetId="1">'1 pr.asignavimai'!$3:$7</definedName>
    <definedName name="_xlnm.Print_Titles" localSheetId="0">'1pr. pajamos'!$8:$9</definedName>
    <definedName name="_xlnm.Print_Titles" localSheetId="2">'2pr.'!$9:$13</definedName>
    <definedName name="_xlnm.Print_Titles" localSheetId="4">'4pr.'!$8:$11</definedName>
  </definedNames>
  <calcPr fullCalcOnLoad="1" fullPrecision="0"/>
</workbook>
</file>

<file path=xl/sharedStrings.xml><?xml version="1.0" encoding="utf-8"?>
<sst xmlns="http://schemas.openxmlformats.org/spreadsheetml/2006/main" count="579" uniqueCount="400">
  <si>
    <t xml:space="preserve"> Klaipėdos miesto savivaldybės tarybos</t>
  </si>
  <si>
    <t>Eil. Nr.</t>
  </si>
  <si>
    <t>2</t>
  </si>
  <si>
    <t>4</t>
  </si>
  <si>
    <t>Savivaldybės administracija</t>
  </si>
  <si>
    <t>Klaipėdos miesto skęstančiųjų gelbėjimo tarnyba</t>
  </si>
  <si>
    <t>Neįgaliųjų  centras „Klaipėdos lakštutė“</t>
  </si>
  <si>
    <t>Klaipėdos miesto sporto centras</t>
  </si>
  <si>
    <t>Klaipėdos kultūrų komunikacijų centras</t>
  </si>
  <si>
    <t>Iš viso</t>
  </si>
  <si>
    <t>Miesto ūkio departamentas</t>
  </si>
  <si>
    <t>Ugdymo ir kultūros departamentas</t>
  </si>
  <si>
    <t>Socialinių reikalų departamentas</t>
  </si>
  <si>
    <t>(tūkst. Lt)</t>
  </si>
  <si>
    <t>iš jų:</t>
  </si>
  <si>
    <t>6</t>
  </si>
  <si>
    <t>PAJAMOS</t>
  </si>
  <si>
    <t>Pavadinimas</t>
  </si>
  <si>
    <t>MOKESČIAI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</si>
  <si>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</si>
  <si>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</si>
  <si>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</si>
  <si>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</si>
  <si>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</si>
  <si>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</si>
  <si>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</si>
  <si>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DOTACIJOS</t>
  </si>
  <si>
    <t>Europos Sąjungos finansinės paramos lėšos</t>
  </si>
  <si>
    <t>Einamiesiems tikslams</t>
  </si>
  <si>
    <t>Kapitalui formuoti</t>
  </si>
  <si>
    <t>Specialiosios tikslinės dotacijos</t>
  </si>
  <si>
    <t>Mokinio krepšeliui finansuoti</t>
  </si>
  <si>
    <t>Aglomeracijų strateginiams triukšmo žemėlapiams parengti</t>
  </si>
  <si>
    <t>KITOS PAJAMOS</t>
  </si>
  <si>
    <t xml:space="preserve">Palūkanos už depozitus </t>
  </si>
  <si>
    <t>Dividendai</t>
  </si>
  <si>
    <t xml:space="preserve">Nuomos mokestis už valstybinę žemę ir valstybinio vidaus vandenų fondo vandens telkinius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</si>
  <si>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</si>
  <si>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</si>
  <si>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</si>
  <si>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</si>
  <si>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</si>
  <si>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Kitos pajamos</t>
  </si>
  <si>
    <t>Kitos neišvardintos pajamos</t>
  </si>
  <si>
    <t>SANDORIAI DĖL MATERIALIOJO IR NEMATERIALIOJO TURTO BEI FINANSINIŲ ĮSIPAREIGOJIMŲ PRISIĖMIMAS</t>
  </si>
  <si>
    <t>MATERIALIOJO IR NEMATERIALIOJO TURTO REALIZAVIMO PAJAMOS</t>
  </si>
  <si>
    <t>Ilgalaikio materialiojo turto realizavimo pajamos</t>
  </si>
  <si>
    <t>Žemė</t>
  </si>
  <si>
    <t>Pastatai ir statiniai</t>
  </si>
  <si>
    <t>Apyvartos lėšos biudžeto lėšų stygiui dengti</t>
  </si>
  <si>
    <t>Iš kitų savivaldybių gautos mokinio krepšelio lėšos</t>
  </si>
  <si>
    <t>Asignavimų valdytojas / programos pavadinimas</t>
  </si>
  <si>
    <t>išlaidoms</t>
  </si>
  <si>
    <t>turtui įsigyti</t>
  </si>
  <si>
    <t>iš jų darbo užmokes-čiui</t>
  </si>
  <si>
    <t>Savivaldybės kontrolės ir audito  tarnyba</t>
  </si>
  <si>
    <t>Savivaldybės valdymo  programa</t>
  </si>
  <si>
    <t>Bendrosios dotacijos kompensacija</t>
  </si>
  <si>
    <t>Gyvenamosios vietos deklaravimas</t>
  </si>
  <si>
    <t>Archyvinių dokumentų tvarkymas</t>
  </si>
  <si>
    <t>Jaunimo teisių apsauga</t>
  </si>
  <si>
    <t>Pirminės teisinės pagalbos teikimas</t>
  </si>
  <si>
    <t>Civilinės būklės aktų registravimas</t>
  </si>
  <si>
    <t>Gyventojų registro tvarkymas ir duomenų valstybės registrui teikimas</t>
  </si>
  <si>
    <t>Valstybinės kalbos vartojimo ir taisyklingumo kontrolė</t>
  </si>
  <si>
    <t>Civilinės saugos organizavimas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</si>
  <si>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</si>
  <si>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</si>
  <si>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</si>
  <si>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Investicijų ir ekonomikos departamentas</t>
  </si>
  <si>
    <t xml:space="preserve">Aplinkos apsaugos programa </t>
  </si>
  <si>
    <t>Aplinkos apsaugos rėmimo specialioji programa</t>
  </si>
  <si>
    <t>Žemės ūkio funkcijoms vykdyti</t>
  </si>
  <si>
    <t>Urbanistinės plėtros departamentas</t>
  </si>
  <si>
    <t xml:space="preserve">Miesto infrastruktūros objektų priežiūros ir modernizavimo programa </t>
  </si>
  <si>
    <t>Aplinkos apsaugos programa</t>
  </si>
  <si>
    <t>Ugdymo proceso užtikrinimo programa</t>
  </si>
  <si>
    <t xml:space="preserve">Miesto kultūrinio savitumo puoselėjimo bei kultūrinių paslaugų gerinimo programa </t>
  </si>
  <si>
    <t>Kūno kultūros ir sporto plėtros programa</t>
  </si>
  <si>
    <t>Socialinės atskirties mažinimo programa</t>
  </si>
  <si>
    <t>Gyvenamųjų patalpų nuompinigių panaudojimo specialioji programa</t>
  </si>
  <si>
    <t>Visuomenės sveikatos rėmimo specialioji programa</t>
  </si>
  <si>
    <t xml:space="preserve">Socialinės paslaugos </t>
  </si>
  <si>
    <t>Socialinėms išmokoms ir kompensacijoms mokėti</t>
  </si>
  <si>
    <t>Socialinė parama mokiniams</t>
  </si>
  <si>
    <t xml:space="preserve">Iš viso </t>
  </si>
  <si>
    <t xml:space="preserve">Mokesčiai už valstybinius gamtos išteklius </t>
  </si>
  <si>
    <t>(tūkst.Lt)</t>
  </si>
  <si>
    <t>Turtui įsigyti</t>
  </si>
  <si>
    <t>Miesto urbanistinio planavimo programa</t>
  </si>
  <si>
    <t>Subalansuoto turizmo skatinimo ir vystymo programa</t>
  </si>
  <si>
    <t>Miesto kultūrinio savitumo puoselėjimo bei kultūrinių paslaugų gerinimo programa</t>
  </si>
  <si>
    <t>Susisiekimo sistemos priežiūros ir plėtros programa</t>
  </si>
  <si>
    <t>Miesto infrastruktūros objektų priežiūros ir modernizavimo pograma</t>
  </si>
  <si>
    <r>
      <t>Subalansuoto turizmo skatinimo ir vystymo programa</t>
    </r>
    <r>
      <rPr>
        <sz val="12"/>
        <rFont val="Times New Roman"/>
        <family val="1"/>
      </rPr>
      <t xml:space="preserve"> </t>
    </r>
  </si>
  <si>
    <t xml:space="preserve">Ugdymo proceso užtikrinimo programa </t>
  </si>
  <si>
    <r>
      <t>Susisiekimo sistemos priežiūros ir plėtros programa</t>
    </r>
    <r>
      <rPr>
        <sz val="12"/>
        <rFont val="Times New Roman"/>
        <family val="1"/>
      </rPr>
      <t xml:space="preserve"> </t>
    </r>
  </si>
  <si>
    <t xml:space="preserve">Socialinės atskirties mažinimo programa </t>
  </si>
  <si>
    <r>
      <t>Susisiekimo sistemos priežiūros ir plėtros programa</t>
    </r>
    <r>
      <rPr>
        <sz val="12"/>
        <rFont val="Times New Roman"/>
        <family val="1"/>
      </rPr>
      <t xml:space="preserve"> (savivaldybės biudžeto lėšos)</t>
    </r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</si>
  <si>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</si>
  <si>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</si>
  <si>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</si>
  <si>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>Savivaldybės valdymo  programa (asignavimų valdytojo pajamų įmokos)</t>
  </si>
  <si>
    <r>
      <t xml:space="preserve">Bendrosios dotacijos kompensacija </t>
    </r>
    <r>
      <rPr>
        <sz val="12"/>
        <rFont val="Times New Roman"/>
        <family val="1"/>
      </rPr>
      <t>(savivaldybės biudžeto lėšos)</t>
    </r>
  </si>
  <si>
    <t xml:space="preserve">Subalansuoto turizmo skatinimo ir vystymo programa (paskolų lėšos) </t>
  </si>
  <si>
    <t>Subalansuoto turizmo skatinimo ir vystymo programa (savivaldybės biudžeto lėšos)</t>
  </si>
  <si>
    <t>Ugdymo proceso užtikrinimo programa (savivaldybės biudžeto lėšos)</t>
  </si>
  <si>
    <t xml:space="preserve">Ugdymo proceso užtikrinimo programa (paskolų lėšos) </t>
  </si>
  <si>
    <t>Susisiekimo sistemos priežiūros ir plėtros programa (savivaldybės biudžeto lėšos)</t>
  </si>
  <si>
    <t xml:space="preserve">Susisiekimo sistemos priežiūros ir plėtros programa (paskolų lėšos) </t>
  </si>
  <si>
    <t>Aplinkos apsaugos programa (savivaldybės biudžeto lėšos)</t>
  </si>
  <si>
    <r>
      <t xml:space="preserve">Miesto urbanistinio planavimo programa </t>
    </r>
    <r>
      <rPr>
        <sz val="12"/>
        <rFont val="Times New Roman"/>
        <family val="1"/>
      </rPr>
      <t xml:space="preserve">(savivaldybės biudžeto lėšos) </t>
    </r>
  </si>
  <si>
    <t>Miesto infrastruktūros objektų priežiūros ir modernizavimo programa (savivaldybės biudžeto lėšos)</t>
  </si>
  <si>
    <t>Miesto infrastruktūros objektų priežiūros ir modernizavimo programa (asignavimų valdytojo pajamų įmokos)</t>
  </si>
  <si>
    <r>
      <t xml:space="preserve">Ugdymo proceso užtikrinimo programa </t>
    </r>
    <r>
      <rPr>
        <sz val="12"/>
        <rFont val="Times New Roman"/>
        <family val="1"/>
      </rPr>
      <t>(savivaldybės biudžeto lėšos)</t>
    </r>
  </si>
  <si>
    <t>Ugdymo proceso užtikrinimo programa  (savivaldybės biudžeto lėšos)</t>
  </si>
  <si>
    <t>Ugdymo proceso užtikrinimo programa (specialiosios tikslinės dotacijos mokinio krepšeliui finansuoti lėšos)</t>
  </si>
  <si>
    <t>Ugdymo proceso užtikrinimo programa (asignavimų valdytojo pajamų įmokos)</t>
  </si>
  <si>
    <t>Miesto kultūrinio savitumo puoselėjimo bei kultūrinių paslaugų gerinimo programa (savivaldybės biudžeto lėšos)</t>
  </si>
  <si>
    <t>Miesto kultūrinio savitumo puoselėjimo bei kultūrinių paslaugų gerinimo programa (asignavimų valdytojo pajamų įmokos)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</si>
  <si>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</si>
  <si>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</si>
  <si>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 (asignavimų valdytojo pajamų įmokos)</t>
  </si>
  <si>
    <t>Socialinės atskirties mažinimo programa (savivaldybės biudžeto lėšos)</t>
  </si>
  <si>
    <t>Visuomenės sveikatos rėmimo specialioji programa (savivaldybės biudžeto lėšos)</t>
  </si>
  <si>
    <t xml:space="preserve">valstybės biudžeto specialiųjų tikslinių dotacijų lėšos </t>
  </si>
  <si>
    <t>Iš viso programai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</si>
  <si>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</si>
  <si>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</si>
  <si>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</si>
  <si>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</si>
  <si>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</si>
  <si>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</si>
  <si>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</si>
  <si>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</si>
  <si>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</si>
  <si>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</si>
  <si>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</si>
  <si>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</si>
  <si>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</si>
  <si>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</si>
  <si>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</si>
  <si>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Subalansuoto turizmo skatinimo ir vystymo programa </t>
  </si>
  <si>
    <t xml:space="preserve">Susisiekimo sistemos priežiūros ir plėtros programa </t>
  </si>
  <si>
    <t xml:space="preserve">Kūno kultūros ir sporto plėtros programa </t>
  </si>
  <si>
    <t xml:space="preserve"> 4 priedas</t>
  </si>
  <si>
    <t>Asignavimų valdytojo / įstaigos pavadinimas</t>
  </si>
  <si>
    <t>Valstybinėms (valstybės perduotoms savivaldybėms) funkcijoms atlikti</t>
  </si>
  <si>
    <t>Iš apskričių perduotoms įstaigoms išlaikyti</t>
  </si>
  <si>
    <t>Ugdymo proceso užtikrinimo programa (specialiosios tikslinės dotacijos iš apskričių perduotoms įstaigoms išlaikyti lėšos)</t>
  </si>
  <si>
    <t>Socialinės atskirties mažinimo programa (specialiosios tikslinės dotacijos iš apskričių perduotoms įstaigoms išlaikyti lėšos)</t>
  </si>
  <si>
    <t>Išlaidos turtui įsigyti</t>
  </si>
  <si>
    <t>Programos pavadinimas</t>
  </si>
  <si>
    <t>Asignavimų valdytojas</t>
  </si>
  <si>
    <t>Klaipėdos „Gintaro“ sporto centras</t>
  </si>
  <si>
    <t>Klaipėdos futbolo sporto mokykla</t>
  </si>
  <si>
    <t>Klaipėdos kūno kultūros ir rekreacijos centras</t>
  </si>
  <si>
    <t>Klaipėdos miesto savivaldybės viešoji biblioteka</t>
  </si>
  <si>
    <t>Klaipėdos miesto savivaldybės Mažosios Lietuvos istorijos muziejus</t>
  </si>
  <si>
    <t>Klaipėdos miesto savivaldybės etnokultūros centras</t>
  </si>
  <si>
    <t>Klaipėdos miesto savivaldybės koncertinė įstaiga Klaipėdos koncertų salė</t>
  </si>
  <si>
    <t>Klaipėdos miesto savivaldybės kultūros centras Žvejų rūmai</t>
  </si>
  <si>
    <t>Klaipėdos Vytauto Didžiojo gimnazija</t>
  </si>
  <si>
    <t>Klaipėdos „Žaliakalnio“ gimnazija</t>
  </si>
  <si>
    <t>Klaipėdos „Žemynos“ gimnazija</t>
  </si>
  <si>
    <t>Klaipėdos Baltijos gimnazija</t>
  </si>
  <si>
    <t>Klaipėdos „Varpo“ gimnazija</t>
  </si>
  <si>
    <t>Klaipėdos Vydūno vidurinė mokykla</t>
  </si>
  <si>
    <t>Klaipėdos Hermano Zudermano gimnazija</t>
  </si>
  <si>
    <t>Klaipėdos Maksimo Gorkio pagrindinė mokykla</t>
  </si>
  <si>
    <t>Klaipėdos „Vyturio“ pagrindinė mokykla</t>
  </si>
  <si>
    <t>Klaipėdos „Pajūrio“ pagrindinė mokykla</t>
  </si>
  <si>
    <t>Klaipėdos „Saulėtekio“ pagrindinė mokykla</t>
  </si>
  <si>
    <t>Klaipėdos Vitės pagrindinė mokykla</t>
  </si>
  <si>
    <t>Klaipėdos Andrejaus  Rubliovo pagrindinė mokykla</t>
  </si>
  <si>
    <t xml:space="preserve">Klaipėdos „Gilijos“ pradinė mokykla </t>
  </si>
  <si>
    <t>Klaipėdos „Santarvės“ pagrindinė mokykla</t>
  </si>
  <si>
    <t>Klaipėdos Gedminų pagrindinė mokykla</t>
  </si>
  <si>
    <t>Klaipėdos Ievos Simonaitytės  pagrindinė mokykla</t>
  </si>
  <si>
    <t>Klaipėdos Naujakiemio suaugusiųjų vidurinė mokykla</t>
  </si>
  <si>
    <t>Klaipėdos Salio Šemerio suaugusiųjų gimnazija</t>
  </si>
  <si>
    <t>Klaipėdos „Šaltinėlio“ mokykla-darželis</t>
  </si>
  <si>
    <t>Klaipėdos lopšelis-darželis „Du gaideliai“</t>
  </si>
  <si>
    <t>Klaipėdos „Nykštuko“ mokykla-darželis</t>
  </si>
  <si>
    <t>Klaipėdos „Varpelio“ mokykla-darželis</t>
  </si>
  <si>
    <t>Klaipėdos „Saulutės“ mokykla-darželis</t>
  </si>
  <si>
    <t>Klaipėdos „Inkarėlio“ mokykla-darželis</t>
  </si>
  <si>
    <t>Klaipėdos „Pakalnutės“ mokykla-darželis</t>
  </si>
  <si>
    <t>Klaipėdos lopšelis-darželis „Berželis“</t>
  </si>
  <si>
    <t>Klaipėdos lopšelis-darželis „Švyturėlis“</t>
  </si>
  <si>
    <t>Klaipėdos lopšelis-darželis „Čiauškutė“</t>
  </si>
  <si>
    <t>Klaipėdos lopšelis-darželis „Sakalėlis“</t>
  </si>
  <si>
    <t>Klaipėdos lopšelis-darželis „Pagrandukas“</t>
  </si>
  <si>
    <t>Klaipėdos lopšelis-darželis „Žiburėlis“</t>
  </si>
  <si>
    <t>Klaipėdos lopšelis-darželis„Šermukšnėlė“</t>
  </si>
  <si>
    <t>Klaipėdos lopšelis-darželis „Puriena“</t>
  </si>
  <si>
    <t>Klaipėdos lopšelis-darželis „Radastėlė“</t>
  </si>
  <si>
    <t>Klaipėdos lopšelis-darželis „Liepaitė“</t>
  </si>
  <si>
    <t>Klaipėdos lopšelis-darželis „Boružėlė“</t>
  </si>
  <si>
    <t>Klaipėdos lopšelis-darželis „Kregždutė“</t>
  </si>
  <si>
    <t>Klaipėdos lopšelis-darželis „Vėrinėlis“</t>
  </si>
  <si>
    <t>Klaipėdos lopšelis-darželis „Putinėlis“</t>
  </si>
  <si>
    <t>Klaipėdos lopšelis-darželis „Želmenėlis“</t>
  </si>
  <si>
    <t>Klaipėdos lopšelis-darželis „Obelėlė“</t>
  </si>
  <si>
    <t>Klaipėdos lopšelis-darželis „Klevelis“</t>
  </si>
  <si>
    <t>Klaipėdos lopšelis-darželis „Žilvitis“</t>
  </si>
  <si>
    <t>Klaipėdos lopšelis-darželis „Rūta“</t>
  </si>
  <si>
    <t>Klaipėdos lopšelis-darželis „Žuvėdra“</t>
  </si>
  <si>
    <t>Klaipėdos lopšelis-darželis „Pingvinukas“</t>
  </si>
  <si>
    <t>Klaipėdos lopšelis-darželis „Traukinukas“</t>
  </si>
  <si>
    <t>Klaipėdos lopšelis-darželis „Svirpliukas“</t>
  </si>
  <si>
    <t>Klaipėdos lopšelis-darželis „Volungėlė“</t>
  </si>
  <si>
    <t>Klaipėdos lopšelis-darželis „Dobiliukas“</t>
  </si>
  <si>
    <t>Klaipėdos lopšelis-darželis „Linelis“</t>
  </si>
  <si>
    <t>Klaipėdos lopšelis-darželis „Žiogelis“</t>
  </si>
  <si>
    <t>Klaipėdos lopšelis-darželis „Aušrinė“</t>
  </si>
  <si>
    <t>Klaipėdos lopšelis-darželis „Atžalynas“</t>
  </si>
  <si>
    <t>Klaipėdos lopšelis-darželis „Žemuogėlė“</t>
  </si>
  <si>
    <t>Klaipėdos lopšelis-darželis „Alksniukas“</t>
  </si>
  <si>
    <t>Klaipėdos lopšelis-darželis „Pumpurėlis“</t>
  </si>
  <si>
    <t>Klaipėdos lopšelis-darželis „Papartėlis“</t>
  </si>
  <si>
    <t>Klaipėdos lopšelis-darželis „Aitvarėlis“</t>
  </si>
  <si>
    <t>Klaipėdos lopšelis-darželis „Bangelė“</t>
  </si>
  <si>
    <t>Klaipėdos lopšelis-darželis „Ąžuoliukas“</t>
  </si>
  <si>
    <t>Klaipėdos  lopšelis-darželis „Vyturėlis“</t>
  </si>
  <si>
    <t>Klaipėdos darželis „Gintarėlis“</t>
  </si>
  <si>
    <t>Klaipėdos Marijos Montessori mokykla-darželis</t>
  </si>
  <si>
    <t>Klaipėdos „Versmės“ specialioji mokykla-darželis</t>
  </si>
  <si>
    <t>Klaipėdos lopšelis-darželis „Bitutė“</t>
  </si>
  <si>
    <t>Klaipėdos Juozo Karoso muzikos mokykla</t>
  </si>
  <si>
    <t>Klaipėdos Adomo Brako dailės mokykla</t>
  </si>
  <si>
    <t>Klaipėdos Jeronimo Kačinsko muzikos mokykla</t>
  </si>
  <si>
    <t>Klaipėdos moksleivių saviraiškos centras</t>
  </si>
  <si>
    <t>Klaipėdos regos ugdymo centras</t>
  </si>
  <si>
    <t>Klaipėdos pedagogų švietimo ir kultūros centras</t>
  </si>
  <si>
    <t>Klaipėdos jaunimo centras</t>
  </si>
  <si>
    <t>Klaipėdos pedagoginė psichologinė tarnyba</t>
  </si>
  <si>
    <t xml:space="preserve">Klaipėdos vaikų laisvalaikio centras </t>
  </si>
  <si>
    <t>Klaipėdos miesto globos namai</t>
  </si>
  <si>
    <t>Klaipėdos miesto nakvynės namai</t>
  </si>
  <si>
    <t>Klaipėdos vaikų globos namai „Smiltelė“</t>
  </si>
  <si>
    <t>Klaipėdos vaikų globos namai „Rytas“</t>
  </si>
  <si>
    <t>Klaipėdos priklausomybės ligų centras</t>
  </si>
  <si>
    <t>Klaipėdos miesto socialinės paramos centras</t>
  </si>
  <si>
    <t>Klaipėdos „Ąžuolyno“ gimnazija</t>
  </si>
  <si>
    <t>Klaipėdos Simono Dacho  progimnazija</t>
  </si>
  <si>
    <t>Klaipėdos Prano Mašioto  progimnazija</t>
  </si>
  <si>
    <t>Klaipėdos „Versmės“ progimnazija</t>
  </si>
  <si>
    <t>Klaipėdos „Smeltės“ progimnazija</t>
  </si>
  <si>
    <t>Klaipėdos Martyno Mažvydo  progimnazija</t>
  </si>
  <si>
    <t>Klaipėdos Tauralaukio progimnazija</t>
  </si>
  <si>
    <t>Klaipėdos „Gabijos“ progimnazija</t>
  </si>
  <si>
    <t>Klaipėdos Sendvario pagrindinė mokykla</t>
  </si>
  <si>
    <t>Klaipėdos „Viesulo“ sporto centras</t>
  </si>
  <si>
    <t>Klaipėdos Vlado Knašiaus krepšinio mokykla</t>
  </si>
  <si>
    <t>Savivaldybės valdymo  programa (specialiosios tikslinės dotacijos valstybinėms (valstybės perduotoms savivaldybėms) funkcijoms atlikti lėšos)</t>
  </si>
  <si>
    <r>
      <t>Jaunimo politikos plėtros programa</t>
    </r>
    <r>
      <rPr>
        <sz val="12"/>
        <rFont val="Times New Roman"/>
        <family val="1"/>
      </rPr>
      <t xml:space="preserve"> (savivaldybės biudžeto lėšos)</t>
    </r>
  </si>
  <si>
    <t>Vaikų ir jaunimo teisių apsauga</t>
  </si>
  <si>
    <t>Socialinėms išmokoms ir kompensacijoms skaičiuoti ir mokėti</t>
  </si>
  <si>
    <t xml:space="preserve">Dalyvavimas rengiant ir vykdant mobilizaciją </t>
  </si>
  <si>
    <t>Darbo rinkos politikos priemonių ir gyventojų užimtumo programų rengimas ir įgyvendinimas</t>
  </si>
  <si>
    <t>Darbo rinkos politikos priemonių ir gyventojų užimtumo programų rengimo ir įgyvendinimo administravimas</t>
  </si>
  <si>
    <t>Valstybinės žemės ir kito valstybės turto valdymas, naudojimas ir disponavimas juo patikėjimo teise</t>
  </si>
  <si>
    <t>Duomenų teikimas Suteiktos valstybės pagalbos registrui</t>
  </si>
  <si>
    <t>Politinių kalinių ir tremtinių šeimų sugrįžimo į Lietuvą ir jų aprūpinimo programos įgyvendinimas savivaldybėse</t>
  </si>
  <si>
    <t>Valstybės kapitalo investicijų programoje numatytiems projektams finansuoti</t>
  </si>
  <si>
    <t>Vaikų teisių apsauga</t>
  </si>
  <si>
    <t>Socialinės atskirties mažinimo programa (specialiosios tikslinės dotacijos valstybinėms (valstybės perduotoms savivaldybėms) funkcijoms atlikti lėšos)</t>
  </si>
  <si>
    <r>
      <rPr>
        <b/>
        <sz val="12"/>
        <rFont val="Times New Roman"/>
        <family val="1"/>
      </rPr>
      <t>Miesto infrastruktūros objektų priežiūros ir modernizavimo programa</t>
    </r>
    <r>
      <rPr>
        <sz val="12"/>
        <rFont val="Times New Roman"/>
        <family val="1"/>
      </rPr>
      <t xml:space="preserve"> (savivaldybės biudžeto lėšos)</t>
    </r>
  </si>
  <si>
    <r>
      <t xml:space="preserve">Savivaldybės administracijos direktoriaus rezervas </t>
    </r>
    <r>
      <rPr>
        <sz val="12"/>
        <rFont val="Times New Roman"/>
        <family val="1"/>
      </rPr>
      <t xml:space="preserve">(savivaldybės biudžeto lėšos) </t>
    </r>
  </si>
  <si>
    <r>
      <rPr>
        <b/>
        <sz val="12"/>
        <rFont val="Times New Roman"/>
        <family val="1"/>
      </rPr>
      <t>Susisiekimo sistemos priežiūros ir plėtros programa</t>
    </r>
    <r>
      <rPr>
        <sz val="12"/>
        <rFont val="Times New Roman"/>
        <family val="1"/>
      </rPr>
      <t xml:space="preserve"> (savivaldybės biudžeto lėšos)</t>
    </r>
  </si>
  <si>
    <r>
      <t>Savivaldybės kontrolės ir audito  tarnybos veiklos programa</t>
    </r>
    <r>
      <rPr>
        <sz val="12"/>
        <rFont val="Times New Roman"/>
        <family val="1"/>
      </rPr>
      <t xml:space="preserve"> (savivaldybės biudžeto lėšos)</t>
    </r>
  </si>
  <si>
    <t>Smulkaus ir vidutinio verslo plėtros programa</t>
  </si>
  <si>
    <t>Savivaldybės kontrolės ir audito  tarnybos veiklos programa</t>
  </si>
  <si>
    <t>Jaunimo politikos plėtros programa</t>
  </si>
  <si>
    <t xml:space="preserve">Savivaldybės administracijos direktoriaus rezervas </t>
  </si>
  <si>
    <t>1.</t>
  </si>
  <si>
    <t>2.</t>
  </si>
  <si>
    <t>Socialinės atskirties mažinimo programa (specialiosios tikslinės dotacijos valstybės kapitalo investicijų programoje numatytiems projektams finansuoti lėšos)</t>
  </si>
  <si>
    <r>
      <t xml:space="preserve">Savivaldybės valdymo  programa </t>
    </r>
    <r>
      <rPr>
        <sz val="12"/>
        <rFont val="Times New Roman"/>
        <family val="1"/>
      </rPr>
      <t>(specialiosios tikslinės dotacijos valstybinėms (valstybės perduotoms savivaldybėms) funkcijoms atlikti lėšos)</t>
    </r>
  </si>
  <si>
    <t>Smulkaus ir vidutinio verslo plėtros programa (savivaldybės biudžeto lėšos)</t>
  </si>
  <si>
    <t xml:space="preserve">Smulkaus ir vidutinio verslo plėtros programa </t>
  </si>
  <si>
    <t xml:space="preserve">Smulkaus ir vidutinio verslo plėtros programa (paskolų lėšos) </t>
  </si>
  <si>
    <r>
      <t>Miesto infrastruktūros objektų priežiūros ir modernizavimo programa</t>
    </r>
    <r>
      <rPr>
        <sz val="12"/>
        <rFont val="Times New Roman"/>
        <family val="1"/>
      </rPr>
      <t xml:space="preserve"> </t>
    </r>
  </si>
  <si>
    <t xml:space="preserve">Miesto infrastruktūros objektų priežiūros ir modernizavimo programa (paskolų lėšos) </t>
  </si>
  <si>
    <t>Sveikatos apsaugos programa</t>
  </si>
  <si>
    <t>Sveikatos apsaugos programa (savivaldybės biudžeto lėšos)</t>
  </si>
  <si>
    <t>Sveikatos apsaugos programa (specialiosios tikslinės dotacijos iš apskričių perduotoms įstaigoms išlaikyti lėšos)</t>
  </si>
  <si>
    <t>Sveikatos apsaugos programa (asignavimų valdytojo pajamų įmokos)</t>
  </si>
  <si>
    <t>Sveikatos apsaugos  programa</t>
  </si>
  <si>
    <t>Socialinės atskirties mažinimo programa (paskolų lėšos)</t>
  </si>
  <si>
    <t xml:space="preserve">Miesto kultūrinio savitumo puoselėjimo bei kultūrinių paslaugų gerinimo programa (paskolų lėšos) </t>
  </si>
  <si>
    <t>Miesto kultūrinio savitumo puoselėjimo bei kultūrinių paslaugų gerinimo programa (specialiosios tikslinės dotacijos valstybės kapitalo investicijų programoje numatytiems projektams finansuoti lėšos)</t>
  </si>
  <si>
    <r>
      <t xml:space="preserve">Ugdymo proceso užtikrinimo programa </t>
    </r>
    <r>
      <rPr>
        <sz val="12"/>
        <rFont val="Times New Roman"/>
        <family val="1"/>
      </rPr>
      <t>(specialiosios tikslinės dotacijos mokinio krepšeliui finansuoti lėšos)</t>
    </r>
  </si>
  <si>
    <r>
      <t xml:space="preserve">Socialinės atskirties mažinimo programa </t>
    </r>
    <r>
      <rPr>
        <sz val="12"/>
        <rFont val="Times New Roman"/>
        <family val="1"/>
      </rPr>
      <t>(savivaldybės biudžeto lėšos)</t>
    </r>
  </si>
  <si>
    <t>Klaipėdos miesto savivaldybės Mažosios Lietuvos istorijos muziejaus saugyklos pastato Didžioji Vandens g. 2, statyba</t>
  </si>
  <si>
    <t>Aplinkos apsaugos programa (specialiosios tikslinės dotacijos aglomeracijų strateginiams triukšmo žemėlapiams parengti lėšos)</t>
  </si>
  <si>
    <t>Socialinės atskirties mažinimo programa (lėšos, gautos iš valstybės biudžeto pagal tarpusavio atsiskaitymus)</t>
  </si>
  <si>
    <t xml:space="preserve">Patvirtintas planas </t>
  </si>
  <si>
    <t>Siūlomas keitimas 2012-06</t>
  </si>
  <si>
    <t>Projektas 2012-06</t>
  </si>
  <si>
    <t>Kitos dotacijos ir lėšos iš kitų valdymo lygių</t>
  </si>
  <si>
    <t xml:space="preserve">                       (Klaipėdos miesto savivaldybės tarybos</t>
  </si>
  <si>
    <t>Iš viso:</t>
  </si>
  <si>
    <t>Siūlomas keitimas 2012-11</t>
  </si>
  <si>
    <t>3 priedas</t>
  </si>
  <si>
    <t>Palūkanos</t>
  </si>
  <si>
    <t>Išlaidos</t>
  </si>
  <si>
    <t>MMA</t>
  </si>
  <si>
    <t>Transporto komp.</t>
  </si>
  <si>
    <t>Švietimo įstaigų šildymas</t>
  </si>
  <si>
    <t>Pydos proj.</t>
  </si>
  <si>
    <t xml:space="preserve">Socialinėms paslaugoms apmokėti </t>
  </si>
  <si>
    <t>direktor rezervas</t>
  </si>
  <si>
    <t>Tilžės 32 asfaltavimui</t>
  </si>
  <si>
    <t>Socialinės paramos centro vykdomam projektui</t>
  </si>
  <si>
    <t xml:space="preserve">Teismo priteistai sumai </t>
  </si>
  <si>
    <t>Sekretoriatui dėl etato perkėlimo</t>
  </si>
  <si>
    <t>Gatvių apšvietimui el. energijai</t>
  </si>
  <si>
    <t>Teritorijų valymui</t>
  </si>
  <si>
    <t xml:space="preserve">Miesto kultūrinio savitumo puoselėjimo bei kultūrinių paslaugų gerinimo programa (savivaldybės biudžeto lėšos) </t>
  </si>
  <si>
    <t xml:space="preserve">Kūno kultūros ir sporto plėtros programa (paskolų lėšos) </t>
  </si>
  <si>
    <t xml:space="preserve">Kūno kultūros ir sporto plėtros programa (savivaldybės biudžeto lėšos) </t>
  </si>
  <si>
    <t>VB</t>
  </si>
  <si>
    <t>SP</t>
  </si>
  <si>
    <t>Futbolui remti</t>
  </si>
  <si>
    <t>Spec progr.</t>
  </si>
  <si>
    <t>TA</t>
  </si>
  <si>
    <t>Nario mokestis</t>
  </si>
  <si>
    <t xml:space="preserve">Investicijoms </t>
  </si>
  <si>
    <t>Bibliotekai</t>
  </si>
  <si>
    <t>Aplinkosaugos programai</t>
  </si>
  <si>
    <t>VB+MK</t>
  </si>
  <si>
    <t>SB iš pajamų</t>
  </si>
  <si>
    <t>Lėšos, gautos iš valstybės biudžeto pagal tarpusavio atsiskaitymus (Lietuvos žuvusių piliečių užsienyje palaikams pervežti)</t>
  </si>
  <si>
    <t>Patikslintas planas</t>
  </si>
  <si>
    <t>Plano įvykdymas</t>
  </si>
  <si>
    <t>Rezultatas (pasikeitimas +, -)</t>
  </si>
  <si>
    <t>Įvykdyta procentais</t>
  </si>
  <si>
    <t xml:space="preserve"> KLAIPĖDOS MIESTO SAVIVALDYBĖS 2012 METŲ BIUDŽETO ĮVYKDYMO ATASKAITA</t>
  </si>
  <si>
    <t>Kitos ilgalaikio turto realizavimo pajamos</t>
  </si>
  <si>
    <t>Atsargų realizavimo pajamos</t>
  </si>
  <si>
    <t>Klaipėdos miesto savivaldybės tarybos</t>
  </si>
  <si>
    <t>2013 m.               d. sprendimo Nr. T2-</t>
  </si>
  <si>
    <t>1 priedas</t>
  </si>
  <si>
    <t xml:space="preserve">Patikslin-tas planas </t>
  </si>
  <si>
    <t>Įvykdyta</t>
  </si>
  <si>
    <t>Rezultatas (pasikeiti-mas +,-)</t>
  </si>
  <si>
    <t>iš jų</t>
  </si>
  <si>
    <t>Patikslin-tas planas</t>
  </si>
  <si>
    <t>iš jų darbo užmokesčiui</t>
  </si>
  <si>
    <t>Patiks-lintas planas</t>
  </si>
  <si>
    <t xml:space="preserve">Patikslintas planas </t>
  </si>
  <si>
    <t>Rezulta-tas (pasikei-timas +,-)</t>
  </si>
  <si>
    <t>2013 m.                 d. sprendimo Nr. T2-</t>
  </si>
  <si>
    <t>KLAIPĖDOS MIESTO SAVIVALDYBĖS 2012 M. BIUDŽETO ASIGNAVIMŲ PANAUDOJIMAS INVESTICIJŲ PROJEKTAMS FINANSUOTI PAGAL PROGRAMAS IŠ PASKOLŲ LĖŠŲ</t>
  </si>
  <si>
    <t>2 priedas</t>
  </si>
  <si>
    <t>2013 m.                     d. sprendimo Nr. T2-</t>
  </si>
  <si>
    <t>KLAIPĖDOS MIESTO SAVIVALDYBĖS 2012 METŲ BIUDŽETO ASIGNAVIMŲ PANAUDOJIMAS PAGAL PROGRAMAS</t>
  </si>
  <si>
    <t xml:space="preserve">Klaipėdos miesto savivaldybės </t>
  </si>
  <si>
    <t xml:space="preserve">tarybos 2013 m.                     d. </t>
  </si>
  <si>
    <t>sprendimo Nr. T2-</t>
  </si>
  <si>
    <t>5  priedas</t>
  </si>
  <si>
    <t>KLAIPĖDOS MIESTO SAVIVALDYBĖS ADMINISTRACIJOS DIREKTORIAUS REZERVO LĖŠŲ PANAUDOJIMO 2012 M. ATASKAITA</t>
  </si>
  <si>
    <t>(litais)</t>
  </si>
  <si>
    <t>Eil.Nr.</t>
  </si>
  <si>
    <t>Lėšų panaudojimo paskirtis</t>
  </si>
  <si>
    <t>Rezultatas (pasikei-timas +,-)</t>
  </si>
  <si>
    <r>
      <t xml:space="preserve">Pagal Savivaldybės administracijos direktoriaus 2012 m. gegužės 2 d. įsakymą Nr. AD1-979 </t>
    </r>
    <r>
      <rPr>
        <sz val="12"/>
        <rFont val="Times New Roman"/>
        <family val="1"/>
      </rPr>
      <t>panaudota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2011 metų lapkričio–2012 metų sausio mėnesiais kilusių audrų padarinių Klaipėdos paplūdimiuose likvidavimo darbų išlaidoms apmokėti</t>
    </r>
  </si>
  <si>
    <r>
      <t xml:space="preserve">Pagal Savivaldybės administracijos direktoriaus 2012 m. gegužės 31 d. įsakymą Nr. AD1-1269 
</t>
    </r>
    <r>
      <rPr>
        <sz val="12"/>
        <rFont val="Times New Roman"/>
        <family val="1"/>
      </rPr>
      <t>panaudota metinėms procesinėms palūkanoms pagal Klaipėdos apygardos teismo 2010-03-09 civilinėje byloje Nr. 2‑546-253/2010 priimtą sprendimą AB „City Service“ apmokėti</t>
    </r>
  </si>
  <si>
    <r>
      <t xml:space="preserve">Pagal Savivaldybės administracijos direktoriaus 2012 m. spalio 1 d. įsakymą Nr. AD1-2310 </t>
    </r>
    <r>
      <rPr>
        <sz val="12"/>
        <rFont val="Times New Roman"/>
        <family val="1"/>
      </rPr>
      <t>panaudota 2012 metų liepos 29 d. kilusios audros padarinių Klaipėdos mieste likvidavimo darbų išlaidoms apmokėti</t>
    </r>
  </si>
  <si>
    <t xml:space="preserve"> 2013 m.                  d. sprendimo Nr. T2-</t>
  </si>
  <si>
    <t xml:space="preserve"> </t>
  </si>
  <si>
    <t>2012 METŲ BIUDŽETINIŲ ĮSTAIGŲ PAJAMŲ ĮMOKŲ Į SAVIVALDYBĖS BIUDŽETĄ PAGAL ASIGNAVIMŲ VALDYTOJUS VYKDYMO ATASKAITA</t>
  </si>
  <si>
    <t xml:space="preserve">Įmokos už išlaikymą švietimo, socialinės apsaugos ir kitose įstaigose </t>
  </si>
  <si>
    <t xml:space="preserve">Pajamos už prekes ir paslaugas </t>
  </si>
  <si>
    <t xml:space="preserve">Pajamos už patalpų nuomą </t>
  </si>
  <si>
    <t>Rezultatas (pasikeiti-mas +, -)</t>
  </si>
  <si>
    <t>Klaipėdos Liudviko Stulpino progimnazija</t>
  </si>
  <si>
    <t>Klaipėdos lopšelis-darželis „Pušaitė“</t>
  </si>
  <si>
    <t>Klaipėdos lopšelis-darželis „Eglutė“</t>
  </si>
  <si>
    <t>Klaipėdos lopšelis-darželis „Giliukas“</t>
  </si>
  <si>
    <t>ASIGNAVIMŲ PANAUDOJIMAS</t>
  </si>
  <si>
    <t>Rezulta-tas (pasikeiti-mas +,-)</t>
  </si>
  <si>
    <t>Įvykdy-ta</t>
  </si>
  <si>
    <t>Įvykdyta procen-tais</t>
  </si>
  <si>
    <t>Įvyk-dyta pro-centais</t>
  </si>
  <si>
    <r>
      <t xml:space="preserve">Pagal Savivaldybės administracijos direktoriaus 2012 m. kovo 13 d. įsakymą Nr. AD1-530 </t>
    </r>
    <r>
      <rPr>
        <sz val="12"/>
        <rFont val="Times New Roman"/>
        <family val="1"/>
      </rPr>
      <t>panaudota 2012 metų sausio 4-5 dienomis kilusios audros padarinių Klaipėdos mieste likvidavimo darbų išlaidoms apmokėti</t>
    </r>
  </si>
  <si>
    <r>
      <t xml:space="preserve">Pagal Savivaldybės administracijos direktoriaus 2012 m. liepos 19 d. įsakymą Nr. AD1-1702 </t>
    </r>
    <r>
      <rPr>
        <sz val="12"/>
        <rFont val="Times New Roman"/>
        <family val="1"/>
      </rPr>
      <t xml:space="preserve">panaudota žalos atlyginimui pagal sutartis su J. K. ir J. B. apmokėti </t>
    </r>
  </si>
  <si>
    <r>
      <t xml:space="preserve">Pagal Savivaldybės administracijos direktoriaus 2012 m. gruodžio 14 d. įsakymą Nr. AD1-2911 </t>
    </r>
    <r>
      <rPr>
        <sz val="12"/>
        <rFont val="Times New Roman"/>
        <family val="1"/>
      </rPr>
      <t>panaudota 2012 metų rugpjūčio 6 d.  kilusios audros padarinių Klaipėdos mieste likvidavimo darbų išlaidoms apmokėti</t>
    </r>
  </si>
  <si>
    <t>8</t>
  </si>
  <si>
    <t>10</t>
  </si>
  <si>
    <t>12</t>
  </si>
  <si>
    <t>Rezulta-tas (pasikeiti-mas +, -)</t>
  </si>
  <si>
    <t>14</t>
  </si>
  <si>
    <t xml:space="preserve">Klaipėdos „Gubojos“ mokykla                                     </t>
  </si>
  <si>
    <t xml:space="preserve">Klaipėdos „Medeinės“ mokykla             </t>
  </si>
  <si>
    <t>Klaipėdos vaikų globos namai „Danė“</t>
  </si>
  <si>
    <t>Klaipėdos „Aitvaro“ gimnazija</t>
  </si>
  <si>
    <t>Klaipėdos „Verdenės“ progimnazija</t>
  </si>
</sst>
</file>

<file path=xl/styles.xml><?xml version="1.0" encoding="utf-8"?>
<styleSheet xmlns="http://schemas.openxmlformats.org/spreadsheetml/2006/main">
  <numFmts count="3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General\.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#,##0.0"/>
    <numFmt numFmtId="175" formatCode="yyyy\-mm\-dd;@"/>
    <numFmt numFmtId="176" formatCode="0.0000"/>
    <numFmt numFmtId="177" formatCode="0.000"/>
    <numFmt numFmtId="178" formatCode="[$-427]yyyy\ &quot;m.&quot;\ mmmm\ d\ &quot;d.&quot;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&quot;Taip&quot;;&quot;Taip&quot;;&quot;Ne&quot;"/>
    <numFmt numFmtId="186" formatCode="&quot;Teisinga&quot;;&quot;Teisinga&quot;;&quot;Klaidinga&quot;"/>
    <numFmt numFmtId="187" formatCode="[$€-2]\ ###,000_);[Red]\([$€-2]\ ###,000\)"/>
    <numFmt numFmtId="188" formatCode="0.0E+00"/>
    <numFmt numFmtId="189" formatCode="0.0000000"/>
    <numFmt numFmtId="190" formatCode="0.000000"/>
    <numFmt numFmtId="191" formatCode="0.00000"/>
    <numFmt numFmtId="192" formatCode="0.00000000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0" fillId="16" borderId="4" applyNumberFormat="0" applyAlignment="0" applyProtection="0"/>
    <xf numFmtId="0" fontId="22" fillId="7" borderId="5" applyNumberFormat="0" applyAlignment="0" applyProtection="0"/>
    <xf numFmtId="0" fontId="23" fillId="1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6" applyNumberFormat="0" applyFon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49" fontId="1" fillId="0" borderId="10" xfId="52" applyNumberFormat="1" applyFont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right"/>
    </xf>
    <xf numFmtId="49" fontId="2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justify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0" xfId="52" applyNumberFormat="1" applyFont="1" applyFill="1" applyBorder="1" applyAlignment="1" applyProtection="1">
      <alignment horizontal="left" wrapText="1"/>
      <protection hidden="1"/>
    </xf>
    <xf numFmtId="164" fontId="2" fillId="0" borderId="10" xfId="52" applyNumberFormat="1" applyFont="1" applyFill="1" applyBorder="1" applyAlignment="1" applyProtection="1">
      <alignment horizontal="right" wrapText="1"/>
      <protection hidden="1"/>
    </xf>
    <xf numFmtId="164" fontId="1" fillId="0" borderId="10" xfId="52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5" fontId="1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24" borderId="10" xfId="0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1" fillId="24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justify"/>
    </xf>
    <xf numFmtId="0" fontId="1" fillId="0" borderId="10" xfId="46" applyFont="1" applyBorder="1" applyAlignment="1">
      <alignment horizontal="center" wrapText="1"/>
      <protection/>
    </xf>
    <xf numFmtId="0" fontId="1" fillId="0" borderId="10" xfId="46" applyFont="1" applyBorder="1" applyAlignment="1">
      <alignment horizontal="center"/>
      <protection/>
    </xf>
    <xf numFmtId="0" fontId="1" fillId="0" borderId="0" xfId="46" applyFont="1">
      <alignment/>
      <protection/>
    </xf>
    <xf numFmtId="0" fontId="1" fillId="0" borderId="0" xfId="53" applyFont="1">
      <alignment/>
      <protection/>
    </xf>
    <xf numFmtId="0" fontId="1" fillId="0" borderId="0" xfId="51" applyFont="1">
      <alignment/>
      <protection/>
    </xf>
    <xf numFmtId="0" fontId="1" fillId="0" borderId="0" xfId="51" applyFont="1" applyAlignment="1">
      <alignment horizontal="right"/>
      <protection/>
    </xf>
    <xf numFmtId="0" fontId="2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1" fillId="0" borderId="0" xfId="53" applyFont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/>
      <protection/>
    </xf>
    <xf numFmtId="165" fontId="1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2" fontId="1" fillId="0" borderId="10" xfId="53" applyNumberFormat="1" applyFont="1" applyBorder="1" applyAlignment="1">
      <alignment/>
      <protection/>
    </xf>
    <xf numFmtId="0" fontId="1" fillId="0" borderId="0" xfId="53" applyFont="1" applyAlignment="1">
      <alignment wrapText="1"/>
      <protection/>
    </xf>
    <xf numFmtId="0" fontId="2" fillId="0" borderId="10" xfId="46" applyFont="1" applyFill="1" applyBorder="1" applyAlignment="1">
      <alignment horizontal="justify" wrapText="1"/>
      <protection/>
    </xf>
    <xf numFmtId="2" fontId="2" fillId="0" borderId="10" xfId="46" applyNumberFormat="1" applyFont="1" applyBorder="1">
      <alignment/>
      <protection/>
    </xf>
    <xf numFmtId="2" fontId="2" fillId="0" borderId="10" xfId="46" applyNumberFormat="1" applyFont="1" applyBorder="1" applyAlignment="1">
      <alignment/>
      <protection/>
    </xf>
    <xf numFmtId="0" fontId="7" fillId="0" borderId="0" xfId="46" applyFont="1">
      <alignment/>
      <protection/>
    </xf>
    <xf numFmtId="165" fontId="1" fillId="0" borderId="0" xfId="53" applyNumberFormat="1" applyFont="1" applyBorder="1" applyAlignment="1">
      <alignment horizontal="center" vertical="center" wrapText="1"/>
      <protection/>
    </xf>
    <xf numFmtId="0" fontId="2" fillId="0" borderId="12" xfId="46" applyFont="1" applyFill="1" applyBorder="1" applyAlignment="1">
      <alignment horizontal="justify" wrapText="1"/>
      <protection/>
    </xf>
    <xf numFmtId="2" fontId="2" fillId="0" borderId="12" xfId="46" applyNumberFormat="1" applyFont="1" applyBorder="1">
      <alignment/>
      <protection/>
    </xf>
    <xf numFmtId="2" fontId="2" fillId="0" borderId="0" xfId="46" applyNumberFormat="1" applyFont="1" applyBorder="1" applyAlignment="1">
      <alignment/>
      <protection/>
    </xf>
    <xf numFmtId="2" fontId="2" fillId="0" borderId="0" xfId="46" applyNumberFormat="1" applyFont="1" applyBorder="1">
      <alignment/>
      <protection/>
    </xf>
    <xf numFmtId="0" fontId="7" fillId="0" borderId="11" xfId="46" applyFont="1" applyBorder="1">
      <alignment/>
      <protection/>
    </xf>
    <xf numFmtId="2" fontId="3" fillId="0" borderId="0" xfId="46" applyNumberFormat="1" applyFont="1" applyAlignment="1">
      <alignment horizontal="right"/>
      <protection/>
    </xf>
    <xf numFmtId="0" fontId="7" fillId="0" borderId="0" xfId="46" applyFont="1" applyAlignment="1">
      <alignment horizontal="right"/>
      <protection/>
    </xf>
    <xf numFmtId="2" fontId="7" fillId="0" borderId="0" xfId="46" applyNumberFormat="1" applyFont="1" applyAlignment="1">
      <alignment horizontal="right"/>
      <protection/>
    </xf>
    <xf numFmtId="164" fontId="10" fillId="0" borderId="10" xfId="52" applyNumberFormat="1" applyFont="1" applyBorder="1" applyAlignment="1" applyProtection="1">
      <alignment horizontal="center" vertical="center" wrapText="1"/>
      <protection hidden="1"/>
    </xf>
    <xf numFmtId="164" fontId="1" fillId="0" borderId="10" xfId="52" applyNumberFormat="1" applyFont="1" applyFill="1" applyBorder="1" applyAlignment="1" applyProtection="1">
      <alignment horizontal="right" vertical="center"/>
      <protection hidden="1"/>
    </xf>
    <xf numFmtId="0" fontId="1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left" wrapText="1"/>
    </xf>
    <xf numFmtId="0" fontId="2" fillId="0" borderId="0" xfId="51" applyFont="1" applyAlignment="1">
      <alignment horizontal="center" wrapText="1"/>
      <protection/>
    </xf>
    <xf numFmtId="164" fontId="2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 wrapText="1"/>
    </xf>
    <xf numFmtId="165" fontId="1" fillId="0" borderId="0" xfId="52" applyNumberFormat="1" applyFont="1" applyFill="1" applyBorder="1" applyAlignment="1" applyProtection="1">
      <alignment horizontal="center" vertical="center"/>
      <protection hidden="1"/>
    </xf>
    <xf numFmtId="49" fontId="2" fillId="0" borderId="0" xfId="52" applyNumberFormat="1" applyFont="1" applyFill="1" applyBorder="1" applyAlignment="1" applyProtection="1">
      <alignment horizontal="left" wrapText="1"/>
      <protection hidden="1"/>
    </xf>
    <xf numFmtId="164" fontId="2" fillId="0" borderId="0" xfId="0" applyNumberFormat="1" applyFont="1" applyFill="1" applyBorder="1" applyAlignment="1">
      <alignment/>
    </xf>
    <xf numFmtId="49" fontId="2" fillId="0" borderId="11" xfId="52" applyNumberFormat="1" applyFont="1" applyFill="1" applyBorder="1" applyAlignment="1" applyProtection="1">
      <alignment horizontal="left" wrapText="1"/>
      <protection hidden="1"/>
    </xf>
    <xf numFmtId="164" fontId="2" fillId="0" borderId="11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49" fontId="1" fillId="0" borderId="10" xfId="52" applyNumberFormat="1" applyFont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>
      <alignment horizontal="center" wrapText="1"/>
    </xf>
    <xf numFmtId="0" fontId="2" fillId="0" borderId="0" xfId="51" applyFont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 vertical="justify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46" applyFont="1" applyAlignment="1">
      <alignment horizontal="center" wrapText="1"/>
      <protection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46" applyBorder="1" applyAlignment="1">
      <alignment horizontal="center"/>
      <protection/>
    </xf>
    <xf numFmtId="0" fontId="1" fillId="0" borderId="10" xfId="46" applyFont="1" applyBorder="1" applyAlignment="1">
      <alignment horizontal="center" wrapText="1"/>
      <protection/>
    </xf>
    <xf numFmtId="49" fontId="1" fillId="0" borderId="13" xfId="52" applyNumberFormat="1" applyFont="1" applyBorder="1" applyAlignment="1" applyProtection="1">
      <alignment horizontal="center" vertical="center" wrapText="1"/>
      <protection hidden="1"/>
    </xf>
    <xf numFmtId="49" fontId="1" fillId="0" borderId="14" xfId="52" applyNumberFormat="1" applyFont="1" applyBorder="1" applyAlignment="1" applyProtection="1">
      <alignment horizontal="center" vertical="center" wrapText="1"/>
      <protection hidden="1"/>
    </xf>
    <xf numFmtId="49" fontId="1" fillId="0" borderId="15" xfId="52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wrapText="1"/>
    </xf>
    <xf numFmtId="164" fontId="1" fillId="0" borderId="10" xfId="52" applyNumberFormat="1" applyFont="1" applyFill="1" applyBorder="1" applyAlignment="1" applyProtection="1">
      <alignment horizontal="center" vertical="justify" wrapText="1"/>
      <protection hidden="1"/>
    </xf>
    <xf numFmtId="164" fontId="1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prastas 2" xfId="46"/>
    <cellStyle name="Įspėjimo tekstas" xfId="47"/>
    <cellStyle name="Išvestis" xfId="48"/>
    <cellStyle name="Įvestis" xfId="49"/>
    <cellStyle name="Neutralus" xfId="50"/>
    <cellStyle name="Normal_adm_dir_rezervas_2005 2" xfId="51"/>
    <cellStyle name="Normal_SAVAPYSsssss" xfId="52"/>
    <cellStyle name="Paprastas_Dir.rez. atask.2008m" xfId="53"/>
    <cellStyle name="Paryškinimas 1" xfId="54"/>
    <cellStyle name="Paryškinimas 2" xfId="55"/>
    <cellStyle name="Paryškinimas 3" xfId="56"/>
    <cellStyle name="Paryškinimas 4" xfId="57"/>
    <cellStyle name="Paryškinimas 5" xfId="58"/>
    <cellStyle name="Paryškinimas 6" xfId="59"/>
    <cellStyle name="Pastaba" xfId="60"/>
    <cellStyle name="Pavadinimas" xfId="61"/>
    <cellStyle name="Percent" xfId="62"/>
    <cellStyle name="Skaičiavimas" xfId="63"/>
    <cellStyle name="Suma" xfId="64"/>
    <cellStyle name="Susietas langelis" xfId="65"/>
    <cellStyle name="Tikrinimo langelis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vilys:35753/Users\V.Jurksiene\AppData\Local\Microsoft\Windows\Temporary%20Internet%20Files\Content.Outlook\HC947F12\dir%20rez%20atask%20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atask"/>
      <sheetName val="2011 atas"/>
      <sheetName val="2012 D stambiai"/>
      <sheetName val="2012 D smulk"/>
      <sheetName val="2011 (2)"/>
      <sheetName val="2011"/>
      <sheetName val="2010"/>
      <sheetName val="2009 METAI (4)"/>
      <sheetName val="2009 METAI (2)"/>
      <sheetName val="Remonto darbai"/>
      <sheetName val="2009 METAI (3)"/>
      <sheetName val="2009 METAI"/>
    </sheetNames>
    <sheetDataSet>
      <sheetData sheetId="2">
        <row r="9">
          <cell r="F9">
            <v>39209.92</v>
          </cell>
        </row>
        <row r="10">
          <cell r="F10">
            <v>50000</v>
          </cell>
        </row>
        <row r="11">
          <cell r="F11">
            <v>50170.82</v>
          </cell>
        </row>
        <row r="12">
          <cell r="F12">
            <v>641.3</v>
          </cell>
        </row>
        <row r="13">
          <cell r="F13">
            <v>28977.33</v>
          </cell>
        </row>
        <row r="14">
          <cell r="F14">
            <v>133617.29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showZeros="0" tabSelected="1" zoomScalePageLayoutView="0" workbookViewId="0" topLeftCell="A1">
      <pane xSplit="2" ySplit="9" topLeftCell="C13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C3" sqref="C3:F3"/>
    </sheetView>
  </sheetViews>
  <sheetFormatPr defaultColWidth="9.140625" defaultRowHeight="12.75"/>
  <cols>
    <col min="2" max="2" width="70.7109375" style="0" customWidth="1"/>
    <col min="3" max="3" width="13.00390625" style="0" customWidth="1"/>
    <col min="4" max="4" width="11.28125" style="0" customWidth="1"/>
    <col min="5" max="5" width="14.00390625" style="0" customWidth="1"/>
    <col min="6" max="6" width="12.8515625" style="0" customWidth="1"/>
  </cols>
  <sheetData>
    <row r="1" spans="1:6" ht="16.5" customHeight="1">
      <c r="A1" s="1"/>
      <c r="B1" s="57"/>
      <c r="C1" s="107" t="s">
        <v>342</v>
      </c>
      <c r="D1" s="107"/>
      <c r="E1" s="107"/>
      <c r="F1" s="107"/>
    </row>
    <row r="2" spans="1:6" ht="13.5" customHeight="1">
      <c r="A2" s="1"/>
      <c r="B2" s="57"/>
      <c r="C2" s="107" t="s">
        <v>343</v>
      </c>
      <c r="D2" s="107"/>
      <c r="E2" s="107"/>
      <c r="F2" s="107"/>
    </row>
    <row r="3" spans="1:6" ht="16.5" customHeight="1">
      <c r="A3" s="17"/>
      <c r="B3" s="57"/>
      <c r="C3" s="108" t="s">
        <v>344</v>
      </c>
      <c r="D3" s="108"/>
      <c r="E3" s="108"/>
      <c r="F3" s="108"/>
    </row>
    <row r="4" spans="1:2" ht="12.75" customHeight="1">
      <c r="A4" s="17"/>
      <c r="B4" s="18"/>
    </row>
    <row r="5" spans="1:6" ht="15.75">
      <c r="A5" s="106" t="s">
        <v>339</v>
      </c>
      <c r="B5" s="106"/>
      <c r="C5" s="106"/>
      <c r="D5" s="106"/>
      <c r="E5" s="106"/>
      <c r="F5" s="106"/>
    </row>
    <row r="6" spans="1:2" ht="11.25" customHeight="1">
      <c r="A6" s="17"/>
      <c r="B6" s="14"/>
    </row>
    <row r="7" spans="1:6" ht="15.75">
      <c r="A7" s="17"/>
      <c r="B7" s="2" t="s">
        <v>16</v>
      </c>
      <c r="F7" s="1" t="s">
        <v>13</v>
      </c>
    </row>
    <row r="8" spans="1:6" ht="47.25" customHeight="1">
      <c r="A8" s="19" t="s">
        <v>1</v>
      </c>
      <c r="B8" s="19" t="s">
        <v>17</v>
      </c>
      <c r="C8" s="27" t="s">
        <v>335</v>
      </c>
      <c r="D8" s="27" t="s">
        <v>336</v>
      </c>
      <c r="E8" s="46" t="s">
        <v>337</v>
      </c>
      <c r="F8" s="27" t="s">
        <v>338</v>
      </c>
    </row>
    <row r="9" spans="1:6" s="20" customFormat="1" ht="15.75">
      <c r="A9" s="26">
        <v>1</v>
      </c>
      <c r="B9" s="26">
        <v>2</v>
      </c>
      <c r="C9" s="13">
        <v>3</v>
      </c>
      <c r="D9" s="13">
        <v>4</v>
      </c>
      <c r="E9" s="13">
        <v>5</v>
      </c>
      <c r="F9" s="13">
        <v>6</v>
      </c>
    </row>
    <row r="10" spans="1:6" ht="15.75">
      <c r="A10" s="21">
        <v>1</v>
      </c>
      <c r="B10" s="22" t="s">
        <v>16</v>
      </c>
      <c r="C10" s="51">
        <f>SUM(C11+C19+C51)</f>
        <v>376944.2</v>
      </c>
      <c r="D10" s="51">
        <f>SUM(D11+D19+D51)</f>
        <v>381504.5</v>
      </c>
      <c r="E10" s="51">
        <f>SUM(E11+E19+E51)</f>
        <v>4560.3</v>
      </c>
      <c r="F10" s="100">
        <f>+D10/C10*100</f>
        <v>101.2</v>
      </c>
    </row>
    <row r="11" spans="1:6" ht="15.75" customHeight="1">
      <c r="A11" s="21">
        <v>2</v>
      </c>
      <c r="B11" s="22" t="s">
        <v>18</v>
      </c>
      <c r="C11" s="51">
        <f>SUM(C12:C18)</f>
        <v>186111.5</v>
      </c>
      <c r="D11" s="51">
        <f>SUM(D12:D18)</f>
        <v>191697.3</v>
      </c>
      <c r="E11" s="51">
        <f>SUM(E12:E18)</f>
        <v>5585.8</v>
      </c>
      <c r="F11" s="100">
        <f>+D11/C11*100</f>
        <v>103</v>
      </c>
    </row>
    <row r="12" spans="1:6" ht="15" customHeight="1">
      <c r="A12" s="21">
        <v>3</v>
      </c>
      <c r="B12" s="10" t="s">
        <v>19</v>
      </c>
      <c r="C12" s="101">
        <v>141106</v>
      </c>
      <c r="D12" s="101">
        <v>143775.3</v>
      </c>
      <c r="E12" s="101">
        <f>+D12-C12</f>
        <v>2669.3</v>
      </c>
      <c r="F12" s="101">
        <f>+D12/C12*100</f>
        <v>101.9</v>
      </c>
    </row>
    <row r="13" spans="1:6" ht="15" customHeight="1">
      <c r="A13" s="21">
        <v>4</v>
      </c>
      <c r="B13" s="10" t="s">
        <v>20</v>
      </c>
      <c r="C13" s="101">
        <v>980</v>
      </c>
      <c r="D13" s="101">
        <v>1133.7</v>
      </c>
      <c r="E13" s="101">
        <f aca="true" t="shared" si="0" ref="E13:E71">+D13-C13</f>
        <v>153.7</v>
      </c>
      <c r="F13" s="101">
        <f aca="true" t="shared" si="1" ref="F13:F72">+D13/C13*100</f>
        <v>115.7</v>
      </c>
    </row>
    <row r="14" spans="1:6" ht="15" customHeight="1">
      <c r="A14" s="21">
        <v>5</v>
      </c>
      <c r="B14" s="10" t="s">
        <v>21</v>
      </c>
      <c r="C14" s="101">
        <v>240</v>
      </c>
      <c r="D14" s="101">
        <v>301.1</v>
      </c>
      <c r="E14" s="101">
        <f t="shared" si="0"/>
        <v>61.1</v>
      </c>
      <c r="F14" s="101">
        <f t="shared" si="1"/>
        <v>125.5</v>
      </c>
    </row>
    <row r="15" spans="1:6" ht="15" customHeight="1">
      <c r="A15" s="21">
        <v>6</v>
      </c>
      <c r="B15" s="10" t="s">
        <v>22</v>
      </c>
      <c r="C15" s="101">
        <v>22100</v>
      </c>
      <c r="D15" s="101">
        <v>23614.9</v>
      </c>
      <c r="E15" s="101">
        <f t="shared" si="0"/>
        <v>1514.9</v>
      </c>
      <c r="F15" s="101">
        <f t="shared" si="1"/>
        <v>106.9</v>
      </c>
    </row>
    <row r="16" spans="1:6" ht="15" customHeight="1">
      <c r="A16" s="21">
        <v>7</v>
      </c>
      <c r="B16" s="10" t="s">
        <v>23</v>
      </c>
      <c r="C16" s="101">
        <v>1400</v>
      </c>
      <c r="D16" s="101">
        <v>1408.1</v>
      </c>
      <c r="E16" s="101">
        <f t="shared" si="0"/>
        <v>8.1</v>
      </c>
      <c r="F16" s="101">
        <f t="shared" si="1"/>
        <v>100.6</v>
      </c>
    </row>
    <row r="17" spans="1:6" ht="15" customHeight="1">
      <c r="A17" s="21">
        <v>8</v>
      </c>
      <c r="B17" s="10" t="s">
        <v>24</v>
      </c>
      <c r="C17" s="101">
        <v>451</v>
      </c>
      <c r="D17" s="101">
        <v>523.4</v>
      </c>
      <c r="E17" s="101">
        <f t="shared" si="0"/>
        <v>72.4</v>
      </c>
      <c r="F17" s="101">
        <f t="shared" si="1"/>
        <v>116.1</v>
      </c>
    </row>
    <row r="18" spans="1:6" ht="15.75">
      <c r="A18" s="21">
        <v>9</v>
      </c>
      <c r="B18" s="10" t="s">
        <v>25</v>
      </c>
      <c r="C18" s="101">
        <v>19834.5</v>
      </c>
      <c r="D18" s="101">
        <v>20940.8</v>
      </c>
      <c r="E18" s="101">
        <f t="shared" si="0"/>
        <v>1106.3</v>
      </c>
      <c r="F18" s="101">
        <f t="shared" si="1"/>
        <v>105.6</v>
      </c>
    </row>
    <row r="19" spans="1:6" ht="15.75">
      <c r="A19" s="21">
        <v>10</v>
      </c>
      <c r="B19" s="22" t="s">
        <v>26</v>
      </c>
      <c r="C19" s="51">
        <f>SUM(C20+C23+C49)</f>
        <v>155041.3</v>
      </c>
      <c r="D19" s="51">
        <f>SUM(D20+D23+D49)</f>
        <v>154246.4</v>
      </c>
      <c r="E19" s="100">
        <f t="shared" si="0"/>
        <v>-794.9</v>
      </c>
      <c r="F19" s="100">
        <f t="shared" si="1"/>
        <v>99.5</v>
      </c>
    </row>
    <row r="20" spans="1:6" ht="15.75">
      <c r="A20" s="21">
        <v>11</v>
      </c>
      <c r="B20" s="23" t="s">
        <v>27</v>
      </c>
      <c r="C20" s="51">
        <f>SUM(C21:C22)</f>
        <v>618</v>
      </c>
      <c r="D20" s="51">
        <f>SUM(D21:D22)</f>
        <v>917.3</v>
      </c>
      <c r="E20" s="100">
        <f t="shared" si="0"/>
        <v>299.3</v>
      </c>
      <c r="F20" s="100">
        <f t="shared" si="1"/>
        <v>148.4</v>
      </c>
    </row>
    <row r="21" spans="1:6" ht="15" customHeight="1">
      <c r="A21" s="21">
        <v>12</v>
      </c>
      <c r="B21" s="24" t="s">
        <v>28</v>
      </c>
      <c r="C21" s="101">
        <v>568</v>
      </c>
      <c r="D21" s="101">
        <v>824.1</v>
      </c>
      <c r="E21" s="101">
        <f t="shared" si="0"/>
        <v>256.1</v>
      </c>
      <c r="F21" s="101">
        <f t="shared" si="1"/>
        <v>145.1</v>
      </c>
    </row>
    <row r="22" spans="1:6" ht="15" customHeight="1">
      <c r="A22" s="21">
        <v>13</v>
      </c>
      <c r="B22" s="24" t="s">
        <v>29</v>
      </c>
      <c r="C22" s="101">
        <v>50</v>
      </c>
      <c r="D22" s="101">
        <v>93.2</v>
      </c>
      <c r="E22" s="101">
        <f t="shared" si="0"/>
        <v>43.2</v>
      </c>
      <c r="F22" s="101">
        <f t="shared" si="1"/>
        <v>186.4</v>
      </c>
    </row>
    <row r="23" spans="1:6" ht="15.75" customHeight="1">
      <c r="A23" s="21">
        <v>14</v>
      </c>
      <c r="B23" s="22" t="s">
        <v>30</v>
      </c>
      <c r="C23" s="51">
        <f>+C24+C42+C46+C47+C48</f>
        <v>154351.8</v>
      </c>
      <c r="D23" s="51">
        <f>+D24+D42+D46+D47+D48</f>
        <v>153257.7</v>
      </c>
      <c r="E23" s="100">
        <f t="shared" si="0"/>
        <v>-1094.1</v>
      </c>
      <c r="F23" s="100">
        <f t="shared" si="1"/>
        <v>99.3</v>
      </c>
    </row>
    <row r="24" spans="1:6" ht="15.75">
      <c r="A24" s="21">
        <v>15</v>
      </c>
      <c r="B24" s="10" t="s">
        <v>147</v>
      </c>
      <c r="C24" s="51">
        <f>SUM(C26:C41)</f>
        <v>38391.7</v>
      </c>
      <c r="D24" s="51">
        <f>SUM(D26:D41)</f>
        <v>37507.8</v>
      </c>
      <c r="E24" s="100">
        <f t="shared" si="0"/>
        <v>-883.9</v>
      </c>
      <c r="F24" s="100">
        <f t="shared" si="1"/>
        <v>97.7</v>
      </c>
    </row>
    <row r="25" spans="1:6" ht="15.75" customHeight="1">
      <c r="A25" s="21">
        <v>16</v>
      </c>
      <c r="B25" s="26" t="s">
        <v>14</v>
      </c>
      <c r="C25" s="101"/>
      <c r="D25" s="101"/>
      <c r="E25" s="101"/>
      <c r="F25" s="101"/>
    </row>
    <row r="26" spans="1:6" ht="15.75" customHeight="1">
      <c r="A26" s="21">
        <v>17</v>
      </c>
      <c r="B26" s="6" t="s">
        <v>263</v>
      </c>
      <c r="C26" s="101">
        <v>2</v>
      </c>
      <c r="D26" s="101">
        <v>1.8</v>
      </c>
      <c r="E26" s="101">
        <f t="shared" si="0"/>
        <v>-0.2</v>
      </c>
      <c r="F26" s="101">
        <f t="shared" si="1"/>
        <v>90</v>
      </c>
    </row>
    <row r="27" spans="1:6" ht="15.75" customHeight="1">
      <c r="A27" s="21">
        <v>18</v>
      </c>
      <c r="B27" s="6" t="s">
        <v>259</v>
      </c>
      <c r="C27" s="101">
        <v>41.7</v>
      </c>
      <c r="D27" s="101">
        <v>40.6</v>
      </c>
      <c r="E27" s="101">
        <f t="shared" si="0"/>
        <v>-1.1</v>
      </c>
      <c r="F27" s="101">
        <f t="shared" si="1"/>
        <v>97.4</v>
      </c>
    </row>
    <row r="28" spans="1:6" ht="15.75" customHeight="1">
      <c r="A28" s="21">
        <v>19</v>
      </c>
      <c r="B28" s="6" t="s">
        <v>64</v>
      </c>
      <c r="C28" s="101">
        <v>45.5</v>
      </c>
      <c r="D28" s="101">
        <v>35.2</v>
      </c>
      <c r="E28" s="101">
        <f t="shared" si="0"/>
        <v>-10.3</v>
      </c>
      <c r="F28" s="101">
        <f t="shared" si="1"/>
        <v>77.4</v>
      </c>
    </row>
    <row r="29" spans="1:6" ht="15.75" customHeight="1">
      <c r="A29" s="21">
        <v>20</v>
      </c>
      <c r="B29" s="6" t="s">
        <v>59</v>
      </c>
      <c r="C29" s="101">
        <v>221.2</v>
      </c>
      <c r="D29" s="101">
        <v>220.1</v>
      </c>
      <c r="E29" s="101">
        <f t="shared" si="0"/>
        <v>-1.1</v>
      </c>
      <c r="F29" s="101">
        <f t="shared" si="1"/>
        <v>99.5</v>
      </c>
    </row>
    <row r="30" spans="1:6" ht="15.75" customHeight="1">
      <c r="A30" s="21">
        <v>21</v>
      </c>
      <c r="B30" s="6" t="s">
        <v>61</v>
      </c>
      <c r="C30" s="101">
        <v>86</v>
      </c>
      <c r="D30" s="101">
        <v>70.6</v>
      </c>
      <c r="E30" s="101">
        <f t="shared" si="0"/>
        <v>-15.4</v>
      </c>
      <c r="F30" s="101">
        <f t="shared" si="1"/>
        <v>82.1</v>
      </c>
    </row>
    <row r="31" spans="1:6" ht="15.75" customHeight="1">
      <c r="A31" s="21">
        <v>22</v>
      </c>
      <c r="B31" s="6" t="s">
        <v>62</v>
      </c>
      <c r="C31" s="101">
        <v>256.4</v>
      </c>
      <c r="D31" s="101">
        <v>252.9</v>
      </c>
      <c r="E31" s="101">
        <f t="shared" si="0"/>
        <v>-3.5</v>
      </c>
      <c r="F31" s="101">
        <f t="shared" si="1"/>
        <v>98.6</v>
      </c>
    </row>
    <row r="32" spans="1:6" ht="15.75" customHeight="1">
      <c r="A32" s="21">
        <v>23</v>
      </c>
      <c r="B32" s="6" t="s">
        <v>58</v>
      </c>
      <c r="C32" s="101">
        <v>55.2</v>
      </c>
      <c r="D32" s="101">
        <v>53.5</v>
      </c>
      <c r="E32" s="101">
        <f t="shared" si="0"/>
        <v>-1.7</v>
      </c>
      <c r="F32" s="101">
        <f t="shared" si="1"/>
        <v>96.9</v>
      </c>
    </row>
    <row r="33" spans="1:6" ht="15.75" customHeight="1">
      <c r="A33" s="21">
        <v>24</v>
      </c>
      <c r="B33" s="6" t="s">
        <v>65</v>
      </c>
      <c r="C33" s="101">
        <v>318.7</v>
      </c>
      <c r="D33" s="101">
        <v>309.1</v>
      </c>
      <c r="E33" s="101">
        <f t="shared" si="0"/>
        <v>-9.6</v>
      </c>
      <c r="F33" s="101">
        <f t="shared" si="1"/>
        <v>97</v>
      </c>
    </row>
    <row r="34" spans="1:6" ht="15.75">
      <c r="A34" s="21">
        <v>25</v>
      </c>
      <c r="B34" s="6" t="s">
        <v>63</v>
      </c>
      <c r="C34" s="101">
        <v>9.2</v>
      </c>
      <c r="D34" s="101">
        <v>7.6</v>
      </c>
      <c r="E34" s="101">
        <f t="shared" si="0"/>
        <v>-1.6</v>
      </c>
      <c r="F34" s="101">
        <f t="shared" si="1"/>
        <v>82.6</v>
      </c>
    </row>
    <row r="35" spans="1:6" ht="31.5">
      <c r="A35" s="21">
        <v>26</v>
      </c>
      <c r="B35" s="6" t="s">
        <v>262</v>
      </c>
      <c r="C35" s="101">
        <v>115.7</v>
      </c>
      <c r="D35" s="101">
        <v>95.3</v>
      </c>
      <c r="E35" s="101">
        <f t="shared" si="0"/>
        <v>-20.4</v>
      </c>
      <c r="F35" s="101">
        <f t="shared" si="1"/>
        <v>82.4</v>
      </c>
    </row>
    <row r="36" spans="1:6" ht="15.75" customHeight="1">
      <c r="A36" s="21">
        <v>27</v>
      </c>
      <c r="B36" s="6" t="s">
        <v>72</v>
      </c>
      <c r="C36" s="101">
        <v>15.5</v>
      </c>
      <c r="D36" s="101">
        <v>15.5</v>
      </c>
      <c r="E36" s="101">
        <f t="shared" si="0"/>
        <v>0</v>
      </c>
      <c r="F36" s="101">
        <f t="shared" si="1"/>
        <v>100</v>
      </c>
    </row>
    <row r="37" spans="1:6" ht="15.75" customHeight="1">
      <c r="A37" s="21">
        <v>28</v>
      </c>
      <c r="B37" s="10" t="s">
        <v>257</v>
      </c>
      <c r="C37" s="101">
        <v>601.1</v>
      </c>
      <c r="D37" s="101">
        <v>598.9</v>
      </c>
      <c r="E37" s="101">
        <f t="shared" si="0"/>
        <v>-2.2</v>
      </c>
      <c r="F37" s="101">
        <f t="shared" si="1"/>
        <v>99.6</v>
      </c>
    </row>
    <row r="38" spans="1:6" ht="32.25" customHeight="1">
      <c r="A38" s="21">
        <v>29</v>
      </c>
      <c r="B38" s="6" t="s">
        <v>260</v>
      </c>
      <c r="C38" s="101">
        <v>1021.7</v>
      </c>
      <c r="D38" s="101">
        <v>948.6</v>
      </c>
      <c r="E38" s="101">
        <f t="shared" si="0"/>
        <v>-73.1</v>
      </c>
      <c r="F38" s="101">
        <f t="shared" si="1"/>
        <v>92.8</v>
      </c>
    </row>
    <row r="39" spans="1:6" ht="15.75" customHeight="1">
      <c r="A39" s="21">
        <v>30</v>
      </c>
      <c r="B39" s="6" t="s">
        <v>82</v>
      </c>
      <c r="C39" s="101">
        <v>3721.6</v>
      </c>
      <c r="D39" s="101">
        <v>3715.4</v>
      </c>
      <c r="E39" s="101">
        <f t="shared" si="0"/>
        <v>-6.2</v>
      </c>
      <c r="F39" s="101">
        <f t="shared" si="1"/>
        <v>99.8</v>
      </c>
    </row>
    <row r="40" spans="1:6" ht="15.75" customHeight="1">
      <c r="A40" s="21">
        <v>31</v>
      </c>
      <c r="B40" s="6" t="s">
        <v>258</v>
      </c>
      <c r="C40" s="101">
        <v>28216.4</v>
      </c>
      <c r="D40" s="101">
        <v>27844</v>
      </c>
      <c r="E40" s="101">
        <f t="shared" si="0"/>
        <v>-372.4</v>
      </c>
      <c r="F40" s="101">
        <f t="shared" si="1"/>
        <v>98.7</v>
      </c>
    </row>
    <row r="41" spans="1:6" ht="15.75" customHeight="1">
      <c r="A41" s="21">
        <v>32</v>
      </c>
      <c r="B41" s="6" t="s">
        <v>84</v>
      </c>
      <c r="C41" s="101">
        <v>3663.8</v>
      </c>
      <c r="D41" s="101">
        <v>3298.7</v>
      </c>
      <c r="E41" s="101">
        <f t="shared" si="0"/>
        <v>-365.1</v>
      </c>
      <c r="F41" s="101">
        <f t="shared" si="1"/>
        <v>90</v>
      </c>
    </row>
    <row r="42" spans="1:6" ht="15.75">
      <c r="A42" s="21">
        <v>33</v>
      </c>
      <c r="B42" s="10" t="s">
        <v>265</v>
      </c>
      <c r="C42" s="52">
        <f>+C44+C45</f>
        <v>800</v>
      </c>
      <c r="D42" s="52">
        <f>+D44+D45</f>
        <v>778</v>
      </c>
      <c r="E42" s="101">
        <f t="shared" si="0"/>
        <v>-22</v>
      </c>
      <c r="F42" s="101">
        <f t="shared" si="1"/>
        <v>97.3</v>
      </c>
    </row>
    <row r="43" spans="1:6" ht="16.5" customHeight="1">
      <c r="A43" s="21">
        <v>34</v>
      </c>
      <c r="B43" s="26" t="s">
        <v>14</v>
      </c>
      <c r="C43" s="101"/>
      <c r="D43" s="101"/>
      <c r="E43" s="101"/>
      <c r="F43" s="101"/>
    </row>
    <row r="44" spans="1:6" ht="33" customHeight="1">
      <c r="A44" s="21">
        <v>35</v>
      </c>
      <c r="B44" s="10" t="s">
        <v>295</v>
      </c>
      <c r="C44" s="101">
        <v>500</v>
      </c>
      <c r="D44" s="101">
        <v>500</v>
      </c>
      <c r="E44" s="101">
        <f t="shared" si="0"/>
        <v>0</v>
      </c>
      <c r="F44" s="101">
        <f t="shared" si="1"/>
        <v>100</v>
      </c>
    </row>
    <row r="45" spans="1:6" ht="30.75" customHeight="1">
      <c r="A45" s="21">
        <v>36</v>
      </c>
      <c r="B45" s="10" t="s">
        <v>264</v>
      </c>
      <c r="C45" s="101">
        <v>300</v>
      </c>
      <c r="D45" s="101">
        <v>278</v>
      </c>
      <c r="E45" s="101">
        <f t="shared" si="0"/>
        <v>-22</v>
      </c>
      <c r="F45" s="101">
        <f t="shared" si="1"/>
        <v>92.7</v>
      </c>
    </row>
    <row r="46" spans="1:6" ht="15" customHeight="1">
      <c r="A46" s="21">
        <v>37</v>
      </c>
      <c r="B46" s="10" t="s">
        <v>31</v>
      </c>
      <c r="C46" s="101">
        <v>103860.1</v>
      </c>
      <c r="D46" s="101">
        <v>103847.4</v>
      </c>
      <c r="E46" s="101">
        <f t="shared" si="0"/>
        <v>-12.7</v>
      </c>
      <c r="F46" s="101">
        <f t="shared" si="1"/>
        <v>100</v>
      </c>
    </row>
    <row r="47" spans="1:6" ht="15" customHeight="1">
      <c r="A47" s="21">
        <v>38</v>
      </c>
      <c r="B47" s="10" t="s">
        <v>32</v>
      </c>
      <c r="C47" s="101">
        <v>86</v>
      </c>
      <c r="D47" s="101">
        <v>55.9</v>
      </c>
      <c r="E47" s="101">
        <f t="shared" si="0"/>
        <v>-30.1</v>
      </c>
      <c r="F47" s="101">
        <f t="shared" si="1"/>
        <v>65</v>
      </c>
    </row>
    <row r="48" spans="1:6" ht="15" customHeight="1">
      <c r="A48" s="21">
        <v>39</v>
      </c>
      <c r="B48" s="10" t="s">
        <v>148</v>
      </c>
      <c r="C48" s="101">
        <v>11214</v>
      </c>
      <c r="D48" s="101">
        <v>11068.6</v>
      </c>
      <c r="E48" s="101">
        <f t="shared" si="0"/>
        <v>-145.4</v>
      </c>
      <c r="F48" s="101">
        <f t="shared" si="1"/>
        <v>98.7</v>
      </c>
    </row>
    <row r="49" spans="1:6" ht="15.75">
      <c r="A49" s="21">
        <v>40</v>
      </c>
      <c r="B49" s="22" t="s">
        <v>301</v>
      </c>
      <c r="C49" s="51">
        <f>+C50</f>
        <v>71.5</v>
      </c>
      <c r="D49" s="51">
        <f>+D50</f>
        <v>71.4</v>
      </c>
      <c r="E49" s="100">
        <f t="shared" si="0"/>
        <v>-0.1</v>
      </c>
      <c r="F49" s="100">
        <f t="shared" si="1"/>
        <v>99.9</v>
      </c>
    </row>
    <row r="50" spans="1:6" ht="31.5">
      <c r="A50" s="21">
        <v>41</v>
      </c>
      <c r="B50" s="10" t="s">
        <v>334</v>
      </c>
      <c r="C50" s="101">
        <v>71.5</v>
      </c>
      <c r="D50" s="101">
        <v>71.4</v>
      </c>
      <c r="E50" s="101">
        <f t="shared" si="0"/>
        <v>-0.1</v>
      </c>
      <c r="F50" s="101">
        <f t="shared" si="1"/>
        <v>99.9</v>
      </c>
    </row>
    <row r="51" spans="1:6" ht="15.75" customHeight="1">
      <c r="A51" s="21">
        <v>42</v>
      </c>
      <c r="B51" s="22" t="s">
        <v>33</v>
      </c>
      <c r="C51" s="51">
        <f>SUM(C52:C62)</f>
        <v>35791.4</v>
      </c>
      <c r="D51" s="51">
        <f>SUM(D52:D62)</f>
        <v>35560.8</v>
      </c>
      <c r="E51" s="100">
        <f t="shared" si="0"/>
        <v>-230.6</v>
      </c>
      <c r="F51" s="100">
        <f t="shared" si="1"/>
        <v>99.4</v>
      </c>
    </row>
    <row r="52" spans="1:6" ht="15" customHeight="1">
      <c r="A52" s="21">
        <v>43</v>
      </c>
      <c r="B52" s="10" t="s">
        <v>34</v>
      </c>
      <c r="C52" s="101">
        <v>450</v>
      </c>
      <c r="D52" s="101">
        <v>369.7</v>
      </c>
      <c r="E52" s="101">
        <f t="shared" si="0"/>
        <v>-80.3</v>
      </c>
      <c r="F52" s="101">
        <f t="shared" si="1"/>
        <v>82.2</v>
      </c>
    </row>
    <row r="53" spans="1:6" ht="16.5" customHeight="1">
      <c r="A53" s="21">
        <v>44</v>
      </c>
      <c r="B53" s="10" t="s">
        <v>35</v>
      </c>
      <c r="C53" s="101">
        <v>4291</v>
      </c>
      <c r="D53" s="101">
        <v>4291</v>
      </c>
      <c r="E53" s="101">
        <f t="shared" si="0"/>
        <v>0</v>
      </c>
      <c r="F53" s="101">
        <f t="shared" si="1"/>
        <v>100</v>
      </c>
    </row>
    <row r="54" spans="1:6" ht="29.25" customHeight="1">
      <c r="A54" s="21">
        <v>45</v>
      </c>
      <c r="B54" s="10" t="s">
        <v>36</v>
      </c>
      <c r="C54" s="101">
        <v>7500</v>
      </c>
      <c r="D54" s="101">
        <v>7648.9</v>
      </c>
      <c r="E54" s="101">
        <f t="shared" si="0"/>
        <v>148.9</v>
      </c>
      <c r="F54" s="101">
        <f t="shared" si="1"/>
        <v>102</v>
      </c>
    </row>
    <row r="55" spans="1:6" ht="17.25" customHeight="1">
      <c r="A55" s="21">
        <v>46</v>
      </c>
      <c r="B55" s="10" t="s">
        <v>86</v>
      </c>
      <c r="C55" s="101">
        <v>80</v>
      </c>
      <c r="D55" s="101">
        <v>270.1</v>
      </c>
      <c r="E55" s="101">
        <f t="shared" si="0"/>
        <v>190.1</v>
      </c>
      <c r="F55" s="101">
        <f t="shared" si="1"/>
        <v>337.6</v>
      </c>
    </row>
    <row r="56" spans="1:6" ht="15.75">
      <c r="A56" s="21">
        <v>47</v>
      </c>
      <c r="B56" s="10" t="s">
        <v>37</v>
      </c>
      <c r="C56" s="101">
        <v>4896.9</v>
      </c>
      <c r="D56" s="101">
        <v>4529.2</v>
      </c>
      <c r="E56" s="101">
        <f t="shared" si="0"/>
        <v>-367.7</v>
      </c>
      <c r="F56" s="101">
        <f t="shared" si="1"/>
        <v>92.5</v>
      </c>
    </row>
    <row r="57" spans="1:6" ht="17.25" customHeight="1">
      <c r="A57" s="21">
        <v>48</v>
      </c>
      <c r="B57" s="10" t="s">
        <v>38</v>
      </c>
      <c r="C57" s="101">
        <v>2546.1</v>
      </c>
      <c r="D57" s="101">
        <v>3329.8</v>
      </c>
      <c r="E57" s="101">
        <f t="shared" si="0"/>
        <v>783.7</v>
      </c>
      <c r="F57" s="101">
        <f t="shared" si="1"/>
        <v>130.8</v>
      </c>
    </row>
    <row r="58" spans="1:6" ht="18" customHeight="1">
      <c r="A58" s="21">
        <v>49</v>
      </c>
      <c r="B58" s="10" t="s">
        <v>39</v>
      </c>
      <c r="C58" s="101">
        <v>14706.4</v>
      </c>
      <c r="D58" s="101">
        <v>13406.5</v>
      </c>
      <c r="E58" s="101">
        <f t="shared" si="0"/>
        <v>-1299.9</v>
      </c>
      <c r="F58" s="101">
        <f t="shared" si="1"/>
        <v>91.2</v>
      </c>
    </row>
    <row r="59" spans="1:6" ht="16.5" customHeight="1">
      <c r="A59" s="21">
        <v>50</v>
      </c>
      <c r="B59" s="10" t="s">
        <v>40</v>
      </c>
      <c r="C59" s="101">
        <v>1091</v>
      </c>
      <c r="D59" s="101">
        <v>1354.7</v>
      </c>
      <c r="E59" s="101">
        <f t="shared" si="0"/>
        <v>263.7</v>
      </c>
      <c r="F59" s="101">
        <f t="shared" si="1"/>
        <v>124.2</v>
      </c>
    </row>
    <row r="60" spans="1:6" ht="16.5" customHeight="1">
      <c r="A60" s="21">
        <v>51</v>
      </c>
      <c r="B60" s="10" t="s">
        <v>41</v>
      </c>
      <c r="C60" s="101">
        <v>10</v>
      </c>
      <c r="D60" s="101">
        <v>45</v>
      </c>
      <c r="E60" s="101">
        <f t="shared" si="0"/>
        <v>35</v>
      </c>
      <c r="F60" s="101">
        <f t="shared" si="1"/>
        <v>450</v>
      </c>
    </row>
    <row r="61" spans="1:6" ht="15.75">
      <c r="A61" s="21">
        <v>52</v>
      </c>
      <c r="B61" s="24" t="s">
        <v>42</v>
      </c>
      <c r="C61" s="101">
        <v>120</v>
      </c>
      <c r="D61" s="101">
        <v>180.8</v>
      </c>
      <c r="E61" s="101">
        <f t="shared" si="0"/>
        <v>60.8</v>
      </c>
      <c r="F61" s="101">
        <f t="shared" si="1"/>
        <v>150.7</v>
      </c>
    </row>
    <row r="62" spans="1:6" ht="15.75">
      <c r="A62" s="21">
        <v>53</v>
      </c>
      <c r="B62" s="10" t="s">
        <v>43</v>
      </c>
      <c r="C62" s="101">
        <v>100</v>
      </c>
      <c r="D62" s="101">
        <v>135.1</v>
      </c>
      <c r="E62" s="101">
        <f t="shared" si="0"/>
        <v>35.1</v>
      </c>
      <c r="F62" s="101">
        <f t="shared" si="1"/>
        <v>135.1</v>
      </c>
    </row>
    <row r="63" spans="1:6" ht="31.5">
      <c r="A63" s="21">
        <v>54</v>
      </c>
      <c r="B63" s="22" t="s">
        <v>44</v>
      </c>
      <c r="C63" s="51">
        <f>SUM(C64)</f>
        <v>1750</v>
      </c>
      <c r="D63" s="51">
        <f>SUM(D64)</f>
        <v>1862.8</v>
      </c>
      <c r="E63" s="100">
        <f t="shared" si="0"/>
        <v>112.8</v>
      </c>
      <c r="F63" s="100">
        <f t="shared" si="1"/>
        <v>106.4</v>
      </c>
    </row>
    <row r="64" spans="1:6" ht="31.5">
      <c r="A64" s="21">
        <v>55</v>
      </c>
      <c r="B64" s="22" t="s">
        <v>45</v>
      </c>
      <c r="C64" s="51">
        <f>SUM(C65+C69)</f>
        <v>1750</v>
      </c>
      <c r="D64" s="51">
        <f>SUM(D65+D69)</f>
        <v>1862.8</v>
      </c>
      <c r="E64" s="51">
        <f>SUM(E65+E69)</f>
        <v>112.8</v>
      </c>
      <c r="F64" s="100">
        <f t="shared" si="1"/>
        <v>106.4</v>
      </c>
    </row>
    <row r="65" spans="1:6" ht="15.75">
      <c r="A65" s="21">
        <v>56</v>
      </c>
      <c r="B65" s="22" t="s">
        <v>46</v>
      </c>
      <c r="C65" s="51">
        <f>SUM(C66:C68)</f>
        <v>1750</v>
      </c>
      <c r="D65" s="51">
        <f>SUM(D66:D68)</f>
        <v>1852.5</v>
      </c>
      <c r="E65" s="51">
        <f>SUM(E66:E68)</f>
        <v>102.5</v>
      </c>
      <c r="F65" s="100">
        <f t="shared" si="1"/>
        <v>105.9</v>
      </c>
    </row>
    <row r="66" spans="1:6" ht="15" customHeight="1">
      <c r="A66" s="21">
        <v>57</v>
      </c>
      <c r="B66" s="10" t="s">
        <v>47</v>
      </c>
      <c r="C66" s="101">
        <v>1500</v>
      </c>
      <c r="D66" s="101">
        <v>1284</v>
      </c>
      <c r="E66" s="101">
        <f t="shared" si="0"/>
        <v>-216</v>
      </c>
      <c r="F66" s="101">
        <f t="shared" si="1"/>
        <v>85.6</v>
      </c>
    </row>
    <row r="67" spans="1:6" ht="15" customHeight="1">
      <c r="A67" s="21">
        <v>58</v>
      </c>
      <c r="B67" s="10" t="s">
        <v>48</v>
      </c>
      <c r="C67" s="101">
        <v>250</v>
      </c>
      <c r="D67" s="101">
        <v>414.7</v>
      </c>
      <c r="E67" s="101">
        <f t="shared" si="0"/>
        <v>164.7</v>
      </c>
      <c r="F67" s="101">
        <f t="shared" si="1"/>
        <v>165.9</v>
      </c>
    </row>
    <row r="68" spans="1:6" ht="15" customHeight="1">
      <c r="A68" s="21">
        <v>59</v>
      </c>
      <c r="B68" s="10" t="s">
        <v>340</v>
      </c>
      <c r="C68" s="101"/>
      <c r="D68" s="101">
        <v>153.8</v>
      </c>
      <c r="E68" s="101">
        <f>+D68-C68</f>
        <v>153.8</v>
      </c>
      <c r="F68" s="101"/>
    </row>
    <row r="69" spans="1:6" ht="15" customHeight="1">
      <c r="A69" s="21">
        <v>60</v>
      </c>
      <c r="B69" s="22" t="s">
        <v>341</v>
      </c>
      <c r="C69" s="100"/>
      <c r="D69" s="100">
        <v>10.3</v>
      </c>
      <c r="E69" s="100">
        <f>+D69-C69</f>
        <v>10.3</v>
      </c>
      <c r="F69" s="100"/>
    </row>
    <row r="70" spans="1:6" ht="15.75" customHeight="1">
      <c r="A70" s="21">
        <v>61</v>
      </c>
      <c r="B70" s="22" t="s">
        <v>49</v>
      </c>
      <c r="C70" s="100">
        <v>4370.2</v>
      </c>
      <c r="D70" s="100">
        <v>4370.2</v>
      </c>
      <c r="E70" s="100">
        <f t="shared" si="0"/>
        <v>0</v>
      </c>
      <c r="F70" s="100">
        <f t="shared" si="1"/>
        <v>100</v>
      </c>
    </row>
    <row r="71" spans="1:6" ht="15" customHeight="1">
      <c r="A71" s="21">
        <v>62</v>
      </c>
      <c r="B71" s="23" t="s">
        <v>50</v>
      </c>
      <c r="C71" s="100">
        <v>200</v>
      </c>
      <c r="D71" s="100">
        <v>83.5</v>
      </c>
      <c r="E71" s="100">
        <f t="shared" si="0"/>
        <v>-116.5</v>
      </c>
      <c r="F71" s="100">
        <f t="shared" si="1"/>
        <v>41.8</v>
      </c>
    </row>
    <row r="72" spans="1:6" ht="15.75" customHeight="1">
      <c r="A72" s="21">
        <v>63</v>
      </c>
      <c r="B72" s="23" t="s">
        <v>9</v>
      </c>
      <c r="C72" s="47">
        <f>SUM(C10+C63+C70+C71)</f>
        <v>383264.4</v>
      </c>
      <c r="D72" s="47">
        <f>SUM(D10+D63+D70+D71)</f>
        <v>387821</v>
      </c>
      <c r="E72" s="47">
        <f>SUM(E10+E63+E70+E71)</f>
        <v>4556.6</v>
      </c>
      <c r="F72" s="100">
        <f t="shared" si="1"/>
        <v>101.2</v>
      </c>
    </row>
    <row r="73" ht="15.75" hidden="1">
      <c r="B73" s="23" t="s">
        <v>333</v>
      </c>
    </row>
    <row r="74" ht="15.75" hidden="1">
      <c r="B74" s="23" t="s">
        <v>306</v>
      </c>
    </row>
    <row r="75" ht="15.75" hidden="1">
      <c r="B75" s="23" t="s">
        <v>323</v>
      </c>
    </row>
    <row r="76" ht="15.75" hidden="1">
      <c r="B76" s="23" t="s">
        <v>324</v>
      </c>
    </row>
    <row r="77" ht="15.75" hidden="1">
      <c r="B77" s="23" t="s">
        <v>303</v>
      </c>
    </row>
    <row r="78" ht="15.75" hidden="1">
      <c r="B78" s="23" t="s">
        <v>307</v>
      </c>
    </row>
    <row r="79" ht="15.75" hidden="1">
      <c r="B79" s="23" t="s">
        <v>326</v>
      </c>
    </row>
    <row r="80" ht="15.75" hidden="1">
      <c r="B80" s="23" t="s">
        <v>332</v>
      </c>
    </row>
    <row r="81" ht="15.75" hidden="1">
      <c r="B81" s="23" t="s">
        <v>327</v>
      </c>
    </row>
    <row r="82" ht="15.75" hidden="1">
      <c r="B82" s="24" t="s">
        <v>308</v>
      </c>
    </row>
    <row r="83" ht="15.75" hidden="1">
      <c r="B83" s="24" t="s">
        <v>309</v>
      </c>
    </row>
    <row r="84" ht="12.75" hidden="1">
      <c r="B84" s="49" t="s">
        <v>314</v>
      </c>
    </row>
    <row r="85" ht="12.75" hidden="1">
      <c r="B85" s="49" t="s">
        <v>310</v>
      </c>
    </row>
    <row r="86" ht="12.75" hidden="1">
      <c r="B86" s="49" t="s">
        <v>311</v>
      </c>
    </row>
    <row r="87" ht="12.75" hidden="1">
      <c r="B87" s="49" t="s">
        <v>325</v>
      </c>
    </row>
    <row r="88" ht="12.75" hidden="1">
      <c r="B88" s="49" t="s">
        <v>312</v>
      </c>
    </row>
    <row r="89" ht="12.75" hidden="1">
      <c r="B89" s="49" t="s">
        <v>313</v>
      </c>
    </row>
    <row r="90" ht="12.75" hidden="1">
      <c r="B90" s="49" t="s">
        <v>315</v>
      </c>
    </row>
    <row r="91" ht="12.75" hidden="1">
      <c r="B91" s="49" t="s">
        <v>316</v>
      </c>
    </row>
    <row r="92" ht="12.75" hidden="1">
      <c r="B92" s="49" t="s">
        <v>328</v>
      </c>
    </row>
    <row r="93" ht="12.75" hidden="1">
      <c r="B93" s="49" t="s">
        <v>317</v>
      </c>
    </row>
    <row r="94" ht="12.75" hidden="1">
      <c r="B94" s="49" t="s">
        <v>318</v>
      </c>
    </row>
    <row r="95" ht="12.75" hidden="1">
      <c r="B95" s="49" t="s">
        <v>329</v>
      </c>
    </row>
    <row r="96" ht="12.75" hidden="1">
      <c r="B96" s="49" t="s">
        <v>330</v>
      </c>
    </row>
    <row r="97" ht="12.75" hidden="1">
      <c r="B97" s="49" t="s">
        <v>319</v>
      </c>
    </row>
    <row r="98" ht="12.75" hidden="1">
      <c r="B98" s="49" t="s">
        <v>331</v>
      </c>
    </row>
    <row r="99" s="11" customFormat="1" ht="12.75" hidden="1">
      <c r="B99" s="48" t="s">
        <v>9</v>
      </c>
    </row>
    <row r="100" ht="12.75" hidden="1">
      <c r="B100" s="53"/>
    </row>
    <row r="101" ht="12.75">
      <c r="B101" s="53"/>
    </row>
    <row r="102" ht="12.75">
      <c r="B102" s="53"/>
    </row>
    <row r="103" ht="12.75">
      <c r="B103" s="53"/>
    </row>
    <row r="104" spans="2:4" ht="12.75">
      <c r="B104" s="53"/>
      <c r="D104" s="9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</sheetData>
  <sheetProtection/>
  <mergeCells count="4">
    <mergeCell ref="A5:F5"/>
    <mergeCell ref="C1:F1"/>
    <mergeCell ref="C2:F2"/>
    <mergeCell ref="C3:F3"/>
  </mergeCells>
  <printOptions/>
  <pageMargins left="0.7874015748031497" right="0.3937007874015748" top="0.984251968503937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44"/>
  <sheetViews>
    <sheetView showZeros="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131" sqref="Q131"/>
    </sheetView>
  </sheetViews>
  <sheetFormatPr defaultColWidth="10.140625" defaultRowHeight="12.75"/>
  <cols>
    <col min="1" max="1" width="5.57421875" style="28" customWidth="1"/>
    <col min="2" max="2" width="40.8515625" style="0" customWidth="1"/>
    <col min="3" max="3" width="9.28125" style="0" customWidth="1"/>
    <col min="4" max="4" width="10.28125" style="0" customWidth="1"/>
    <col min="5" max="5" width="9.140625" style="0" customWidth="1"/>
    <col min="6" max="6" width="6.8515625" style="0" customWidth="1"/>
    <col min="7" max="7" width="9.57421875" style="0" customWidth="1"/>
    <col min="8" max="8" width="10.7109375" style="0" bestFit="1" customWidth="1"/>
    <col min="9" max="9" width="9.8515625" style="0" customWidth="1"/>
    <col min="10" max="10" width="9.57421875" style="0" customWidth="1"/>
    <col min="11" max="11" width="8.57421875" style="0" customWidth="1"/>
    <col min="12" max="12" width="8.140625" style="0" customWidth="1"/>
  </cols>
  <sheetData>
    <row r="2" ht="15.75">
      <c r="A2" s="34" t="s">
        <v>382</v>
      </c>
    </row>
    <row r="3" spans="1:12" ht="15.75">
      <c r="A3" s="109" t="s">
        <v>1</v>
      </c>
      <c r="B3" s="109" t="s">
        <v>51</v>
      </c>
      <c r="C3" s="110" t="s">
        <v>345</v>
      </c>
      <c r="D3" s="110" t="s">
        <v>346</v>
      </c>
      <c r="E3" s="110" t="s">
        <v>383</v>
      </c>
      <c r="F3" s="111" t="s">
        <v>386</v>
      </c>
      <c r="G3" s="112" t="s">
        <v>348</v>
      </c>
      <c r="H3" s="112"/>
      <c r="I3" s="112"/>
      <c r="J3" s="112"/>
      <c r="K3" s="112"/>
      <c r="L3" s="112"/>
    </row>
    <row r="4" spans="1:12" ht="13.5" customHeight="1">
      <c r="A4" s="109"/>
      <c r="B4" s="109"/>
      <c r="C4" s="110"/>
      <c r="D4" s="110"/>
      <c r="E4" s="110"/>
      <c r="F4" s="111"/>
      <c r="G4" s="110" t="s">
        <v>52</v>
      </c>
      <c r="H4" s="110"/>
      <c r="I4" s="110"/>
      <c r="J4" s="110"/>
      <c r="K4" s="110" t="s">
        <v>53</v>
      </c>
      <c r="L4" s="110"/>
    </row>
    <row r="5" spans="1:12" ht="15.75" customHeight="1">
      <c r="A5" s="109"/>
      <c r="B5" s="109"/>
      <c r="C5" s="110"/>
      <c r="D5" s="110"/>
      <c r="E5" s="110"/>
      <c r="F5" s="111"/>
      <c r="G5" s="110" t="s">
        <v>349</v>
      </c>
      <c r="H5" s="110" t="s">
        <v>346</v>
      </c>
      <c r="I5" s="110" t="s">
        <v>350</v>
      </c>
      <c r="J5" s="110"/>
      <c r="K5" s="110" t="s">
        <v>349</v>
      </c>
      <c r="L5" s="110" t="s">
        <v>384</v>
      </c>
    </row>
    <row r="6" spans="1:12" ht="35.25" customHeight="1">
      <c r="A6" s="109"/>
      <c r="B6" s="109"/>
      <c r="C6" s="110"/>
      <c r="D6" s="110"/>
      <c r="E6" s="110"/>
      <c r="F6" s="111"/>
      <c r="G6" s="110"/>
      <c r="H6" s="110"/>
      <c r="I6" s="24" t="s">
        <v>349</v>
      </c>
      <c r="J6" s="24" t="s">
        <v>346</v>
      </c>
      <c r="K6" s="110"/>
      <c r="L6" s="110"/>
    </row>
    <row r="7" spans="1:12" ht="15.75">
      <c r="A7" s="4">
        <v>1</v>
      </c>
      <c r="B7" s="26">
        <v>2</v>
      </c>
      <c r="C7" s="13">
        <v>3</v>
      </c>
      <c r="D7" s="27">
        <v>4</v>
      </c>
      <c r="E7" s="13">
        <v>5</v>
      </c>
      <c r="F7" s="27">
        <v>6</v>
      </c>
      <c r="G7" s="13">
        <v>7</v>
      </c>
      <c r="H7" s="27">
        <v>8</v>
      </c>
      <c r="I7" s="13">
        <v>9</v>
      </c>
      <c r="J7" s="27">
        <v>10</v>
      </c>
      <c r="K7" s="13">
        <v>11</v>
      </c>
      <c r="L7" s="27">
        <v>12</v>
      </c>
    </row>
    <row r="8" spans="1:12" ht="21.75" customHeight="1">
      <c r="A8" s="33">
        <v>1</v>
      </c>
      <c r="B8" s="12" t="s">
        <v>55</v>
      </c>
      <c r="C8" s="29">
        <f aca="true" t="shared" si="0" ref="C8:L8">+C9</f>
        <v>338.3</v>
      </c>
      <c r="D8" s="29">
        <f t="shared" si="0"/>
        <v>326.2</v>
      </c>
      <c r="E8" s="29">
        <f t="shared" si="0"/>
        <v>-12.1</v>
      </c>
      <c r="F8" s="29">
        <f>+D8/C8*100</f>
        <v>96.4</v>
      </c>
      <c r="G8" s="29">
        <f t="shared" si="0"/>
        <v>338.3</v>
      </c>
      <c r="H8" s="29">
        <f t="shared" si="0"/>
        <v>326.2</v>
      </c>
      <c r="I8" s="29">
        <f t="shared" si="0"/>
        <v>238.6</v>
      </c>
      <c r="J8" s="29">
        <f t="shared" si="0"/>
        <v>227.2</v>
      </c>
      <c r="K8" s="29">
        <f t="shared" si="0"/>
        <v>0</v>
      </c>
      <c r="L8" s="29">
        <f t="shared" si="0"/>
        <v>0</v>
      </c>
    </row>
    <row r="9" spans="1:12" ht="47.25">
      <c r="A9" s="33">
        <v>2</v>
      </c>
      <c r="B9" s="12" t="s">
        <v>271</v>
      </c>
      <c r="C9" s="29">
        <f>+G9+K9</f>
        <v>338.3</v>
      </c>
      <c r="D9" s="29">
        <f>+H9+L9</f>
        <v>326.2</v>
      </c>
      <c r="E9" s="29">
        <f>+D9-C9</f>
        <v>-12.1</v>
      </c>
      <c r="F9" s="29">
        <f aca="true" t="shared" si="1" ref="F9:F71">+D9/C9*100</f>
        <v>96.4</v>
      </c>
      <c r="G9" s="29">
        <v>338.3</v>
      </c>
      <c r="H9" s="29">
        <v>326.2</v>
      </c>
      <c r="I9" s="29">
        <v>238.6</v>
      </c>
      <c r="J9" s="29">
        <v>227.2</v>
      </c>
      <c r="K9" s="29">
        <v>0</v>
      </c>
      <c r="L9" s="29"/>
    </row>
    <row r="10" spans="1:12" ht="19.5" customHeight="1">
      <c r="A10" s="33">
        <v>3</v>
      </c>
      <c r="B10" s="12" t="s">
        <v>4</v>
      </c>
      <c r="C10" s="29">
        <f>+C11+C35+C36+C37+C38+C39+C43+C44</f>
        <v>41415.5</v>
      </c>
      <c r="D10" s="29">
        <f>+D11+D35+D36+D37+D38+D39+D43+D44</f>
        <v>40350.1</v>
      </c>
      <c r="E10" s="29">
        <f>+E11+E35+E36+E37+E38+E39+E43+E44</f>
        <v>-1065.4</v>
      </c>
      <c r="F10" s="29">
        <f t="shared" si="1"/>
        <v>97.4</v>
      </c>
      <c r="G10" s="29">
        <f aca="true" t="shared" si="2" ref="G10:L10">+G11+G35+G36+G37+G38+G39+G43+G44</f>
        <v>34252.5</v>
      </c>
      <c r="H10" s="29">
        <f t="shared" si="2"/>
        <v>33273.4</v>
      </c>
      <c r="I10" s="29">
        <f t="shared" si="2"/>
        <v>10214.6</v>
      </c>
      <c r="J10" s="29">
        <f t="shared" si="2"/>
        <v>10177.9</v>
      </c>
      <c r="K10" s="29">
        <f t="shared" si="2"/>
        <v>7163</v>
      </c>
      <c r="L10" s="29">
        <f t="shared" si="2"/>
        <v>7076.7</v>
      </c>
    </row>
    <row r="11" spans="1:12" ht="18" customHeight="1">
      <c r="A11" s="33">
        <v>4</v>
      </c>
      <c r="B11" s="12" t="s">
        <v>56</v>
      </c>
      <c r="C11" s="29">
        <f aca="true" t="shared" si="3" ref="C11:L11">+C13+C14+C15+C16+C17</f>
        <v>27055.7</v>
      </c>
      <c r="D11" s="30">
        <f aca="true" t="shared" si="4" ref="D11:D44">+H11+L11</f>
        <v>26188</v>
      </c>
      <c r="E11" s="30">
        <f aca="true" t="shared" si="5" ref="E11:E44">+D11-C11</f>
        <v>-867.7</v>
      </c>
      <c r="F11" s="29">
        <f t="shared" si="1"/>
        <v>96.8</v>
      </c>
      <c r="G11" s="29">
        <f t="shared" si="3"/>
        <v>20753</v>
      </c>
      <c r="H11" s="29">
        <f t="shared" si="3"/>
        <v>19902.3</v>
      </c>
      <c r="I11" s="29">
        <f t="shared" si="3"/>
        <v>10213.5</v>
      </c>
      <c r="J11" s="29">
        <f t="shared" si="3"/>
        <v>10176.9</v>
      </c>
      <c r="K11" s="29">
        <f t="shared" si="3"/>
        <v>6302.7</v>
      </c>
      <c r="L11" s="29">
        <f t="shared" si="3"/>
        <v>6285.7</v>
      </c>
    </row>
    <row r="12" spans="1:12" ht="15.75">
      <c r="A12" s="33">
        <v>5</v>
      </c>
      <c r="B12" s="27" t="s">
        <v>14</v>
      </c>
      <c r="C12" s="30">
        <v>0</v>
      </c>
      <c r="D12" s="30">
        <f t="shared" si="4"/>
        <v>0</v>
      </c>
      <c r="E12" s="30">
        <f t="shared" si="5"/>
        <v>0</v>
      </c>
      <c r="F12" s="29"/>
      <c r="G12" s="30">
        <v>0</v>
      </c>
      <c r="H12" s="30"/>
      <c r="I12" s="30">
        <v>0</v>
      </c>
      <c r="J12" s="30"/>
      <c r="K12" s="30">
        <v>0</v>
      </c>
      <c r="L12" s="30"/>
    </row>
    <row r="13" spans="1:12" ht="31.5">
      <c r="A13" s="33">
        <v>6</v>
      </c>
      <c r="B13" s="6" t="s">
        <v>99</v>
      </c>
      <c r="C13" s="30">
        <f>+G13+K13</f>
        <v>572.9</v>
      </c>
      <c r="D13" s="30">
        <f t="shared" si="4"/>
        <v>568.1</v>
      </c>
      <c r="E13" s="30">
        <f t="shared" si="5"/>
        <v>-4.8</v>
      </c>
      <c r="F13" s="30">
        <f t="shared" si="1"/>
        <v>99.2</v>
      </c>
      <c r="G13" s="30">
        <v>572.9</v>
      </c>
      <c r="H13" s="30">
        <v>568.1</v>
      </c>
      <c r="I13" s="30">
        <v>184.3</v>
      </c>
      <c r="J13" s="30">
        <v>181.6</v>
      </c>
      <c r="K13" s="30">
        <v>0</v>
      </c>
      <c r="L13" s="30"/>
    </row>
    <row r="14" spans="1:12" ht="33.75" customHeight="1">
      <c r="A14" s="33">
        <v>7</v>
      </c>
      <c r="B14" s="6" t="s">
        <v>100</v>
      </c>
      <c r="C14" s="30">
        <f>+G14+K14</f>
        <v>243.9</v>
      </c>
      <c r="D14" s="30">
        <f t="shared" si="4"/>
        <v>237.7</v>
      </c>
      <c r="E14" s="30">
        <f t="shared" si="5"/>
        <v>-6.2</v>
      </c>
      <c r="F14" s="30">
        <f t="shared" si="1"/>
        <v>97.5</v>
      </c>
      <c r="G14" s="30">
        <v>243.9</v>
      </c>
      <c r="H14" s="30">
        <v>237.7</v>
      </c>
      <c r="I14" s="30">
        <v>177</v>
      </c>
      <c r="J14" s="30">
        <v>174.6</v>
      </c>
      <c r="K14" s="30">
        <v>0</v>
      </c>
      <c r="L14" s="30"/>
    </row>
    <row r="15" spans="1:12" ht="47.25">
      <c r="A15" s="33">
        <v>8</v>
      </c>
      <c r="B15" s="6" t="s">
        <v>101</v>
      </c>
      <c r="C15" s="30">
        <f>+G15+K15</f>
        <v>23471</v>
      </c>
      <c r="D15" s="30">
        <f t="shared" si="4"/>
        <v>22703.8</v>
      </c>
      <c r="E15" s="30">
        <f t="shared" si="5"/>
        <v>-767.2</v>
      </c>
      <c r="F15" s="30">
        <f t="shared" si="1"/>
        <v>96.7</v>
      </c>
      <c r="G15" s="30">
        <v>17168.3</v>
      </c>
      <c r="H15" s="30">
        <v>16418.1</v>
      </c>
      <c r="I15" s="30">
        <v>8091.9</v>
      </c>
      <c r="J15" s="30">
        <v>8089.6</v>
      </c>
      <c r="K15" s="30">
        <v>6302.7</v>
      </c>
      <c r="L15" s="30">
        <v>6285.7</v>
      </c>
    </row>
    <row r="16" spans="1:12" s="20" customFormat="1" ht="31.5">
      <c r="A16" s="33">
        <v>9</v>
      </c>
      <c r="B16" s="6" t="s">
        <v>102</v>
      </c>
      <c r="C16" s="30">
        <f>+G16+K16</f>
        <v>40.5</v>
      </c>
      <c r="D16" s="30">
        <f t="shared" si="4"/>
        <v>43.7</v>
      </c>
      <c r="E16" s="30">
        <f t="shared" si="5"/>
        <v>3.2</v>
      </c>
      <c r="F16" s="30">
        <f t="shared" si="1"/>
        <v>107.9</v>
      </c>
      <c r="G16" s="30">
        <v>40.5</v>
      </c>
      <c r="H16" s="30">
        <v>43.7</v>
      </c>
      <c r="I16" s="30">
        <v>0</v>
      </c>
      <c r="J16" s="30"/>
      <c r="K16" s="30">
        <v>0</v>
      </c>
      <c r="L16" s="30"/>
    </row>
    <row r="17" spans="1:12" s="20" customFormat="1" ht="63">
      <c r="A17" s="33">
        <v>10</v>
      </c>
      <c r="B17" s="6" t="s">
        <v>255</v>
      </c>
      <c r="C17" s="30">
        <f>SUM(C19:C34)</f>
        <v>2727.4</v>
      </c>
      <c r="D17" s="30">
        <f t="shared" si="4"/>
        <v>2634.7</v>
      </c>
      <c r="E17" s="30">
        <f t="shared" si="5"/>
        <v>-92.7</v>
      </c>
      <c r="F17" s="30">
        <f t="shared" si="1"/>
        <v>96.6</v>
      </c>
      <c r="G17" s="30">
        <f aca="true" t="shared" si="6" ref="G17:L17">SUM(G19:G34)</f>
        <v>2727.4</v>
      </c>
      <c r="H17" s="30">
        <f t="shared" si="6"/>
        <v>2634.7</v>
      </c>
      <c r="I17" s="30">
        <f t="shared" si="6"/>
        <v>1760.3</v>
      </c>
      <c r="J17" s="30">
        <f t="shared" si="6"/>
        <v>1731.1</v>
      </c>
      <c r="K17" s="30">
        <f t="shared" si="6"/>
        <v>0</v>
      </c>
      <c r="L17" s="30">
        <f t="shared" si="6"/>
        <v>0</v>
      </c>
    </row>
    <row r="18" spans="1:12" s="20" customFormat="1" ht="17.25" customHeight="1">
      <c r="A18" s="33">
        <v>11</v>
      </c>
      <c r="B18" s="27" t="s">
        <v>14</v>
      </c>
      <c r="C18" s="30"/>
      <c r="D18" s="30">
        <f t="shared" si="4"/>
        <v>0</v>
      </c>
      <c r="E18" s="30">
        <f t="shared" si="5"/>
        <v>0</v>
      </c>
      <c r="F18" s="29"/>
      <c r="G18" s="30"/>
      <c r="H18" s="30"/>
      <c r="I18" s="30"/>
      <c r="J18" s="30"/>
      <c r="K18" s="30"/>
      <c r="L18" s="30"/>
    </row>
    <row r="19" spans="1:12" s="20" customFormat="1" ht="31.5">
      <c r="A19" s="33">
        <v>12</v>
      </c>
      <c r="B19" s="6" t="s">
        <v>263</v>
      </c>
      <c r="C19" s="30">
        <f aca="true" t="shared" si="7" ref="C19:C38">+G19+K19</f>
        <v>2</v>
      </c>
      <c r="D19" s="30">
        <f t="shared" si="4"/>
        <v>1.9</v>
      </c>
      <c r="E19" s="30">
        <f t="shared" si="5"/>
        <v>-0.1</v>
      </c>
      <c r="F19" s="30">
        <f t="shared" si="1"/>
        <v>95</v>
      </c>
      <c r="G19" s="30">
        <v>2</v>
      </c>
      <c r="H19" s="30">
        <v>1.9</v>
      </c>
      <c r="I19" s="30">
        <v>1.5</v>
      </c>
      <c r="J19" s="30">
        <v>1.4</v>
      </c>
      <c r="K19" s="30">
        <v>0</v>
      </c>
      <c r="L19" s="30"/>
    </row>
    <row r="20" spans="1:12" s="20" customFormat="1" ht="15.75">
      <c r="A20" s="33">
        <v>13</v>
      </c>
      <c r="B20" s="6" t="s">
        <v>259</v>
      </c>
      <c r="C20" s="30">
        <f t="shared" si="7"/>
        <v>41.7</v>
      </c>
      <c r="D20" s="30">
        <f t="shared" si="4"/>
        <v>40.6</v>
      </c>
      <c r="E20" s="30">
        <f t="shared" si="5"/>
        <v>-1.1</v>
      </c>
      <c r="F20" s="30">
        <f t="shared" si="1"/>
        <v>97.4</v>
      </c>
      <c r="G20" s="30">
        <v>41.7</v>
      </c>
      <c r="H20" s="30">
        <v>40.6</v>
      </c>
      <c r="I20" s="30">
        <v>28.4</v>
      </c>
      <c r="J20" s="30">
        <v>28.3</v>
      </c>
      <c r="K20" s="30">
        <v>0</v>
      </c>
      <c r="L20" s="30"/>
    </row>
    <row r="21" spans="1:12" s="20" customFormat="1" ht="32.25" customHeight="1">
      <c r="A21" s="33">
        <v>14</v>
      </c>
      <c r="B21" s="6" t="s">
        <v>64</v>
      </c>
      <c r="C21" s="30">
        <f t="shared" si="7"/>
        <v>45.5</v>
      </c>
      <c r="D21" s="30">
        <f t="shared" si="4"/>
        <v>35.2</v>
      </c>
      <c r="E21" s="30">
        <f t="shared" si="5"/>
        <v>-10.3</v>
      </c>
      <c r="F21" s="30">
        <f t="shared" si="1"/>
        <v>77.4</v>
      </c>
      <c r="G21" s="30">
        <v>45.5</v>
      </c>
      <c r="H21" s="30">
        <v>35.2</v>
      </c>
      <c r="I21" s="30">
        <v>32</v>
      </c>
      <c r="J21" s="30">
        <v>25.2</v>
      </c>
      <c r="K21" s="30">
        <v>0</v>
      </c>
      <c r="L21" s="30"/>
    </row>
    <row r="22" spans="1:12" s="20" customFormat="1" ht="17.25" customHeight="1">
      <c r="A22" s="33">
        <v>15</v>
      </c>
      <c r="B22" s="6" t="s">
        <v>59</v>
      </c>
      <c r="C22" s="30">
        <f t="shared" si="7"/>
        <v>221.2</v>
      </c>
      <c r="D22" s="30">
        <f t="shared" si="4"/>
        <v>220.1</v>
      </c>
      <c r="E22" s="30">
        <f t="shared" si="5"/>
        <v>-1.1</v>
      </c>
      <c r="F22" s="30">
        <f t="shared" si="1"/>
        <v>99.5</v>
      </c>
      <c r="G22" s="30">
        <v>221.2</v>
      </c>
      <c r="H22" s="30">
        <v>220.1</v>
      </c>
      <c r="I22" s="30">
        <v>133.1</v>
      </c>
      <c r="J22" s="30">
        <v>132.6</v>
      </c>
      <c r="K22" s="30">
        <v>0</v>
      </c>
      <c r="L22" s="30"/>
    </row>
    <row r="23" spans="1:12" s="20" customFormat="1" ht="15.75">
      <c r="A23" s="33">
        <v>16</v>
      </c>
      <c r="B23" s="6" t="s">
        <v>61</v>
      </c>
      <c r="C23" s="30">
        <f t="shared" si="7"/>
        <v>86</v>
      </c>
      <c r="D23" s="30">
        <f t="shared" si="4"/>
        <v>70.6</v>
      </c>
      <c r="E23" s="30">
        <f t="shared" si="5"/>
        <v>-15.4</v>
      </c>
      <c r="F23" s="30">
        <f t="shared" si="1"/>
        <v>82.1</v>
      </c>
      <c r="G23" s="30">
        <v>86</v>
      </c>
      <c r="H23" s="30">
        <v>70.6</v>
      </c>
      <c r="I23" s="30">
        <v>36.3</v>
      </c>
      <c r="J23" s="30">
        <v>35.3</v>
      </c>
      <c r="K23" s="30">
        <v>0</v>
      </c>
      <c r="L23" s="30"/>
    </row>
    <row r="24" spans="1:12" s="20" customFormat="1" ht="17.25" customHeight="1">
      <c r="A24" s="33">
        <v>17</v>
      </c>
      <c r="B24" s="6" t="s">
        <v>62</v>
      </c>
      <c r="C24" s="30">
        <f t="shared" si="7"/>
        <v>256.4</v>
      </c>
      <c r="D24" s="30">
        <f t="shared" si="4"/>
        <v>252.9</v>
      </c>
      <c r="E24" s="30">
        <f t="shared" si="5"/>
        <v>-3.5</v>
      </c>
      <c r="F24" s="30">
        <f t="shared" si="1"/>
        <v>98.6</v>
      </c>
      <c r="G24" s="30">
        <v>256.4</v>
      </c>
      <c r="H24" s="30">
        <v>252.9</v>
      </c>
      <c r="I24" s="30">
        <v>194.9</v>
      </c>
      <c r="J24" s="30">
        <v>193</v>
      </c>
      <c r="K24" s="30">
        <v>0</v>
      </c>
      <c r="L24" s="30"/>
    </row>
    <row r="25" spans="1:12" s="20" customFormat="1" ht="16.5" customHeight="1">
      <c r="A25" s="33">
        <v>18</v>
      </c>
      <c r="B25" s="6" t="s">
        <v>58</v>
      </c>
      <c r="C25" s="30">
        <f t="shared" si="7"/>
        <v>55.2</v>
      </c>
      <c r="D25" s="30">
        <f t="shared" si="4"/>
        <v>53.4</v>
      </c>
      <c r="E25" s="30">
        <f t="shared" si="5"/>
        <v>-1.8</v>
      </c>
      <c r="F25" s="30">
        <f t="shared" si="1"/>
        <v>96.7</v>
      </c>
      <c r="G25" s="30">
        <v>55.2</v>
      </c>
      <c r="H25" s="30">
        <v>53.4</v>
      </c>
      <c r="I25" s="30">
        <v>33.6</v>
      </c>
      <c r="J25" s="30">
        <v>32.5</v>
      </c>
      <c r="K25" s="30">
        <v>0</v>
      </c>
      <c r="L25" s="30"/>
    </row>
    <row r="26" spans="1:12" s="20" customFormat="1" ht="17.25" customHeight="1">
      <c r="A26" s="33">
        <v>19</v>
      </c>
      <c r="B26" s="6" t="s">
        <v>65</v>
      </c>
      <c r="C26" s="30">
        <f t="shared" si="7"/>
        <v>318.7</v>
      </c>
      <c r="D26" s="30">
        <f t="shared" si="4"/>
        <v>309.1</v>
      </c>
      <c r="E26" s="30">
        <f t="shared" si="5"/>
        <v>-9.6</v>
      </c>
      <c r="F26" s="30">
        <f t="shared" si="1"/>
        <v>97</v>
      </c>
      <c r="G26" s="30">
        <v>318.7</v>
      </c>
      <c r="H26" s="30">
        <v>309.1</v>
      </c>
      <c r="I26" s="30">
        <v>184.1</v>
      </c>
      <c r="J26" s="30">
        <v>181.5</v>
      </c>
      <c r="K26" s="30">
        <v>0</v>
      </c>
      <c r="L26" s="30"/>
    </row>
    <row r="27" spans="1:12" s="20" customFormat="1" ht="31.5" customHeight="1">
      <c r="A27" s="33">
        <v>20</v>
      </c>
      <c r="B27" s="6" t="s">
        <v>63</v>
      </c>
      <c r="C27" s="30">
        <f t="shared" si="7"/>
        <v>9.2</v>
      </c>
      <c r="D27" s="30">
        <f t="shared" si="4"/>
        <v>7.7</v>
      </c>
      <c r="E27" s="30">
        <f t="shared" si="5"/>
        <v>-1.5</v>
      </c>
      <c r="F27" s="30">
        <f t="shared" si="1"/>
        <v>83.7</v>
      </c>
      <c r="G27" s="30">
        <v>9.2</v>
      </c>
      <c r="H27" s="30">
        <v>7.7</v>
      </c>
      <c r="I27" s="30">
        <v>0</v>
      </c>
      <c r="J27" s="30"/>
      <c r="K27" s="30">
        <v>0</v>
      </c>
      <c r="L27" s="30"/>
    </row>
    <row r="28" spans="1:12" s="20" customFormat="1" ht="47.25">
      <c r="A28" s="33">
        <v>21</v>
      </c>
      <c r="B28" s="6" t="s">
        <v>262</v>
      </c>
      <c r="C28" s="30">
        <f t="shared" si="7"/>
        <v>115.7</v>
      </c>
      <c r="D28" s="30">
        <f t="shared" si="4"/>
        <v>95.3</v>
      </c>
      <c r="E28" s="30">
        <f t="shared" si="5"/>
        <v>-20.4</v>
      </c>
      <c r="F28" s="30">
        <f t="shared" si="1"/>
        <v>82.4</v>
      </c>
      <c r="G28" s="30">
        <v>115.7</v>
      </c>
      <c r="H28" s="30">
        <v>95.3</v>
      </c>
      <c r="I28" s="30">
        <v>51.9</v>
      </c>
      <c r="J28" s="30">
        <v>51.8</v>
      </c>
      <c r="K28" s="30">
        <v>0</v>
      </c>
      <c r="L28" s="30"/>
    </row>
    <row r="29" spans="1:12" s="20" customFormat="1" ht="17.25" customHeight="1">
      <c r="A29" s="33">
        <v>22</v>
      </c>
      <c r="B29" s="6" t="s">
        <v>266</v>
      </c>
      <c r="C29" s="30">
        <f t="shared" si="7"/>
        <v>560.1</v>
      </c>
      <c r="D29" s="30">
        <f t="shared" si="4"/>
        <v>558.3</v>
      </c>
      <c r="E29" s="30">
        <f t="shared" si="5"/>
        <v>-1.8</v>
      </c>
      <c r="F29" s="30">
        <f t="shared" si="1"/>
        <v>99.7</v>
      </c>
      <c r="G29" s="30">
        <v>560.1</v>
      </c>
      <c r="H29" s="30">
        <v>558.3</v>
      </c>
      <c r="I29" s="30">
        <v>396.8</v>
      </c>
      <c r="J29" s="30">
        <v>395</v>
      </c>
      <c r="K29" s="30">
        <v>0</v>
      </c>
      <c r="L29" s="30"/>
    </row>
    <row r="30" spans="1:12" s="20" customFormat="1" ht="17.25" customHeight="1">
      <c r="A30" s="33">
        <v>23</v>
      </c>
      <c r="B30" s="24" t="s">
        <v>60</v>
      </c>
      <c r="C30" s="30">
        <f t="shared" si="7"/>
        <v>41</v>
      </c>
      <c r="D30" s="30">
        <f t="shared" si="4"/>
        <v>40.6</v>
      </c>
      <c r="E30" s="30">
        <f t="shared" si="5"/>
        <v>-0.4</v>
      </c>
      <c r="F30" s="30">
        <f t="shared" si="1"/>
        <v>99</v>
      </c>
      <c r="G30" s="30">
        <v>41</v>
      </c>
      <c r="H30" s="30">
        <v>40.6</v>
      </c>
      <c r="I30" s="30">
        <v>31.1</v>
      </c>
      <c r="J30" s="30">
        <v>30.9</v>
      </c>
      <c r="K30" s="30">
        <v>0</v>
      </c>
      <c r="L30" s="30"/>
    </row>
    <row r="31" spans="1:12" s="20" customFormat="1" ht="47.25">
      <c r="A31" s="33">
        <v>24</v>
      </c>
      <c r="B31" s="6" t="s">
        <v>261</v>
      </c>
      <c r="C31" s="30">
        <f t="shared" si="7"/>
        <v>48.5</v>
      </c>
      <c r="D31" s="30">
        <f t="shared" si="4"/>
        <v>42.3</v>
      </c>
      <c r="E31" s="30">
        <f t="shared" si="5"/>
        <v>-6.2</v>
      </c>
      <c r="F31" s="30">
        <f t="shared" si="1"/>
        <v>87.2</v>
      </c>
      <c r="G31" s="30">
        <v>48.5</v>
      </c>
      <c r="H31" s="30">
        <v>42.3</v>
      </c>
      <c r="I31" s="30">
        <v>26.4</v>
      </c>
      <c r="J31" s="30">
        <v>26.3</v>
      </c>
      <c r="K31" s="30">
        <v>0</v>
      </c>
      <c r="L31" s="30"/>
    </row>
    <row r="32" spans="1:12" s="20" customFormat="1" ht="17.25" customHeight="1">
      <c r="A32" s="33">
        <v>25</v>
      </c>
      <c r="B32" s="6" t="s">
        <v>66</v>
      </c>
      <c r="C32" s="30">
        <f t="shared" si="7"/>
        <v>97.1</v>
      </c>
      <c r="D32" s="30">
        <f t="shared" si="4"/>
        <v>91.5</v>
      </c>
      <c r="E32" s="30">
        <f t="shared" si="5"/>
        <v>-5.6</v>
      </c>
      <c r="F32" s="30">
        <f t="shared" si="1"/>
        <v>94.2</v>
      </c>
      <c r="G32" s="30">
        <v>97.1</v>
      </c>
      <c r="H32" s="30">
        <v>91.5</v>
      </c>
      <c r="I32" s="30">
        <v>46</v>
      </c>
      <c r="J32" s="30">
        <v>45.7</v>
      </c>
      <c r="K32" s="30">
        <v>0</v>
      </c>
      <c r="L32" s="30"/>
    </row>
    <row r="33" spans="1:12" s="20" customFormat="1" ht="30" customHeight="1">
      <c r="A33" s="33">
        <v>26</v>
      </c>
      <c r="B33" s="6" t="s">
        <v>67</v>
      </c>
      <c r="C33" s="30">
        <f t="shared" si="7"/>
        <v>688.2</v>
      </c>
      <c r="D33" s="30">
        <f t="shared" si="4"/>
        <v>674.6</v>
      </c>
      <c r="E33" s="30">
        <f t="shared" si="5"/>
        <v>-13.6</v>
      </c>
      <c r="F33" s="30">
        <f t="shared" si="1"/>
        <v>98</v>
      </c>
      <c r="G33" s="30">
        <v>688.2</v>
      </c>
      <c r="H33" s="30">
        <v>674.6</v>
      </c>
      <c r="I33" s="30">
        <v>462.7</v>
      </c>
      <c r="J33" s="30">
        <v>450.1</v>
      </c>
      <c r="K33" s="30">
        <v>0</v>
      </c>
      <c r="L33" s="30"/>
    </row>
    <row r="34" spans="1:12" s="20" customFormat="1" ht="31.5">
      <c r="A34" s="33">
        <v>27</v>
      </c>
      <c r="B34" s="6" t="s">
        <v>68</v>
      </c>
      <c r="C34" s="30">
        <f t="shared" si="7"/>
        <v>140.9</v>
      </c>
      <c r="D34" s="30">
        <f t="shared" si="4"/>
        <v>140.6</v>
      </c>
      <c r="E34" s="30">
        <f t="shared" si="5"/>
        <v>-0.3</v>
      </c>
      <c r="F34" s="30">
        <f t="shared" si="1"/>
        <v>99.8</v>
      </c>
      <c r="G34" s="30">
        <v>140.9</v>
      </c>
      <c r="H34" s="30">
        <v>140.6</v>
      </c>
      <c r="I34" s="30">
        <v>101.5</v>
      </c>
      <c r="J34" s="30">
        <v>101.5</v>
      </c>
      <c r="K34" s="30">
        <v>0</v>
      </c>
      <c r="L34" s="30"/>
    </row>
    <row r="35" spans="1:12" s="20" customFormat="1" ht="35.25" customHeight="1">
      <c r="A35" s="33">
        <v>28</v>
      </c>
      <c r="B35" s="6" t="s">
        <v>270</v>
      </c>
      <c r="C35" s="29">
        <f t="shared" si="7"/>
        <v>233.3</v>
      </c>
      <c r="D35" s="29">
        <f t="shared" si="4"/>
        <v>233.3</v>
      </c>
      <c r="E35" s="29">
        <f t="shared" si="5"/>
        <v>0</v>
      </c>
      <c r="F35" s="29">
        <f t="shared" si="1"/>
        <v>100</v>
      </c>
      <c r="G35" s="29">
        <v>233.3</v>
      </c>
      <c r="H35" s="29">
        <v>233.3</v>
      </c>
      <c r="I35" s="29">
        <v>0</v>
      </c>
      <c r="J35" s="29"/>
      <c r="K35" s="29">
        <v>0</v>
      </c>
      <c r="L35" s="29"/>
    </row>
    <row r="36" spans="1:12" ht="47.25">
      <c r="A36" s="33">
        <v>29</v>
      </c>
      <c r="B36" s="24" t="s">
        <v>268</v>
      </c>
      <c r="C36" s="29">
        <f t="shared" si="7"/>
        <v>731.2</v>
      </c>
      <c r="D36" s="29">
        <f t="shared" si="4"/>
        <v>707.6</v>
      </c>
      <c r="E36" s="29">
        <f t="shared" si="5"/>
        <v>-23.6</v>
      </c>
      <c r="F36" s="29">
        <f t="shared" si="1"/>
        <v>96.8</v>
      </c>
      <c r="G36" s="29">
        <v>731.2</v>
      </c>
      <c r="H36" s="29">
        <v>707.6</v>
      </c>
      <c r="I36" s="29">
        <v>0</v>
      </c>
      <c r="J36" s="29"/>
      <c r="K36" s="29">
        <v>0</v>
      </c>
      <c r="L36" s="29"/>
    </row>
    <row r="37" spans="1:12" ht="33.75" customHeight="1">
      <c r="A37" s="33">
        <v>30</v>
      </c>
      <c r="B37" s="31" t="s">
        <v>256</v>
      </c>
      <c r="C37" s="29">
        <f t="shared" si="7"/>
        <v>110.2</v>
      </c>
      <c r="D37" s="29">
        <f t="shared" si="4"/>
        <v>46.6</v>
      </c>
      <c r="E37" s="29">
        <f t="shared" si="5"/>
        <v>-63.6</v>
      </c>
      <c r="F37" s="29">
        <f t="shared" si="1"/>
        <v>42.3</v>
      </c>
      <c r="G37" s="29">
        <v>94.2</v>
      </c>
      <c r="H37" s="29">
        <v>46.6</v>
      </c>
      <c r="I37" s="29">
        <v>1.1</v>
      </c>
      <c r="J37" s="29">
        <v>1</v>
      </c>
      <c r="K37" s="29">
        <v>16</v>
      </c>
      <c r="L37" s="29"/>
    </row>
    <row r="38" spans="1:12" ht="47.25">
      <c r="A38" s="33">
        <v>31</v>
      </c>
      <c r="B38" s="12" t="s">
        <v>293</v>
      </c>
      <c r="C38" s="29">
        <f t="shared" si="7"/>
        <v>20</v>
      </c>
      <c r="D38" s="29">
        <f t="shared" si="4"/>
        <v>20</v>
      </c>
      <c r="E38" s="30">
        <f t="shared" si="5"/>
        <v>0</v>
      </c>
      <c r="F38" s="29">
        <f t="shared" si="1"/>
        <v>100</v>
      </c>
      <c r="G38" s="29">
        <v>0</v>
      </c>
      <c r="H38" s="29"/>
      <c r="I38" s="29">
        <v>0</v>
      </c>
      <c r="J38" s="29"/>
      <c r="K38" s="29">
        <v>20</v>
      </c>
      <c r="L38" s="29">
        <v>20</v>
      </c>
    </row>
    <row r="39" spans="1:12" ht="20.25" customHeight="1">
      <c r="A39" s="33">
        <v>32</v>
      </c>
      <c r="B39" s="23" t="s">
        <v>97</v>
      </c>
      <c r="C39" s="29">
        <f aca="true" t="shared" si="8" ref="C39:L39">+C41+C42</f>
        <v>824.3</v>
      </c>
      <c r="D39" s="29">
        <f t="shared" si="4"/>
        <v>771</v>
      </c>
      <c r="E39" s="29">
        <f t="shared" si="5"/>
        <v>-53.3</v>
      </c>
      <c r="F39" s="29">
        <f t="shared" si="1"/>
        <v>93.5</v>
      </c>
      <c r="G39" s="29">
        <f t="shared" si="8"/>
        <v>0</v>
      </c>
      <c r="H39" s="29">
        <f t="shared" si="8"/>
        <v>0</v>
      </c>
      <c r="I39" s="29">
        <f t="shared" si="8"/>
        <v>0</v>
      </c>
      <c r="J39" s="29">
        <f t="shared" si="8"/>
        <v>0</v>
      </c>
      <c r="K39" s="29">
        <f t="shared" si="8"/>
        <v>824.3</v>
      </c>
      <c r="L39" s="29">
        <f t="shared" si="8"/>
        <v>771</v>
      </c>
    </row>
    <row r="40" spans="1:12" ht="18" customHeight="1">
      <c r="A40" s="33">
        <v>33</v>
      </c>
      <c r="B40" s="27" t="s">
        <v>14</v>
      </c>
      <c r="C40" s="30"/>
      <c r="D40" s="30">
        <f t="shared" si="4"/>
        <v>0</v>
      </c>
      <c r="E40" s="30">
        <f t="shared" si="5"/>
        <v>0</v>
      </c>
      <c r="F40" s="29"/>
      <c r="G40" s="30"/>
      <c r="H40" s="30"/>
      <c r="I40" s="30"/>
      <c r="J40" s="30"/>
      <c r="K40" s="30"/>
      <c r="L40" s="30"/>
    </row>
    <row r="41" spans="1:12" ht="32.25" customHeight="1">
      <c r="A41" s="33">
        <v>34</v>
      </c>
      <c r="B41" s="24" t="s">
        <v>123</v>
      </c>
      <c r="C41" s="30">
        <f>+G41+K41</f>
        <v>524.3</v>
      </c>
      <c r="D41" s="30">
        <f t="shared" si="4"/>
        <v>493</v>
      </c>
      <c r="E41" s="30">
        <f t="shared" si="5"/>
        <v>-31.3</v>
      </c>
      <c r="F41" s="30">
        <f t="shared" si="1"/>
        <v>94</v>
      </c>
      <c r="G41" s="30">
        <v>0</v>
      </c>
      <c r="H41" s="30"/>
      <c r="I41" s="30">
        <v>0</v>
      </c>
      <c r="J41" s="30"/>
      <c r="K41" s="30">
        <v>524.3</v>
      </c>
      <c r="L41" s="30">
        <v>493</v>
      </c>
    </row>
    <row r="42" spans="1:12" ht="63">
      <c r="A42" s="33">
        <v>35</v>
      </c>
      <c r="B42" s="24" t="s">
        <v>278</v>
      </c>
      <c r="C42" s="30">
        <f>+G42+K42</f>
        <v>300</v>
      </c>
      <c r="D42" s="30">
        <f t="shared" si="4"/>
        <v>278</v>
      </c>
      <c r="E42" s="30">
        <f t="shared" si="5"/>
        <v>-22</v>
      </c>
      <c r="F42" s="30">
        <f t="shared" si="1"/>
        <v>92.7</v>
      </c>
      <c r="G42" s="30">
        <v>0</v>
      </c>
      <c r="H42" s="30"/>
      <c r="I42" s="30">
        <v>0</v>
      </c>
      <c r="J42" s="30"/>
      <c r="K42" s="30">
        <v>300</v>
      </c>
      <c r="L42" s="30">
        <v>278</v>
      </c>
    </row>
    <row r="43" spans="1:12" ht="34.5" customHeight="1">
      <c r="A43" s="33">
        <v>36</v>
      </c>
      <c r="B43" s="12" t="s">
        <v>269</v>
      </c>
      <c r="C43" s="29">
        <f>+G43+K43</f>
        <v>359.8</v>
      </c>
      <c r="D43" s="29">
        <f t="shared" si="4"/>
        <v>302.6</v>
      </c>
      <c r="E43" s="29">
        <f t="shared" si="5"/>
        <v>-57.2</v>
      </c>
      <c r="F43" s="29">
        <f t="shared" si="1"/>
        <v>84.1</v>
      </c>
      <c r="G43" s="29">
        <v>359.8</v>
      </c>
      <c r="H43" s="29">
        <v>302.6</v>
      </c>
      <c r="I43" s="29">
        <v>0</v>
      </c>
      <c r="J43" s="29"/>
      <c r="K43" s="29">
        <v>0</v>
      </c>
      <c r="L43" s="29"/>
    </row>
    <row r="44" spans="1:12" s="11" customFormat="1" ht="35.25" customHeight="1">
      <c r="A44" s="33">
        <v>37</v>
      </c>
      <c r="B44" s="12" t="s">
        <v>103</v>
      </c>
      <c r="C44" s="29">
        <f>+G44+K44</f>
        <v>12081</v>
      </c>
      <c r="D44" s="29">
        <f t="shared" si="4"/>
        <v>12081</v>
      </c>
      <c r="E44" s="29">
        <f t="shared" si="5"/>
        <v>0</v>
      </c>
      <c r="F44" s="29">
        <f t="shared" si="1"/>
        <v>100</v>
      </c>
      <c r="G44" s="29">
        <v>12081</v>
      </c>
      <c r="H44" s="29">
        <v>12081</v>
      </c>
      <c r="I44" s="29">
        <v>0</v>
      </c>
      <c r="J44" s="29"/>
      <c r="K44" s="29">
        <v>0</v>
      </c>
      <c r="L44" s="29"/>
    </row>
    <row r="45" spans="1:12" ht="18.75" customHeight="1">
      <c r="A45" s="33">
        <v>38</v>
      </c>
      <c r="B45" s="31" t="s">
        <v>69</v>
      </c>
      <c r="C45" s="29">
        <f aca="true" t="shared" si="9" ref="C45:L45">+C46+C50+C54+C58+C61+C65+C69+C73+C77+C81</f>
        <v>17220.6</v>
      </c>
      <c r="D45" s="29">
        <f t="shared" si="9"/>
        <v>10512</v>
      </c>
      <c r="E45" s="29">
        <f t="shared" si="9"/>
        <v>-6708.6</v>
      </c>
      <c r="F45" s="29">
        <f t="shared" si="1"/>
        <v>61</v>
      </c>
      <c r="G45" s="29">
        <f t="shared" si="9"/>
        <v>1986.1</v>
      </c>
      <c r="H45" s="29">
        <f t="shared" si="9"/>
        <v>1769.2</v>
      </c>
      <c r="I45" s="29">
        <f t="shared" si="9"/>
        <v>6.6</v>
      </c>
      <c r="J45" s="29">
        <f t="shared" si="9"/>
        <v>6.1</v>
      </c>
      <c r="K45" s="29">
        <f t="shared" si="9"/>
        <v>15234.5</v>
      </c>
      <c r="L45" s="29">
        <f t="shared" si="9"/>
        <v>8742.8</v>
      </c>
    </row>
    <row r="46" spans="1:12" ht="31.5">
      <c r="A46" s="33">
        <v>39</v>
      </c>
      <c r="B46" s="23" t="s">
        <v>94</v>
      </c>
      <c r="C46" s="29">
        <f aca="true" t="shared" si="10" ref="C46:L46">+C48+C49</f>
        <v>1397.5</v>
      </c>
      <c r="D46" s="29">
        <f aca="true" t="shared" si="11" ref="D46:D85">+H46+L46</f>
        <v>936.4</v>
      </c>
      <c r="E46" s="29">
        <f aca="true" t="shared" si="12" ref="E46:E85">+D46-C46</f>
        <v>-461.1</v>
      </c>
      <c r="F46" s="29">
        <f t="shared" si="1"/>
        <v>67</v>
      </c>
      <c r="G46" s="29">
        <f t="shared" si="10"/>
        <v>341</v>
      </c>
      <c r="H46" s="29">
        <f t="shared" si="10"/>
        <v>340.1</v>
      </c>
      <c r="I46" s="29">
        <f t="shared" si="10"/>
        <v>0</v>
      </c>
      <c r="J46" s="29">
        <f t="shared" si="10"/>
        <v>0</v>
      </c>
      <c r="K46" s="29">
        <f t="shared" si="10"/>
        <v>1056.5</v>
      </c>
      <c r="L46" s="29">
        <f t="shared" si="10"/>
        <v>596.3</v>
      </c>
    </row>
    <row r="47" spans="1:12" ht="14.25" customHeight="1">
      <c r="A47" s="33">
        <v>40</v>
      </c>
      <c r="B47" s="27" t="s">
        <v>14</v>
      </c>
      <c r="C47" s="30"/>
      <c r="D47" s="30">
        <f t="shared" si="11"/>
        <v>0</v>
      </c>
      <c r="E47" s="30">
        <f t="shared" si="12"/>
        <v>0</v>
      </c>
      <c r="F47" s="29"/>
      <c r="G47" s="30"/>
      <c r="H47" s="30"/>
      <c r="I47" s="30"/>
      <c r="J47" s="30"/>
      <c r="K47" s="30"/>
      <c r="L47" s="30"/>
    </row>
    <row r="48" spans="1:12" ht="33.75" customHeight="1">
      <c r="A48" s="33">
        <v>41</v>
      </c>
      <c r="B48" s="24" t="s">
        <v>105</v>
      </c>
      <c r="C48" s="30">
        <f>+G48+K48</f>
        <v>341</v>
      </c>
      <c r="D48" s="30">
        <f t="shared" si="11"/>
        <v>340.1</v>
      </c>
      <c r="E48" s="30">
        <f t="shared" si="12"/>
        <v>-0.9</v>
      </c>
      <c r="F48" s="30">
        <f t="shared" si="1"/>
        <v>99.7</v>
      </c>
      <c r="G48" s="30">
        <v>341</v>
      </c>
      <c r="H48" s="30">
        <v>340.1</v>
      </c>
      <c r="I48" s="30">
        <v>0</v>
      </c>
      <c r="J48" s="30"/>
      <c r="K48" s="30">
        <v>0</v>
      </c>
      <c r="L48" s="30"/>
    </row>
    <row r="49" spans="1:12" ht="36" customHeight="1">
      <c r="A49" s="33">
        <v>42</v>
      </c>
      <c r="B49" s="24" t="s">
        <v>104</v>
      </c>
      <c r="C49" s="30">
        <f>+G49+K49</f>
        <v>1056.5</v>
      </c>
      <c r="D49" s="30">
        <f t="shared" si="11"/>
        <v>596.3</v>
      </c>
      <c r="E49" s="30">
        <f t="shared" si="12"/>
        <v>-460.2</v>
      </c>
      <c r="F49" s="30">
        <f t="shared" si="1"/>
        <v>56.4</v>
      </c>
      <c r="G49" s="30">
        <v>0</v>
      </c>
      <c r="H49" s="30"/>
      <c r="I49" s="30">
        <v>0</v>
      </c>
      <c r="J49" s="30"/>
      <c r="K49" s="30">
        <v>1056.5</v>
      </c>
      <c r="L49" s="30">
        <v>596.3</v>
      </c>
    </row>
    <row r="50" spans="1:12" s="11" customFormat="1" ht="63">
      <c r="A50" s="33">
        <v>43</v>
      </c>
      <c r="B50" s="12" t="s">
        <v>279</v>
      </c>
      <c r="C50" s="29">
        <f aca="true" t="shared" si="13" ref="C50:L50">SUM(C52:C53)</f>
        <v>988.7</v>
      </c>
      <c r="D50" s="29">
        <f t="shared" si="11"/>
        <v>921.8</v>
      </c>
      <c r="E50" s="29">
        <f t="shared" si="12"/>
        <v>-66.9</v>
      </c>
      <c r="F50" s="29">
        <f t="shared" si="1"/>
        <v>93.2</v>
      </c>
      <c r="G50" s="29">
        <f t="shared" si="13"/>
        <v>988.7</v>
      </c>
      <c r="H50" s="29">
        <f t="shared" si="13"/>
        <v>921.8</v>
      </c>
      <c r="I50" s="29">
        <f t="shared" si="13"/>
        <v>0</v>
      </c>
      <c r="J50" s="29">
        <f t="shared" si="13"/>
        <v>0</v>
      </c>
      <c r="K50" s="29">
        <f t="shared" si="13"/>
        <v>0</v>
      </c>
      <c r="L50" s="29">
        <f t="shared" si="13"/>
        <v>0</v>
      </c>
    </row>
    <row r="51" spans="1:12" s="11" customFormat="1" ht="17.25" customHeight="1">
      <c r="A51" s="33">
        <v>44</v>
      </c>
      <c r="B51" s="89" t="s">
        <v>14</v>
      </c>
      <c r="C51" s="29"/>
      <c r="D51" s="30">
        <f t="shared" si="11"/>
        <v>0</v>
      </c>
      <c r="E51" s="30">
        <f t="shared" si="12"/>
        <v>0</v>
      </c>
      <c r="F51" s="29"/>
      <c r="G51" s="29"/>
      <c r="H51" s="29"/>
      <c r="I51" s="29"/>
      <c r="J51" s="29"/>
      <c r="K51" s="29"/>
      <c r="L51" s="29"/>
    </row>
    <row r="52" spans="1:12" ht="47.25">
      <c r="A52" s="33">
        <v>45</v>
      </c>
      <c r="B52" s="6" t="s">
        <v>260</v>
      </c>
      <c r="C52" s="30">
        <f>+G52+K52</f>
        <v>973.2</v>
      </c>
      <c r="D52" s="30">
        <f t="shared" si="11"/>
        <v>906.3</v>
      </c>
      <c r="E52" s="30">
        <f t="shared" si="12"/>
        <v>-66.9</v>
      </c>
      <c r="F52" s="30">
        <f t="shared" si="1"/>
        <v>93.1</v>
      </c>
      <c r="G52" s="30">
        <v>973.2</v>
      </c>
      <c r="H52" s="30">
        <v>906.3</v>
      </c>
      <c r="I52" s="30">
        <v>0</v>
      </c>
      <c r="J52" s="30"/>
      <c r="K52" s="30">
        <v>0</v>
      </c>
      <c r="L52" s="30"/>
    </row>
    <row r="53" spans="1:12" ht="18" customHeight="1">
      <c r="A53" s="33">
        <v>46</v>
      </c>
      <c r="B53" s="6" t="s">
        <v>72</v>
      </c>
      <c r="C53" s="30">
        <f>+G53+K53</f>
        <v>15.5</v>
      </c>
      <c r="D53" s="30">
        <f t="shared" si="11"/>
        <v>15.5</v>
      </c>
      <c r="E53" s="30">
        <f t="shared" si="12"/>
        <v>0</v>
      </c>
      <c r="F53" s="30">
        <f t="shared" si="1"/>
        <v>100</v>
      </c>
      <c r="G53" s="30">
        <v>15.5</v>
      </c>
      <c r="H53" s="30">
        <v>15.5</v>
      </c>
      <c r="I53" s="30">
        <v>0</v>
      </c>
      <c r="J53" s="30"/>
      <c r="K53" s="30">
        <v>0</v>
      </c>
      <c r="L53" s="30"/>
    </row>
    <row r="54" spans="1:12" ht="31.5">
      <c r="A54" s="33">
        <v>47</v>
      </c>
      <c r="B54" s="12" t="s">
        <v>281</v>
      </c>
      <c r="C54" s="29">
        <f aca="true" t="shared" si="14" ref="C54:L54">+C56+C57</f>
        <v>2431.6</v>
      </c>
      <c r="D54" s="29">
        <f t="shared" si="11"/>
        <v>603.6</v>
      </c>
      <c r="E54" s="29">
        <f t="shared" si="12"/>
        <v>-1828</v>
      </c>
      <c r="F54" s="29">
        <f t="shared" si="1"/>
        <v>24.8</v>
      </c>
      <c r="G54" s="29">
        <f t="shared" si="14"/>
        <v>151.9</v>
      </c>
      <c r="H54" s="29">
        <f t="shared" si="14"/>
        <v>140.6</v>
      </c>
      <c r="I54" s="29">
        <f t="shared" si="14"/>
        <v>1</v>
      </c>
      <c r="J54" s="29">
        <f t="shared" si="14"/>
        <v>0.5</v>
      </c>
      <c r="K54" s="29">
        <f t="shared" si="14"/>
        <v>2279.7</v>
      </c>
      <c r="L54" s="29">
        <f t="shared" si="14"/>
        <v>463</v>
      </c>
    </row>
    <row r="55" spans="1:12" ht="15.75">
      <c r="A55" s="33">
        <v>48</v>
      </c>
      <c r="B55" s="27" t="s">
        <v>14</v>
      </c>
      <c r="C55" s="30"/>
      <c r="D55" s="30">
        <f t="shared" si="11"/>
        <v>0</v>
      </c>
      <c r="E55" s="30">
        <f t="shared" si="12"/>
        <v>0</v>
      </c>
      <c r="F55" s="29"/>
      <c r="G55" s="30"/>
      <c r="H55" s="30"/>
      <c r="I55" s="30"/>
      <c r="J55" s="30"/>
      <c r="K55" s="30"/>
      <c r="L55" s="30"/>
    </row>
    <row r="56" spans="1:12" ht="36" customHeight="1">
      <c r="A56" s="33">
        <v>49</v>
      </c>
      <c r="B56" s="6" t="s">
        <v>280</v>
      </c>
      <c r="C56" s="30">
        <f>+G56+K56</f>
        <v>151.9</v>
      </c>
      <c r="D56" s="30">
        <f t="shared" si="11"/>
        <v>140.6</v>
      </c>
      <c r="E56" s="30">
        <f t="shared" si="12"/>
        <v>-11.3</v>
      </c>
      <c r="F56" s="30">
        <f t="shared" si="1"/>
        <v>92.6</v>
      </c>
      <c r="G56" s="30">
        <v>151.9</v>
      </c>
      <c r="H56" s="30">
        <v>140.6</v>
      </c>
      <c r="I56" s="30">
        <v>1</v>
      </c>
      <c r="J56" s="30">
        <v>0.5</v>
      </c>
      <c r="K56" s="30">
        <v>0</v>
      </c>
      <c r="L56" s="30"/>
    </row>
    <row r="57" spans="1:12" ht="31.5">
      <c r="A57" s="33">
        <v>50</v>
      </c>
      <c r="B57" s="6" t="s">
        <v>282</v>
      </c>
      <c r="C57" s="30">
        <f>+G57+K57</f>
        <v>2279.7</v>
      </c>
      <c r="D57" s="30">
        <f t="shared" si="11"/>
        <v>463</v>
      </c>
      <c r="E57" s="30">
        <f t="shared" si="12"/>
        <v>-1816.7</v>
      </c>
      <c r="F57" s="30">
        <f t="shared" si="1"/>
        <v>20.3</v>
      </c>
      <c r="G57" s="30">
        <v>0</v>
      </c>
      <c r="H57" s="30"/>
      <c r="I57" s="30">
        <v>0</v>
      </c>
      <c r="J57" s="30"/>
      <c r="K57" s="30">
        <v>2279.7</v>
      </c>
      <c r="L57" s="30">
        <v>463</v>
      </c>
    </row>
    <row r="58" spans="1:12" s="11" customFormat="1" ht="18.75" customHeight="1">
      <c r="A58" s="33">
        <v>51</v>
      </c>
      <c r="B58" s="23" t="s">
        <v>70</v>
      </c>
      <c r="C58" s="29">
        <f>+C60</f>
        <v>657.8</v>
      </c>
      <c r="D58" s="29">
        <f t="shared" si="11"/>
        <v>72.7</v>
      </c>
      <c r="E58" s="29">
        <f t="shared" si="12"/>
        <v>-585.1</v>
      </c>
      <c r="F58" s="29">
        <f t="shared" si="1"/>
        <v>11.1</v>
      </c>
      <c r="G58" s="29">
        <f aca="true" t="shared" si="15" ref="G58:L58">+G60</f>
        <v>131.4</v>
      </c>
      <c r="H58" s="29">
        <f t="shared" si="15"/>
        <v>0</v>
      </c>
      <c r="I58" s="29">
        <f t="shared" si="15"/>
        <v>0</v>
      </c>
      <c r="J58" s="29">
        <f t="shared" si="15"/>
        <v>0</v>
      </c>
      <c r="K58" s="29">
        <f t="shared" si="15"/>
        <v>526.4</v>
      </c>
      <c r="L58" s="29">
        <f t="shared" si="15"/>
        <v>72.7</v>
      </c>
    </row>
    <row r="59" spans="1:12" s="11" customFormat="1" ht="15" customHeight="1">
      <c r="A59" s="33">
        <v>52</v>
      </c>
      <c r="B59" s="27" t="s">
        <v>14</v>
      </c>
      <c r="C59" s="29"/>
      <c r="D59" s="30">
        <f t="shared" si="11"/>
        <v>0</v>
      </c>
      <c r="E59" s="30">
        <f t="shared" si="12"/>
        <v>0</v>
      </c>
      <c r="F59" s="29"/>
      <c r="G59" s="29"/>
      <c r="H59" s="29"/>
      <c r="I59" s="29"/>
      <c r="J59" s="29"/>
      <c r="K59" s="29"/>
      <c r="L59" s="29"/>
    </row>
    <row r="60" spans="1:12" s="11" customFormat="1" ht="31.5">
      <c r="A60" s="33">
        <v>53</v>
      </c>
      <c r="B60" s="6" t="s">
        <v>71</v>
      </c>
      <c r="C60" s="30">
        <f>+G60+K60</f>
        <v>657.8</v>
      </c>
      <c r="D60" s="30">
        <f t="shared" si="11"/>
        <v>72.7</v>
      </c>
      <c r="E60" s="30">
        <f t="shared" si="12"/>
        <v>-585.1</v>
      </c>
      <c r="F60" s="30">
        <f t="shared" si="1"/>
        <v>11.1</v>
      </c>
      <c r="G60" s="30">
        <v>131.4</v>
      </c>
      <c r="H60" s="30"/>
      <c r="I60" s="30">
        <v>0</v>
      </c>
      <c r="J60" s="30"/>
      <c r="K60" s="30">
        <v>526.4</v>
      </c>
      <c r="L60" s="30">
        <v>72.7</v>
      </c>
    </row>
    <row r="61" spans="1:12" s="11" customFormat="1" ht="31.5">
      <c r="A61" s="33">
        <v>54</v>
      </c>
      <c r="B61" s="12" t="s">
        <v>96</v>
      </c>
      <c r="C61" s="29">
        <f aca="true" t="shared" si="16" ref="C61:L61">+C63+C64</f>
        <v>1143</v>
      </c>
      <c r="D61" s="29">
        <f t="shared" si="11"/>
        <v>694.2</v>
      </c>
      <c r="E61" s="29">
        <f t="shared" si="12"/>
        <v>-448.8</v>
      </c>
      <c r="F61" s="29">
        <f t="shared" si="1"/>
        <v>60.7</v>
      </c>
      <c r="G61" s="29">
        <f t="shared" si="16"/>
        <v>7.3</v>
      </c>
      <c r="H61" s="29">
        <f t="shared" si="16"/>
        <v>6.6</v>
      </c>
      <c r="I61" s="29">
        <f t="shared" si="16"/>
        <v>0</v>
      </c>
      <c r="J61" s="29">
        <f t="shared" si="16"/>
        <v>0</v>
      </c>
      <c r="K61" s="29">
        <f t="shared" si="16"/>
        <v>1135.7</v>
      </c>
      <c r="L61" s="29">
        <f t="shared" si="16"/>
        <v>687.6</v>
      </c>
    </row>
    <row r="62" spans="1:12" s="11" customFormat="1" ht="15" customHeight="1">
      <c r="A62" s="33">
        <v>55</v>
      </c>
      <c r="B62" s="27" t="s">
        <v>14</v>
      </c>
      <c r="C62" s="29"/>
      <c r="D62" s="30">
        <f t="shared" si="11"/>
        <v>0</v>
      </c>
      <c r="E62" s="30">
        <f t="shared" si="12"/>
        <v>0</v>
      </c>
      <c r="F62" s="29"/>
      <c r="G62" s="29"/>
      <c r="H62" s="29"/>
      <c r="I62" s="29"/>
      <c r="J62" s="29"/>
      <c r="K62" s="29"/>
      <c r="L62" s="29"/>
    </row>
    <row r="63" spans="1:12" s="11" customFormat="1" ht="33.75" customHeight="1">
      <c r="A63" s="33">
        <v>56</v>
      </c>
      <c r="B63" s="24" t="s">
        <v>108</v>
      </c>
      <c r="C63" s="30">
        <f>+G63+K63</f>
        <v>49.6</v>
      </c>
      <c r="D63" s="30">
        <f t="shared" si="11"/>
        <v>13.8</v>
      </c>
      <c r="E63" s="30">
        <f t="shared" si="12"/>
        <v>-35.8</v>
      </c>
      <c r="F63" s="30">
        <f t="shared" si="1"/>
        <v>27.8</v>
      </c>
      <c r="G63" s="30">
        <v>7.3</v>
      </c>
      <c r="H63" s="30">
        <v>6.6</v>
      </c>
      <c r="I63" s="30">
        <v>0</v>
      </c>
      <c r="J63" s="30"/>
      <c r="K63" s="30">
        <v>42.3</v>
      </c>
      <c r="L63" s="30">
        <v>7.2</v>
      </c>
    </row>
    <row r="64" spans="1:12" s="11" customFormat="1" ht="33" customHeight="1">
      <c r="A64" s="33">
        <v>57</v>
      </c>
      <c r="B64" s="24" t="s">
        <v>109</v>
      </c>
      <c r="C64" s="30">
        <f>+G64+K64</f>
        <v>1093.4</v>
      </c>
      <c r="D64" s="30">
        <f t="shared" si="11"/>
        <v>680.4</v>
      </c>
      <c r="E64" s="30">
        <f t="shared" si="12"/>
        <v>-413</v>
      </c>
      <c r="F64" s="30">
        <f t="shared" si="1"/>
        <v>62.2</v>
      </c>
      <c r="G64" s="30">
        <v>0</v>
      </c>
      <c r="H64" s="30"/>
      <c r="I64" s="30">
        <v>0</v>
      </c>
      <c r="J64" s="30"/>
      <c r="K64" s="30">
        <v>1093.4</v>
      </c>
      <c r="L64" s="30">
        <f>42.5+124.4+513.5</f>
        <v>680.4</v>
      </c>
    </row>
    <row r="65" spans="1:12" s="11" customFormat="1" ht="33" customHeight="1">
      <c r="A65" s="33">
        <v>58</v>
      </c>
      <c r="B65" s="12" t="s">
        <v>283</v>
      </c>
      <c r="C65" s="29">
        <f aca="true" t="shared" si="17" ref="C65:L65">+C67+C68</f>
        <v>2117.1</v>
      </c>
      <c r="D65" s="29">
        <f t="shared" si="11"/>
        <v>72.2</v>
      </c>
      <c r="E65" s="29">
        <f t="shared" si="12"/>
        <v>-2044.9</v>
      </c>
      <c r="F65" s="29">
        <f t="shared" si="1"/>
        <v>3.4</v>
      </c>
      <c r="G65" s="29">
        <f t="shared" si="17"/>
        <v>15.6</v>
      </c>
      <c r="H65" s="29">
        <f t="shared" si="17"/>
        <v>6</v>
      </c>
      <c r="I65" s="29">
        <f t="shared" si="17"/>
        <v>0</v>
      </c>
      <c r="J65" s="29">
        <f t="shared" si="17"/>
        <v>0</v>
      </c>
      <c r="K65" s="29">
        <f t="shared" si="17"/>
        <v>2101.5</v>
      </c>
      <c r="L65" s="29">
        <f t="shared" si="17"/>
        <v>66.2</v>
      </c>
    </row>
    <row r="66" spans="1:12" s="11" customFormat="1" ht="15" customHeight="1">
      <c r="A66" s="33">
        <v>59</v>
      </c>
      <c r="B66" s="27" t="s">
        <v>14</v>
      </c>
      <c r="C66" s="29"/>
      <c r="D66" s="30">
        <f t="shared" si="11"/>
        <v>0</v>
      </c>
      <c r="E66" s="30">
        <f t="shared" si="12"/>
        <v>0</v>
      </c>
      <c r="F66" s="29"/>
      <c r="G66" s="29"/>
      <c r="H66" s="29"/>
      <c r="I66" s="29"/>
      <c r="J66" s="29"/>
      <c r="K66" s="29"/>
      <c r="L66" s="29"/>
    </row>
    <row r="67" spans="1:12" s="11" customFormat="1" ht="47.25">
      <c r="A67" s="33">
        <v>60</v>
      </c>
      <c r="B67" s="6" t="s">
        <v>112</v>
      </c>
      <c r="C67" s="30">
        <f>+G67+K67</f>
        <v>15.6</v>
      </c>
      <c r="D67" s="30">
        <f t="shared" si="11"/>
        <v>6</v>
      </c>
      <c r="E67" s="30">
        <f t="shared" si="12"/>
        <v>-9.6</v>
      </c>
      <c r="F67" s="30">
        <f t="shared" si="1"/>
        <v>38.5</v>
      </c>
      <c r="G67" s="30">
        <v>15.6</v>
      </c>
      <c r="H67" s="30">
        <v>6</v>
      </c>
      <c r="I67" s="30">
        <v>0</v>
      </c>
      <c r="J67" s="30"/>
      <c r="K67" s="30">
        <v>0</v>
      </c>
      <c r="L67" s="30"/>
    </row>
    <row r="68" spans="1:12" s="11" customFormat="1" ht="33" customHeight="1">
      <c r="A68" s="33">
        <v>61</v>
      </c>
      <c r="B68" s="6" t="s">
        <v>284</v>
      </c>
      <c r="C68" s="30">
        <f>+G68+K68</f>
        <v>2101.5</v>
      </c>
      <c r="D68" s="30">
        <f t="shared" si="11"/>
        <v>66.2</v>
      </c>
      <c r="E68" s="30">
        <f t="shared" si="12"/>
        <v>-2035.3</v>
      </c>
      <c r="F68" s="30">
        <f t="shared" si="1"/>
        <v>3.2</v>
      </c>
      <c r="G68" s="30">
        <v>0</v>
      </c>
      <c r="H68" s="30"/>
      <c r="I68" s="30">
        <v>0</v>
      </c>
      <c r="J68" s="30"/>
      <c r="K68" s="30">
        <v>2101.5</v>
      </c>
      <c r="L68" s="30">
        <f>2.7+63.5</f>
        <v>66.2</v>
      </c>
    </row>
    <row r="69" spans="1:12" ht="19.5" customHeight="1">
      <c r="A69" s="33">
        <v>62</v>
      </c>
      <c r="B69" s="12" t="s">
        <v>95</v>
      </c>
      <c r="C69" s="29">
        <f aca="true" t="shared" si="18" ref="C69:L69">+C71+C72</f>
        <v>3780.8</v>
      </c>
      <c r="D69" s="29">
        <f t="shared" si="11"/>
        <v>3587.7</v>
      </c>
      <c r="E69" s="29">
        <f t="shared" si="12"/>
        <v>-193.1</v>
      </c>
      <c r="F69" s="29">
        <f t="shared" si="1"/>
        <v>94.9</v>
      </c>
      <c r="G69" s="29">
        <f t="shared" si="18"/>
        <v>327.1</v>
      </c>
      <c r="H69" s="29">
        <f t="shared" si="18"/>
        <v>325.9</v>
      </c>
      <c r="I69" s="29">
        <f t="shared" si="18"/>
        <v>0</v>
      </c>
      <c r="J69" s="29">
        <f t="shared" si="18"/>
        <v>0</v>
      </c>
      <c r="K69" s="29">
        <f t="shared" si="18"/>
        <v>3453.7</v>
      </c>
      <c r="L69" s="29">
        <f t="shared" si="18"/>
        <v>3261.8</v>
      </c>
    </row>
    <row r="70" spans="1:12" ht="15.75" customHeight="1">
      <c r="A70" s="33">
        <v>63</v>
      </c>
      <c r="B70" s="27" t="s">
        <v>14</v>
      </c>
      <c r="C70" s="30"/>
      <c r="D70" s="30">
        <f t="shared" si="11"/>
        <v>0</v>
      </c>
      <c r="E70" s="30">
        <f t="shared" si="12"/>
        <v>0</v>
      </c>
      <c r="F70" s="29"/>
      <c r="G70" s="30"/>
      <c r="H70" s="30"/>
      <c r="I70" s="30"/>
      <c r="J70" s="30"/>
      <c r="K70" s="30"/>
      <c r="L70" s="30"/>
    </row>
    <row r="71" spans="1:12" ht="32.25" customHeight="1">
      <c r="A71" s="33">
        <v>64</v>
      </c>
      <c r="B71" s="24" t="s">
        <v>106</v>
      </c>
      <c r="C71" s="30">
        <f>+G71+K71</f>
        <v>1718.8</v>
      </c>
      <c r="D71" s="30">
        <f t="shared" si="11"/>
        <v>1717.5</v>
      </c>
      <c r="E71" s="30">
        <f t="shared" si="12"/>
        <v>-1.3</v>
      </c>
      <c r="F71" s="30">
        <f t="shared" si="1"/>
        <v>99.9</v>
      </c>
      <c r="G71" s="30">
        <v>327.1</v>
      </c>
      <c r="H71" s="30">
        <v>325.9</v>
      </c>
      <c r="I71" s="30">
        <v>0</v>
      </c>
      <c r="J71" s="30"/>
      <c r="K71" s="30">
        <v>1391.7</v>
      </c>
      <c r="L71" s="30">
        <v>1391.6</v>
      </c>
    </row>
    <row r="72" spans="1:12" ht="35.25" customHeight="1">
      <c r="A72" s="33">
        <v>65</v>
      </c>
      <c r="B72" s="24" t="s">
        <v>107</v>
      </c>
      <c r="C72" s="30">
        <f>+G72+K72</f>
        <v>2062</v>
      </c>
      <c r="D72" s="30">
        <f t="shared" si="11"/>
        <v>1870.2</v>
      </c>
      <c r="E72" s="30">
        <f t="shared" si="12"/>
        <v>-191.8</v>
      </c>
      <c r="F72" s="30">
        <f aca="true" t="shared" si="19" ref="F72:F138">+D72/C72*100</f>
        <v>90.7</v>
      </c>
      <c r="G72" s="30">
        <v>0</v>
      </c>
      <c r="H72" s="30"/>
      <c r="I72" s="30">
        <v>0</v>
      </c>
      <c r="J72" s="30"/>
      <c r="K72" s="30">
        <v>2062</v>
      </c>
      <c r="L72" s="30">
        <f>129.7+563.2+455.3+217+90.3+13.5+248.9+152.3</f>
        <v>1870.2</v>
      </c>
    </row>
    <row r="73" spans="1:12" s="11" customFormat="1" ht="18.75" customHeight="1">
      <c r="A73" s="33">
        <v>66</v>
      </c>
      <c r="B73" s="23" t="s">
        <v>144</v>
      </c>
      <c r="C73" s="29">
        <f aca="true" t="shared" si="20" ref="C73:L73">+C75+C76</f>
        <v>2008</v>
      </c>
      <c r="D73" s="29">
        <f t="shared" si="11"/>
        <v>2014.4</v>
      </c>
      <c r="E73" s="29">
        <f t="shared" si="12"/>
        <v>6.4</v>
      </c>
      <c r="F73" s="29">
        <f t="shared" si="19"/>
        <v>100.3</v>
      </c>
      <c r="G73" s="29">
        <f t="shared" si="20"/>
        <v>0</v>
      </c>
      <c r="H73" s="29">
        <f t="shared" si="20"/>
        <v>0</v>
      </c>
      <c r="I73" s="29">
        <f t="shared" si="20"/>
        <v>0</v>
      </c>
      <c r="J73" s="29">
        <f t="shared" si="20"/>
        <v>0</v>
      </c>
      <c r="K73" s="29">
        <f t="shared" si="20"/>
        <v>2008</v>
      </c>
      <c r="L73" s="29">
        <f t="shared" si="20"/>
        <v>2014.4</v>
      </c>
    </row>
    <row r="74" spans="1:12" ht="18" customHeight="1">
      <c r="A74" s="33">
        <v>67</v>
      </c>
      <c r="B74" s="27" t="s">
        <v>14</v>
      </c>
      <c r="C74" s="30"/>
      <c r="D74" s="30">
        <f t="shared" si="11"/>
        <v>0</v>
      </c>
      <c r="E74" s="30">
        <f t="shared" si="12"/>
        <v>0</v>
      </c>
      <c r="F74" s="29"/>
      <c r="G74" s="30"/>
      <c r="H74" s="30"/>
      <c r="I74" s="30"/>
      <c r="J74" s="30"/>
      <c r="K74" s="30"/>
      <c r="L74" s="30"/>
    </row>
    <row r="75" spans="1:12" s="11" customFormat="1" ht="31.5">
      <c r="A75" s="33">
        <v>68</v>
      </c>
      <c r="B75" s="24" t="s">
        <v>321</v>
      </c>
      <c r="C75" s="30">
        <f>+G75+K75</f>
        <v>991.7</v>
      </c>
      <c r="D75" s="30">
        <f t="shared" si="11"/>
        <v>991.7</v>
      </c>
      <c r="E75" s="30">
        <f t="shared" si="12"/>
        <v>0</v>
      </c>
      <c r="F75" s="30">
        <f t="shared" si="19"/>
        <v>100</v>
      </c>
      <c r="G75" s="30">
        <v>0</v>
      </c>
      <c r="H75" s="30"/>
      <c r="I75" s="30">
        <v>0</v>
      </c>
      <c r="J75" s="30"/>
      <c r="K75" s="30">
        <v>991.7</v>
      </c>
      <c r="L75" s="30">
        <f>915.7+6+70</f>
        <v>991.7</v>
      </c>
    </row>
    <row r="76" spans="1:12" s="11" customFormat="1" ht="32.25" customHeight="1">
      <c r="A76" s="33">
        <v>69</v>
      </c>
      <c r="B76" s="24" t="s">
        <v>322</v>
      </c>
      <c r="C76" s="30">
        <f>+G76+K76</f>
        <v>1016.3</v>
      </c>
      <c r="D76" s="30">
        <f t="shared" si="11"/>
        <v>1022.7</v>
      </c>
      <c r="E76" s="30">
        <f t="shared" si="12"/>
        <v>6.4</v>
      </c>
      <c r="F76" s="30">
        <f t="shared" si="19"/>
        <v>100.6</v>
      </c>
      <c r="G76" s="30">
        <v>0</v>
      </c>
      <c r="H76" s="30"/>
      <c r="I76" s="30">
        <v>0</v>
      </c>
      <c r="J76" s="30"/>
      <c r="K76" s="30">
        <v>1016.3</v>
      </c>
      <c r="L76" s="30">
        <f>1000+6.4+16.3</f>
        <v>1022.7</v>
      </c>
    </row>
    <row r="77" spans="1:12" s="11" customFormat="1" ht="18" customHeight="1">
      <c r="A77" s="33">
        <v>70</v>
      </c>
      <c r="B77" s="23" t="s">
        <v>97</v>
      </c>
      <c r="C77" s="29">
        <f aca="true" t="shared" si="21" ref="C77:L77">+C80+C79</f>
        <v>1427.4</v>
      </c>
      <c r="D77" s="29">
        <f t="shared" si="11"/>
        <v>359.2</v>
      </c>
      <c r="E77" s="29">
        <f t="shared" si="12"/>
        <v>-1068.2</v>
      </c>
      <c r="F77" s="29">
        <f t="shared" si="19"/>
        <v>25.2</v>
      </c>
      <c r="G77" s="29">
        <f t="shared" si="21"/>
        <v>23.1</v>
      </c>
      <c r="H77" s="29">
        <f t="shared" si="21"/>
        <v>28.2</v>
      </c>
      <c r="I77" s="29">
        <f t="shared" si="21"/>
        <v>5.6</v>
      </c>
      <c r="J77" s="29">
        <f t="shared" si="21"/>
        <v>5.6</v>
      </c>
      <c r="K77" s="29">
        <f t="shared" si="21"/>
        <v>1404.3</v>
      </c>
      <c r="L77" s="29">
        <f t="shared" si="21"/>
        <v>331</v>
      </c>
    </row>
    <row r="78" spans="1:12" s="11" customFormat="1" ht="15.75" customHeight="1">
      <c r="A78" s="33">
        <v>71</v>
      </c>
      <c r="B78" s="27" t="s">
        <v>14</v>
      </c>
      <c r="C78" s="29"/>
      <c r="D78" s="30">
        <f t="shared" si="11"/>
        <v>0</v>
      </c>
      <c r="E78" s="30">
        <f t="shared" si="12"/>
        <v>0</v>
      </c>
      <c r="F78" s="29"/>
      <c r="G78" s="29"/>
      <c r="H78" s="29"/>
      <c r="I78" s="29"/>
      <c r="J78" s="29"/>
      <c r="K78" s="29"/>
      <c r="L78" s="29"/>
    </row>
    <row r="79" spans="1:12" s="11" customFormat="1" ht="32.25" customHeight="1">
      <c r="A79" s="33">
        <v>72</v>
      </c>
      <c r="B79" s="24" t="s">
        <v>123</v>
      </c>
      <c r="C79" s="30">
        <f>+G79+K79</f>
        <v>23.1</v>
      </c>
      <c r="D79" s="30">
        <f t="shared" si="11"/>
        <v>28.2</v>
      </c>
      <c r="E79" s="30">
        <f t="shared" si="12"/>
        <v>5.1</v>
      </c>
      <c r="F79" s="30">
        <f t="shared" si="19"/>
        <v>122.1</v>
      </c>
      <c r="G79" s="30">
        <v>23.1</v>
      </c>
      <c r="H79" s="30">
        <v>28.2</v>
      </c>
      <c r="I79" s="30">
        <v>5.6</v>
      </c>
      <c r="J79" s="30">
        <v>5.6</v>
      </c>
      <c r="K79" s="30">
        <v>0</v>
      </c>
      <c r="L79" s="30"/>
    </row>
    <row r="80" spans="1:12" s="11" customFormat="1" ht="31.5">
      <c r="A80" s="33">
        <v>73</v>
      </c>
      <c r="B80" s="24" t="s">
        <v>290</v>
      </c>
      <c r="C80" s="30">
        <f>+G80+K80</f>
        <v>1404.3</v>
      </c>
      <c r="D80" s="30">
        <f t="shared" si="11"/>
        <v>331</v>
      </c>
      <c r="E80" s="30">
        <f t="shared" si="12"/>
        <v>-1073.3</v>
      </c>
      <c r="F80" s="30">
        <f t="shared" si="19"/>
        <v>23.6</v>
      </c>
      <c r="G80" s="30">
        <v>0</v>
      </c>
      <c r="H80" s="30"/>
      <c r="I80" s="30">
        <v>0</v>
      </c>
      <c r="J80" s="30"/>
      <c r="K80" s="30">
        <v>1404.3</v>
      </c>
      <c r="L80" s="30">
        <v>331</v>
      </c>
    </row>
    <row r="81" spans="1:12" s="11" customFormat="1" ht="47.25">
      <c r="A81" s="33">
        <v>74</v>
      </c>
      <c r="B81" s="12" t="s">
        <v>77</v>
      </c>
      <c r="C81" s="29">
        <f aca="true" t="shared" si="22" ref="C81:L81">+C83+C85+C84</f>
        <v>1268.7</v>
      </c>
      <c r="D81" s="29">
        <f t="shared" si="11"/>
        <v>1249.8</v>
      </c>
      <c r="E81" s="29">
        <f t="shared" si="12"/>
        <v>-18.9</v>
      </c>
      <c r="F81" s="29">
        <f t="shared" si="19"/>
        <v>98.5</v>
      </c>
      <c r="G81" s="29">
        <f t="shared" si="22"/>
        <v>0</v>
      </c>
      <c r="H81" s="29">
        <f t="shared" si="22"/>
        <v>0</v>
      </c>
      <c r="I81" s="29">
        <f t="shared" si="22"/>
        <v>0</v>
      </c>
      <c r="J81" s="29">
        <f t="shared" si="22"/>
        <v>0</v>
      </c>
      <c r="K81" s="29">
        <f t="shared" si="22"/>
        <v>1268.7</v>
      </c>
      <c r="L81" s="29">
        <f t="shared" si="22"/>
        <v>1249.8</v>
      </c>
    </row>
    <row r="82" spans="1:12" s="11" customFormat="1" ht="17.25" customHeight="1">
      <c r="A82" s="33">
        <v>75</v>
      </c>
      <c r="B82" s="27" t="s">
        <v>14</v>
      </c>
      <c r="C82" s="29"/>
      <c r="D82" s="30">
        <f t="shared" si="11"/>
        <v>0</v>
      </c>
      <c r="E82" s="30">
        <f t="shared" si="12"/>
        <v>0</v>
      </c>
      <c r="F82" s="29"/>
      <c r="G82" s="29"/>
      <c r="H82" s="29"/>
      <c r="I82" s="29"/>
      <c r="J82" s="29"/>
      <c r="K82" s="29"/>
      <c r="L82" s="29"/>
    </row>
    <row r="83" spans="1:12" s="11" customFormat="1" ht="78.75">
      <c r="A83" s="33">
        <v>76</v>
      </c>
      <c r="B83" s="6" t="s">
        <v>292</v>
      </c>
      <c r="C83" s="30">
        <f>+G83+K83</f>
        <v>500</v>
      </c>
      <c r="D83" s="30">
        <f t="shared" si="11"/>
        <v>500</v>
      </c>
      <c r="E83" s="30">
        <f t="shared" si="12"/>
        <v>0</v>
      </c>
      <c r="F83" s="30">
        <f t="shared" si="19"/>
        <v>100</v>
      </c>
      <c r="G83" s="30">
        <v>0</v>
      </c>
      <c r="H83" s="30"/>
      <c r="I83" s="30">
        <v>0</v>
      </c>
      <c r="J83" s="30"/>
      <c r="K83" s="30">
        <v>500</v>
      </c>
      <c r="L83" s="30">
        <v>500</v>
      </c>
    </row>
    <row r="84" spans="1:12" s="11" customFormat="1" ht="47.25">
      <c r="A84" s="33">
        <v>77</v>
      </c>
      <c r="B84" s="6" t="s">
        <v>320</v>
      </c>
      <c r="C84" s="30">
        <f>+G84+K84</f>
        <v>49.7</v>
      </c>
      <c r="D84" s="30">
        <f t="shared" si="11"/>
        <v>49.6</v>
      </c>
      <c r="E84" s="30">
        <f t="shared" si="12"/>
        <v>-0.1</v>
      </c>
      <c r="F84" s="30">
        <f t="shared" si="19"/>
        <v>99.8</v>
      </c>
      <c r="G84" s="30">
        <v>0</v>
      </c>
      <c r="H84" s="30"/>
      <c r="I84" s="30">
        <v>0</v>
      </c>
      <c r="J84" s="30"/>
      <c r="K84" s="30">
        <v>49.7</v>
      </c>
      <c r="L84" s="30">
        <v>49.6</v>
      </c>
    </row>
    <row r="85" spans="1:12" s="11" customFormat="1" ht="47.25">
      <c r="A85" s="33">
        <v>78</v>
      </c>
      <c r="B85" s="6" t="s">
        <v>291</v>
      </c>
      <c r="C85" s="30">
        <f>+G85+K85</f>
        <v>719</v>
      </c>
      <c r="D85" s="30">
        <f t="shared" si="11"/>
        <v>700.2</v>
      </c>
      <c r="E85" s="30">
        <f t="shared" si="12"/>
        <v>-18.8</v>
      </c>
      <c r="F85" s="30">
        <f t="shared" si="19"/>
        <v>97.4</v>
      </c>
      <c r="G85" s="30">
        <v>0</v>
      </c>
      <c r="H85" s="30"/>
      <c r="I85" s="30">
        <v>0</v>
      </c>
      <c r="J85" s="30"/>
      <c r="K85" s="30">
        <v>719</v>
      </c>
      <c r="L85" s="30">
        <f>513.2+187</f>
        <v>700.2</v>
      </c>
    </row>
    <row r="86" spans="1:12" ht="19.5" customHeight="1">
      <c r="A86" s="33">
        <v>79</v>
      </c>
      <c r="B86" s="12" t="s">
        <v>73</v>
      </c>
      <c r="C86" s="29">
        <f>+C87+C88</f>
        <v>846.3</v>
      </c>
      <c r="D86" s="29">
        <f aca="true" t="shared" si="23" ref="D86:L86">+D87+D88</f>
        <v>518.1</v>
      </c>
      <c r="E86" s="29">
        <f t="shared" si="23"/>
        <v>-328.2</v>
      </c>
      <c r="F86" s="29">
        <f t="shared" si="19"/>
        <v>61.2</v>
      </c>
      <c r="G86" s="29">
        <f t="shared" si="23"/>
        <v>279.6</v>
      </c>
      <c r="H86" s="29">
        <f t="shared" si="23"/>
        <v>250.5</v>
      </c>
      <c r="I86" s="29">
        <f t="shared" si="23"/>
        <v>0</v>
      </c>
      <c r="J86" s="29">
        <f t="shared" si="23"/>
        <v>0</v>
      </c>
      <c r="K86" s="29">
        <f t="shared" si="23"/>
        <v>566.7</v>
      </c>
      <c r="L86" s="29">
        <f t="shared" si="23"/>
        <v>267.6</v>
      </c>
    </row>
    <row r="87" spans="1:12" ht="31.5" customHeight="1">
      <c r="A87" s="33">
        <v>80</v>
      </c>
      <c r="B87" s="12" t="s">
        <v>111</v>
      </c>
      <c r="C87" s="29">
        <f>+G87+K87</f>
        <v>846.3</v>
      </c>
      <c r="D87" s="29">
        <f aca="true" t="shared" si="24" ref="D87:D103">+H87+L87</f>
        <v>474.1</v>
      </c>
      <c r="E87" s="29">
        <f aca="true" t="shared" si="25" ref="E87:E103">+D87-C87</f>
        <v>-372.2</v>
      </c>
      <c r="F87" s="29">
        <f t="shared" si="19"/>
        <v>56</v>
      </c>
      <c r="G87" s="29">
        <v>279.6</v>
      </c>
      <c r="H87" s="29">
        <v>250.5</v>
      </c>
      <c r="I87" s="29">
        <v>0</v>
      </c>
      <c r="J87" s="29"/>
      <c r="K87" s="29">
        <v>566.7</v>
      </c>
      <c r="L87" s="29">
        <v>223.6</v>
      </c>
    </row>
    <row r="88" spans="1:12" ht="15" customHeight="1">
      <c r="A88" s="33">
        <v>81</v>
      </c>
      <c r="B88" s="23" t="s">
        <v>75</v>
      </c>
      <c r="C88" s="29">
        <f>+C90</f>
        <v>0</v>
      </c>
      <c r="D88" s="29">
        <f aca="true" t="shared" si="26" ref="D88:L88">+D90</f>
        <v>44</v>
      </c>
      <c r="E88" s="29">
        <f t="shared" si="26"/>
        <v>44</v>
      </c>
      <c r="F88" s="29">
        <f t="shared" si="26"/>
        <v>0</v>
      </c>
      <c r="G88" s="29">
        <f t="shared" si="26"/>
        <v>0</v>
      </c>
      <c r="H88" s="29">
        <f t="shared" si="26"/>
        <v>0</v>
      </c>
      <c r="I88" s="29">
        <f t="shared" si="26"/>
        <v>0</v>
      </c>
      <c r="J88" s="29">
        <f t="shared" si="26"/>
        <v>0</v>
      </c>
      <c r="K88" s="29">
        <f t="shared" si="26"/>
        <v>0</v>
      </c>
      <c r="L88" s="29">
        <f t="shared" si="26"/>
        <v>44</v>
      </c>
    </row>
    <row r="89" spans="1:12" ht="16.5" customHeight="1">
      <c r="A89" s="33">
        <v>82</v>
      </c>
      <c r="B89" s="27" t="s">
        <v>14</v>
      </c>
      <c r="C89" s="30"/>
      <c r="D89" s="29">
        <f t="shared" si="24"/>
        <v>0</v>
      </c>
      <c r="E89" s="29">
        <f t="shared" si="25"/>
        <v>0</v>
      </c>
      <c r="F89" s="29"/>
      <c r="G89" s="29"/>
      <c r="H89" s="29"/>
      <c r="I89" s="29"/>
      <c r="J89" s="29"/>
      <c r="K89" s="29"/>
      <c r="L89" s="29"/>
    </row>
    <row r="90" spans="1:12" ht="31.5">
      <c r="A90" s="33">
        <v>83</v>
      </c>
      <c r="B90" s="6" t="s">
        <v>71</v>
      </c>
      <c r="C90" s="30"/>
      <c r="D90" s="30">
        <f t="shared" si="24"/>
        <v>44</v>
      </c>
      <c r="E90" s="30">
        <f t="shared" si="25"/>
        <v>44</v>
      </c>
      <c r="F90" s="29"/>
      <c r="G90" s="29"/>
      <c r="H90" s="29"/>
      <c r="I90" s="29"/>
      <c r="J90" s="29"/>
      <c r="K90" s="29"/>
      <c r="L90" s="30">
        <v>44</v>
      </c>
    </row>
    <row r="91" spans="1:12" ht="19.5" customHeight="1">
      <c r="A91" s="33">
        <v>84</v>
      </c>
      <c r="B91" s="12" t="s">
        <v>10</v>
      </c>
      <c r="C91" s="29">
        <f aca="true" t="shared" si="27" ref="C91:L91">+C92+C97+C98+C102+C103</f>
        <v>68579.5</v>
      </c>
      <c r="D91" s="29">
        <f t="shared" si="24"/>
        <v>66957.3</v>
      </c>
      <c r="E91" s="29">
        <f t="shared" si="25"/>
        <v>-1622.2</v>
      </c>
      <c r="F91" s="29">
        <f t="shared" si="19"/>
        <v>97.6</v>
      </c>
      <c r="G91" s="29">
        <f t="shared" si="27"/>
        <v>68301.4</v>
      </c>
      <c r="H91" s="29">
        <f t="shared" si="27"/>
        <v>66706</v>
      </c>
      <c r="I91" s="29">
        <f t="shared" si="27"/>
        <v>779.5</v>
      </c>
      <c r="J91" s="29">
        <f t="shared" si="27"/>
        <v>778.4</v>
      </c>
      <c r="K91" s="29">
        <f t="shared" si="27"/>
        <v>278.1</v>
      </c>
      <c r="L91" s="29">
        <f t="shared" si="27"/>
        <v>251.3</v>
      </c>
    </row>
    <row r="92" spans="1:12" ht="15.75">
      <c r="A92" s="33">
        <v>85</v>
      </c>
      <c r="B92" s="23" t="s">
        <v>75</v>
      </c>
      <c r="C92" s="29">
        <f aca="true" t="shared" si="28" ref="C92:L92">+C94+C96+C95</f>
        <v>16627.9</v>
      </c>
      <c r="D92" s="29">
        <f t="shared" si="24"/>
        <v>15198.5</v>
      </c>
      <c r="E92" s="29">
        <f t="shared" si="25"/>
        <v>-1429.4</v>
      </c>
      <c r="F92" s="29">
        <f t="shared" si="19"/>
        <v>91.4</v>
      </c>
      <c r="G92" s="29">
        <f t="shared" si="28"/>
        <v>16541.9</v>
      </c>
      <c r="H92" s="29">
        <f t="shared" si="28"/>
        <v>15114.1</v>
      </c>
      <c r="I92" s="29">
        <f t="shared" si="28"/>
        <v>0</v>
      </c>
      <c r="J92" s="29">
        <f t="shared" si="28"/>
        <v>0</v>
      </c>
      <c r="K92" s="29">
        <f t="shared" si="28"/>
        <v>86</v>
      </c>
      <c r="L92" s="29">
        <f t="shared" si="28"/>
        <v>84.4</v>
      </c>
    </row>
    <row r="93" spans="1:12" s="20" customFormat="1" ht="15.75">
      <c r="A93" s="33">
        <v>86</v>
      </c>
      <c r="B93" s="27" t="s">
        <v>14</v>
      </c>
      <c r="C93" s="30">
        <v>0</v>
      </c>
      <c r="D93" s="30">
        <f t="shared" si="24"/>
        <v>0</v>
      </c>
      <c r="E93" s="30">
        <f t="shared" si="25"/>
        <v>0</v>
      </c>
      <c r="F93" s="29"/>
      <c r="G93" s="30"/>
      <c r="H93" s="30"/>
      <c r="I93" s="30"/>
      <c r="J93" s="30"/>
      <c r="K93" s="30"/>
      <c r="L93" s="30"/>
    </row>
    <row r="94" spans="1:12" s="20" customFormat="1" ht="31.5">
      <c r="A94" s="33">
        <v>87</v>
      </c>
      <c r="B94" s="24" t="s">
        <v>110</v>
      </c>
      <c r="C94" s="30">
        <f>+G94+K94</f>
        <v>16007.7</v>
      </c>
      <c r="D94" s="30">
        <f t="shared" si="24"/>
        <v>14517.8</v>
      </c>
      <c r="E94" s="30">
        <f t="shared" si="25"/>
        <v>-1489.9</v>
      </c>
      <c r="F94" s="30">
        <f t="shared" si="19"/>
        <v>90.7</v>
      </c>
      <c r="G94" s="30">
        <v>16007.7</v>
      </c>
      <c r="H94" s="30">
        <v>14517.8</v>
      </c>
      <c r="I94" s="30">
        <v>0</v>
      </c>
      <c r="J94" s="30"/>
      <c r="K94" s="30">
        <v>0</v>
      </c>
      <c r="L94" s="30"/>
    </row>
    <row r="95" spans="1:12" s="20" customFormat="1" ht="47.25">
      <c r="A95" s="33">
        <v>88</v>
      </c>
      <c r="B95" s="6" t="s">
        <v>296</v>
      </c>
      <c r="C95" s="30">
        <f>+G95+K95</f>
        <v>86</v>
      </c>
      <c r="D95" s="30">
        <f t="shared" si="24"/>
        <v>55.9</v>
      </c>
      <c r="E95" s="30">
        <f t="shared" si="25"/>
        <v>-30.1</v>
      </c>
      <c r="F95" s="30">
        <f t="shared" si="19"/>
        <v>65</v>
      </c>
      <c r="G95" s="30">
        <v>0</v>
      </c>
      <c r="H95" s="30"/>
      <c r="I95" s="30">
        <v>0</v>
      </c>
      <c r="J95" s="30"/>
      <c r="K95" s="30">
        <v>86</v>
      </c>
      <c r="L95" s="30">
        <v>55.9</v>
      </c>
    </row>
    <row r="96" spans="1:12" s="20" customFormat="1" ht="31.5">
      <c r="A96" s="33">
        <v>89</v>
      </c>
      <c r="B96" s="6" t="s">
        <v>71</v>
      </c>
      <c r="C96" s="30">
        <f>+G96+K96</f>
        <v>534.2</v>
      </c>
      <c r="D96" s="30">
        <f t="shared" si="24"/>
        <v>624.8</v>
      </c>
      <c r="E96" s="30">
        <f t="shared" si="25"/>
        <v>90.6</v>
      </c>
      <c r="F96" s="30">
        <f t="shared" si="19"/>
        <v>117</v>
      </c>
      <c r="G96" s="30">
        <v>534.2</v>
      </c>
      <c r="H96" s="30">
        <f>286.3+338.6-28.5-0.1</f>
        <v>596.3</v>
      </c>
      <c r="I96" s="30">
        <v>0</v>
      </c>
      <c r="J96" s="30"/>
      <c r="K96" s="30">
        <v>0</v>
      </c>
      <c r="L96" s="30">
        <v>28.5</v>
      </c>
    </row>
    <row r="97" spans="1:12" ht="47.25">
      <c r="A97" s="33">
        <v>90</v>
      </c>
      <c r="B97" s="12" t="s">
        <v>98</v>
      </c>
      <c r="C97" s="29">
        <f>+G97+K97</f>
        <v>19477.7</v>
      </c>
      <c r="D97" s="29">
        <f t="shared" si="24"/>
        <v>19438.2</v>
      </c>
      <c r="E97" s="29">
        <f t="shared" si="25"/>
        <v>-39.5</v>
      </c>
      <c r="F97" s="29">
        <f t="shared" si="19"/>
        <v>99.8</v>
      </c>
      <c r="G97" s="29">
        <v>19422</v>
      </c>
      <c r="H97" s="29">
        <v>19398.1</v>
      </c>
      <c r="I97" s="29">
        <v>0</v>
      </c>
      <c r="J97" s="29"/>
      <c r="K97" s="29">
        <v>55.7</v>
      </c>
      <c r="L97" s="29">
        <v>40.1</v>
      </c>
    </row>
    <row r="98" spans="1:12" ht="31.5">
      <c r="A98" s="33">
        <v>91</v>
      </c>
      <c r="B98" s="12" t="s">
        <v>74</v>
      </c>
      <c r="C98" s="29">
        <f aca="true" t="shared" si="29" ref="C98:L98">+C100+C101</f>
        <v>17186.4</v>
      </c>
      <c r="D98" s="29">
        <f t="shared" si="24"/>
        <v>17143</v>
      </c>
      <c r="E98" s="29">
        <f t="shared" si="25"/>
        <v>-43.4</v>
      </c>
      <c r="F98" s="29">
        <f t="shared" si="19"/>
        <v>99.7</v>
      </c>
      <c r="G98" s="29">
        <f t="shared" si="29"/>
        <v>17080</v>
      </c>
      <c r="H98" s="29">
        <f t="shared" si="29"/>
        <v>17037.4</v>
      </c>
      <c r="I98" s="29">
        <f t="shared" si="29"/>
        <v>779.5</v>
      </c>
      <c r="J98" s="29">
        <f t="shared" si="29"/>
        <v>778.4</v>
      </c>
      <c r="K98" s="29">
        <f t="shared" si="29"/>
        <v>106.4</v>
      </c>
      <c r="L98" s="29">
        <f t="shared" si="29"/>
        <v>105.6</v>
      </c>
    </row>
    <row r="99" spans="1:12" ht="15" customHeight="1">
      <c r="A99" s="33">
        <v>92</v>
      </c>
      <c r="B99" s="27" t="s">
        <v>14</v>
      </c>
      <c r="C99" s="30">
        <v>0</v>
      </c>
      <c r="D99" s="30">
        <f t="shared" si="24"/>
        <v>0</v>
      </c>
      <c r="E99" s="30">
        <f t="shared" si="25"/>
        <v>0</v>
      </c>
      <c r="F99" s="29"/>
      <c r="G99" s="30">
        <v>0</v>
      </c>
      <c r="H99" s="30"/>
      <c r="I99" s="30">
        <v>0</v>
      </c>
      <c r="J99" s="30"/>
      <c r="K99" s="30">
        <v>0</v>
      </c>
      <c r="L99" s="30"/>
    </row>
    <row r="100" spans="1:12" ht="47.25">
      <c r="A100" s="33">
        <v>93</v>
      </c>
      <c r="B100" s="24" t="s">
        <v>112</v>
      </c>
      <c r="C100" s="30">
        <f>+G100+K100</f>
        <v>17126.5</v>
      </c>
      <c r="D100" s="30">
        <f t="shared" si="24"/>
        <v>17090.5</v>
      </c>
      <c r="E100" s="30">
        <f t="shared" si="25"/>
        <v>-36</v>
      </c>
      <c r="F100" s="30">
        <f t="shared" si="19"/>
        <v>99.8</v>
      </c>
      <c r="G100" s="30">
        <v>17020.1</v>
      </c>
      <c r="H100" s="30">
        <v>16984.9</v>
      </c>
      <c r="I100" s="30">
        <v>772.6</v>
      </c>
      <c r="J100" s="30">
        <v>772.6</v>
      </c>
      <c r="K100" s="30">
        <v>106.4</v>
      </c>
      <c r="L100" s="30">
        <v>105.6</v>
      </c>
    </row>
    <row r="101" spans="1:12" s="20" customFormat="1" ht="47.25">
      <c r="A101" s="33">
        <v>94</v>
      </c>
      <c r="B101" s="6" t="s">
        <v>113</v>
      </c>
      <c r="C101" s="30">
        <f>+G101+K101</f>
        <v>59.9</v>
      </c>
      <c r="D101" s="30">
        <f t="shared" si="24"/>
        <v>52.5</v>
      </c>
      <c r="E101" s="30">
        <f t="shared" si="25"/>
        <v>-7.4</v>
      </c>
      <c r="F101" s="30">
        <f t="shared" si="19"/>
        <v>87.6</v>
      </c>
      <c r="G101" s="30">
        <v>59.9</v>
      </c>
      <c r="H101" s="30">
        <v>52.5</v>
      </c>
      <c r="I101" s="30">
        <v>6.9</v>
      </c>
      <c r="J101" s="30">
        <v>5.8</v>
      </c>
      <c r="K101" s="30">
        <v>0</v>
      </c>
      <c r="L101" s="30"/>
    </row>
    <row r="102" spans="1:12" ht="31.5">
      <c r="A102" s="33">
        <v>95</v>
      </c>
      <c r="B102" s="12" t="s">
        <v>114</v>
      </c>
      <c r="C102" s="29">
        <f>+G102+K102</f>
        <v>15137.5</v>
      </c>
      <c r="D102" s="29">
        <f t="shared" si="24"/>
        <v>15133.8</v>
      </c>
      <c r="E102" s="29">
        <f t="shared" si="25"/>
        <v>-3.7</v>
      </c>
      <c r="F102" s="29">
        <f t="shared" si="19"/>
        <v>100</v>
      </c>
      <c r="G102" s="29">
        <v>15137.5</v>
      </c>
      <c r="H102" s="29">
        <v>15133.8</v>
      </c>
      <c r="I102" s="29">
        <v>0</v>
      </c>
      <c r="J102" s="29"/>
      <c r="K102" s="29">
        <v>0</v>
      </c>
      <c r="L102" s="29"/>
    </row>
    <row r="103" spans="1:12" ht="31.5" customHeight="1">
      <c r="A103" s="33">
        <v>96</v>
      </c>
      <c r="B103" s="12" t="s">
        <v>294</v>
      </c>
      <c r="C103" s="29">
        <f>+G103+K103</f>
        <v>150</v>
      </c>
      <c r="D103" s="29">
        <f t="shared" si="24"/>
        <v>43.8</v>
      </c>
      <c r="E103" s="29">
        <f t="shared" si="25"/>
        <v>-106.2</v>
      </c>
      <c r="F103" s="29">
        <f t="shared" si="19"/>
        <v>29.2</v>
      </c>
      <c r="G103" s="29">
        <v>120</v>
      </c>
      <c r="H103" s="29">
        <v>22.6</v>
      </c>
      <c r="I103" s="29">
        <v>0</v>
      </c>
      <c r="J103" s="29"/>
      <c r="K103" s="29">
        <v>30</v>
      </c>
      <c r="L103" s="29">
        <v>21.2</v>
      </c>
    </row>
    <row r="104" spans="1:12" s="11" customFormat="1" ht="17.25" customHeight="1">
      <c r="A104" s="33">
        <v>97</v>
      </c>
      <c r="B104" s="12" t="s">
        <v>11</v>
      </c>
      <c r="C104" s="29">
        <f aca="true" t="shared" si="30" ref="C104:L104">+C105+C109+C115</f>
        <v>210834.3</v>
      </c>
      <c r="D104" s="29">
        <f t="shared" si="30"/>
        <v>208652</v>
      </c>
      <c r="E104" s="29">
        <f t="shared" si="30"/>
        <v>-2182.3</v>
      </c>
      <c r="F104" s="29">
        <f t="shared" si="19"/>
        <v>99</v>
      </c>
      <c r="G104" s="29">
        <f t="shared" si="30"/>
        <v>210167.3</v>
      </c>
      <c r="H104" s="29">
        <f t="shared" si="30"/>
        <v>207944.1</v>
      </c>
      <c r="I104" s="29">
        <f t="shared" si="30"/>
        <v>135424.2</v>
      </c>
      <c r="J104" s="29">
        <f t="shared" si="30"/>
        <v>135092.5</v>
      </c>
      <c r="K104" s="29">
        <f t="shared" si="30"/>
        <v>667</v>
      </c>
      <c r="L104" s="29">
        <f t="shared" si="30"/>
        <v>707.9</v>
      </c>
    </row>
    <row r="105" spans="1:12" ht="47.25">
      <c r="A105" s="33">
        <v>98</v>
      </c>
      <c r="B105" s="12" t="s">
        <v>77</v>
      </c>
      <c r="C105" s="29">
        <f aca="true" t="shared" si="31" ref="C105:L105">+C107+C108</f>
        <v>9924.4</v>
      </c>
      <c r="D105" s="29">
        <f aca="true" t="shared" si="32" ref="D105:D118">+H105+L105</f>
        <v>9941.5</v>
      </c>
      <c r="E105" s="29">
        <f aca="true" t="shared" si="33" ref="E105:E118">+D105-C105</f>
        <v>17.1</v>
      </c>
      <c r="F105" s="29">
        <f t="shared" si="19"/>
        <v>100.2</v>
      </c>
      <c r="G105" s="29">
        <f t="shared" si="31"/>
        <v>9844.5</v>
      </c>
      <c r="H105" s="29">
        <f t="shared" si="31"/>
        <v>9830.1</v>
      </c>
      <c r="I105" s="29">
        <f t="shared" si="31"/>
        <v>4305.4</v>
      </c>
      <c r="J105" s="29">
        <f t="shared" si="31"/>
        <v>4297.8</v>
      </c>
      <c r="K105" s="29">
        <f t="shared" si="31"/>
        <v>79.9</v>
      </c>
      <c r="L105" s="29">
        <f t="shared" si="31"/>
        <v>111.4</v>
      </c>
    </row>
    <row r="106" spans="1:12" ht="15.75">
      <c r="A106" s="33">
        <v>99</v>
      </c>
      <c r="B106" s="27" t="s">
        <v>14</v>
      </c>
      <c r="C106" s="30">
        <v>0</v>
      </c>
      <c r="D106" s="30">
        <f t="shared" si="32"/>
        <v>0</v>
      </c>
      <c r="E106" s="30">
        <f t="shared" si="33"/>
        <v>0</v>
      </c>
      <c r="F106" s="29"/>
      <c r="G106" s="30">
        <v>0</v>
      </c>
      <c r="H106" s="30"/>
      <c r="I106" s="30">
        <v>0</v>
      </c>
      <c r="J106" s="30"/>
      <c r="K106" s="30">
        <v>0</v>
      </c>
      <c r="L106" s="30"/>
    </row>
    <row r="107" spans="1:12" ht="47.25">
      <c r="A107" s="33">
        <v>100</v>
      </c>
      <c r="B107" s="6" t="s">
        <v>118</v>
      </c>
      <c r="C107" s="30">
        <f>+G107+K107</f>
        <v>8856.6</v>
      </c>
      <c r="D107" s="30">
        <f t="shared" si="32"/>
        <v>8836.8</v>
      </c>
      <c r="E107" s="30">
        <f t="shared" si="33"/>
        <v>-19.8</v>
      </c>
      <c r="F107" s="30">
        <f t="shared" si="19"/>
        <v>99.8</v>
      </c>
      <c r="G107" s="30">
        <f>7533.4+1270.8</f>
        <v>8804.2</v>
      </c>
      <c r="H107" s="30">
        <f>1255.2+7529.2</f>
        <v>8784.4</v>
      </c>
      <c r="I107" s="30">
        <v>4077.5</v>
      </c>
      <c r="J107" s="30">
        <v>4077.5</v>
      </c>
      <c r="K107" s="30">
        <v>52.4</v>
      </c>
      <c r="L107" s="30">
        <v>52.4</v>
      </c>
    </row>
    <row r="108" spans="1:12" ht="47.25">
      <c r="A108" s="33">
        <v>101</v>
      </c>
      <c r="B108" s="6" t="s">
        <v>119</v>
      </c>
      <c r="C108" s="30">
        <f>+G108+K108</f>
        <v>1067.8</v>
      </c>
      <c r="D108" s="30">
        <f t="shared" si="32"/>
        <v>1104.7</v>
      </c>
      <c r="E108" s="30">
        <f t="shared" si="33"/>
        <v>36.9</v>
      </c>
      <c r="F108" s="30">
        <f t="shared" si="19"/>
        <v>103.5</v>
      </c>
      <c r="G108" s="30">
        <f>1038.7+1.6</f>
        <v>1040.3</v>
      </c>
      <c r="H108" s="30">
        <f>912.4+129.1+4.2</f>
        <v>1045.7</v>
      </c>
      <c r="I108" s="30">
        <v>227.9</v>
      </c>
      <c r="J108" s="30">
        <v>220.3</v>
      </c>
      <c r="K108" s="30">
        <f>29.1-1.6</f>
        <v>27.5</v>
      </c>
      <c r="L108" s="30">
        <f>39.8+19.2</f>
        <v>59</v>
      </c>
    </row>
    <row r="109" spans="1:12" ht="19.5" customHeight="1">
      <c r="A109" s="33">
        <v>102</v>
      </c>
      <c r="B109" s="12" t="s">
        <v>76</v>
      </c>
      <c r="C109" s="29">
        <f aca="true" t="shared" si="34" ref="C109:L109">SUM(C111:C114)</f>
        <v>187165.2</v>
      </c>
      <c r="D109" s="29">
        <f t="shared" si="32"/>
        <v>185013</v>
      </c>
      <c r="E109" s="29">
        <f t="shared" si="33"/>
        <v>-2152.2</v>
      </c>
      <c r="F109" s="29">
        <f t="shared" si="19"/>
        <v>98.9</v>
      </c>
      <c r="G109" s="29">
        <f t="shared" si="34"/>
        <v>186766.7</v>
      </c>
      <c r="H109" s="29">
        <f t="shared" si="34"/>
        <v>184593</v>
      </c>
      <c r="I109" s="29">
        <f t="shared" si="34"/>
        <v>124268.1</v>
      </c>
      <c r="J109" s="29">
        <f t="shared" si="34"/>
        <v>123944.1</v>
      </c>
      <c r="K109" s="29">
        <f t="shared" si="34"/>
        <v>398.5</v>
      </c>
      <c r="L109" s="29">
        <f t="shared" si="34"/>
        <v>420</v>
      </c>
    </row>
    <row r="110" spans="1:12" ht="15.75">
      <c r="A110" s="33">
        <v>103</v>
      </c>
      <c r="B110" s="27" t="s">
        <v>14</v>
      </c>
      <c r="C110" s="30">
        <v>0</v>
      </c>
      <c r="D110" s="30">
        <f t="shared" si="32"/>
        <v>0</v>
      </c>
      <c r="E110" s="30">
        <f t="shared" si="33"/>
        <v>0</v>
      </c>
      <c r="F110" s="29"/>
      <c r="G110" s="30">
        <v>0</v>
      </c>
      <c r="H110" s="30"/>
      <c r="I110" s="30">
        <v>0</v>
      </c>
      <c r="J110" s="30"/>
      <c r="K110" s="30">
        <v>0</v>
      </c>
      <c r="L110" s="30"/>
    </row>
    <row r="111" spans="1:12" ht="31.5">
      <c r="A111" s="33">
        <v>104</v>
      </c>
      <c r="B111" s="24" t="s">
        <v>115</v>
      </c>
      <c r="C111" s="30">
        <f>+G111+K111</f>
        <v>64119.4</v>
      </c>
      <c r="D111" s="30">
        <f t="shared" si="32"/>
        <v>63971.7</v>
      </c>
      <c r="E111" s="30">
        <f t="shared" si="33"/>
        <v>-147.7</v>
      </c>
      <c r="F111" s="30">
        <f t="shared" si="19"/>
        <v>99.8</v>
      </c>
      <c r="G111" s="30">
        <v>64112</v>
      </c>
      <c r="H111" s="30">
        <v>63964.3</v>
      </c>
      <c r="I111" s="30">
        <v>43130.4</v>
      </c>
      <c r="J111" s="30">
        <v>43125.4</v>
      </c>
      <c r="K111" s="30">
        <v>7.4</v>
      </c>
      <c r="L111" s="30">
        <v>7.4</v>
      </c>
    </row>
    <row r="112" spans="1:12" ht="47.25">
      <c r="A112" s="33">
        <v>105</v>
      </c>
      <c r="B112" s="6" t="s">
        <v>116</v>
      </c>
      <c r="C112" s="30">
        <f>+G112+K112</f>
        <v>103840.1</v>
      </c>
      <c r="D112" s="30">
        <f t="shared" si="32"/>
        <v>103827.4</v>
      </c>
      <c r="E112" s="30">
        <f t="shared" si="33"/>
        <v>-12.7</v>
      </c>
      <c r="F112" s="30">
        <f t="shared" si="19"/>
        <v>100</v>
      </c>
      <c r="G112" s="30">
        <v>103571.4</v>
      </c>
      <c r="H112" s="30">
        <v>103558.8</v>
      </c>
      <c r="I112" s="30">
        <v>76867.7</v>
      </c>
      <c r="J112" s="30">
        <v>76772.5</v>
      </c>
      <c r="K112" s="30">
        <v>268.7</v>
      </c>
      <c r="L112" s="30">
        <v>268.6</v>
      </c>
    </row>
    <row r="113" spans="1:12" ht="47.25">
      <c r="A113" s="33">
        <v>106</v>
      </c>
      <c r="B113" s="90" t="s">
        <v>149</v>
      </c>
      <c r="C113" s="30">
        <f>+G113+K113</f>
        <v>2647</v>
      </c>
      <c r="D113" s="30">
        <f t="shared" si="32"/>
        <v>2647</v>
      </c>
      <c r="E113" s="30">
        <f t="shared" si="33"/>
        <v>0</v>
      </c>
      <c r="F113" s="30">
        <f t="shared" si="19"/>
        <v>100</v>
      </c>
      <c r="G113" s="30">
        <v>2647</v>
      </c>
      <c r="H113" s="30">
        <v>2647</v>
      </c>
      <c r="I113" s="30">
        <v>1401</v>
      </c>
      <c r="J113" s="30">
        <v>1401</v>
      </c>
      <c r="K113" s="30">
        <v>0</v>
      </c>
      <c r="L113" s="30"/>
    </row>
    <row r="114" spans="1:12" s="20" customFormat="1" ht="31.5">
      <c r="A114" s="33">
        <v>107</v>
      </c>
      <c r="B114" s="6" t="s">
        <v>117</v>
      </c>
      <c r="C114" s="30">
        <f>+G114+K114</f>
        <v>16558.7</v>
      </c>
      <c r="D114" s="30">
        <f t="shared" si="32"/>
        <v>14566.9</v>
      </c>
      <c r="E114" s="30">
        <f t="shared" si="33"/>
        <v>-1991.8</v>
      </c>
      <c r="F114" s="30">
        <f t="shared" si="19"/>
        <v>88</v>
      </c>
      <c r="G114" s="30">
        <v>16436.3</v>
      </c>
      <c r="H114" s="30">
        <v>14422.9</v>
      </c>
      <c r="I114" s="30">
        <v>2869</v>
      </c>
      <c r="J114" s="30">
        <v>2645.2</v>
      </c>
      <c r="K114" s="30">
        <v>122.4</v>
      </c>
      <c r="L114" s="30">
        <v>144</v>
      </c>
    </row>
    <row r="115" spans="1:12" ht="20.25" customHeight="1">
      <c r="A115" s="33">
        <v>108</v>
      </c>
      <c r="B115" s="23" t="s">
        <v>78</v>
      </c>
      <c r="C115" s="29">
        <f aca="true" t="shared" si="35" ref="C115:L115">+C117+C118</f>
        <v>13744.7</v>
      </c>
      <c r="D115" s="29">
        <f t="shared" si="32"/>
        <v>13697.5</v>
      </c>
      <c r="E115" s="29">
        <f t="shared" si="33"/>
        <v>-47.2</v>
      </c>
      <c r="F115" s="29">
        <f t="shared" si="19"/>
        <v>99.7</v>
      </c>
      <c r="G115" s="29">
        <f t="shared" si="35"/>
        <v>13556.1</v>
      </c>
      <c r="H115" s="29">
        <f t="shared" si="35"/>
        <v>13521</v>
      </c>
      <c r="I115" s="29">
        <f t="shared" si="35"/>
        <v>6850.7</v>
      </c>
      <c r="J115" s="29">
        <f t="shared" si="35"/>
        <v>6850.6</v>
      </c>
      <c r="K115" s="29">
        <f t="shared" si="35"/>
        <v>188.6</v>
      </c>
      <c r="L115" s="29">
        <f t="shared" si="35"/>
        <v>176.5</v>
      </c>
    </row>
    <row r="116" spans="1:12" ht="15.75">
      <c r="A116" s="33">
        <v>109</v>
      </c>
      <c r="B116" s="27" t="s">
        <v>14</v>
      </c>
      <c r="C116" s="30">
        <v>0</v>
      </c>
      <c r="D116" s="30">
        <f t="shared" si="32"/>
        <v>0</v>
      </c>
      <c r="E116" s="30">
        <f t="shared" si="33"/>
        <v>0</v>
      </c>
      <c r="F116" s="29"/>
      <c r="G116" s="30">
        <v>0</v>
      </c>
      <c r="H116" s="30"/>
      <c r="I116" s="30">
        <v>0</v>
      </c>
      <c r="J116" s="30"/>
      <c r="K116" s="30">
        <v>0</v>
      </c>
      <c r="L116" s="30"/>
    </row>
    <row r="117" spans="1:12" ht="31.5">
      <c r="A117" s="33">
        <v>110</v>
      </c>
      <c r="B117" s="24" t="s">
        <v>120</v>
      </c>
      <c r="C117" s="30">
        <f>+G117+K117</f>
        <v>13043.9</v>
      </c>
      <c r="D117" s="30">
        <f t="shared" si="32"/>
        <v>13041.5</v>
      </c>
      <c r="E117" s="30">
        <f t="shared" si="33"/>
        <v>-2.4</v>
      </c>
      <c r="F117" s="30">
        <f t="shared" si="19"/>
        <v>100</v>
      </c>
      <c r="G117" s="30">
        <v>12998.3</v>
      </c>
      <c r="H117" s="30">
        <f>1541.9+11454</f>
        <v>12995.9</v>
      </c>
      <c r="I117" s="30">
        <v>6850.7</v>
      </c>
      <c r="J117" s="30">
        <f>16.6+6834</f>
        <v>6850.6</v>
      </c>
      <c r="K117" s="30">
        <v>45.6</v>
      </c>
      <c r="L117" s="30">
        <v>45.6</v>
      </c>
    </row>
    <row r="118" spans="1:12" s="20" customFormat="1" ht="31.5">
      <c r="A118" s="33">
        <v>111</v>
      </c>
      <c r="B118" s="6" t="s">
        <v>121</v>
      </c>
      <c r="C118" s="30">
        <f>+G118+K118</f>
        <v>700.8</v>
      </c>
      <c r="D118" s="30">
        <f t="shared" si="32"/>
        <v>656</v>
      </c>
      <c r="E118" s="30">
        <f t="shared" si="33"/>
        <v>-44.8</v>
      </c>
      <c r="F118" s="30">
        <f t="shared" si="19"/>
        <v>93.6</v>
      </c>
      <c r="G118" s="30">
        <f>598.7-40.9</f>
        <v>557.8</v>
      </c>
      <c r="H118" s="30">
        <f>200.6+305.4+19.1</f>
        <v>525.1</v>
      </c>
      <c r="I118" s="30">
        <v>0</v>
      </c>
      <c r="J118" s="30"/>
      <c r="K118" s="30">
        <f>102.1+40.9</f>
        <v>143</v>
      </c>
      <c r="L118" s="30">
        <f>76.3+54.6</f>
        <v>130.9</v>
      </c>
    </row>
    <row r="119" spans="1:12" s="11" customFormat="1" ht="15.75">
      <c r="A119" s="33">
        <v>112</v>
      </c>
      <c r="B119" s="12" t="s">
        <v>12</v>
      </c>
      <c r="C119" s="29">
        <f aca="true" t="shared" si="36" ref="C119:L119">+C120+C132+C139</f>
        <v>55738</v>
      </c>
      <c r="D119" s="29">
        <f t="shared" si="36"/>
        <v>55053</v>
      </c>
      <c r="E119" s="29">
        <f t="shared" si="36"/>
        <v>-685</v>
      </c>
      <c r="F119" s="29">
        <f t="shared" si="19"/>
        <v>98.8</v>
      </c>
      <c r="G119" s="29">
        <f t="shared" si="36"/>
        <v>55734.5</v>
      </c>
      <c r="H119" s="29">
        <f t="shared" si="36"/>
        <v>55039.5</v>
      </c>
      <c r="I119" s="29">
        <f t="shared" si="36"/>
        <v>10093.8</v>
      </c>
      <c r="J119" s="29">
        <f t="shared" si="36"/>
        <v>9992.2</v>
      </c>
      <c r="K119" s="29">
        <f t="shared" si="36"/>
        <v>3.5</v>
      </c>
      <c r="L119" s="29">
        <f t="shared" si="36"/>
        <v>13.5</v>
      </c>
    </row>
    <row r="120" spans="1:12" ht="15.75">
      <c r="A120" s="33">
        <v>113</v>
      </c>
      <c r="B120" s="12" t="s">
        <v>79</v>
      </c>
      <c r="C120" s="29">
        <f aca="true" t="shared" si="37" ref="C120:L120">+C122+C123+C128+C129+C131+C130</f>
        <v>49895.5</v>
      </c>
      <c r="D120" s="29">
        <f aca="true" t="shared" si="38" ref="D120:D142">+H120+L120</f>
        <v>49156</v>
      </c>
      <c r="E120" s="29">
        <f aca="true" t="shared" si="39" ref="E120:E142">+D120-C120</f>
        <v>-739.5</v>
      </c>
      <c r="F120" s="29">
        <f t="shared" si="19"/>
        <v>98.5</v>
      </c>
      <c r="G120" s="29">
        <f t="shared" si="37"/>
        <v>49895.5</v>
      </c>
      <c r="H120" s="29">
        <f t="shared" si="37"/>
        <v>49146</v>
      </c>
      <c r="I120" s="29">
        <f t="shared" si="37"/>
        <v>6647.9</v>
      </c>
      <c r="J120" s="29">
        <f t="shared" si="37"/>
        <v>6550</v>
      </c>
      <c r="K120" s="29">
        <f t="shared" si="37"/>
        <v>0</v>
      </c>
      <c r="L120" s="29">
        <f t="shared" si="37"/>
        <v>10</v>
      </c>
    </row>
    <row r="121" spans="1:12" ht="15.75">
      <c r="A121" s="33">
        <v>114</v>
      </c>
      <c r="B121" s="27" t="s">
        <v>14</v>
      </c>
      <c r="C121" s="30">
        <v>0</v>
      </c>
      <c r="D121" s="30">
        <f t="shared" si="38"/>
        <v>0</v>
      </c>
      <c r="E121" s="30">
        <f t="shared" si="39"/>
        <v>0</v>
      </c>
      <c r="F121" s="29"/>
      <c r="G121" s="30">
        <v>0</v>
      </c>
      <c r="H121" s="30"/>
      <c r="I121" s="30">
        <v>0</v>
      </c>
      <c r="J121" s="30"/>
      <c r="K121" s="30">
        <v>0</v>
      </c>
      <c r="L121" s="30"/>
    </row>
    <row r="122" spans="1:12" ht="31.5">
      <c r="A122" s="33">
        <v>115</v>
      </c>
      <c r="B122" s="24" t="s">
        <v>123</v>
      </c>
      <c r="C122" s="30">
        <f>+G122+K122</f>
        <v>8119.3</v>
      </c>
      <c r="D122" s="30">
        <f t="shared" si="38"/>
        <v>8005.7</v>
      </c>
      <c r="E122" s="30">
        <f t="shared" si="39"/>
        <v>-113.6</v>
      </c>
      <c r="F122" s="30">
        <f t="shared" si="19"/>
        <v>98.6</v>
      </c>
      <c r="G122" s="30">
        <v>8119.3</v>
      </c>
      <c r="H122" s="30">
        <f>3212.8+4792.9</f>
        <v>8005.7</v>
      </c>
      <c r="I122" s="30">
        <v>2901.7</v>
      </c>
      <c r="J122" s="30">
        <v>2893.8</v>
      </c>
      <c r="K122" s="30">
        <v>0</v>
      </c>
      <c r="L122" s="30"/>
    </row>
    <row r="123" spans="1:12" ht="63">
      <c r="A123" s="33">
        <v>116</v>
      </c>
      <c r="B123" s="90" t="s">
        <v>267</v>
      </c>
      <c r="C123" s="30">
        <f>+C125+C126+C127</f>
        <v>34675.6</v>
      </c>
      <c r="D123" s="30">
        <f t="shared" si="38"/>
        <v>33951.4</v>
      </c>
      <c r="E123" s="30">
        <f t="shared" si="39"/>
        <v>-724.2</v>
      </c>
      <c r="F123" s="30">
        <f t="shared" si="19"/>
        <v>97.9</v>
      </c>
      <c r="G123" s="30">
        <f aca="true" t="shared" si="40" ref="G123:L123">+G125+G126+G127</f>
        <v>34675.6</v>
      </c>
      <c r="H123" s="30">
        <f t="shared" si="40"/>
        <v>33951.4</v>
      </c>
      <c r="I123" s="30">
        <f t="shared" si="40"/>
        <v>1064.9</v>
      </c>
      <c r="J123" s="30">
        <f t="shared" si="40"/>
        <v>1064.9</v>
      </c>
      <c r="K123" s="30">
        <f t="shared" si="40"/>
        <v>0</v>
      </c>
      <c r="L123" s="30">
        <f t="shared" si="40"/>
        <v>0</v>
      </c>
    </row>
    <row r="124" spans="1:12" ht="18" customHeight="1">
      <c r="A124" s="33">
        <v>117</v>
      </c>
      <c r="B124" s="27" t="s">
        <v>14</v>
      </c>
      <c r="C124" s="30">
        <v>0</v>
      </c>
      <c r="D124" s="30">
        <f t="shared" si="38"/>
        <v>0</v>
      </c>
      <c r="E124" s="30">
        <f t="shared" si="39"/>
        <v>0</v>
      </c>
      <c r="F124" s="29"/>
      <c r="G124" s="30">
        <v>0</v>
      </c>
      <c r="H124" s="30"/>
      <c r="I124" s="30">
        <v>0</v>
      </c>
      <c r="J124" s="30"/>
      <c r="K124" s="30">
        <v>0</v>
      </c>
      <c r="L124" s="30"/>
    </row>
    <row r="125" spans="1:12" ht="18.75" customHeight="1">
      <c r="A125" s="33">
        <v>118</v>
      </c>
      <c r="B125" s="6" t="s">
        <v>82</v>
      </c>
      <c r="C125" s="30">
        <f aca="true" t="shared" si="41" ref="C125:C131">+G125+K125</f>
        <v>3624.5</v>
      </c>
      <c r="D125" s="30">
        <f t="shared" si="38"/>
        <v>3624</v>
      </c>
      <c r="E125" s="30">
        <f t="shared" si="39"/>
        <v>-0.5</v>
      </c>
      <c r="F125" s="30">
        <f t="shared" si="19"/>
        <v>100</v>
      </c>
      <c r="G125" s="30">
        <v>3624.5</v>
      </c>
      <c r="H125" s="30">
        <v>3624</v>
      </c>
      <c r="I125" s="30">
        <v>1064.9</v>
      </c>
      <c r="J125" s="30">
        <v>1064.9</v>
      </c>
      <c r="K125" s="30">
        <v>0</v>
      </c>
      <c r="L125" s="30"/>
    </row>
    <row r="126" spans="1:12" ht="31.5">
      <c r="A126" s="33">
        <v>119</v>
      </c>
      <c r="B126" s="6" t="s">
        <v>83</v>
      </c>
      <c r="C126" s="30">
        <f t="shared" si="41"/>
        <v>27528.2</v>
      </c>
      <c r="D126" s="30">
        <f t="shared" si="38"/>
        <v>27169.3</v>
      </c>
      <c r="E126" s="30">
        <f t="shared" si="39"/>
        <v>-358.9</v>
      </c>
      <c r="F126" s="30">
        <f t="shared" si="19"/>
        <v>98.7</v>
      </c>
      <c r="G126" s="30">
        <v>27528.2</v>
      </c>
      <c r="H126" s="30">
        <v>27169.3</v>
      </c>
      <c r="I126" s="30">
        <v>0</v>
      </c>
      <c r="J126" s="30"/>
      <c r="K126" s="30">
        <v>0</v>
      </c>
      <c r="L126" s="30"/>
    </row>
    <row r="127" spans="1:12" ht="18.75" customHeight="1">
      <c r="A127" s="33">
        <v>120</v>
      </c>
      <c r="B127" s="6" t="s">
        <v>84</v>
      </c>
      <c r="C127" s="30">
        <f t="shared" si="41"/>
        <v>3522.9</v>
      </c>
      <c r="D127" s="30">
        <f t="shared" si="38"/>
        <v>3158.1</v>
      </c>
      <c r="E127" s="30">
        <f t="shared" si="39"/>
        <v>-364.8</v>
      </c>
      <c r="F127" s="30">
        <f t="shared" si="19"/>
        <v>89.6</v>
      </c>
      <c r="G127" s="30">
        <v>3522.9</v>
      </c>
      <c r="H127" s="30">
        <v>3158.1</v>
      </c>
      <c r="I127" s="30">
        <v>0</v>
      </c>
      <c r="J127" s="30"/>
      <c r="K127" s="30">
        <v>0</v>
      </c>
      <c r="L127" s="30"/>
    </row>
    <row r="128" spans="1:12" ht="47.25">
      <c r="A128" s="33">
        <v>121</v>
      </c>
      <c r="B128" s="90" t="s">
        <v>150</v>
      </c>
      <c r="C128" s="30">
        <f t="shared" si="41"/>
        <v>3746</v>
      </c>
      <c r="D128" s="30">
        <f t="shared" si="38"/>
        <v>3600.9</v>
      </c>
      <c r="E128" s="30">
        <f t="shared" si="39"/>
        <v>-145.1</v>
      </c>
      <c r="F128" s="30">
        <f t="shared" si="19"/>
        <v>96.1</v>
      </c>
      <c r="G128" s="30">
        <v>3746</v>
      </c>
      <c r="H128" s="30">
        <v>3600.9</v>
      </c>
      <c r="I128" s="30">
        <v>2189.4</v>
      </c>
      <c r="J128" s="30">
        <v>2086.7</v>
      </c>
      <c r="K128" s="30">
        <v>0</v>
      </c>
      <c r="L128" s="30"/>
    </row>
    <row r="129" spans="1:12" s="20" customFormat="1" ht="31.5">
      <c r="A129" s="33">
        <v>122</v>
      </c>
      <c r="B129" s="6" t="s">
        <v>122</v>
      </c>
      <c r="C129" s="30">
        <f t="shared" si="41"/>
        <v>1563.1</v>
      </c>
      <c r="D129" s="30">
        <f t="shared" si="38"/>
        <v>1718.9</v>
      </c>
      <c r="E129" s="30">
        <f t="shared" si="39"/>
        <v>155.8</v>
      </c>
      <c r="F129" s="30">
        <f t="shared" si="19"/>
        <v>110</v>
      </c>
      <c r="G129" s="30">
        <v>1563.1</v>
      </c>
      <c r="H129" s="30">
        <v>1708.9</v>
      </c>
      <c r="I129" s="30">
        <v>491.9</v>
      </c>
      <c r="J129" s="30">
        <v>504.6</v>
      </c>
      <c r="K129" s="30">
        <v>0</v>
      </c>
      <c r="L129" s="30">
        <v>10</v>
      </c>
    </row>
    <row r="130" spans="1:12" s="20" customFormat="1" ht="47.25">
      <c r="A130" s="33">
        <v>123</v>
      </c>
      <c r="B130" s="6" t="s">
        <v>297</v>
      </c>
      <c r="C130" s="30">
        <f t="shared" si="41"/>
        <v>71.5</v>
      </c>
      <c r="D130" s="30">
        <f t="shared" si="38"/>
        <v>71.4</v>
      </c>
      <c r="E130" s="30">
        <f t="shared" si="39"/>
        <v>-0.1</v>
      </c>
      <c r="F130" s="30">
        <f t="shared" si="19"/>
        <v>99.9</v>
      </c>
      <c r="G130" s="30">
        <v>71.5</v>
      </c>
      <c r="H130" s="30">
        <v>71.4</v>
      </c>
      <c r="I130" s="30">
        <v>0</v>
      </c>
      <c r="J130" s="30"/>
      <c r="K130" s="30">
        <v>0</v>
      </c>
      <c r="L130" s="30"/>
    </row>
    <row r="131" spans="1:12" s="20" customFormat="1" ht="31.5">
      <c r="A131" s="33">
        <v>124</v>
      </c>
      <c r="B131" s="6" t="s">
        <v>80</v>
      </c>
      <c r="C131" s="30">
        <f t="shared" si="41"/>
        <v>1720</v>
      </c>
      <c r="D131" s="30">
        <f t="shared" si="38"/>
        <v>1807.7</v>
      </c>
      <c r="E131" s="30">
        <f t="shared" si="39"/>
        <v>87.7</v>
      </c>
      <c r="F131" s="30">
        <f t="shared" si="19"/>
        <v>105.1</v>
      </c>
      <c r="G131" s="30">
        <v>1720</v>
      </c>
      <c r="H131" s="30">
        <v>1807.7</v>
      </c>
      <c r="I131" s="30">
        <v>0</v>
      </c>
      <c r="J131" s="30"/>
      <c r="K131" s="30">
        <v>0</v>
      </c>
      <c r="L131" s="30"/>
    </row>
    <row r="132" spans="1:12" ht="15.75">
      <c r="A132" s="33">
        <v>125</v>
      </c>
      <c r="B132" s="12" t="s">
        <v>285</v>
      </c>
      <c r="C132" s="29">
        <f aca="true" t="shared" si="42" ref="C132:L132">SUM(C134:C138)</f>
        <v>5755.8</v>
      </c>
      <c r="D132" s="29">
        <f t="shared" si="38"/>
        <v>5813.1</v>
      </c>
      <c r="E132" s="29">
        <f t="shared" si="39"/>
        <v>57.3</v>
      </c>
      <c r="F132" s="29">
        <f t="shared" si="19"/>
        <v>101</v>
      </c>
      <c r="G132" s="29">
        <f t="shared" si="42"/>
        <v>5755.8</v>
      </c>
      <c r="H132" s="29">
        <f t="shared" si="42"/>
        <v>5813.1</v>
      </c>
      <c r="I132" s="29">
        <f t="shared" si="42"/>
        <v>3441.2</v>
      </c>
      <c r="J132" s="29">
        <f t="shared" si="42"/>
        <v>3438</v>
      </c>
      <c r="K132" s="29">
        <f t="shared" si="42"/>
        <v>0</v>
      </c>
      <c r="L132" s="29">
        <f t="shared" si="42"/>
        <v>0</v>
      </c>
    </row>
    <row r="133" spans="1:12" ht="15.75">
      <c r="A133" s="33">
        <v>126</v>
      </c>
      <c r="B133" s="27" t="s">
        <v>14</v>
      </c>
      <c r="C133" s="30">
        <v>0</v>
      </c>
      <c r="D133" s="30">
        <f t="shared" si="38"/>
        <v>0</v>
      </c>
      <c r="E133" s="30">
        <f t="shared" si="39"/>
        <v>0</v>
      </c>
      <c r="F133" s="29"/>
      <c r="G133" s="30">
        <v>0</v>
      </c>
      <c r="H133" s="30"/>
      <c r="I133" s="30">
        <v>0</v>
      </c>
      <c r="J133" s="30"/>
      <c r="K133" s="30">
        <v>0</v>
      </c>
      <c r="L133" s="30"/>
    </row>
    <row r="134" spans="1:12" ht="31.5">
      <c r="A134" s="33">
        <v>127</v>
      </c>
      <c r="B134" s="24" t="s">
        <v>286</v>
      </c>
      <c r="C134" s="30">
        <f aca="true" t="shared" si="43" ref="C134:C139">+G134+K134</f>
        <v>480</v>
      </c>
      <c r="D134" s="30">
        <f t="shared" si="38"/>
        <v>475.9</v>
      </c>
      <c r="E134" s="30">
        <f t="shared" si="39"/>
        <v>-4.1</v>
      </c>
      <c r="F134" s="30">
        <f t="shared" si="19"/>
        <v>99.1</v>
      </c>
      <c r="G134" s="30">
        <v>480</v>
      </c>
      <c r="H134" s="30">
        <f>7.3+166.2+302.4</f>
        <v>475.9</v>
      </c>
      <c r="I134" s="30">
        <v>292.3</v>
      </c>
      <c r="J134" s="30">
        <f>5.6+126.8+156.7</f>
        <v>289.1</v>
      </c>
      <c r="K134" s="30">
        <v>0</v>
      </c>
      <c r="L134" s="30"/>
    </row>
    <row r="135" spans="1:12" ht="47.25">
      <c r="A135" s="33">
        <v>128</v>
      </c>
      <c r="B135" s="90" t="s">
        <v>287</v>
      </c>
      <c r="C135" s="30">
        <f t="shared" si="43"/>
        <v>4821</v>
      </c>
      <c r="D135" s="30">
        <f t="shared" si="38"/>
        <v>4820.6</v>
      </c>
      <c r="E135" s="30">
        <f t="shared" si="39"/>
        <v>-0.4</v>
      </c>
      <c r="F135" s="30">
        <f t="shared" si="19"/>
        <v>100</v>
      </c>
      <c r="G135" s="30">
        <v>4821</v>
      </c>
      <c r="H135" s="30">
        <v>4820.6</v>
      </c>
      <c r="I135" s="30">
        <v>3120.2</v>
      </c>
      <c r="J135" s="30">
        <v>3120.2</v>
      </c>
      <c r="K135" s="30">
        <v>0</v>
      </c>
      <c r="L135" s="30"/>
    </row>
    <row r="136" spans="1:12" s="20" customFormat="1" ht="31.5" customHeight="1">
      <c r="A136" s="33">
        <v>129</v>
      </c>
      <c r="B136" s="6" t="s">
        <v>288</v>
      </c>
      <c r="C136" s="30">
        <f t="shared" si="43"/>
        <v>120</v>
      </c>
      <c r="D136" s="30">
        <f t="shared" si="38"/>
        <v>145.9</v>
      </c>
      <c r="E136" s="30">
        <f t="shared" si="39"/>
        <v>25.9</v>
      </c>
      <c r="F136" s="30">
        <f t="shared" si="19"/>
        <v>121.6</v>
      </c>
      <c r="G136" s="30">
        <v>120</v>
      </c>
      <c r="H136" s="30">
        <v>145.9</v>
      </c>
      <c r="I136" s="30">
        <v>28.7</v>
      </c>
      <c r="J136" s="30">
        <v>28.7</v>
      </c>
      <c r="K136" s="30">
        <v>0</v>
      </c>
      <c r="L136" s="30"/>
    </row>
    <row r="137" spans="1:12" ht="31.5">
      <c r="A137" s="33">
        <v>130</v>
      </c>
      <c r="B137" s="6" t="s">
        <v>81</v>
      </c>
      <c r="C137" s="30">
        <f t="shared" si="43"/>
        <v>298</v>
      </c>
      <c r="D137" s="30">
        <f t="shared" si="38"/>
        <v>333.9</v>
      </c>
      <c r="E137" s="30">
        <f t="shared" si="39"/>
        <v>35.9</v>
      </c>
      <c r="F137" s="30">
        <f t="shared" si="19"/>
        <v>112</v>
      </c>
      <c r="G137" s="30">
        <v>298</v>
      </c>
      <c r="H137" s="30">
        <v>333.9</v>
      </c>
      <c r="I137" s="30">
        <v>0</v>
      </c>
      <c r="J137" s="30"/>
      <c r="K137" s="30">
        <v>0</v>
      </c>
      <c r="L137" s="30"/>
    </row>
    <row r="138" spans="1:12" ht="31.5">
      <c r="A138" s="33">
        <v>131</v>
      </c>
      <c r="B138" s="24" t="s">
        <v>124</v>
      </c>
      <c r="C138" s="30">
        <f t="shared" si="43"/>
        <v>36.8</v>
      </c>
      <c r="D138" s="30">
        <f t="shared" si="38"/>
        <v>36.8</v>
      </c>
      <c r="E138" s="30">
        <f t="shared" si="39"/>
        <v>0</v>
      </c>
      <c r="F138" s="30">
        <f t="shared" si="19"/>
        <v>100</v>
      </c>
      <c r="G138" s="30">
        <v>36.8</v>
      </c>
      <c r="H138" s="30">
        <v>36.8</v>
      </c>
      <c r="I138" s="30">
        <v>0</v>
      </c>
      <c r="J138" s="30"/>
      <c r="K138" s="30">
        <v>0</v>
      </c>
      <c r="L138" s="30"/>
    </row>
    <row r="139" spans="1:12" ht="47.25">
      <c r="A139" s="33">
        <v>132</v>
      </c>
      <c r="B139" s="24" t="s">
        <v>268</v>
      </c>
      <c r="C139" s="29">
        <f t="shared" si="43"/>
        <v>86.7</v>
      </c>
      <c r="D139" s="29">
        <f t="shared" si="38"/>
        <v>83.9</v>
      </c>
      <c r="E139" s="29">
        <f t="shared" si="39"/>
        <v>-2.8</v>
      </c>
      <c r="F139" s="29">
        <f>+D139/C139*100</f>
        <v>96.8</v>
      </c>
      <c r="G139" s="29">
        <v>83.2</v>
      </c>
      <c r="H139" s="29">
        <v>80.4</v>
      </c>
      <c r="I139" s="29">
        <v>4.7</v>
      </c>
      <c r="J139" s="29">
        <v>4.2</v>
      </c>
      <c r="K139" s="29">
        <v>3.5</v>
      </c>
      <c r="L139" s="29">
        <v>3.5</v>
      </c>
    </row>
    <row r="140" spans="1:12" ht="15" customHeight="1">
      <c r="A140" s="33">
        <v>133</v>
      </c>
      <c r="B140" s="12" t="s">
        <v>85</v>
      </c>
      <c r="C140" s="29">
        <f>+C119+C104+C91+C86+C45+C10+C8</f>
        <v>394972.5</v>
      </c>
      <c r="D140" s="29">
        <f t="shared" si="38"/>
        <v>382368.7</v>
      </c>
      <c r="E140" s="29">
        <f t="shared" si="39"/>
        <v>-12603.8</v>
      </c>
      <c r="F140" s="29">
        <f>+D140/C140*100</f>
        <v>96.8</v>
      </c>
      <c r="G140" s="29">
        <f aca="true" t="shared" si="44" ref="G140:L140">+G119+G104+G91+G86+G45+G10+G8</f>
        <v>371059.7</v>
      </c>
      <c r="H140" s="29">
        <f t="shared" si="44"/>
        <v>365308.9</v>
      </c>
      <c r="I140" s="29">
        <f t="shared" si="44"/>
        <v>156757.3</v>
      </c>
      <c r="J140" s="29">
        <f t="shared" si="44"/>
        <v>156274.3</v>
      </c>
      <c r="K140" s="29">
        <f t="shared" si="44"/>
        <v>23912.8</v>
      </c>
      <c r="L140" s="29">
        <f t="shared" si="44"/>
        <v>17059.8</v>
      </c>
    </row>
    <row r="141" spans="1:12" ht="15" customHeight="1">
      <c r="A141" s="33">
        <v>134</v>
      </c>
      <c r="B141" s="55" t="s">
        <v>14</v>
      </c>
      <c r="C141" s="102"/>
      <c r="D141" s="102">
        <f t="shared" si="38"/>
        <v>0</v>
      </c>
      <c r="E141" s="102">
        <f t="shared" si="39"/>
        <v>0</v>
      </c>
      <c r="F141" s="29"/>
      <c r="G141" s="102"/>
      <c r="H141" s="102"/>
      <c r="I141" s="102"/>
      <c r="J141" s="102"/>
      <c r="K141" s="102"/>
      <c r="L141" s="102"/>
    </row>
    <row r="142" spans="1:12" ht="31.5">
      <c r="A142" s="33">
        <v>135</v>
      </c>
      <c r="B142" s="56" t="s">
        <v>125</v>
      </c>
      <c r="C142" s="50">
        <f>+C17+C38+C42+C50+C83+C95+C112+C113+C123+C128+C135+C130</f>
        <v>154423.3</v>
      </c>
      <c r="D142" s="93">
        <f t="shared" si="38"/>
        <v>153329.1</v>
      </c>
      <c r="E142" s="93">
        <f t="shared" si="39"/>
        <v>-1094.2</v>
      </c>
      <c r="F142" s="30">
        <f>+D142/C142*100</f>
        <v>99.3</v>
      </c>
      <c r="G142" s="50">
        <f aca="true" t="shared" si="45" ref="G142:L142">+G17+G38+G42+G50+G83+G95+G112+G113+G123+G128+G135+G130</f>
        <v>153248.6</v>
      </c>
      <c r="H142" s="50">
        <f t="shared" si="45"/>
        <v>152206.6</v>
      </c>
      <c r="I142" s="50">
        <f t="shared" si="45"/>
        <v>86403.5</v>
      </c>
      <c r="J142" s="50">
        <f t="shared" si="45"/>
        <v>86176.4</v>
      </c>
      <c r="K142" s="50">
        <f t="shared" si="45"/>
        <v>1174.7</v>
      </c>
      <c r="L142" s="50">
        <f t="shared" si="45"/>
        <v>1122.5</v>
      </c>
    </row>
    <row r="144" spans="2:5" ht="15">
      <c r="B144" s="25"/>
      <c r="C144" s="25"/>
      <c r="D144" s="25"/>
      <c r="E144" s="25"/>
    </row>
  </sheetData>
  <sheetProtection/>
  <mergeCells count="14">
    <mergeCell ref="E3:E6"/>
    <mergeCell ref="F3:F6"/>
    <mergeCell ref="G3:L3"/>
    <mergeCell ref="G4:J4"/>
    <mergeCell ref="K4:L4"/>
    <mergeCell ref="G5:G6"/>
    <mergeCell ref="H5:H6"/>
    <mergeCell ref="I5:J5"/>
    <mergeCell ref="K5:K6"/>
    <mergeCell ref="L5:L6"/>
    <mergeCell ref="A3:A6"/>
    <mergeCell ref="B3:B6"/>
    <mergeCell ref="C3:C6"/>
    <mergeCell ref="D3:D6"/>
  </mergeCells>
  <printOptions/>
  <pageMargins left="0.7480314960629921" right="0.35433070866141736" top="0.7874015748031497" bottom="0.3937007874015748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7"/>
  <sheetViews>
    <sheetView showZeros="0" zoomScale="87" zoomScaleNormal="87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X60" sqref="X60"/>
    </sheetView>
  </sheetViews>
  <sheetFormatPr defaultColWidth="10.140625" defaultRowHeight="12.75"/>
  <cols>
    <col min="1" max="1" width="5.28125" style="0" customWidth="1"/>
    <col min="2" max="2" width="23.00390625" style="0" customWidth="1"/>
    <col min="3" max="3" width="18.00390625" style="0" customWidth="1"/>
    <col min="4" max="4" width="12.00390625" style="0" hidden="1" customWidth="1"/>
    <col min="5" max="5" width="11.00390625" style="0" hidden="1" customWidth="1"/>
    <col min="6" max="6" width="10.8515625" style="0" hidden="1" customWidth="1"/>
    <col min="7" max="7" width="9.00390625" style="0" hidden="1" customWidth="1"/>
    <col min="8" max="8" width="12.00390625" style="0" hidden="1" customWidth="1"/>
    <col min="9" max="9" width="11.00390625" style="0" hidden="1" customWidth="1"/>
    <col min="10" max="10" width="10.8515625" style="0" hidden="1" customWidth="1"/>
    <col min="11" max="11" width="9.00390625" style="0" hidden="1" customWidth="1"/>
    <col min="12" max="12" width="12.00390625" style="0" hidden="1" customWidth="1"/>
    <col min="13" max="13" width="11.00390625" style="0" hidden="1" customWidth="1"/>
    <col min="14" max="14" width="10.8515625" style="0" hidden="1" customWidth="1"/>
    <col min="15" max="15" width="9.00390625" style="0" hidden="1" customWidth="1"/>
    <col min="16" max="16" width="12.00390625" style="0" hidden="1" customWidth="1"/>
    <col min="17" max="17" width="11.00390625" style="0" hidden="1" customWidth="1"/>
    <col min="18" max="18" width="10.8515625" style="0" hidden="1" customWidth="1"/>
    <col min="19" max="19" width="9.00390625" style="0" hidden="1" customWidth="1"/>
    <col min="20" max="21" width="11.00390625" style="0" bestFit="1" customWidth="1"/>
    <col min="22" max="22" width="11.57421875" style="0" customWidth="1"/>
    <col min="23" max="23" width="9.140625" style="0" customWidth="1"/>
    <col min="24" max="27" width="11.00390625" style="0" bestFit="1" customWidth="1"/>
    <col min="28" max="29" width="10.28125" style="0" bestFit="1" customWidth="1"/>
  </cols>
  <sheetData>
    <row r="1" spans="1:26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1" t="s">
        <v>342</v>
      </c>
      <c r="Z1" s="1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Y2" s="1" t="s">
        <v>357</v>
      </c>
      <c r="Z2" s="1"/>
    </row>
    <row r="3" spans="1:26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Y3" s="1" t="s">
        <v>356</v>
      </c>
      <c r="Z3" s="1"/>
    </row>
    <row r="4" spans="1:19" ht="12" customHeight="1">
      <c r="A4" s="1"/>
      <c r="B4" s="1"/>
      <c r="C4" s="118" t="s">
        <v>302</v>
      </c>
      <c r="D4" s="118"/>
      <c r="E4" s="118"/>
      <c r="F4" s="1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18"/>
      <c r="D5" s="118"/>
      <c r="E5" s="118"/>
      <c r="F5" s="11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9" ht="21" customHeight="1">
      <c r="A6" s="1"/>
      <c r="B6" s="119" t="s">
        <v>358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</row>
    <row r="7" spans="1:19" ht="28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8" ht="15.75">
      <c r="A8" s="1"/>
      <c r="B8" s="14"/>
      <c r="C8" s="1"/>
      <c r="D8" s="17"/>
      <c r="E8" s="17"/>
      <c r="F8" s="1"/>
      <c r="G8" s="17"/>
      <c r="H8" s="17"/>
      <c r="I8" s="17"/>
      <c r="J8" s="1"/>
      <c r="K8" s="17"/>
      <c r="L8" s="17"/>
      <c r="M8" s="17"/>
      <c r="N8" s="1" t="s">
        <v>87</v>
      </c>
      <c r="O8" s="17"/>
      <c r="P8" s="17"/>
      <c r="Q8" s="17"/>
      <c r="R8" s="1"/>
      <c r="S8" s="17"/>
      <c r="AB8" s="60" t="s">
        <v>13</v>
      </c>
    </row>
    <row r="9" spans="1:29" ht="15.75" customHeight="1">
      <c r="A9" s="109" t="s">
        <v>1</v>
      </c>
      <c r="B9" s="110" t="s">
        <v>152</v>
      </c>
      <c r="C9" s="110" t="s">
        <v>153</v>
      </c>
      <c r="D9" s="120" t="s">
        <v>298</v>
      </c>
      <c r="E9" s="120"/>
      <c r="F9" s="120"/>
      <c r="G9" s="120"/>
      <c r="H9" s="121" t="s">
        <v>299</v>
      </c>
      <c r="I9" s="122"/>
      <c r="J9" s="122"/>
      <c r="K9" s="122"/>
      <c r="L9" s="123" t="s">
        <v>300</v>
      </c>
      <c r="M9" s="124"/>
      <c r="N9" s="124"/>
      <c r="O9" s="124"/>
      <c r="P9" s="121" t="s">
        <v>304</v>
      </c>
      <c r="Q9" s="122"/>
      <c r="R9" s="122"/>
      <c r="S9" s="122"/>
      <c r="T9" s="110" t="s">
        <v>345</v>
      </c>
      <c r="U9" s="110" t="s">
        <v>346</v>
      </c>
      <c r="V9" s="110" t="s">
        <v>347</v>
      </c>
      <c r="W9" s="111" t="s">
        <v>385</v>
      </c>
      <c r="X9" s="112" t="s">
        <v>348</v>
      </c>
      <c r="Y9" s="112"/>
      <c r="Z9" s="112"/>
      <c r="AA9" s="112"/>
      <c r="AB9" s="112"/>
      <c r="AC9" s="112"/>
    </row>
    <row r="10" spans="1:29" ht="15.75" customHeight="1">
      <c r="A10" s="109"/>
      <c r="B10" s="110"/>
      <c r="C10" s="110"/>
      <c r="D10" s="116" t="s">
        <v>85</v>
      </c>
      <c r="E10" s="112" t="s">
        <v>14</v>
      </c>
      <c r="F10" s="112"/>
      <c r="G10" s="112"/>
      <c r="H10" s="116" t="s">
        <v>85</v>
      </c>
      <c r="I10" s="112" t="s">
        <v>14</v>
      </c>
      <c r="J10" s="112"/>
      <c r="K10" s="112"/>
      <c r="L10" s="116" t="s">
        <v>85</v>
      </c>
      <c r="M10" s="112" t="s">
        <v>14</v>
      </c>
      <c r="N10" s="112"/>
      <c r="O10" s="112"/>
      <c r="P10" s="116" t="s">
        <v>85</v>
      </c>
      <c r="Q10" s="112" t="s">
        <v>14</v>
      </c>
      <c r="R10" s="112"/>
      <c r="S10" s="112"/>
      <c r="T10" s="110"/>
      <c r="U10" s="110"/>
      <c r="V10" s="110"/>
      <c r="W10" s="111"/>
      <c r="X10" s="110" t="s">
        <v>52</v>
      </c>
      <c r="Y10" s="110"/>
      <c r="Z10" s="110"/>
      <c r="AA10" s="110"/>
      <c r="AB10" s="110" t="s">
        <v>53</v>
      </c>
      <c r="AC10" s="110"/>
    </row>
    <row r="11" spans="1:29" ht="15.75" customHeight="1">
      <c r="A11" s="109"/>
      <c r="B11" s="110"/>
      <c r="C11" s="110"/>
      <c r="D11" s="116"/>
      <c r="E11" s="110" t="s">
        <v>52</v>
      </c>
      <c r="F11" s="110"/>
      <c r="G11" s="110" t="s">
        <v>88</v>
      </c>
      <c r="H11" s="116"/>
      <c r="I11" s="110" t="s">
        <v>52</v>
      </c>
      <c r="J11" s="110"/>
      <c r="K11" s="110" t="s">
        <v>88</v>
      </c>
      <c r="L11" s="116"/>
      <c r="M11" s="110" t="s">
        <v>52</v>
      </c>
      <c r="N11" s="110"/>
      <c r="O11" s="110" t="s">
        <v>88</v>
      </c>
      <c r="P11" s="116"/>
      <c r="Q11" s="110" t="s">
        <v>52</v>
      </c>
      <c r="R11" s="110"/>
      <c r="S11" s="110" t="s">
        <v>88</v>
      </c>
      <c r="T11" s="110"/>
      <c r="U11" s="110"/>
      <c r="V11" s="110"/>
      <c r="W11" s="111"/>
      <c r="X11" s="110" t="s">
        <v>349</v>
      </c>
      <c r="Y11" s="110" t="s">
        <v>346</v>
      </c>
      <c r="Z11" s="110" t="s">
        <v>350</v>
      </c>
      <c r="AA11" s="110"/>
      <c r="AB11" s="110" t="s">
        <v>351</v>
      </c>
      <c r="AC11" s="110" t="s">
        <v>346</v>
      </c>
    </row>
    <row r="12" spans="1:29" ht="47.25">
      <c r="A12" s="109"/>
      <c r="B12" s="110"/>
      <c r="C12" s="110"/>
      <c r="D12" s="116"/>
      <c r="E12" s="24" t="s">
        <v>9</v>
      </c>
      <c r="F12" s="24" t="s">
        <v>54</v>
      </c>
      <c r="G12" s="110"/>
      <c r="H12" s="116"/>
      <c r="I12" s="24" t="s">
        <v>9</v>
      </c>
      <c r="J12" s="24" t="s">
        <v>54</v>
      </c>
      <c r="K12" s="110"/>
      <c r="L12" s="116"/>
      <c r="M12" s="24" t="s">
        <v>9</v>
      </c>
      <c r="N12" s="24" t="s">
        <v>54</v>
      </c>
      <c r="O12" s="110"/>
      <c r="P12" s="116"/>
      <c r="Q12" s="24" t="s">
        <v>9</v>
      </c>
      <c r="R12" s="24" t="s">
        <v>54</v>
      </c>
      <c r="S12" s="110"/>
      <c r="T12" s="110"/>
      <c r="U12" s="110"/>
      <c r="V12" s="110"/>
      <c r="W12" s="111"/>
      <c r="X12" s="110"/>
      <c r="Y12" s="110"/>
      <c r="Z12" s="24" t="s">
        <v>349</v>
      </c>
      <c r="AA12" s="24" t="s">
        <v>346</v>
      </c>
      <c r="AB12" s="110"/>
      <c r="AC12" s="110"/>
    </row>
    <row r="13" spans="1:29" ht="15.75">
      <c r="A13" s="4">
        <v>1</v>
      </c>
      <c r="B13" s="26">
        <v>2</v>
      </c>
      <c r="C13" s="26">
        <v>3</v>
      </c>
      <c r="D13" s="13">
        <v>4</v>
      </c>
      <c r="E13" s="13">
        <v>5</v>
      </c>
      <c r="F13" s="13">
        <v>6</v>
      </c>
      <c r="G13" s="13">
        <v>7</v>
      </c>
      <c r="H13" s="13">
        <v>4</v>
      </c>
      <c r="I13" s="13">
        <v>5</v>
      </c>
      <c r="J13" s="13">
        <v>6</v>
      </c>
      <c r="K13" s="13">
        <v>7</v>
      </c>
      <c r="L13" s="13">
        <v>4</v>
      </c>
      <c r="M13" s="13">
        <v>5</v>
      </c>
      <c r="N13" s="13">
        <v>6</v>
      </c>
      <c r="O13" s="13">
        <v>7</v>
      </c>
      <c r="P13" s="13">
        <v>4</v>
      </c>
      <c r="Q13" s="13">
        <v>5</v>
      </c>
      <c r="R13" s="13">
        <v>6</v>
      </c>
      <c r="S13" s="13">
        <v>7</v>
      </c>
      <c r="T13" s="58">
        <v>4</v>
      </c>
      <c r="U13" s="59">
        <v>5</v>
      </c>
      <c r="V13" s="58">
        <v>6</v>
      </c>
      <c r="W13" s="59">
        <v>7</v>
      </c>
      <c r="X13" s="58">
        <v>8</v>
      </c>
      <c r="Y13" s="59">
        <v>9</v>
      </c>
      <c r="Z13" s="58">
        <v>10</v>
      </c>
      <c r="AA13" s="59">
        <v>11</v>
      </c>
      <c r="AB13" s="58">
        <v>12</v>
      </c>
      <c r="AC13" s="59">
        <v>13</v>
      </c>
    </row>
    <row r="14" spans="1:29" ht="57" customHeight="1">
      <c r="A14" s="43" t="s">
        <v>276</v>
      </c>
      <c r="B14" s="41" t="s">
        <v>89</v>
      </c>
      <c r="C14" s="27" t="s">
        <v>73</v>
      </c>
      <c r="D14" s="15">
        <f>+E14+G14</f>
        <v>896.3</v>
      </c>
      <c r="E14" s="15">
        <f>311.3-36</f>
        <v>275.3</v>
      </c>
      <c r="F14" s="15"/>
      <c r="G14" s="15">
        <v>621</v>
      </c>
      <c r="H14" s="15">
        <f>+I14+K14</f>
        <v>0</v>
      </c>
      <c r="I14" s="15"/>
      <c r="J14" s="15"/>
      <c r="K14" s="15"/>
      <c r="L14" s="15">
        <f>+M14+O14</f>
        <v>896.3</v>
      </c>
      <c r="M14" s="15">
        <f>+I14+E14</f>
        <v>275.3</v>
      </c>
      <c r="N14" s="15">
        <f>+J14+F14</f>
        <v>0</v>
      </c>
      <c r="O14" s="15">
        <f>+K14+G14</f>
        <v>621</v>
      </c>
      <c r="P14" s="15" t="e">
        <f>+Q14+S14</f>
        <v>#REF!</v>
      </c>
      <c r="Q14" s="15" t="e">
        <f>+'1 pr.asignavimai'!#REF!</f>
        <v>#REF!</v>
      </c>
      <c r="R14" s="15" t="e">
        <f>+'1 pr.asignavimai'!#REF!</f>
        <v>#REF!</v>
      </c>
      <c r="S14" s="15" t="e">
        <f>+'1 pr.asignavimai'!#REF!</f>
        <v>#REF!</v>
      </c>
      <c r="T14" s="92">
        <f>+'1 pr.asignavimai'!C87</f>
        <v>846.3</v>
      </c>
      <c r="U14" s="92">
        <f>+'1 pr.asignavimai'!D87</f>
        <v>474.1</v>
      </c>
      <c r="V14" s="92">
        <f>+'1 pr.asignavimai'!E87</f>
        <v>-372.2</v>
      </c>
      <c r="W14" s="92">
        <f>+U14/T14*100</f>
        <v>56</v>
      </c>
      <c r="X14" s="92">
        <f>+'1 pr.asignavimai'!G87</f>
        <v>279.6</v>
      </c>
      <c r="Y14" s="92">
        <f>+'1 pr.asignavimai'!H87</f>
        <v>250.5</v>
      </c>
      <c r="Z14" s="92">
        <f>+'1 pr.asignavimai'!I87</f>
        <v>0</v>
      </c>
      <c r="AA14" s="92">
        <f>+'1 pr.asignavimai'!J87</f>
        <v>0</v>
      </c>
      <c r="AB14" s="92">
        <f>+'1 pr.asignavimai'!K87</f>
        <v>566.7</v>
      </c>
      <c r="AC14" s="92">
        <f>+'1 pr.asignavimai'!L87</f>
        <v>223.6</v>
      </c>
    </row>
    <row r="15" spans="1:29" ht="56.25" customHeight="1">
      <c r="A15" s="43" t="s">
        <v>277</v>
      </c>
      <c r="B15" s="41" t="s">
        <v>90</v>
      </c>
      <c r="C15" s="27" t="s">
        <v>69</v>
      </c>
      <c r="D15" s="15">
        <f>+E15+G15</f>
        <v>1490.2</v>
      </c>
      <c r="E15" s="15">
        <v>341</v>
      </c>
      <c r="F15" s="15"/>
      <c r="G15" s="15">
        <v>1149.2</v>
      </c>
      <c r="H15" s="15">
        <f>+I15+K15</f>
        <v>0</v>
      </c>
      <c r="I15" s="15"/>
      <c r="J15" s="15"/>
      <c r="K15" s="15"/>
      <c r="L15" s="15">
        <f aca="true" t="shared" si="0" ref="L15:L53">+M15+O15</f>
        <v>1490.2</v>
      </c>
      <c r="M15" s="15">
        <f aca="true" t="shared" si="1" ref="M15:M53">+I15+E15</f>
        <v>341</v>
      </c>
      <c r="N15" s="15">
        <f aca="true" t="shared" si="2" ref="N15:N53">+J15+F15</f>
        <v>0</v>
      </c>
      <c r="O15" s="15">
        <f aca="true" t="shared" si="3" ref="O15:O53">+K15+G15</f>
        <v>1149.2</v>
      </c>
      <c r="P15" s="15" t="e">
        <f>+Q15+S15</f>
        <v>#REF!</v>
      </c>
      <c r="Q15" s="15" t="e">
        <f>+'1 pr.asignavimai'!#REF!</f>
        <v>#REF!</v>
      </c>
      <c r="R15" s="15" t="e">
        <f>+'1 pr.asignavimai'!#REF!</f>
        <v>#REF!</v>
      </c>
      <c r="S15" s="15" t="e">
        <f>+'1 pr.asignavimai'!#REF!</f>
        <v>#REF!</v>
      </c>
      <c r="T15" s="92">
        <f>+'1 pr.asignavimai'!C46</f>
        <v>1397.5</v>
      </c>
      <c r="U15" s="92">
        <f>+'1 pr.asignavimai'!D46</f>
        <v>936.4</v>
      </c>
      <c r="V15" s="92">
        <f>+'1 pr.asignavimai'!E46</f>
        <v>-461.1</v>
      </c>
      <c r="W15" s="92">
        <f aca="true" t="shared" si="4" ref="W15:W54">+U15/T15*100</f>
        <v>67</v>
      </c>
      <c r="X15" s="92">
        <f>+'1 pr.asignavimai'!G46</f>
        <v>341</v>
      </c>
      <c r="Y15" s="92">
        <f>+'1 pr.asignavimai'!H46</f>
        <v>340.1</v>
      </c>
      <c r="Z15" s="92">
        <f>+'1 pr.asignavimai'!I46</f>
        <v>0</v>
      </c>
      <c r="AA15" s="92">
        <f>+'1 pr.asignavimai'!J46</f>
        <v>0</v>
      </c>
      <c r="AB15" s="92">
        <f>+'1 pr.asignavimai'!K46</f>
        <v>1056.5</v>
      </c>
      <c r="AC15" s="92">
        <f>+'1 pr.asignavimai'!L46</f>
        <v>596.3</v>
      </c>
    </row>
    <row r="16" spans="1:29" ht="40.5" customHeight="1">
      <c r="A16" s="115" t="s">
        <v>127</v>
      </c>
      <c r="B16" s="114" t="s">
        <v>56</v>
      </c>
      <c r="C16" s="27" t="s">
        <v>4</v>
      </c>
      <c r="D16" s="8">
        <f>+E16+G16</f>
        <v>27072.6</v>
      </c>
      <c r="E16" s="8">
        <f>18999.6-26.9+36+40.5+2619.7</f>
        <v>21668.9</v>
      </c>
      <c r="F16" s="8">
        <f>8388.5-37.9+24.6+1716.9</f>
        <v>10092.1</v>
      </c>
      <c r="G16" s="8">
        <f>5376.8+26.9</f>
        <v>5403.7</v>
      </c>
      <c r="H16" s="8" t="e">
        <f>+I16+K16</f>
        <v>#REF!</v>
      </c>
      <c r="I16" s="8" t="e">
        <f>+'1 pr.asignavimai'!#REF!</f>
        <v>#REF!</v>
      </c>
      <c r="J16" s="8" t="e">
        <f>+'1 pr.asignavimai'!#REF!</f>
        <v>#REF!</v>
      </c>
      <c r="K16" s="8" t="e">
        <f>+'1 pr.asignavimai'!#REF!</f>
        <v>#REF!</v>
      </c>
      <c r="L16" s="8" t="e">
        <f t="shared" si="0"/>
        <v>#REF!</v>
      </c>
      <c r="M16" s="8" t="e">
        <f t="shared" si="1"/>
        <v>#REF!</v>
      </c>
      <c r="N16" s="8" t="e">
        <f t="shared" si="2"/>
        <v>#REF!</v>
      </c>
      <c r="O16" s="8" t="e">
        <f t="shared" si="3"/>
        <v>#REF!</v>
      </c>
      <c r="P16" s="8" t="e">
        <f>+Q16+S16</f>
        <v>#REF!</v>
      </c>
      <c r="Q16" s="8" t="e">
        <f>+'1 pr.asignavimai'!#REF!</f>
        <v>#REF!</v>
      </c>
      <c r="R16" s="8" t="e">
        <f>+'1 pr.asignavimai'!#REF!</f>
        <v>#REF!</v>
      </c>
      <c r="S16" s="8" t="e">
        <f>+'1 pr.asignavimai'!#REF!</f>
        <v>#REF!</v>
      </c>
      <c r="T16" s="93">
        <f>+'1 pr.asignavimai'!C11</f>
        <v>27055.7</v>
      </c>
      <c r="U16" s="93">
        <f>+'1 pr.asignavimai'!D11</f>
        <v>26188</v>
      </c>
      <c r="V16" s="93">
        <f>+'1 pr.asignavimai'!E11</f>
        <v>-867.7</v>
      </c>
      <c r="W16" s="93">
        <f t="shared" si="4"/>
        <v>96.8</v>
      </c>
      <c r="X16" s="93">
        <f>+'1 pr.asignavimai'!G11</f>
        <v>20753</v>
      </c>
      <c r="Y16" s="93">
        <f>+'1 pr.asignavimai'!H11</f>
        <v>19902.3</v>
      </c>
      <c r="Z16" s="93">
        <f>+'1 pr.asignavimai'!I11</f>
        <v>10213.5</v>
      </c>
      <c r="AA16" s="93">
        <f>+'1 pr.asignavimai'!J11</f>
        <v>10176.9</v>
      </c>
      <c r="AB16" s="93">
        <f>+'1 pr.asignavimai'!K11</f>
        <v>6302.7</v>
      </c>
      <c r="AC16" s="93">
        <f>+'1 pr.asignavimai'!L11</f>
        <v>6285.7</v>
      </c>
    </row>
    <row r="17" spans="1:29" ht="54.75" customHeight="1">
      <c r="A17" s="115"/>
      <c r="B17" s="114"/>
      <c r="C17" s="27" t="s">
        <v>69</v>
      </c>
      <c r="D17" s="8">
        <f>+E17+G17</f>
        <v>988.7</v>
      </c>
      <c r="E17" s="8">
        <v>988.7</v>
      </c>
      <c r="F17" s="8"/>
      <c r="G17" s="8"/>
      <c r="H17" s="8">
        <f>+I17+K17</f>
        <v>0</v>
      </c>
      <c r="I17" s="8"/>
      <c r="J17" s="8"/>
      <c r="K17" s="8"/>
      <c r="L17" s="8">
        <f t="shared" si="0"/>
        <v>988.7</v>
      </c>
      <c r="M17" s="8">
        <f t="shared" si="1"/>
        <v>988.7</v>
      </c>
      <c r="N17" s="8">
        <f t="shared" si="2"/>
        <v>0</v>
      </c>
      <c r="O17" s="8">
        <f t="shared" si="3"/>
        <v>0</v>
      </c>
      <c r="P17" s="8" t="e">
        <f>+Q17+S17</f>
        <v>#REF!</v>
      </c>
      <c r="Q17" s="8" t="e">
        <f>+'1 pr.asignavimai'!#REF!</f>
        <v>#REF!</v>
      </c>
      <c r="R17" s="8" t="e">
        <f>+'1 pr.asignavimai'!#REF!</f>
        <v>#REF!</v>
      </c>
      <c r="S17" s="8" t="e">
        <f>+'1 pr.asignavimai'!#REF!</f>
        <v>#REF!</v>
      </c>
      <c r="T17" s="93">
        <f>+'1 pr.asignavimai'!C50</f>
        <v>988.7</v>
      </c>
      <c r="U17" s="93">
        <f>+'1 pr.asignavimai'!D50</f>
        <v>921.8</v>
      </c>
      <c r="V17" s="93">
        <f>+'1 pr.asignavimai'!E50</f>
        <v>-66.9</v>
      </c>
      <c r="W17" s="93">
        <f t="shared" si="4"/>
        <v>93.2</v>
      </c>
      <c r="X17" s="93">
        <f>+'1 pr.asignavimai'!G50</f>
        <v>988.7</v>
      </c>
      <c r="Y17" s="93">
        <f>+'1 pr.asignavimai'!H50</f>
        <v>921.8</v>
      </c>
      <c r="Z17" s="93">
        <f>+'1 pr.asignavimai'!I50</f>
        <v>0</v>
      </c>
      <c r="AA17" s="93">
        <f>+'1 pr.asignavimai'!J50</f>
        <v>0</v>
      </c>
      <c r="AB17" s="93">
        <f>+'1 pr.asignavimai'!K50</f>
        <v>0</v>
      </c>
      <c r="AC17" s="93">
        <f>+'1 pr.asignavimai'!L50</f>
        <v>0</v>
      </c>
    </row>
    <row r="18" spans="1:29" ht="30" customHeight="1">
      <c r="A18" s="115"/>
      <c r="B18" s="114"/>
      <c r="C18" s="27" t="s">
        <v>126</v>
      </c>
      <c r="D18" s="15">
        <f aca="true" t="shared" si="5" ref="D18:K18">SUM(D16:D17)</f>
        <v>28061.3</v>
      </c>
      <c r="E18" s="15">
        <f t="shared" si="5"/>
        <v>22657.6</v>
      </c>
      <c r="F18" s="15">
        <f t="shared" si="5"/>
        <v>10092.1</v>
      </c>
      <c r="G18" s="15">
        <f t="shared" si="5"/>
        <v>5403.7</v>
      </c>
      <c r="H18" s="15" t="e">
        <f t="shared" si="5"/>
        <v>#REF!</v>
      </c>
      <c r="I18" s="15" t="e">
        <f t="shared" si="5"/>
        <v>#REF!</v>
      </c>
      <c r="J18" s="15" t="e">
        <f t="shared" si="5"/>
        <v>#REF!</v>
      </c>
      <c r="K18" s="15" t="e">
        <f t="shared" si="5"/>
        <v>#REF!</v>
      </c>
      <c r="L18" s="15" t="e">
        <f t="shared" si="0"/>
        <v>#REF!</v>
      </c>
      <c r="M18" s="15" t="e">
        <f t="shared" si="1"/>
        <v>#REF!</v>
      </c>
      <c r="N18" s="15" t="e">
        <f t="shared" si="2"/>
        <v>#REF!</v>
      </c>
      <c r="O18" s="15" t="e">
        <f t="shared" si="3"/>
        <v>#REF!</v>
      </c>
      <c r="P18" s="15" t="e">
        <f>SUM(P16:P17)</f>
        <v>#REF!</v>
      </c>
      <c r="Q18" s="15" t="e">
        <f>SUM(Q16:Q17)</f>
        <v>#REF!</v>
      </c>
      <c r="R18" s="15" t="e">
        <f>SUM(R16:R17)</f>
        <v>#REF!</v>
      </c>
      <c r="S18" s="15" t="e">
        <f>SUM(S16:S17)</f>
        <v>#REF!</v>
      </c>
      <c r="T18" s="92">
        <f>+T16+T17</f>
        <v>28044.4</v>
      </c>
      <c r="U18" s="92">
        <f aca="true" t="shared" si="6" ref="U18:AC18">+U16+U17</f>
        <v>27109.8</v>
      </c>
      <c r="V18" s="92">
        <f t="shared" si="6"/>
        <v>-934.6</v>
      </c>
      <c r="W18" s="92">
        <f t="shared" si="4"/>
        <v>96.7</v>
      </c>
      <c r="X18" s="92">
        <f t="shared" si="6"/>
        <v>21741.7</v>
      </c>
      <c r="Y18" s="92">
        <f t="shared" si="6"/>
        <v>20824.1</v>
      </c>
      <c r="Z18" s="92">
        <f t="shared" si="6"/>
        <v>10213.5</v>
      </c>
      <c r="AA18" s="92">
        <f t="shared" si="6"/>
        <v>10176.9</v>
      </c>
      <c r="AB18" s="92">
        <f t="shared" si="6"/>
        <v>6302.7</v>
      </c>
      <c r="AC18" s="92">
        <f t="shared" si="6"/>
        <v>6285.7</v>
      </c>
    </row>
    <row r="19" spans="1:29" ht="50.25" customHeight="1">
      <c r="A19" s="43" t="s">
        <v>128</v>
      </c>
      <c r="B19" s="41" t="s">
        <v>272</v>
      </c>
      <c r="C19" s="27" t="s">
        <v>69</v>
      </c>
      <c r="D19" s="15">
        <f>+E19+G19</f>
        <v>2431.6</v>
      </c>
      <c r="E19" s="15">
        <v>151.9</v>
      </c>
      <c r="F19" s="15"/>
      <c r="G19" s="15">
        <v>2279.7</v>
      </c>
      <c r="H19" s="15">
        <f>+I19+K19</f>
        <v>0</v>
      </c>
      <c r="I19" s="15"/>
      <c r="J19" s="15"/>
      <c r="K19" s="15"/>
      <c r="L19" s="15">
        <f t="shared" si="0"/>
        <v>2431.6</v>
      </c>
      <c r="M19" s="15">
        <f t="shared" si="1"/>
        <v>151.9</v>
      </c>
      <c r="N19" s="15">
        <f t="shared" si="2"/>
        <v>0</v>
      </c>
      <c r="O19" s="15">
        <f t="shared" si="3"/>
        <v>2279.7</v>
      </c>
      <c r="P19" s="15" t="e">
        <f>+Q19+S19</f>
        <v>#REF!</v>
      </c>
      <c r="Q19" s="15" t="e">
        <f>+'1 pr.asignavimai'!#REF!</f>
        <v>#REF!</v>
      </c>
      <c r="R19" s="15" t="e">
        <f>+'1 pr.asignavimai'!#REF!</f>
        <v>#REF!</v>
      </c>
      <c r="S19" s="15" t="e">
        <f>+'1 pr.asignavimai'!#REF!</f>
        <v>#REF!</v>
      </c>
      <c r="T19" s="92">
        <f>+'1 pr.asignavimai'!C54</f>
        <v>2431.6</v>
      </c>
      <c r="U19" s="92">
        <f>+'1 pr.asignavimai'!D54</f>
        <v>603.6</v>
      </c>
      <c r="V19" s="92">
        <f>+'1 pr.asignavimai'!E54</f>
        <v>-1828</v>
      </c>
      <c r="W19" s="92">
        <f t="shared" si="4"/>
        <v>24.8</v>
      </c>
      <c r="X19" s="92">
        <f>+'1 pr.asignavimai'!G54</f>
        <v>151.9</v>
      </c>
      <c r="Y19" s="92">
        <f>+'1 pr.asignavimai'!H54</f>
        <v>140.6</v>
      </c>
      <c r="Z19" s="92">
        <f>+'1 pr.asignavimai'!I54</f>
        <v>1</v>
      </c>
      <c r="AA19" s="92">
        <f>+'1 pr.asignavimai'!J54</f>
        <v>0.5</v>
      </c>
      <c r="AB19" s="92">
        <f>+'1 pr.asignavimai'!K54</f>
        <v>2279.7</v>
      </c>
      <c r="AC19" s="92">
        <f>+'1 pr.asignavimai'!L54</f>
        <v>463</v>
      </c>
    </row>
    <row r="20" spans="1:29" ht="47.25">
      <c r="A20" s="113" t="s">
        <v>129</v>
      </c>
      <c r="B20" s="117" t="s">
        <v>75</v>
      </c>
      <c r="C20" s="27" t="s">
        <v>69</v>
      </c>
      <c r="D20" s="8">
        <f>+E20+G20</f>
        <v>780.2</v>
      </c>
      <c r="E20" s="8">
        <v>253.8</v>
      </c>
      <c r="F20" s="8"/>
      <c r="G20" s="8">
        <v>526.4</v>
      </c>
      <c r="H20" s="8">
        <f>+I20+K20</f>
        <v>0</v>
      </c>
      <c r="I20" s="8"/>
      <c r="J20" s="8"/>
      <c r="K20" s="8"/>
      <c r="L20" s="8">
        <f t="shared" si="0"/>
        <v>780.2</v>
      </c>
      <c r="M20" s="8">
        <f t="shared" si="1"/>
        <v>253.8</v>
      </c>
      <c r="N20" s="8">
        <f t="shared" si="2"/>
        <v>0</v>
      </c>
      <c r="O20" s="8">
        <f t="shared" si="3"/>
        <v>526.4</v>
      </c>
      <c r="P20" s="8" t="e">
        <f>+Q20+S20</f>
        <v>#REF!</v>
      </c>
      <c r="Q20" s="8" t="e">
        <f>+'1 pr.asignavimai'!#REF!</f>
        <v>#REF!</v>
      </c>
      <c r="R20" s="8" t="e">
        <f>+'1 pr.asignavimai'!#REF!</f>
        <v>#REF!</v>
      </c>
      <c r="S20" s="8" t="e">
        <f>+'1 pr.asignavimai'!#REF!</f>
        <v>#REF!</v>
      </c>
      <c r="T20" s="93">
        <f>+'1 pr.asignavimai'!C58</f>
        <v>657.8</v>
      </c>
      <c r="U20" s="93">
        <f>+'1 pr.asignavimai'!D58</f>
        <v>72.7</v>
      </c>
      <c r="V20" s="93">
        <f>+'1 pr.asignavimai'!E58</f>
        <v>-585.1</v>
      </c>
      <c r="W20" s="93">
        <f t="shared" si="4"/>
        <v>11.1</v>
      </c>
      <c r="X20" s="93">
        <f>+'1 pr.asignavimai'!G58</f>
        <v>131.4</v>
      </c>
      <c r="Y20" s="93">
        <f>+'1 pr.asignavimai'!H58</f>
        <v>0</v>
      </c>
      <c r="Z20" s="93">
        <f>+'1 pr.asignavimai'!I58</f>
        <v>0</v>
      </c>
      <c r="AA20" s="93">
        <f>+'1 pr.asignavimai'!J58</f>
        <v>0</v>
      </c>
      <c r="AB20" s="93">
        <f>+'1 pr.asignavimai'!K58</f>
        <v>526.4</v>
      </c>
      <c r="AC20" s="93">
        <f>+'1 pr.asignavimai'!L58</f>
        <v>72.7</v>
      </c>
    </row>
    <row r="21" spans="1:29" ht="47.25">
      <c r="A21" s="113"/>
      <c r="B21" s="117"/>
      <c r="C21" s="27" t="s">
        <v>73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3">
        <f>+'1 pr.asignavimai'!C88</f>
        <v>0</v>
      </c>
      <c r="U21" s="93">
        <f>+'1 pr.asignavimai'!D88</f>
        <v>44</v>
      </c>
      <c r="V21" s="93">
        <f>+'1 pr.asignavimai'!E88</f>
        <v>44</v>
      </c>
      <c r="W21" s="93"/>
      <c r="X21" s="93">
        <f>+'1 pr.asignavimai'!G88</f>
        <v>0</v>
      </c>
      <c r="Y21" s="93">
        <f>+'1 pr.asignavimai'!H88</f>
        <v>0</v>
      </c>
      <c r="Z21" s="93">
        <f>+'1 pr.asignavimai'!I88</f>
        <v>0</v>
      </c>
      <c r="AA21" s="93">
        <f>+'1 pr.asignavimai'!J88</f>
        <v>0</v>
      </c>
      <c r="AB21" s="93">
        <f>+'1 pr.asignavimai'!K88</f>
        <v>0</v>
      </c>
      <c r="AC21" s="93">
        <f>+'1 pr.asignavimai'!L88</f>
        <v>44</v>
      </c>
    </row>
    <row r="22" spans="1:29" ht="31.5">
      <c r="A22" s="113"/>
      <c r="B22" s="117"/>
      <c r="C22" s="27" t="s">
        <v>10</v>
      </c>
      <c r="D22" s="8">
        <f>+E22+G22</f>
        <v>16501.9</v>
      </c>
      <c r="E22" s="8">
        <f>16004.1+411.8</f>
        <v>16415.9</v>
      </c>
      <c r="F22" s="8"/>
      <c r="G22" s="8">
        <v>86</v>
      </c>
      <c r="H22" s="8">
        <f>+I22+K22</f>
        <v>0</v>
      </c>
      <c r="I22" s="8"/>
      <c r="J22" s="8"/>
      <c r="K22" s="8"/>
      <c r="L22" s="8">
        <f t="shared" si="0"/>
        <v>16501.9</v>
      </c>
      <c r="M22" s="8">
        <f t="shared" si="1"/>
        <v>16415.9</v>
      </c>
      <c r="N22" s="8">
        <f t="shared" si="2"/>
        <v>0</v>
      </c>
      <c r="O22" s="8">
        <f t="shared" si="3"/>
        <v>86</v>
      </c>
      <c r="P22" s="8" t="e">
        <f>+Q22+S22</f>
        <v>#REF!</v>
      </c>
      <c r="Q22" s="8" t="e">
        <f>+'1 pr.asignavimai'!#REF!</f>
        <v>#REF!</v>
      </c>
      <c r="R22" s="8" t="e">
        <f>+'1 pr.asignavimai'!#REF!</f>
        <v>#REF!</v>
      </c>
      <c r="S22" s="8" t="e">
        <f>+'1 pr.asignavimai'!#REF!</f>
        <v>#REF!</v>
      </c>
      <c r="T22" s="93">
        <f>+'1 pr.asignavimai'!C92</f>
        <v>16627.9</v>
      </c>
      <c r="U22" s="93">
        <f>+'1 pr.asignavimai'!D92</f>
        <v>15198.5</v>
      </c>
      <c r="V22" s="93">
        <f>+'1 pr.asignavimai'!E92</f>
        <v>-1429.4</v>
      </c>
      <c r="W22" s="93">
        <f t="shared" si="4"/>
        <v>91.4</v>
      </c>
      <c r="X22" s="93">
        <f>+'1 pr.asignavimai'!G92</f>
        <v>16541.9</v>
      </c>
      <c r="Y22" s="93">
        <f>+'1 pr.asignavimai'!H92</f>
        <v>15114.1</v>
      </c>
      <c r="Z22" s="93">
        <f>+'1 pr.asignavimai'!I92</f>
        <v>0</v>
      </c>
      <c r="AA22" s="93">
        <f>+'1 pr.asignavimai'!J92</f>
        <v>0</v>
      </c>
      <c r="AB22" s="93">
        <f>+'1 pr.asignavimai'!K92</f>
        <v>86</v>
      </c>
      <c r="AC22" s="93">
        <f>+'1 pr.asignavimai'!L92</f>
        <v>84.4</v>
      </c>
    </row>
    <row r="23" spans="1:29" ht="24" customHeight="1">
      <c r="A23" s="113"/>
      <c r="B23" s="117"/>
      <c r="C23" s="27" t="s">
        <v>126</v>
      </c>
      <c r="D23" s="15">
        <f aca="true" t="shared" si="7" ref="D23:K23">+D20+D22</f>
        <v>17282.1</v>
      </c>
      <c r="E23" s="15">
        <f t="shared" si="7"/>
        <v>16669.7</v>
      </c>
      <c r="F23" s="15">
        <f t="shared" si="7"/>
        <v>0</v>
      </c>
      <c r="G23" s="15">
        <f t="shared" si="7"/>
        <v>612.4</v>
      </c>
      <c r="H23" s="15">
        <f t="shared" si="7"/>
        <v>0</v>
      </c>
      <c r="I23" s="15">
        <f t="shared" si="7"/>
        <v>0</v>
      </c>
      <c r="J23" s="15">
        <f t="shared" si="7"/>
        <v>0</v>
      </c>
      <c r="K23" s="15">
        <f t="shared" si="7"/>
        <v>0</v>
      </c>
      <c r="L23" s="15">
        <f t="shared" si="0"/>
        <v>17282.1</v>
      </c>
      <c r="M23" s="15">
        <f t="shared" si="1"/>
        <v>16669.7</v>
      </c>
      <c r="N23" s="15">
        <f t="shared" si="2"/>
        <v>0</v>
      </c>
      <c r="O23" s="15">
        <f t="shared" si="3"/>
        <v>612.4</v>
      </c>
      <c r="P23" s="15" t="e">
        <f>+P20+P22</f>
        <v>#REF!</v>
      </c>
      <c r="Q23" s="15" t="e">
        <f>+Q20+Q22</f>
        <v>#REF!</v>
      </c>
      <c r="R23" s="15" t="e">
        <f>+R20+R22</f>
        <v>#REF!</v>
      </c>
      <c r="S23" s="15" t="e">
        <f>+S20+S22</f>
        <v>#REF!</v>
      </c>
      <c r="T23" s="92">
        <f>+T20+T21+T22</f>
        <v>17285.7</v>
      </c>
      <c r="U23" s="92">
        <f>+U20+U21+U22</f>
        <v>15315.2</v>
      </c>
      <c r="V23" s="92">
        <f>+V20+V21+V22</f>
        <v>-1970.5</v>
      </c>
      <c r="W23" s="92">
        <f t="shared" si="4"/>
        <v>88.6</v>
      </c>
      <c r="X23" s="92">
        <f aca="true" t="shared" si="8" ref="X23:AC23">+X20+X21+X22</f>
        <v>16673.3</v>
      </c>
      <c r="Y23" s="92">
        <f t="shared" si="8"/>
        <v>15114.1</v>
      </c>
      <c r="Z23" s="92">
        <f t="shared" si="8"/>
        <v>0</v>
      </c>
      <c r="AA23" s="92">
        <f t="shared" si="8"/>
        <v>0</v>
      </c>
      <c r="AB23" s="92">
        <f t="shared" si="8"/>
        <v>612.4</v>
      </c>
      <c r="AC23" s="92">
        <f t="shared" si="8"/>
        <v>201.1</v>
      </c>
    </row>
    <row r="24" spans="1:29" ht="32.25" customHeight="1">
      <c r="A24" s="113" t="s">
        <v>130</v>
      </c>
      <c r="B24" s="114" t="s">
        <v>92</v>
      </c>
      <c r="C24" s="27" t="s">
        <v>4</v>
      </c>
      <c r="D24" s="8">
        <f>+E24+G24</f>
        <v>233.3</v>
      </c>
      <c r="E24" s="8">
        <v>233.3</v>
      </c>
      <c r="F24" s="8"/>
      <c r="G24" s="15"/>
      <c r="H24" s="8">
        <f>+I24+K24</f>
        <v>0</v>
      </c>
      <c r="I24" s="8"/>
      <c r="J24" s="8"/>
      <c r="K24" s="15"/>
      <c r="L24" s="8">
        <f t="shared" si="0"/>
        <v>233.3</v>
      </c>
      <c r="M24" s="8">
        <f t="shared" si="1"/>
        <v>233.3</v>
      </c>
      <c r="N24" s="8">
        <f t="shared" si="2"/>
        <v>0</v>
      </c>
      <c r="O24" s="8">
        <f t="shared" si="3"/>
        <v>0</v>
      </c>
      <c r="P24" s="8" t="e">
        <f>+Q24+S24</f>
        <v>#REF!</v>
      </c>
      <c r="Q24" s="8" t="e">
        <f>+'1 pr.asignavimai'!#REF!</f>
        <v>#REF!</v>
      </c>
      <c r="R24" s="8" t="e">
        <f>+'1 pr.asignavimai'!#REF!</f>
        <v>#REF!</v>
      </c>
      <c r="S24" s="8" t="e">
        <f>+'1 pr.asignavimai'!#REF!</f>
        <v>#REF!</v>
      </c>
      <c r="T24" s="93">
        <f>+'1 pr.asignavimai'!C35</f>
        <v>233.3</v>
      </c>
      <c r="U24" s="93">
        <f>+'1 pr.asignavimai'!D35</f>
        <v>233.3</v>
      </c>
      <c r="V24" s="93">
        <f>+'1 pr.asignavimai'!E35</f>
        <v>0</v>
      </c>
      <c r="W24" s="93">
        <f t="shared" si="4"/>
        <v>100</v>
      </c>
      <c r="X24" s="93">
        <f>+'1 pr.asignavimai'!G35</f>
        <v>233.3</v>
      </c>
      <c r="Y24" s="93">
        <f>+'1 pr.asignavimai'!H35</f>
        <v>233.3</v>
      </c>
      <c r="Z24" s="93">
        <f>+'1 pr.asignavimai'!I35</f>
        <v>0</v>
      </c>
      <c r="AA24" s="93">
        <f>+'1 pr.asignavimai'!J35</f>
        <v>0</v>
      </c>
      <c r="AB24" s="93">
        <f>+'1 pr.asignavimai'!K35</f>
        <v>0</v>
      </c>
      <c r="AC24" s="93">
        <f>+'1 pr.asignavimai'!L35</f>
        <v>0</v>
      </c>
    </row>
    <row r="25" spans="1:29" ht="48" customHeight="1">
      <c r="A25" s="113"/>
      <c r="B25" s="114"/>
      <c r="C25" s="27" t="s">
        <v>69</v>
      </c>
      <c r="D25" s="8">
        <f>+E25+G25</f>
        <v>1082.6</v>
      </c>
      <c r="E25" s="8">
        <v>7.3</v>
      </c>
      <c r="F25" s="8"/>
      <c r="G25" s="8">
        <f>41.4+1033.9</f>
        <v>1075.3</v>
      </c>
      <c r="H25" s="8">
        <f>+I25+K25</f>
        <v>0</v>
      </c>
      <c r="I25" s="8"/>
      <c r="J25" s="8"/>
      <c r="K25" s="8"/>
      <c r="L25" s="8">
        <f t="shared" si="0"/>
        <v>1082.6</v>
      </c>
      <c r="M25" s="8">
        <f t="shared" si="1"/>
        <v>7.3</v>
      </c>
      <c r="N25" s="8">
        <f t="shared" si="2"/>
        <v>0</v>
      </c>
      <c r="O25" s="8">
        <f t="shared" si="3"/>
        <v>1075.3</v>
      </c>
      <c r="P25" s="8" t="e">
        <f>+Q25+S25</f>
        <v>#REF!</v>
      </c>
      <c r="Q25" s="8" t="e">
        <f>+'1 pr.asignavimai'!#REF!</f>
        <v>#REF!</v>
      </c>
      <c r="R25" s="8" t="e">
        <f>+'1 pr.asignavimai'!#REF!</f>
        <v>#REF!</v>
      </c>
      <c r="S25" s="8" t="e">
        <f>+'1 pr.asignavimai'!#REF!</f>
        <v>#REF!</v>
      </c>
      <c r="T25" s="93">
        <f>+'1 pr.asignavimai'!C61</f>
        <v>1143</v>
      </c>
      <c r="U25" s="93">
        <f>+'1 pr.asignavimai'!D61</f>
        <v>694.2</v>
      </c>
      <c r="V25" s="93">
        <f>+'1 pr.asignavimai'!E61</f>
        <v>-448.8</v>
      </c>
      <c r="W25" s="93">
        <f t="shared" si="4"/>
        <v>60.7</v>
      </c>
      <c r="X25" s="93">
        <f>+'1 pr.asignavimai'!G61</f>
        <v>7.3</v>
      </c>
      <c r="Y25" s="93">
        <f>+'1 pr.asignavimai'!H61</f>
        <v>6.6</v>
      </c>
      <c r="Z25" s="93">
        <f>+'1 pr.asignavimai'!I61</f>
        <v>0</v>
      </c>
      <c r="AA25" s="93">
        <f>+'1 pr.asignavimai'!J61</f>
        <v>0</v>
      </c>
      <c r="AB25" s="93">
        <f>+'1 pr.asignavimai'!K61</f>
        <v>1135.7</v>
      </c>
      <c r="AC25" s="93">
        <f>+'1 pr.asignavimai'!L61</f>
        <v>687.6</v>
      </c>
    </row>
    <row r="26" spans="1:29" ht="34.5" customHeight="1">
      <c r="A26" s="113"/>
      <c r="B26" s="114"/>
      <c r="C26" s="27" t="s">
        <v>10</v>
      </c>
      <c r="D26" s="8">
        <f>+E26+G26</f>
        <v>16653.8</v>
      </c>
      <c r="E26" s="8">
        <f>16523.4+130.4</f>
        <v>16653.8</v>
      </c>
      <c r="F26" s="8"/>
      <c r="G26" s="8"/>
      <c r="H26" s="8" t="e">
        <f>+I26+K26</f>
        <v>#REF!</v>
      </c>
      <c r="I26" s="8" t="e">
        <f>+'1 pr.asignavimai'!#REF!</f>
        <v>#REF!</v>
      </c>
      <c r="J26" s="8" t="e">
        <f>+'1 pr.asignavimai'!#REF!</f>
        <v>#REF!</v>
      </c>
      <c r="K26" s="8" t="e">
        <f>+'1 pr.asignavimai'!#REF!</f>
        <v>#REF!</v>
      </c>
      <c r="L26" s="8" t="e">
        <f t="shared" si="0"/>
        <v>#REF!</v>
      </c>
      <c r="M26" s="8" t="e">
        <f t="shared" si="1"/>
        <v>#REF!</v>
      </c>
      <c r="N26" s="8" t="e">
        <f t="shared" si="2"/>
        <v>#REF!</v>
      </c>
      <c r="O26" s="8" t="e">
        <f t="shared" si="3"/>
        <v>#REF!</v>
      </c>
      <c r="P26" s="8" t="e">
        <f>+Q26+S26</f>
        <v>#REF!</v>
      </c>
      <c r="Q26" s="8" t="e">
        <f>+'1 pr.asignavimai'!#REF!</f>
        <v>#REF!</v>
      </c>
      <c r="R26" s="8" t="e">
        <f>+'1 pr.asignavimai'!#REF!</f>
        <v>#REF!</v>
      </c>
      <c r="S26" s="8" t="e">
        <f>+'1 pr.asignavimai'!#REF!</f>
        <v>#REF!</v>
      </c>
      <c r="T26" s="93">
        <f>+'1 pr.asignavimai'!C97</f>
        <v>19477.7</v>
      </c>
      <c r="U26" s="93">
        <f>+'1 pr.asignavimai'!D97</f>
        <v>19438.2</v>
      </c>
      <c r="V26" s="93">
        <f>+'1 pr.asignavimai'!E97</f>
        <v>-39.5</v>
      </c>
      <c r="W26" s="93">
        <f t="shared" si="4"/>
        <v>99.8</v>
      </c>
      <c r="X26" s="93">
        <f>+'1 pr.asignavimai'!G97</f>
        <v>19422</v>
      </c>
      <c r="Y26" s="93">
        <f>+'1 pr.asignavimai'!H97</f>
        <v>19398.1</v>
      </c>
      <c r="Z26" s="93">
        <f>+'1 pr.asignavimai'!I97</f>
        <v>0</v>
      </c>
      <c r="AA26" s="93">
        <f>+'1 pr.asignavimai'!J97</f>
        <v>0</v>
      </c>
      <c r="AB26" s="93">
        <f>+'1 pr.asignavimai'!K97</f>
        <v>55.7</v>
      </c>
      <c r="AC26" s="93">
        <f>+'1 pr.asignavimai'!L97</f>
        <v>40.1</v>
      </c>
    </row>
    <row r="27" spans="1:29" ht="27.75" customHeight="1">
      <c r="A27" s="113"/>
      <c r="B27" s="114"/>
      <c r="C27" s="27" t="s">
        <v>126</v>
      </c>
      <c r="D27" s="15">
        <f aca="true" t="shared" si="9" ref="D27:K27">SUM(D24:D26)</f>
        <v>17969.7</v>
      </c>
      <c r="E27" s="15">
        <f t="shared" si="9"/>
        <v>16894.4</v>
      </c>
      <c r="F27" s="15">
        <f t="shared" si="9"/>
        <v>0</v>
      </c>
      <c r="G27" s="15">
        <f t="shared" si="9"/>
        <v>1075.3</v>
      </c>
      <c r="H27" s="15" t="e">
        <f t="shared" si="9"/>
        <v>#REF!</v>
      </c>
      <c r="I27" s="15" t="e">
        <f t="shared" si="9"/>
        <v>#REF!</v>
      </c>
      <c r="J27" s="15" t="e">
        <f t="shared" si="9"/>
        <v>#REF!</v>
      </c>
      <c r="K27" s="15" t="e">
        <f t="shared" si="9"/>
        <v>#REF!</v>
      </c>
      <c r="L27" s="15" t="e">
        <f t="shared" si="0"/>
        <v>#REF!</v>
      </c>
      <c r="M27" s="15" t="e">
        <f t="shared" si="1"/>
        <v>#REF!</v>
      </c>
      <c r="N27" s="15" t="e">
        <f t="shared" si="2"/>
        <v>#REF!</v>
      </c>
      <c r="O27" s="15" t="e">
        <f t="shared" si="3"/>
        <v>#REF!</v>
      </c>
      <c r="P27" s="15" t="e">
        <f>SUM(P24:P26)</f>
        <v>#REF!</v>
      </c>
      <c r="Q27" s="15" t="e">
        <f>SUM(Q24:Q26)</f>
        <v>#REF!</v>
      </c>
      <c r="R27" s="15" t="e">
        <f>SUM(R24:R26)</f>
        <v>#REF!</v>
      </c>
      <c r="S27" s="15" t="e">
        <f>SUM(S24:S26)</f>
        <v>#REF!</v>
      </c>
      <c r="T27" s="92">
        <f>+T24+T25+T26</f>
        <v>20854</v>
      </c>
      <c r="U27" s="92">
        <f>+U24+U25+U26</f>
        <v>20365.7</v>
      </c>
      <c r="V27" s="92">
        <f>+V24+V25+V26</f>
        <v>-488.3</v>
      </c>
      <c r="W27" s="92">
        <f t="shared" si="4"/>
        <v>97.7</v>
      </c>
      <c r="X27" s="92">
        <f aca="true" t="shared" si="10" ref="X27:AC27">+X24+X25+X26</f>
        <v>19662.6</v>
      </c>
      <c r="Y27" s="92">
        <f t="shared" si="10"/>
        <v>19638</v>
      </c>
      <c r="Z27" s="92">
        <f t="shared" si="10"/>
        <v>0</v>
      </c>
      <c r="AA27" s="92">
        <f t="shared" si="10"/>
        <v>0</v>
      </c>
      <c r="AB27" s="92">
        <f t="shared" si="10"/>
        <v>1191.4</v>
      </c>
      <c r="AC27" s="92">
        <f t="shared" si="10"/>
        <v>727.7</v>
      </c>
    </row>
    <row r="28" spans="1:29" ht="30.75" customHeight="1">
      <c r="A28" s="113" t="s">
        <v>131</v>
      </c>
      <c r="B28" s="114" t="s">
        <v>93</v>
      </c>
      <c r="C28" s="27" t="s">
        <v>4</v>
      </c>
      <c r="D28" s="8">
        <f>+E28+G28</f>
        <v>350.2</v>
      </c>
      <c r="E28" s="8">
        <v>350.2</v>
      </c>
      <c r="F28" s="15"/>
      <c r="G28" s="15"/>
      <c r="H28" s="8" t="e">
        <f>+I28+K28</f>
        <v>#REF!</v>
      </c>
      <c r="I28" s="8" t="e">
        <f>+'1 pr.asignavimai'!#REF!</f>
        <v>#REF!</v>
      </c>
      <c r="J28" s="8" t="e">
        <f>+'1 pr.asignavimai'!#REF!</f>
        <v>#REF!</v>
      </c>
      <c r="K28" s="8" t="e">
        <f>+'1 pr.asignavimai'!#REF!</f>
        <v>#REF!</v>
      </c>
      <c r="L28" s="8" t="e">
        <f t="shared" si="0"/>
        <v>#REF!</v>
      </c>
      <c r="M28" s="8" t="e">
        <f t="shared" si="1"/>
        <v>#REF!</v>
      </c>
      <c r="N28" s="8" t="e">
        <f t="shared" si="2"/>
        <v>#REF!</v>
      </c>
      <c r="O28" s="8" t="e">
        <f t="shared" si="3"/>
        <v>#REF!</v>
      </c>
      <c r="P28" s="8" t="e">
        <f>+Q28+S28</f>
        <v>#REF!</v>
      </c>
      <c r="Q28" s="8" t="e">
        <f>+'1 pr.asignavimai'!#REF!</f>
        <v>#REF!</v>
      </c>
      <c r="R28" s="8" t="e">
        <f>+'1 pr.asignavimai'!#REF!</f>
        <v>#REF!</v>
      </c>
      <c r="S28" s="8" t="e">
        <f>+'1 pr.asignavimai'!#REF!</f>
        <v>#REF!</v>
      </c>
      <c r="T28" s="93">
        <f>+'1 pr.asignavimai'!C36</f>
        <v>731.2</v>
      </c>
      <c r="U28" s="93">
        <f>+'1 pr.asignavimai'!D36</f>
        <v>707.6</v>
      </c>
      <c r="V28" s="93">
        <f>+'1 pr.asignavimai'!E36</f>
        <v>-23.6</v>
      </c>
      <c r="W28" s="93">
        <f t="shared" si="4"/>
        <v>96.8</v>
      </c>
      <c r="X28" s="93">
        <f>+'1 pr.asignavimai'!G36</f>
        <v>731.2</v>
      </c>
      <c r="Y28" s="93">
        <f>+'1 pr.asignavimai'!H36</f>
        <v>707.6</v>
      </c>
      <c r="Z28" s="93">
        <f>+'1 pr.asignavimai'!I36</f>
        <v>0</v>
      </c>
      <c r="AA28" s="93">
        <f>+'1 pr.asignavimai'!J36</f>
        <v>0</v>
      </c>
      <c r="AB28" s="93">
        <f>+'1 pr.asignavimai'!K36</f>
        <v>0</v>
      </c>
      <c r="AC28" s="93">
        <f>+'1 pr.asignavimai'!L36</f>
        <v>0</v>
      </c>
    </row>
    <row r="29" spans="1:29" ht="53.25" customHeight="1">
      <c r="A29" s="113"/>
      <c r="B29" s="114"/>
      <c r="C29" s="27" t="s">
        <v>69</v>
      </c>
      <c r="D29" s="8">
        <f>+E29+G29</f>
        <v>2117.1</v>
      </c>
      <c r="E29" s="8">
        <v>15.6</v>
      </c>
      <c r="F29" s="8"/>
      <c r="G29" s="8">
        <v>2101.5</v>
      </c>
      <c r="H29" s="8">
        <f>+I29+K29</f>
        <v>0</v>
      </c>
      <c r="I29" s="8"/>
      <c r="J29" s="8"/>
      <c r="K29" s="8"/>
      <c r="L29" s="8">
        <f t="shared" si="0"/>
        <v>2117.1</v>
      </c>
      <c r="M29" s="8">
        <f t="shared" si="1"/>
        <v>15.6</v>
      </c>
      <c r="N29" s="8">
        <f t="shared" si="2"/>
        <v>0</v>
      </c>
      <c r="O29" s="8">
        <f t="shared" si="3"/>
        <v>2101.5</v>
      </c>
      <c r="P29" s="8" t="e">
        <f>+Q29+S29</f>
        <v>#REF!</v>
      </c>
      <c r="Q29" s="8" t="e">
        <f>+'1 pr.asignavimai'!#REF!</f>
        <v>#REF!</v>
      </c>
      <c r="R29" s="8" t="e">
        <f>+'1 pr.asignavimai'!#REF!</f>
        <v>#REF!</v>
      </c>
      <c r="S29" s="8" t="e">
        <f>+'1 pr.asignavimai'!#REF!</f>
        <v>#REF!</v>
      </c>
      <c r="T29" s="93">
        <f>+'1 pr.asignavimai'!C65</f>
        <v>2117.1</v>
      </c>
      <c r="U29" s="93">
        <f>+'1 pr.asignavimai'!D65</f>
        <v>72.2</v>
      </c>
      <c r="V29" s="93">
        <f>+'1 pr.asignavimai'!E65</f>
        <v>-2044.9</v>
      </c>
      <c r="W29" s="93">
        <f t="shared" si="4"/>
        <v>3.4</v>
      </c>
      <c r="X29" s="93">
        <f>+'1 pr.asignavimai'!G65</f>
        <v>15.6</v>
      </c>
      <c r="Y29" s="93">
        <f>+'1 pr.asignavimai'!H65</f>
        <v>6</v>
      </c>
      <c r="Z29" s="93">
        <f>+'1 pr.asignavimai'!I65</f>
        <v>0</v>
      </c>
      <c r="AA29" s="93">
        <f>+'1 pr.asignavimai'!J65</f>
        <v>0</v>
      </c>
      <c r="AB29" s="93">
        <f>+'1 pr.asignavimai'!K65</f>
        <v>2101.5</v>
      </c>
      <c r="AC29" s="93">
        <f>+'1 pr.asignavimai'!L65</f>
        <v>66.2</v>
      </c>
    </row>
    <row r="30" spans="1:29" ht="33.75" customHeight="1">
      <c r="A30" s="113"/>
      <c r="B30" s="114"/>
      <c r="C30" s="27" t="s">
        <v>10</v>
      </c>
      <c r="D30" s="8">
        <f>+E30+G30</f>
        <v>16422</v>
      </c>
      <c r="E30" s="8">
        <f>16307.6+59.9-32.3</f>
        <v>16335.2</v>
      </c>
      <c r="F30" s="8">
        <f>766.5+6.9</f>
        <v>773.4</v>
      </c>
      <c r="G30" s="8">
        <f>54.5+32.3</f>
        <v>86.8</v>
      </c>
      <c r="H30" s="8" t="e">
        <f>+I30+K30</f>
        <v>#REF!</v>
      </c>
      <c r="I30" s="8" t="e">
        <f>+'1 pr.asignavimai'!#REF!</f>
        <v>#REF!</v>
      </c>
      <c r="J30" s="8" t="e">
        <f>+'1 pr.asignavimai'!#REF!</f>
        <v>#REF!</v>
      </c>
      <c r="K30" s="8" t="e">
        <f>+'1 pr.asignavimai'!#REF!</f>
        <v>#REF!</v>
      </c>
      <c r="L30" s="8" t="e">
        <f t="shared" si="0"/>
        <v>#REF!</v>
      </c>
      <c r="M30" s="8" t="e">
        <f t="shared" si="1"/>
        <v>#REF!</v>
      </c>
      <c r="N30" s="8" t="e">
        <f t="shared" si="2"/>
        <v>#REF!</v>
      </c>
      <c r="O30" s="8" t="e">
        <f t="shared" si="3"/>
        <v>#REF!</v>
      </c>
      <c r="P30" s="8" t="e">
        <f>+Q30+S30</f>
        <v>#REF!</v>
      </c>
      <c r="Q30" s="8" t="e">
        <f>+'1 pr.asignavimai'!#REF!</f>
        <v>#REF!</v>
      </c>
      <c r="R30" s="8" t="e">
        <f>+'1 pr.asignavimai'!#REF!</f>
        <v>#REF!</v>
      </c>
      <c r="S30" s="8" t="e">
        <f>+'1 pr.asignavimai'!#REF!</f>
        <v>#REF!</v>
      </c>
      <c r="T30" s="93">
        <f>+'1 pr.asignavimai'!C98</f>
        <v>17186.4</v>
      </c>
      <c r="U30" s="93">
        <f>+'1 pr.asignavimai'!D98</f>
        <v>17143</v>
      </c>
      <c r="V30" s="93">
        <f>+'1 pr.asignavimai'!E98</f>
        <v>-43.4</v>
      </c>
      <c r="W30" s="93">
        <f t="shared" si="4"/>
        <v>99.7</v>
      </c>
      <c r="X30" s="93">
        <f>+'1 pr.asignavimai'!G98</f>
        <v>17080</v>
      </c>
      <c r="Y30" s="93">
        <f>+'1 pr.asignavimai'!H98</f>
        <v>17037.4</v>
      </c>
      <c r="Z30" s="93">
        <f>+'1 pr.asignavimai'!I98</f>
        <v>779.5</v>
      </c>
      <c r="AA30" s="93">
        <f>+'1 pr.asignavimai'!J98</f>
        <v>778.4</v>
      </c>
      <c r="AB30" s="93">
        <f>+'1 pr.asignavimai'!K98</f>
        <v>106.4</v>
      </c>
      <c r="AC30" s="93">
        <f>+'1 pr.asignavimai'!L98</f>
        <v>105.6</v>
      </c>
    </row>
    <row r="31" spans="1:29" ht="33.75" customHeight="1">
      <c r="A31" s="113"/>
      <c r="B31" s="114"/>
      <c r="C31" s="27" t="s">
        <v>12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 t="e">
        <f>+Q31+S31</f>
        <v>#REF!</v>
      </c>
      <c r="Q31" s="8" t="e">
        <f>+'1 pr.asignavimai'!#REF!</f>
        <v>#REF!</v>
      </c>
      <c r="R31" s="8" t="e">
        <f>+'1 pr.asignavimai'!#REF!</f>
        <v>#REF!</v>
      </c>
      <c r="S31" s="8" t="e">
        <f>+'1 pr.asignavimai'!#REF!</f>
        <v>#REF!</v>
      </c>
      <c r="T31" s="93">
        <f>+'1 pr.asignavimai'!C139</f>
        <v>86.7</v>
      </c>
      <c r="U31" s="93">
        <f>+'1 pr.asignavimai'!D139</f>
        <v>83.9</v>
      </c>
      <c r="V31" s="93">
        <f>+'1 pr.asignavimai'!E139</f>
        <v>-2.8</v>
      </c>
      <c r="W31" s="93">
        <f t="shared" si="4"/>
        <v>96.8</v>
      </c>
      <c r="X31" s="93">
        <f>+'1 pr.asignavimai'!G139</f>
        <v>83.2</v>
      </c>
      <c r="Y31" s="93">
        <f>+'1 pr.asignavimai'!H139</f>
        <v>80.4</v>
      </c>
      <c r="Z31" s="93">
        <f>+'1 pr.asignavimai'!I139</f>
        <v>4.7</v>
      </c>
      <c r="AA31" s="93">
        <f>+'1 pr.asignavimai'!J139</f>
        <v>4.2</v>
      </c>
      <c r="AB31" s="93">
        <f>+'1 pr.asignavimai'!K139</f>
        <v>3.5</v>
      </c>
      <c r="AC31" s="93">
        <f>+'1 pr.asignavimai'!L139</f>
        <v>3.5</v>
      </c>
    </row>
    <row r="32" spans="1:29" ht="22.5" customHeight="1">
      <c r="A32" s="113"/>
      <c r="B32" s="114"/>
      <c r="C32" s="27" t="s">
        <v>126</v>
      </c>
      <c r="D32" s="15">
        <f aca="true" t="shared" si="11" ref="D32:K32">SUM(D28:D30)</f>
        <v>18889.3</v>
      </c>
      <c r="E32" s="15">
        <f t="shared" si="11"/>
        <v>16701</v>
      </c>
      <c r="F32" s="15">
        <f t="shared" si="11"/>
        <v>773.4</v>
      </c>
      <c r="G32" s="15">
        <f t="shared" si="11"/>
        <v>2188.3</v>
      </c>
      <c r="H32" s="15" t="e">
        <f t="shared" si="11"/>
        <v>#REF!</v>
      </c>
      <c r="I32" s="15" t="e">
        <f t="shared" si="11"/>
        <v>#REF!</v>
      </c>
      <c r="J32" s="15" t="e">
        <f t="shared" si="11"/>
        <v>#REF!</v>
      </c>
      <c r="K32" s="15" t="e">
        <f t="shared" si="11"/>
        <v>#REF!</v>
      </c>
      <c r="L32" s="15" t="e">
        <f t="shared" si="0"/>
        <v>#REF!</v>
      </c>
      <c r="M32" s="15" t="e">
        <f t="shared" si="1"/>
        <v>#REF!</v>
      </c>
      <c r="N32" s="15" t="e">
        <f t="shared" si="2"/>
        <v>#REF!</v>
      </c>
      <c r="O32" s="15" t="e">
        <f t="shared" si="3"/>
        <v>#REF!</v>
      </c>
      <c r="P32" s="15" t="e">
        <f>SUM(P28:P31)</f>
        <v>#REF!</v>
      </c>
      <c r="Q32" s="15" t="e">
        <f>SUM(Q28:Q31)</f>
        <v>#REF!</v>
      </c>
      <c r="R32" s="15" t="e">
        <f>SUM(R28:R31)</f>
        <v>#REF!</v>
      </c>
      <c r="S32" s="15" t="e">
        <f>SUM(S28:S31)</f>
        <v>#REF!</v>
      </c>
      <c r="T32" s="92">
        <f>SUM(T28:T31)</f>
        <v>20121.4</v>
      </c>
      <c r="U32" s="92">
        <f aca="true" t="shared" si="12" ref="U32:AC32">SUM(U28:U31)</f>
        <v>18006.7</v>
      </c>
      <c r="V32" s="92">
        <f t="shared" si="12"/>
        <v>-2114.7</v>
      </c>
      <c r="W32" s="92">
        <f t="shared" si="4"/>
        <v>89.5</v>
      </c>
      <c r="X32" s="92">
        <f t="shared" si="12"/>
        <v>17910</v>
      </c>
      <c r="Y32" s="92">
        <f t="shared" si="12"/>
        <v>17831.4</v>
      </c>
      <c r="Z32" s="92">
        <f t="shared" si="12"/>
        <v>784.2</v>
      </c>
      <c r="AA32" s="92">
        <f t="shared" si="12"/>
        <v>782.6</v>
      </c>
      <c r="AB32" s="92">
        <f t="shared" si="12"/>
        <v>2211.4</v>
      </c>
      <c r="AC32" s="92">
        <f t="shared" si="12"/>
        <v>175.3</v>
      </c>
    </row>
    <row r="33" spans="1:29" ht="47.25">
      <c r="A33" s="113" t="s">
        <v>132</v>
      </c>
      <c r="B33" s="114" t="s">
        <v>91</v>
      </c>
      <c r="C33" s="27" t="s">
        <v>69</v>
      </c>
      <c r="D33" s="8">
        <f>+E33+G33</f>
        <v>1013.5</v>
      </c>
      <c r="E33" s="8"/>
      <c r="F33" s="8"/>
      <c r="G33" s="8">
        <f>500+513.5</f>
        <v>1013.5</v>
      </c>
      <c r="H33" s="8">
        <f aca="true" t="shared" si="13" ref="H33:H40">+I33+K33</f>
        <v>0</v>
      </c>
      <c r="I33" s="8"/>
      <c r="J33" s="8"/>
      <c r="K33" s="8"/>
      <c r="L33" s="8">
        <f t="shared" si="0"/>
        <v>1013.5</v>
      </c>
      <c r="M33" s="8">
        <f t="shared" si="1"/>
        <v>0</v>
      </c>
      <c r="N33" s="8">
        <f t="shared" si="2"/>
        <v>0</v>
      </c>
      <c r="O33" s="8">
        <f t="shared" si="3"/>
        <v>1013.5</v>
      </c>
      <c r="P33" s="8" t="e">
        <f aca="true" t="shared" si="14" ref="P33:P40">+Q33+S33</f>
        <v>#REF!</v>
      </c>
      <c r="Q33" s="8" t="e">
        <f>+'1 pr.asignavimai'!#REF!</f>
        <v>#REF!</v>
      </c>
      <c r="R33" s="8" t="e">
        <f>+'1 pr.asignavimai'!#REF!</f>
        <v>#REF!</v>
      </c>
      <c r="S33" s="8" t="e">
        <f>+'1 pr.asignavimai'!#REF!</f>
        <v>#REF!</v>
      </c>
      <c r="T33" s="93">
        <f>+'1 pr.asignavimai'!C81</f>
        <v>1268.7</v>
      </c>
      <c r="U33" s="93">
        <f>+'1 pr.asignavimai'!D81</f>
        <v>1249.8</v>
      </c>
      <c r="V33" s="93">
        <f>+'1 pr.asignavimai'!E81</f>
        <v>-18.9</v>
      </c>
      <c r="W33" s="93">
        <f t="shared" si="4"/>
        <v>98.5</v>
      </c>
      <c r="X33" s="93">
        <f>+'1 pr.asignavimai'!G81</f>
        <v>0</v>
      </c>
      <c r="Y33" s="93">
        <f>+'1 pr.asignavimai'!H81</f>
        <v>0</v>
      </c>
      <c r="Z33" s="93">
        <f>+'1 pr.asignavimai'!I81</f>
        <v>0</v>
      </c>
      <c r="AA33" s="93">
        <f>+'1 pr.asignavimai'!J81</f>
        <v>0</v>
      </c>
      <c r="AB33" s="93">
        <f>+'1 pr.asignavimai'!K81</f>
        <v>1268.7</v>
      </c>
      <c r="AC33" s="93">
        <f>+'1 pr.asignavimai'!L81</f>
        <v>1249.8</v>
      </c>
    </row>
    <row r="34" spans="1:29" ht="51.75" customHeight="1">
      <c r="A34" s="113"/>
      <c r="B34" s="114"/>
      <c r="C34" s="27" t="s">
        <v>11</v>
      </c>
      <c r="D34" s="8">
        <f>+E34+G34</f>
        <v>9780.2</v>
      </c>
      <c r="E34" s="8">
        <f>8754.9-31.2+1025.3-29.1</f>
        <v>9719.9</v>
      </c>
      <c r="F34" s="8">
        <f>4059.9+227.9</f>
        <v>4287.8</v>
      </c>
      <c r="G34" s="8">
        <f>31.2+29.1</f>
        <v>60.3</v>
      </c>
      <c r="H34" s="8" t="e">
        <f t="shared" si="13"/>
        <v>#REF!</v>
      </c>
      <c r="I34" s="8" t="e">
        <f>+'1 pr.asignavimai'!#REF!</f>
        <v>#REF!</v>
      </c>
      <c r="J34" s="8" t="e">
        <f>+'1 pr.asignavimai'!#REF!</f>
        <v>#REF!</v>
      </c>
      <c r="K34" s="8" t="e">
        <f>+'1 pr.asignavimai'!#REF!</f>
        <v>#REF!</v>
      </c>
      <c r="L34" s="8" t="e">
        <f t="shared" si="0"/>
        <v>#REF!</v>
      </c>
      <c r="M34" s="8" t="e">
        <f t="shared" si="1"/>
        <v>#REF!</v>
      </c>
      <c r="N34" s="8" t="e">
        <f t="shared" si="2"/>
        <v>#REF!</v>
      </c>
      <c r="O34" s="8" t="e">
        <f t="shared" si="3"/>
        <v>#REF!</v>
      </c>
      <c r="P34" s="8" t="e">
        <f t="shared" si="14"/>
        <v>#REF!</v>
      </c>
      <c r="Q34" s="8" t="e">
        <f>+'1 pr.asignavimai'!#REF!</f>
        <v>#REF!</v>
      </c>
      <c r="R34" s="8" t="e">
        <f>+'1 pr.asignavimai'!#REF!</f>
        <v>#REF!</v>
      </c>
      <c r="S34" s="8" t="e">
        <f>+'1 pr.asignavimai'!#REF!</f>
        <v>#REF!</v>
      </c>
      <c r="T34" s="93">
        <f>+'1 pr.asignavimai'!C105</f>
        <v>9924.4</v>
      </c>
      <c r="U34" s="93">
        <f>+'1 pr.asignavimai'!D105</f>
        <v>9941.5</v>
      </c>
      <c r="V34" s="93">
        <f>+'1 pr.asignavimai'!E105</f>
        <v>17.1</v>
      </c>
      <c r="W34" s="93">
        <f t="shared" si="4"/>
        <v>100.2</v>
      </c>
      <c r="X34" s="93">
        <f>+'1 pr.asignavimai'!G105</f>
        <v>9844.5</v>
      </c>
      <c r="Y34" s="93">
        <f>+'1 pr.asignavimai'!H105</f>
        <v>9830.1</v>
      </c>
      <c r="Z34" s="93">
        <f>+'1 pr.asignavimai'!I105</f>
        <v>4305.4</v>
      </c>
      <c r="AA34" s="93">
        <f>+'1 pr.asignavimai'!J105</f>
        <v>4297.8</v>
      </c>
      <c r="AB34" s="93">
        <f>+'1 pr.asignavimai'!K105</f>
        <v>79.9</v>
      </c>
      <c r="AC34" s="93">
        <f>+'1 pr.asignavimai'!L105</f>
        <v>111.4</v>
      </c>
    </row>
    <row r="35" spans="1:29" ht="22.5" customHeight="1">
      <c r="A35" s="113"/>
      <c r="B35" s="114"/>
      <c r="C35" s="27" t="s">
        <v>126</v>
      </c>
      <c r="D35" s="15">
        <f>+E35+G35</f>
        <v>10793.7</v>
      </c>
      <c r="E35" s="15">
        <f>+E33+E34</f>
        <v>9719.9</v>
      </c>
      <c r="F35" s="15">
        <f>+F33+F34</f>
        <v>4287.8</v>
      </c>
      <c r="G35" s="15">
        <f>+G33+G34</f>
        <v>1073.8</v>
      </c>
      <c r="H35" s="15" t="e">
        <f t="shared" si="13"/>
        <v>#REF!</v>
      </c>
      <c r="I35" s="15" t="e">
        <f>+I33+I34</f>
        <v>#REF!</v>
      </c>
      <c r="J35" s="15" t="e">
        <f>+J33+J34</f>
        <v>#REF!</v>
      </c>
      <c r="K35" s="15" t="e">
        <f>+K33+K34</f>
        <v>#REF!</v>
      </c>
      <c r="L35" s="15" t="e">
        <f t="shared" si="0"/>
        <v>#REF!</v>
      </c>
      <c r="M35" s="15" t="e">
        <f t="shared" si="1"/>
        <v>#REF!</v>
      </c>
      <c r="N35" s="15" t="e">
        <f t="shared" si="2"/>
        <v>#REF!</v>
      </c>
      <c r="O35" s="15" t="e">
        <f t="shared" si="3"/>
        <v>#REF!</v>
      </c>
      <c r="P35" s="15" t="e">
        <f t="shared" si="14"/>
        <v>#REF!</v>
      </c>
      <c r="Q35" s="15" t="e">
        <f>+Q33+Q34</f>
        <v>#REF!</v>
      </c>
      <c r="R35" s="15" t="e">
        <f>+R33+R34</f>
        <v>#REF!</v>
      </c>
      <c r="S35" s="15" t="e">
        <f>+S33+S34</f>
        <v>#REF!</v>
      </c>
      <c r="T35" s="92">
        <f>SUM(T33:T34)</f>
        <v>11193.1</v>
      </c>
      <c r="U35" s="92">
        <f>SUM(U33:U34)</f>
        <v>11191.3</v>
      </c>
      <c r="V35" s="92">
        <f>SUM(V33:V34)</f>
        <v>-1.8</v>
      </c>
      <c r="W35" s="92">
        <f t="shared" si="4"/>
        <v>100</v>
      </c>
      <c r="X35" s="92">
        <f aca="true" t="shared" si="15" ref="X35:AC35">SUM(X33:X34)</f>
        <v>9844.5</v>
      </c>
      <c r="Y35" s="92">
        <f t="shared" si="15"/>
        <v>9830.1</v>
      </c>
      <c r="Z35" s="92">
        <f t="shared" si="15"/>
        <v>4305.4</v>
      </c>
      <c r="AA35" s="92">
        <f t="shared" si="15"/>
        <v>4297.8</v>
      </c>
      <c r="AB35" s="92">
        <f t="shared" si="15"/>
        <v>1348.6</v>
      </c>
      <c r="AC35" s="92">
        <f t="shared" si="15"/>
        <v>1361.2</v>
      </c>
    </row>
    <row r="36" spans="1:29" ht="36.75" customHeight="1">
      <c r="A36" s="43" t="s">
        <v>133</v>
      </c>
      <c r="B36" s="42" t="s">
        <v>274</v>
      </c>
      <c r="C36" s="27" t="s">
        <v>4</v>
      </c>
      <c r="D36" s="15">
        <f>+E36+G36</f>
        <v>90.2</v>
      </c>
      <c r="E36" s="15">
        <v>74.2</v>
      </c>
      <c r="F36" s="15"/>
      <c r="G36" s="15">
        <v>16</v>
      </c>
      <c r="H36" s="15" t="e">
        <f t="shared" si="13"/>
        <v>#REF!</v>
      </c>
      <c r="I36" s="15" t="e">
        <f>+'1 pr.asignavimai'!#REF!</f>
        <v>#REF!</v>
      </c>
      <c r="J36" s="15" t="e">
        <f>+'1 pr.asignavimai'!#REF!</f>
        <v>#REF!</v>
      </c>
      <c r="K36" s="15" t="e">
        <f>+'1 pr.asignavimai'!#REF!</f>
        <v>#REF!</v>
      </c>
      <c r="L36" s="15" t="e">
        <f t="shared" si="0"/>
        <v>#REF!</v>
      </c>
      <c r="M36" s="15" t="e">
        <f t="shared" si="1"/>
        <v>#REF!</v>
      </c>
      <c r="N36" s="15" t="e">
        <f t="shared" si="2"/>
        <v>#REF!</v>
      </c>
      <c r="O36" s="15" t="e">
        <f t="shared" si="3"/>
        <v>#REF!</v>
      </c>
      <c r="P36" s="15" t="e">
        <f t="shared" si="14"/>
        <v>#REF!</v>
      </c>
      <c r="Q36" s="15" t="e">
        <f>+'1 pr.asignavimai'!#REF!</f>
        <v>#REF!</v>
      </c>
      <c r="R36" s="15" t="e">
        <f>+'1 pr.asignavimai'!#REF!</f>
        <v>#REF!</v>
      </c>
      <c r="S36" s="15" t="e">
        <f>+'1 pr.asignavimai'!#REF!</f>
        <v>#REF!</v>
      </c>
      <c r="T36" s="92">
        <f>+'1 pr.asignavimai'!C37</f>
        <v>110.2</v>
      </c>
      <c r="U36" s="92">
        <f>+'1 pr.asignavimai'!D37</f>
        <v>46.6</v>
      </c>
      <c r="V36" s="92">
        <f>+'1 pr.asignavimai'!E37</f>
        <v>-63.6</v>
      </c>
      <c r="W36" s="92">
        <f t="shared" si="4"/>
        <v>42.3</v>
      </c>
      <c r="X36" s="92">
        <f>+'1 pr.asignavimai'!G37</f>
        <v>94.2</v>
      </c>
      <c r="Y36" s="92">
        <f>+'1 pr.asignavimai'!H37</f>
        <v>46.6</v>
      </c>
      <c r="Z36" s="92">
        <f>+'1 pr.asignavimai'!I37</f>
        <v>1.1</v>
      </c>
      <c r="AA36" s="92">
        <f>+'1 pr.asignavimai'!J37</f>
        <v>1</v>
      </c>
      <c r="AB36" s="92">
        <f>+'1 pr.asignavimai'!K37</f>
        <v>16</v>
      </c>
      <c r="AC36" s="92">
        <f>+'1 pr.asignavimai'!L37</f>
        <v>0</v>
      </c>
    </row>
    <row r="37" spans="1:29" ht="41.25" customHeight="1">
      <c r="A37" s="113" t="s">
        <v>134</v>
      </c>
      <c r="B37" s="114" t="s">
        <v>76</v>
      </c>
      <c r="C37" s="27" t="s">
        <v>4</v>
      </c>
      <c r="D37" s="8">
        <f>+E37+G37</f>
        <v>20</v>
      </c>
      <c r="E37" s="8"/>
      <c r="F37" s="8"/>
      <c r="G37" s="8">
        <v>20</v>
      </c>
      <c r="H37" s="8">
        <f t="shared" si="13"/>
        <v>0</v>
      </c>
      <c r="I37" s="8"/>
      <c r="J37" s="8"/>
      <c r="K37" s="8"/>
      <c r="L37" s="8">
        <f t="shared" si="0"/>
        <v>20</v>
      </c>
      <c r="M37" s="8">
        <f t="shared" si="1"/>
        <v>0</v>
      </c>
      <c r="N37" s="8">
        <f t="shared" si="2"/>
        <v>0</v>
      </c>
      <c r="O37" s="8">
        <f t="shared" si="3"/>
        <v>20</v>
      </c>
      <c r="P37" s="8" t="e">
        <f t="shared" si="14"/>
        <v>#REF!</v>
      </c>
      <c r="Q37" s="8" t="e">
        <f>+'1 pr.asignavimai'!#REF!</f>
        <v>#REF!</v>
      </c>
      <c r="R37" s="8" t="e">
        <f>+'1 pr.asignavimai'!#REF!</f>
        <v>#REF!</v>
      </c>
      <c r="S37" s="8" t="e">
        <f>+'1 pr.asignavimai'!#REF!</f>
        <v>#REF!</v>
      </c>
      <c r="T37" s="93">
        <f>+'1 pr.asignavimai'!C38</f>
        <v>20</v>
      </c>
      <c r="U37" s="93">
        <f>+'1 pr.asignavimai'!D38</f>
        <v>20</v>
      </c>
      <c r="V37" s="93">
        <f>+'1 pr.asignavimai'!E38</f>
        <v>0</v>
      </c>
      <c r="W37" s="93">
        <f t="shared" si="4"/>
        <v>100</v>
      </c>
      <c r="X37" s="93">
        <f>+'1 pr.asignavimai'!G38</f>
        <v>0</v>
      </c>
      <c r="Y37" s="93">
        <f>+'1 pr.asignavimai'!H38</f>
        <v>0</v>
      </c>
      <c r="Z37" s="93">
        <f>+'1 pr.asignavimai'!I38</f>
        <v>0</v>
      </c>
      <c r="AA37" s="93">
        <f>+'1 pr.asignavimai'!J38</f>
        <v>0</v>
      </c>
      <c r="AB37" s="93">
        <f>+'1 pr.asignavimai'!K38</f>
        <v>20</v>
      </c>
      <c r="AC37" s="93">
        <f>+'1 pr.asignavimai'!L38</f>
        <v>20</v>
      </c>
    </row>
    <row r="38" spans="1:29" ht="51" customHeight="1">
      <c r="A38" s="113"/>
      <c r="B38" s="114"/>
      <c r="C38" s="27" t="s">
        <v>69</v>
      </c>
      <c r="D38" s="8">
        <f aca="true" t="shared" si="16" ref="D38:D48">+E38+G38</f>
        <v>2582.8</v>
      </c>
      <c r="E38" s="8">
        <v>312.6</v>
      </c>
      <c r="F38" s="8"/>
      <c r="G38" s="8">
        <f>35.9+2234.3</f>
        <v>2270.2</v>
      </c>
      <c r="H38" s="8">
        <f t="shared" si="13"/>
        <v>0</v>
      </c>
      <c r="I38" s="8"/>
      <c r="J38" s="8"/>
      <c r="K38" s="8"/>
      <c r="L38" s="8">
        <f t="shared" si="0"/>
        <v>2582.8</v>
      </c>
      <c r="M38" s="8">
        <f t="shared" si="1"/>
        <v>312.6</v>
      </c>
      <c r="N38" s="8">
        <f t="shared" si="2"/>
        <v>0</v>
      </c>
      <c r="O38" s="8">
        <f t="shared" si="3"/>
        <v>2270.2</v>
      </c>
      <c r="P38" s="8" t="e">
        <f t="shared" si="14"/>
        <v>#REF!</v>
      </c>
      <c r="Q38" s="8" t="e">
        <f>+'1 pr.asignavimai'!#REF!</f>
        <v>#REF!</v>
      </c>
      <c r="R38" s="8" t="e">
        <f>+'1 pr.asignavimai'!#REF!</f>
        <v>#REF!</v>
      </c>
      <c r="S38" s="8" t="e">
        <f>+'1 pr.asignavimai'!#REF!</f>
        <v>#REF!</v>
      </c>
      <c r="T38" s="93">
        <f>+'1 pr.asignavimai'!C69</f>
        <v>3780.8</v>
      </c>
      <c r="U38" s="93">
        <f>+'1 pr.asignavimai'!D69</f>
        <v>3587.7</v>
      </c>
      <c r="V38" s="93">
        <f>+'1 pr.asignavimai'!E69</f>
        <v>-193.1</v>
      </c>
      <c r="W38" s="93">
        <f t="shared" si="4"/>
        <v>94.9</v>
      </c>
      <c r="X38" s="93">
        <f>+'1 pr.asignavimai'!G69</f>
        <v>327.1</v>
      </c>
      <c r="Y38" s="93">
        <f>+'1 pr.asignavimai'!H69</f>
        <v>325.9</v>
      </c>
      <c r="Z38" s="93">
        <f>+'1 pr.asignavimai'!I69</f>
        <v>0</v>
      </c>
      <c r="AA38" s="93">
        <f>+'1 pr.asignavimai'!J69</f>
        <v>0</v>
      </c>
      <c r="AB38" s="93">
        <f>+'1 pr.asignavimai'!K69</f>
        <v>3453.7</v>
      </c>
      <c r="AC38" s="93">
        <f>+'1 pr.asignavimai'!L69</f>
        <v>3261.8</v>
      </c>
    </row>
    <row r="39" spans="1:29" ht="31.5">
      <c r="A39" s="113"/>
      <c r="B39" s="114"/>
      <c r="C39" s="27" t="s">
        <v>10</v>
      </c>
      <c r="D39" s="8">
        <f t="shared" si="16"/>
        <v>13623.2</v>
      </c>
      <c r="E39" s="8">
        <v>13623.2</v>
      </c>
      <c r="F39" s="8"/>
      <c r="G39" s="8"/>
      <c r="H39" s="8" t="e">
        <f t="shared" si="13"/>
        <v>#REF!</v>
      </c>
      <c r="I39" s="8" t="e">
        <f>+'1 pr.asignavimai'!#REF!</f>
        <v>#REF!</v>
      </c>
      <c r="J39" s="8"/>
      <c r="K39" s="8"/>
      <c r="L39" s="8" t="e">
        <f t="shared" si="0"/>
        <v>#REF!</v>
      </c>
      <c r="M39" s="8" t="e">
        <f t="shared" si="1"/>
        <v>#REF!</v>
      </c>
      <c r="N39" s="8">
        <f t="shared" si="2"/>
        <v>0</v>
      </c>
      <c r="O39" s="8">
        <f t="shared" si="3"/>
        <v>0</v>
      </c>
      <c r="P39" s="8" t="e">
        <f t="shared" si="14"/>
        <v>#REF!</v>
      </c>
      <c r="Q39" s="8" t="e">
        <f>+'1 pr.asignavimai'!#REF!</f>
        <v>#REF!</v>
      </c>
      <c r="R39" s="8"/>
      <c r="S39" s="8"/>
      <c r="T39" s="93">
        <f>+'1 pr.asignavimai'!C102</f>
        <v>15137.5</v>
      </c>
      <c r="U39" s="93">
        <f>+'1 pr.asignavimai'!D102</f>
        <v>15133.8</v>
      </c>
      <c r="V39" s="93">
        <f>+'1 pr.asignavimai'!E102</f>
        <v>-3.7</v>
      </c>
      <c r="W39" s="93">
        <f t="shared" si="4"/>
        <v>100</v>
      </c>
      <c r="X39" s="93">
        <f>+'1 pr.asignavimai'!G102</f>
        <v>15137.5</v>
      </c>
      <c r="Y39" s="93">
        <f>+'1 pr.asignavimai'!H102</f>
        <v>15133.8</v>
      </c>
      <c r="Z39" s="93">
        <f>+'1 pr.asignavimai'!I102</f>
        <v>0</v>
      </c>
      <c r="AA39" s="93">
        <f>+'1 pr.asignavimai'!J102</f>
        <v>0</v>
      </c>
      <c r="AB39" s="93">
        <f>+'1 pr.asignavimai'!K102</f>
        <v>0</v>
      </c>
      <c r="AC39" s="93">
        <f>+'1 pr.asignavimai'!L102</f>
        <v>0</v>
      </c>
    </row>
    <row r="40" spans="1:29" ht="49.5" customHeight="1">
      <c r="A40" s="113"/>
      <c r="B40" s="114"/>
      <c r="C40" s="27" t="s">
        <v>11</v>
      </c>
      <c r="D40" s="8">
        <f t="shared" si="16"/>
        <v>187149.4</v>
      </c>
      <c r="E40" s="8">
        <f>63434.2+200+2647+104588-96.4+16280.2-127.4</f>
        <v>186925.6</v>
      </c>
      <c r="F40" s="8">
        <f>42910.1+1401+77655.8+2820.5</f>
        <v>124787.4</v>
      </c>
      <c r="G40" s="8">
        <f>127.4+96.4</f>
        <v>223.8</v>
      </c>
      <c r="H40" s="8" t="e">
        <f t="shared" si="13"/>
        <v>#REF!</v>
      </c>
      <c r="I40" s="8" t="e">
        <f>+'1 pr.asignavimai'!#REF!</f>
        <v>#REF!</v>
      </c>
      <c r="J40" s="8" t="e">
        <f>+'1 pr.asignavimai'!#REF!</f>
        <v>#REF!</v>
      </c>
      <c r="K40" s="8" t="e">
        <f>+'1 pr.asignavimai'!#REF!</f>
        <v>#REF!</v>
      </c>
      <c r="L40" s="8" t="e">
        <f t="shared" si="0"/>
        <v>#REF!</v>
      </c>
      <c r="M40" s="8" t="e">
        <f t="shared" si="1"/>
        <v>#REF!</v>
      </c>
      <c r="N40" s="8" t="e">
        <f t="shared" si="2"/>
        <v>#REF!</v>
      </c>
      <c r="O40" s="8" t="e">
        <f t="shared" si="3"/>
        <v>#REF!</v>
      </c>
      <c r="P40" s="8" t="e">
        <f t="shared" si="14"/>
        <v>#REF!</v>
      </c>
      <c r="Q40" s="8" t="e">
        <f>+'1 pr.asignavimai'!#REF!</f>
        <v>#REF!</v>
      </c>
      <c r="R40" s="8" t="e">
        <f>+'1 pr.asignavimai'!#REF!</f>
        <v>#REF!</v>
      </c>
      <c r="S40" s="8" t="e">
        <f>+'1 pr.asignavimai'!#REF!</f>
        <v>#REF!</v>
      </c>
      <c r="T40" s="93">
        <f>+'1 pr.asignavimai'!C109</f>
        <v>187165.2</v>
      </c>
      <c r="U40" s="93">
        <f>+'1 pr.asignavimai'!D109</f>
        <v>185013</v>
      </c>
      <c r="V40" s="93">
        <f>+'1 pr.asignavimai'!E109</f>
        <v>-2152.2</v>
      </c>
      <c r="W40" s="93">
        <f t="shared" si="4"/>
        <v>98.9</v>
      </c>
      <c r="X40" s="93">
        <f>+'1 pr.asignavimai'!G109</f>
        <v>186766.7</v>
      </c>
      <c r="Y40" s="93">
        <f>+'1 pr.asignavimai'!H109</f>
        <v>184593</v>
      </c>
      <c r="Z40" s="93">
        <f>+'1 pr.asignavimai'!I109</f>
        <v>124268.1</v>
      </c>
      <c r="AA40" s="93">
        <f>+'1 pr.asignavimai'!J109</f>
        <v>123944.1</v>
      </c>
      <c r="AB40" s="93">
        <f>+'1 pr.asignavimai'!K109</f>
        <v>398.5</v>
      </c>
      <c r="AC40" s="93">
        <f>+'1 pr.asignavimai'!L109</f>
        <v>420</v>
      </c>
    </row>
    <row r="41" spans="1:29" ht="21" customHeight="1">
      <c r="A41" s="113"/>
      <c r="B41" s="114"/>
      <c r="C41" s="27" t="s">
        <v>126</v>
      </c>
      <c r="D41" s="15">
        <f aca="true" t="shared" si="17" ref="D41:K41">SUM(D37:D40)</f>
        <v>203375.4</v>
      </c>
      <c r="E41" s="15">
        <f t="shared" si="17"/>
        <v>200861.4</v>
      </c>
      <c r="F41" s="15">
        <f t="shared" si="17"/>
        <v>124787.4</v>
      </c>
      <c r="G41" s="15">
        <f t="shared" si="17"/>
        <v>2514</v>
      </c>
      <c r="H41" s="15" t="e">
        <f t="shared" si="17"/>
        <v>#REF!</v>
      </c>
      <c r="I41" s="15" t="e">
        <f t="shared" si="17"/>
        <v>#REF!</v>
      </c>
      <c r="J41" s="15" t="e">
        <f t="shared" si="17"/>
        <v>#REF!</v>
      </c>
      <c r="K41" s="15" t="e">
        <f t="shared" si="17"/>
        <v>#REF!</v>
      </c>
      <c r="L41" s="15" t="e">
        <f t="shared" si="0"/>
        <v>#REF!</v>
      </c>
      <c r="M41" s="15" t="e">
        <f t="shared" si="1"/>
        <v>#REF!</v>
      </c>
      <c r="N41" s="15" t="e">
        <f t="shared" si="2"/>
        <v>#REF!</v>
      </c>
      <c r="O41" s="15" t="e">
        <f t="shared" si="3"/>
        <v>#REF!</v>
      </c>
      <c r="P41" s="15" t="e">
        <f aca="true" t="shared" si="18" ref="P41:V41">SUM(P37:P40)</f>
        <v>#REF!</v>
      </c>
      <c r="Q41" s="15" t="e">
        <f t="shared" si="18"/>
        <v>#REF!</v>
      </c>
      <c r="R41" s="15" t="e">
        <f t="shared" si="18"/>
        <v>#REF!</v>
      </c>
      <c r="S41" s="15" t="e">
        <f t="shared" si="18"/>
        <v>#REF!</v>
      </c>
      <c r="T41" s="92">
        <f t="shared" si="18"/>
        <v>206103.5</v>
      </c>
      <c r="U41" s="92">
        <f t="shared" si="18"/>
        <v>203754.5</v>
      </c>
      <c r="V41" s="92">
        <f t="shared" si="18"/>
        <v>-2349</v>
      </c>
      <c r="W41" s="92">
        <f t="shared" si="4"/>
        <v>98.9</v>
      </c>
      <c r="X41" s="92">
        <f aca="true" t="shared" si="19" ref="X41:AC41">SUM(X37:X40)</f>
        <v>202231.3</v>
      </c>
      <c r="Y41" s="92">
        <f t="shared" si="19"/>
        <v>200052.7</v>
      </c>
      <c r="Z41" s="92">
        <f t="shared" si="19"/>
        <v>124268.1</v>
      </c>
      <c r="AA41" s="92">
        <f t="shared" si="19"/>
        <v>123944.1</v>
      </c>
      <c r="AB41" s="92">
        <f t="shared" si="19"/>
        <v>3872.2</v>
      </c>
      <c r="AC41" s="92">
        <f t="shared" si="19"/>
        <v>3701.8</v>
      </c>
    </row>
    <row r="42" spans="1:29" ht="46.5" customHeight="1">
      <c r="A42" s="113" t="s">
        <v>135</v>
      </c>
      <c r="B42" s="114" t="s">
        <v>78</v>
      </c>
      <c r="C42" s="27" t="s">
        <v>69</v>
      </c>
      <c r="D42" s="8">
        <f t="shared" si="16"/>
        <v>991.7</v>
      </c>
      <c r="E42" s="8"/>
      <c r="F42" s="8"/>
      <c r="G42" s="8">
        <v>991.7</v>
      </c>
      <c r="H42" s="8" t="e">
        <f aca="true" t="shared" si="20" ref="H42:H48">+I42+K42</f>
        <v>#REF!</v>
      </c>
      <c r="I42" s="8" t="e">
        <f>+'1 pr.asignavimai'!#REF!</f>
        <v>#REF!</v>
      </c>
      <c r="J42" s="8" t="e">
        <f>+'1 pr.asignavimai'!#REF!</f>
        <v>#REF!</v>
      </c>
      <c r="K42" s="8" t="e">
        <f>+'1 pr.asignavimai'!#REF!</f>
        <v>#REF!</v>
      </c>
      <c r="L42" s="8" t="e">
        <f t="shared" si="0"/>
        <v>#REF!</v>
      </c>
      <c r="M42" s="8" t="e">
        <f t="shared" si="1"/>
        <v>#REF!</v>
      </c>
      <c r="N42" s="8" t="e">
        <f t="shared" si="2"/>
        <v>#REF!</v>
      </c>
      <c r="O42" s="8" t="e">
        <f t="shared" si="3"/>
        <v>#REF!</v>
      </c>
      <c r="P42" s="8" t="e">
        <f aca="true" t="shared" si="21" ref="P42:P48">+Q42+S42</f>
        <v>#REF!</v>
      </c>
      <c r="Q42" s="8" t="e">
        <f>+'1 pr.asignavimai'!#REF!</f>
        <v>#REF!</v>
      </c>
      <c r="R42" s="8" t="e">
        <f>+'1 pr.asignavimai'!#REF!</f>
        <v>#REF!</v>
      </c>
      <c r="S42" s="8" t="e">
        <f>+'1 pr.asignavimai'!#REF!</f>
        <v>#REF!</v>
      </c>
      <c r="T42" s="93">
        <f>+'1 pr.asignavimai'!C73</f>
        <v>2008</v>
      </c>
      <c r="U42" s="93">
        <f>+'1 pr.asignavimai'!D73</f>
        <v>2014.4</v>
      </c>
      <c r="V42" s="93">
        <f>+'1 pr.asignavimai'!E73</f>
        <v>6.4</v>
      </c>
      <c r="W42" s="93">
        <f t="shared" si="4"/>
        <v>100.3</v>
      </c>
      <c r="X42" s="93">
        <f>+'1 pr.asignavimai'!G73</f>
        <v>0</v>
      </c>
      <c r="Y42" s="93">
        <f>+'1 pr.asignavimai'!H73</f>
        <v>0</v>
      </c>
      <c r="Z42" s="93">
        <f>+'1 pr.asignavimai'!I73</f>
        <v>0</v>
      </c>
      <c r="AA42" s="93">
        <f>+'1 pr.asignavimai'!J73</f>
        <v>0</v>
      </c>
      <c r="AB42" s="93">
        <f>+'1 pr.asignavimai'!K73</f>
        <v>2008</v>
      </c>
      <c r="AC42" s="93">
        <f>+'1 pr.asignavimai'!L73</f>
        <v>2014.4</v>
      </c>
    </row>
    <row r="43" spans="1:29" ht="51" customHeight="1">
      <c r="A43" s="113"/>
      <c r="B43" s="114"/>
      <c r="C43" s="27" t="s">
        <v>11</v>
      </c>
      <c r="D43" s="8">
        <f t="shared" si="16"/>
        <v>13395</v>
      </c>
      <c r="E43" s="8">
        <f>12762+587.4-68</f>
        <v>13281.4</v>
      </c>
      <c r="F43" s="8">
        <v>6805.4</v>
      </c>
      <c r="G43" s="8">
        <f>45.6+68</f>
        <v>113.6</v>
      </c>
      <c r="H43" s="8" t="e">
        <f t="shared" si="20"/>
        <v>#REF!</v>
      </c>
      <c r="I43" s="8" t="e">
        <f>+'1 pr.asignavimai'!#REF!</f>
        <v>#REF!</v>
      </c>
      <c r="J43" s="8" t="e">
        <f>+'1 pr.asignavimai'!#REF!</f>
        <v>#REF!</v>
      </c>
      <c r="K43" s="8" t="e">
        <f>+'1 pr.asignavimai'!#REF!</f>
        <v>#REF!</v>
      </c>
      <c r="L43" s="8" t="e">
        <f t="shared" si="0"/>
        <v>#REF!</v>
      </c>
      <c r="M43" s="8" t="e">
        <f t="shared" si="1"/>
        <v>#REF!</v>
      </c>
      <c r="N43" s="8" t="e">
        <f t="shared" si="2"/>
        <v>#REF!</v>
      </c>
      <c r="O43" s="8" t="e">
        <f t="shared" si="3"/>
        <v>#REF!</v>
      </c>
      <c r="P43" s="8" t="e">
        <f t="shared" si="21"/>
        <v>#REF!</v>
      </c>
      <c r="Q43" s="8" t="e">
        <f>+'1 pr.asignavimai'!#REF!</f>
        <v>#REF!</v>
      </c>
      <c r="R43" s="8" t="e">
        <f>+'1 pr.asignavimai'!#REF!</f>
        <v>#REF!</v>
      </c>
      <c r="S43" s="8" t="e">
        <f>+'1 pr.asignavimai'!#REF!</f>
        <v>#REF!</v>
      </c>
      <c r="T43" s="93">
        <f>+'1 pr.asignavimai'!C115</f>
        <v>13744.7</v>
      </c>
      <c r="U43" s="93">
        <f>+'1 pr.asignavimai'!D115</f>
        <v>13697.5</v>
      </c>
      <c r="V43" s="93">
        <f>+'1 pr.asignavimai'!E115</f>
        <v>-47.2</v>
      </c>
      <c r="W43" s="93">
        <f t="shared" si="4"/>
        <v>99.7</v>
      </c>
      <c r="X43" s="93">
        <f>+'1 pr.asignavimai'!G115</f>
        <v>13556.1</v>
      </c>
      <c r="Y43" s="93">
        <f>+'1 pr.asignavimai'!H115</f>
        <v>13521</v>
      </c>
      <c r="Z43" s="93">
        <f>+'1 pr.asignavimai'!I115</f>
        <v>6850.7</v>
      </c>
      <c r="AA43" s="93">
        <f>+'1 pr.asignavimai'!J115</f>
        <v>6850.6</v>
      </c>
      <c r="AB43" s="93">
        <f>+'1 pr.asignavimai'!K115</f>
        <v>188.6</v>
      </c>
      <c r="AC43" s="93">
        <f>+'1 pr.asignavimai'!L115</f>
        <v>176.5</v>
      </c>
    </row>
    <row r="44" spans="1:29" ht="23.25" customHeight="1">
      <c r="A44" s="113"/>
      <c r="B44" s="114"/>
      <c r="C44" s="27" t="s">
        <v>126</v>
      </c>
      <c r="D44" s="15">
        <f t="shared" si="16"/>
        <v>14386.7</v>
      </c>
      <c r="E44" s="15">
        <f>+E42+E43</f>
        <v>13281.4</v>
      </c>
      <c r="F44" s="15">
        <f>+F42+F43</f>
        <v>6805.4</v>
      </c>
      <c r="G44" s="15">
        <f>+G42+G43</f>
        <v>1105.3</v>
      </c>
      <c r="H44" s="15" t="e">
        <f t="shared" si="20"/>
        <v>#REF!</v>
      </c>
      <c r="I44" s="15" t="e">
        <f>+I42+I43</f>
        <v>#REF!</v>
      </c>
      <c r="J44" s="15" t="e">
        <f>+J42+J43</f>
        <v>#REF!</v>
      </c>
      <c r="K44" s="15" t="e">
        <f>+K42+K43</f>
        <v>#REF!</v>
      </c>
      <c r="L44" s="15" t="e">
        <f t="shared" si="0"/>
        <v>#REF!</v>
      </c>
      <c r="M44" s="15" t="e">
        <f t="shared" si="1"/>
        <v>#REF!</v>
      </c>
      <c r="N44" s="15" t="e">
        <f t="shared" si="2"/>
        <v>#REF!</v>
      </c>
      <c r="O44" s="15" t="e">
        <f t="shared" si="3"/>
        <v>#REF!</v>
      </c>
      <c r="P44" s="15" t="e">
        <f t="shared" si="21"/>
        <v>#REF!</v>
      </c>
      <c r="Q44" s="15" t="e">
        <f>+Q42+Q43</f>
        <v>#REF!</v>
      </c>
      <c r="R44" s="15" t="e">
        <f>+R42+R43</f>
        <v>#REF!</v>
      </c>
      <c r="S44" s="15" t="e">
        <f>+S42+S43</f>
        <v>#REF!</v>
      </c>
      <c r="T44" s="92">
        <f>SUM(T42:T43)</f>
        <v>15752.7</v>
      </c>
      <c r="U44" s="92">
        <f>SUM(U42:U43)</f>
        <v>15711.9</v>
      </c>
      <c r="V44" s="92">
        <f>SUM(V42:V43)</f>
        <v>-40.8</v>
      </c>
      <c r="W44" s="92">
        <f t="shared" si="4"/>
        <v>99.7</v>
      </c>
      <c r="X44" s="92">
        <f aca="true" t="shared" si="22" ref="X44:AC44">SUM(X42:X43)</f>
        <v>13556.1</v>
      </c>
      <c r="Y44" s="92">
        <f t="shared" si="22"/>
        <v>13521</v>
      </c>
      <c r="Z44" s="92">
        <f t="shared" si="22"/>
        <v>6850.7</v>
      </c>
      <c r="AA44" s="92">
        <f t="shared" si="22"/>
        <v>6850.6</v>
      </c>
      <c r="AB44" s="92">
        <f t="shared" si="22"/>
        <v>2196.6</v>
      </c>
      <c r="AC44" s="92">
        <f t="shared" si="22"/>
        <v>2190.9</v>
      </c>
    </row>
    <row r="45" spans="1:29" ht="34.5" customHeight="1">
      <c r="A45" s="113" t="s">
        <v>136</v>
      </c>
      <c r="B45" s="114" t="s">
        <v>79</v>
      </c>
      <c r="C45" s="27" t="s">
        <v>4</v>
      </c>
      <c r="D45" s="8">
        <f t="shared" si="16"/>
        <v>824.3</v>
      </c>
      <c r="E45" s="15"/>
      <c r="F45" s="15"/>
      <c r="G45" s="8">
        <f>250+274.3+300</f>
        <v>824.3</v>
      </c>
      <c r="H45" s="8">
        <f t="shared" si="20"/>
        <v>0</v>
      </c>
      <c r="I45" s="15"/>
      <c r="J45" s="15"/>
      <c r="K45" s="8"/>
      <c r="L45" s="8">
        <f t="shared" si="0"/>
        <v>824.3</v>
      </c>
      <c r="M45" s="8">
        <f t="shared" si="1"/>
        <v>0</v>
      </c>
      <c r="N45" s="8">
        <f t="shared" si="2"/>
        <v>0</v>
      </c>
      <c r="O45" s="8">
        <f t="shared" si="3"/>
        <v>824.3</v>
      </c>
      <c r="P45" s="8" t="e">
        <f t="shared" si="21"/>
        <v>#REF!</v>
      </c>
      <c r="Q45" s="15" t="e">
        <f>+'1 pr.asignavimai'!#REF!</f>
        <v>#REF!</v>
      </c>
      <c r="R45" s="15" t="e">
        <f>+'1 pr.asignavimai'!#REF!</f>
        <v>#REF!</v>
      </c>
      <c r="S45" s="15" t="e">
        <f>+'1 pr.asignavimai'!#REF!</f>
        <v>#REF!</v>
      </c>
      <c r="T45" s="93">
        <f>+'1 pr.asignavimai'!C39</f>
        <v>824.3</v>
      </c>
      <c r="U45" s="93">
        <f>+'1 pr.asignavimai'!D39</f>
        <v>771</v>
      </c>
      <c r="V45" s="93">
        <f>+'1 pr.asignavimai'!E39</f>
        <v>-53.3</v>
      </c>
      <c r="W45" s="93">
        <f t="shared" si="4"/>
        <v>93.5</v>
      </c>
      <c r="X45" s="93">
        <f>+'1 pr.asignavimai'!G39</f>
        <v>0</v>
      </c>
      <c r="Y45" s="93">
        <f>+'1 pr.asignavimai'!H39</f>
        <v>0</v>
      </c>
      <c r="Z45" s="93">
        <f>+'1 pr.asignavimai'!I39</f>
        <v>0</v>
      </c>
      <c r="AA45" s="93">
        <f>+'1 pr.asignavimai'!J39</f>
        <v>0</v>
      </c>
      <c r="AB45" s="93">
        <f>+'1 pr.asignavimai'!K39</f>
        <v>824.3</v>
      </c>
      <c r="AC45" s="93">
        <f>+'1 pr.asignavimai'!L39</f>
        <v>771</v>
      </c>
    </row>
    <row r="46" spans="1:29" ht="50.25" customHeight="1">
      <c r="A46" s="113"/>
      <c r="B46" s="114"/>
      <c r="C46" s="27" t="s">
        <v>69</v>
      </c>
      <c r="D46" s="8">
        <f t="shared" si="16"/>
        <v>1427.4</v>
      </c>
      <c r="E46" s="8">
        <v>23.1</v>
      </c>
      <c r="F46" s="8">
        <v>5.6</v>
      </c>
      <c r="G46" s="8">
        <v>1404.3</v>
      </c>
      <c r="H46" s="8">
        <f t="shared" si="20"/>
        <v>0</v>
      </c>
      <c r="I46" s="8"/>
      <c r="J46" s="8"/>
      <c r="K46" s="8"/>
      <c r="L46" s="8">
        <f t="shared" si="0"/>
        <v>1427.4</v>
      </c>
      <c r="M46" s="8">
        <f t="shared" si="1"/>
        <v>23.1</v>
      </c>
      <c r="N46" s="8">
        <f t="shared" si="2"/>
        <v>5.6</v>
      </c>
      <c r="O46" s="8">
        <f t="shared" si="3"/>
        <v>1404.3</v>
      </c>
      <c r="P46" s="8" t="e">
        <f t="shared" si="21"/>
        <v>#REF!</v>
      </c>
      <c r="Q46" s="8" t="e">
        <f>+'1 pr.asignavimai'!#REF!</f>
        <v>#REF!</v>
      </c>
      <c r="R46" s="8" t="e">
        <f>+'1 pr.asignavimai'!#REF!</f>
        <v>#REF!</v>
      </c>
      <c r="S46" s="8" t="e">
        <f>+'1 pr.asignavimai'!#REF!</f>
        <v>#REF!</v>
      </c>
      <c r="T46" s="93">
        <f>+'1 pr.asignavimai'!C77</f>
        <v>1427.4</v>
      </c>
      <c r="U46" s="93">
        <f>+'1 pr.asignavimai'!D77</f>
        <v>359.2</v>
      </c>
      <c r="V46" s="93">
        <f>+'1 pr.asignavimai'!E77</f>
        <v>-1068.2</v>
      </c>
      <c r="W46" s="93">
        <f t="shared" si="4"/>
        <v>25.2</v>
      </c>
      <c r="X46" s="93">
        <f>+'1 pr.asignavimai'!G77</f>
        <v>23.1</v>
      </c>
      <c r="Y46" s="93">
        <f>+'1 pr.asignavimai'!H77</f>
        <v>28.2</v>
      </c>
      <c r="Z46" s="93">
        <f>+'1 pr.asignavimai'!I77</f>
        <v>5.6</v>
      </c>
      <c r="AA46" s="93">
        <f>+'1 pr.asignavimai'!J77</f>
        <v>5.6</v>
      </c>
      <c r="AB46" s="93">
        <f>+'1 pr.asignavimai'!K77</f>
        <v>1404.3</v>
      </c>
      <c r="AC46" s="93">
        <f>+'1 pr.asignavimai'!L77</f>
        <v>331</v>
      </c>
    </row>
    <row r="47" spans="1:29" ht="31.5">
      <c r="A47" s="113"/>
      <c r="B47" s="114"/>
      <c r="C47" s="27" t="s">
        <v>10</v>
      </c>
      <c r="D47" s="8">
        <f t="shared" si="16"/>
        <v>150</v>
      </c>
      <c r="E47" s="8">
        <v>120</v>
      </c>
      <c r="F47" s="8"/>
      <c r="G47" s="8">
        <v>30</v>
      </c>
      <c r="H47" s="8">
        <f t="shared" si="20"/>
        <v>0</v>
      </c>
      <c r="I47" s="8"/>
      <c r="J47" s="8"/>
      <c r="K47" s="8"/>
      <c r="L47" s="8">
        <f t="shared" si="0"/>
        <v>150</v>
      </c>
      <c r="M47" s="8">
        <f t="shared" si="1"/>
        <v>120</v>
      </c>
      <c r="N47" s="8">
        <f t="shared" si="2"/>
        <v>0</v>
      </c>
      <c r="O47" s="8">
        <f t="shared" si="3"/>
        <v>30</v>
      </c>
      <c r="P47" s="8" t="e">
        <f t="shared" si="21"/>
        <v>#REF!</v>
      </c>
      <c r="Q47" s="8" t="e">
        <f>+'1 pr.asignavimai'!#REF!</f>
        <v>#REF!</v>
      </c>
      <c r="R47" s="8" t="e">
        <f>+'1 pr.asignavimai'!#REF!</f>
        <v>#REF!</v>
      </c>
      <c r="S47" s="8" t="e">
        <f>+'1 pr.asignavimai'!#REF!</f>
        <v>#REF!</v>
      </c>
      <c r="T47" s="93">
        <f>+'1 pr.asignavimai'!C103</f>
        <v>150</v>
      </c>
      <c r="U47" s="93">
        <f>+'1 pr.asignavimai'!D103</f>
        <v>43.8</v>
      </c>
      <c r="V47" s="93">
        <f>+'1 pr.asignavimai'!E103</f>
        <v>-106.2</v>
      </c>
      <c r="W47" s="93">
        <f t="shared" si="4"/>
        <v>29.2</v>
      </c>
      <c r="X47" s="93">
        <f>+'1 pr.asignavimai'!G103</f>
        <v>120</v>
      </c>
      <c r="Y47" s="93">
        <f>+'1 pr.asignavimai'!H103</f>
        <v>22.6</v>
      </c>
      <c r="Z47" s="93">
        <f>+'1 pr.asignavimai'!I103</f>
        <v>0</v>
      </c>
      <c r="AA47" s="93">
        <f>+'1 pr.asignavimai'!J103</f>
        <v>0</v>
      </c>
      <c r="AB47" s="93">
        <f>+'1 pr.asignavimai'!K103</f>
        <v>30</v>
      </c>
      <c r="AC47" s="93">
        <f>+'1 pr.asignavimai'!L103</f>
        <v>21.2</v>
      </c>
    </row>
    <row r="48" spans="1:29" ht="38.25" customHeight="1">
      <c r="A48" s="113"/>
      <c r="B48" s="114"/>
      <c r="C48" s="27" t="s">
        <v>12</v>
      </c>
      <c r="D48" s="8">
        <f t="shared" si="16"/>
        <v>45203.9</v>
      </c>
      <c r="E48" s="8">
        <f>7887.1+1462.3+1500+3746+3623.9+26984.6</f>
        <v>45203.9</v>
      </c>
      <c r="F48" s="8">
        <f>2910.3+491.9+2189.4+1064.9</f>
        <v>6656.5</v>
      </c>
      <c r="G48" s="8"/>
      <c r="H48" s="8" t="e">
        <f t="shared" si="20"/>
        <v>#REF!</v>
      </c>
      <c r="I48" s="8" t="e">
        <f>+'1 pr.asignavimai'!#REF!</f>
        <v>#REF!</v>
      </c>
      <c r="J48" s="8" t="e">
        <f>+'1 pr.asignavimai'!#REF!</f>
        <v>#REF!</v>
      </c>
      <c r="K48" s="8" t="e">
        <f>+'1 pr.asignavimai'!#REF!</f>
        <v>#REF!</v>
      </c>
      <c r="L48" s="8" t="e">
        <f t="shared" si="0"/>
        <v>#REF!</v>
      </c>
      <c r="M48" s="8" t="e">
        <f t="shared" si="1"/>
        <v>#REF!</v>
      </c>
      <c r="N48" s="8" t="e">
        <f t="shared" si="2"/>
        <v>#REF!</v>
      </c>
      <c r="O48" s="8" t="e">
        <f t="shared" si="3"/>
        <v>#REF!</v>
      </c>
      <c r="P48" s="8" t="e">
        <f t="shared" si="21"/>
        <v>#REF!</v>
      </c>
      <c r="Q48" s="8" t="e">
        <f>+'1 pr.asignavimai'!#REF!</f>
        <v>#REF!</v>
      </c>
      <c r="R48" s="8" t="e">
        <f>+'1 pr.asignavimai'!#REF!</f>
        <v>#REF!</v>
      </c>
      <c r="S48" s="8" t="e">
        <f>+'1 pr.asignavimai'!#REF!</f>
        <v>#REF!</v>
      </c>
      <c r="T48" s="93">
        <f>+'1 pr.asignavimai'!C120</f>
        <v>49895.5</v>
      </c>
      <c r="U48" s="93">
        <f>+'1 pr.asignavimai'!D120</f>
        <v>49156</v>
      </c>
      <c r="V48" s="93">
        <f>+'1 pr.asignavimai'!E120</f>
        <v>-739.5</v>
      </c>
      <c r="W48" s="93">
        <f t="shared" si="4"/>
        <v>98.5</v>
      </c>
      <c r="X48" s="93">
        <f>+'1 pr.asignavimai'!G120</f>
        <v>49895.5</v>
      </c>
      <c r="Y48" s="93">
        <f>+'1 pr.asignavimai'!H120</f>
        <v>49146</v>
      </c>
      <c r="Z48" s="93">
        <f>+'1 pr.asignavimai'!I120</f>
        <v>6647.9</v>
      </c>
      <c r="AA48" s="93">
        <f>+'1 pr.asignavimai'!J120</f>
        <v>6550</v>
      </c>
      <c r="AB48" s="93">
        <f>+'1 pr.asignavimai'!K120</f>
        <v>0</v>
      </c>
      <c r="AC48" s="93">
        <f>+'1 pr.asignavimai'!L120</f>
        <v>10</v>
      </c>
    </row>
    <row r="49" spans="1:29" ht="15.75">
      <c r="A49" s="113"/>
      <c r="B49" s="114"/>
      <c r="C49" s="27" t="s">
        <v>126</v>
      </c>
      <c r="D49" s="15">
        <f aca="true" t="shared" si="23" ref="D49:K49">SUM(D45:D48)</f>
        <v>47605.6</v>
      </c>
      <c r="E49" s="15">
        <f t="shared" si="23"/>
        <v>45347</v>
      </c>
      <c r="F49" s="15">
        <f t="shared" si="23"/>
        <v>6662.1</v>
      </c>
      <c r="G49" s="15">
        <f t="shared" si="23"/>
        <v>2258.6</v>
      </c>
      <c r="H49" s="15" t="e">
        <f t="shared" si="23"/>
        <v>#REF!</v>
      </c>
      <c r="I49" s="15" t="e">
        <f t="shared" si="23"/>
        <v>#REF!</v>
      </c>
      <c r="J49" s="15" t="e">
        <f t="shared" si="23"/>
        <v>#REF!</v>
      </c>
      <c r="K49" s="15" t="e">
        <f t="shared" si="23"/>
        <v>#REF!</v>
      </c>
      <c r="L49" s="15" t="e">
        <f t="shared" si="0"/>
        <v>#REF!</v>
      </c>
      <c r="M49" s="15" t="e">
        <f t="shared" si="1"/>
        <v>#REF!</v>
      </c>
      <c r="N49" s="15" t="e">
        <f t="shared" si="2"/>
        <v>#REF!</v>
      </c>
      <c r="O49" s="15" t="e">
        <f t="shared" si="3"/>
        <v>#REF!</v>
      </c>
      <c r="P49" s="15" t="e">
        <f>SUM(P45:P48)</f>
        <v>#REF!</v>
      </c>
      <c r="Q49" s="15" t="e">
        <f>SUM(Q45:Q48)</f>
        <v>#REF!</v>
      </c>
      <c r="R49" s="15" t="e">
        <f>SUM(R45:R48)</f>
        <v>#REF!</v>
      </c>
      <c r="S49" s="15" t="e">
        <f>SUM(S45:S48)</f>
        <v>#REF!</v>
      </c>
      <c r="T49" s="92">
        <f>SUM(T45:T48)</f>
        <v>52297.2</v>
      </c>
      <c r="U49" s="92">
        <f aca="true" t="shared" si="24" ref="U49:AC49">SUM(U45:U48)</f>
        <v>50330</v>
      </c>
      <c r="V49" s="92">
        <f t="shared" si="24"/>
        <v>-1967.2</v>
      </c>
      <c r="W49" s="92">
        <f t="shared" si="4"/>
        <v>96.2</v>
      </c>
      <c r="X49" s="92">
        <f t="shared" si="24"/>
        <v>50038.6</v>
      </c>
      <c r="Y49" s="92">
        <f t="shared" si="24"/>
        <v>49196.8</v>
      </c>
      <c r="Z49" s="92">
        <f t="shared" si="24"/>
        <v>6653.5</v>
      </c>
      <c r="AA49" s="92">
        <f t="shared" si="24"/>
        <v>6555.6</v>
      </c>
      <c r="AB49" s="92">
        <f t="shared" si="24"/>
        <v>2258.6</v>
      </c>
      <c r="AC49" s="92">
        <f t="shared" si="24"/>
        <v>1133.2</v>
      </c>
    </row>
    <row r="50" spans="1:29" ht="31.5">
      <c r="A50" s="43" t="s">
        <v>137</v>
      </c>
      <c r="B50" s="41" t="s">
        <v>289</v>
      </c>
      <c r="C50" s="27" t="s">
        <v>12</v>
      </c>
      <c r="D50" s="15">
        <f>+E50+G50</f>
        <v>5729.5</v>
      </c>
      <c r="E50" s="15">
        <f>495.5+4821+449.8-36.8</f>
        <v>5729.5</v>
      </c>
      <c r="F50" s="15">
        <f>276.1+3120.2+28.7</f>
        <v>3425</v>
      </c>
      <c r="G50" s="15"/>
      <c r="H50" s="15">
        <f>+I50+K50</f>
        <v>0</v>
      </c>
      <c r="I50" s="15"/>
      <c r="J50" s="15"/>
      <c r="K50" s="15"/>
      <c r="L50" s="15">
        <f t="shared" si="0"/>
        <v>5729.5</v>
      </c>
      <c r="M50" s="15">
        <f t="shared" si="1"/>
        <v>5729.5</v>
      </c>
      <c r="N50" s="15">
        <f t="shared" si="2"/>
        <v>3425</v>
      </c>
      <c r="O50" s="15">
        <f t="shared" si="3"/>
        <v>0</v>
      </c>
      <c r="P50" s="15" t="e">
        <f>+Q50+S50</f>
        <v>#REF!</v>
      </c>
      <c r="Q50" s="15" t="e">
        <f>+'1 pr.asignavimai'!#REF!</f>
        <v>#REF!</v>
      </c>
      <c r="R50" s="15" t="e">
        <f>+'1 pr.asignavimai'!#REF!</f>
        <v>#REF!</v>
      </c>
      <c r="S50" s="15" t="e">
        <f>+'1 pr.asignavimai'!#REF!</f>
        <v>#REF!</v>
      </c>
      <c r="T50" s="92">
        <f>+'1 pr.asignavimai'!C132</f>
        <v>5755.8</v>
      </c>
      <c r="U50" s="92">
        <f>+'1 pr.asignavimai'!D132</f>
        <v>5813.1</v>
      </c>
      <c r="V50" s="92">
        <f>+'1 pr.asignavimai'!E132</f>
        <v>57.3</v>
      </c>
      <c r="W50" s="92">
        <f t="shared" si="4"/>
        <v>101</v>
      </c>
      <c r="X50" s="92">
        <f>+'1 pr.asignavimai'!G132</f>
        <v>5755.8</v>
      </c>
      <c r="Y50" s="92">
        <f>+'1 pr.asignavimai'!H132</f>
        <v>5813.1</v>
      </c>
      <c r="Z50" s="92">
        <f>+'1 pr.asignavimai'!I132</f>
        <v>3441.2</v>
      </c>
      <c r="AA50" s="92">
        <f>+'1 pr.asignavimai'!J132</f>
        <v>3438</v>
      </c>
      <c r="AB50" s="92">
        <f>+'1 pr.asignavimai'!K132</f>
        <v>0</v>
      </c>
      <c r="AC50" s="92">
        <f>+'1 pr.asignavimai'!L132</f>
        <v>0</v>
      </c>
    </row>
    <row r="51" spans="1:29" ht="47.25" customHeight="1">
      <c r="A51" s="43" t="s">
        <v>138</v>
      </c>
      <c r="B51" s="41" t="s">
        <v>275</v>
      </c>
      <c r="C51" s="27" t="s">
        <v>4</v>
      </c>
      <c r="D51" s="15">
        <f>+E51+G51</f>
        <v>200</v>
      </c>
      <c r="E51" s="15">
        <v>200</v>
      </c>
      <c r="F51" s="15"/>
      <c r="G51" s="15"/>
      <c r="H51" s="15">
        <f>+I51+K51</f>
        <v>0</v>
      </c>
      <c r="I51" s="15"/>
      <c r="J51" s="15"/>
      <c r="K51" s="15"/>
      <c r="L51" s="15">
        <f t="shared" si="0"/>
        <v>200</v>
      </c>
      <c r="M51" s="15">
        <f t="shared" si="1"/>
        <v>200</v>
      </c>
      <c r="N51" s="15">
        <f t="shared" si="2"/>
        <v>0</v>
      </c>
      <c r="O51" s="15">
        <f t="shared" si="3"/>
        <v>0</v>
      </c>
      <c r="P51" s="15" t="e">
        <f>+Q51+S51</f>
        <v>#REF!</v>
      </c>
      <c r="Q51" s="15" t="e">
        <f>+'1 pr.asignavimai'!#REF!</f>
        <v>#REF!</v>
      </c>
      <c r="R51" s="15" t="e">
        <f>+'1 pr.asignavimai'!#REF!</f>
        <v>#REF!</v>
      </c>
      <c r="S51" s="15" t="e">
        <f>+'1 pr.asignavimai'!#REF!</f>
        <v>#REF!</v>
      </c>
      <c r="T51" s="92">
        <f>+'1 pr.asignavimai'!C43</f>
        <v>359.8</v>
      </c>
      <c r="U51" s="92">
        <f>+'1 pr.asignavimai'!D43</f>
        <v>302.6</v>
      </c>
      <c r="V51" s="92">
        <f>+'1 pr.asignavimai'!E43</f>
        <v>-57.2</v>
      </c>
      <c r="W51" s="92">
        <f t="shared" si="4"/>
        <v>84.1</v>
      </c>
      <c r="X51" s="92">
        <f>+'1 pr.asignavimai'!G43</f>
        <v>359.8</v>
      </c>
      <c r="Y51" s="92">
        <f>+'1 pr.asignavimai'!H43</f>
        <v>302.6</v>
      </c>
      <c r="Z51" s="92">
        <f>+'1 pr.asignavimai'!I43</f>
        <v>0</v>
      </c>
      <c r="AA51" s="92">
        <f>+'1 pr.asignavimai'!J43</f>
        <v>0</v>
      </c>
      <c r="AB51" s="92">
        <f>+'1 pr.asignavimai'!K43</f>
        <v>0</v>
      </c>
      <c r="AC51" s="92">
        <f>+'1 pr.asignavimai'!L43</f>
        <v>0</v>
      </c>
    </row>
    <row r="52" spans="1:29" ht="31.5">
      <c r="A52" s="43" t="s">
        <v>139</v>
      </c>
      <c r="B52" s="41" t="s">
        <v>57</v>
      </c>
      <c r="C52" s="27" t="s">
        <v>4</v>
      </c>
      <c r="D52" s="15">
        <f>+E52+G52</f>
        <v>12081</v>
      </c>
      <c r="E52" s="15">
        <f>8464+3617</f>
        <v>12081</v>
      </c>
      <c r="F52" s="15"/>
      <c r="G52" s="15"/>
      <c r="H52" s="15">
        <f>+I52+K52</f>
        <v>0</v>
      </c>
      <c r="I52" s="15"/>
      <c r="J52" s="15"/>
      <c r="K52" s="15"/>
      <c r="L52" s="15">
        <f t="shared" si="0"/>
        <v>12081</v>
      </c>
      <c r="M52" s="15">
        <f t="shared" si="1"/>
        <v>12081</v>
      </c>
      <c r="N52" s="15">
        <f t="shared" si="2"/>
        <v>0</v>
      </c>
      <c r="O52" s="15">
        <f t="shared" si="3"/>
        <v>0</v>
      </c>
      <c r="P52" s="15">
        <f>+Q52+S52</f>
        <v>0</v>
      </c>
      <c r="Q52" s="15"/>
      <c r="R52" s="15"/>
      <c r="S52" s="15"/>
      <c r="T52" s="92">
        <f>+'1 pr.asignavimai'!C44</f>
        <v>12081</v>
      </c>
      <c r="U52" s="92">
        <f>+'1 pr.asignavimai'!D44</f>
        <v>12081</v>
      </c>
      <c r="V52" s="92">
        <f>+'1 pr.asignavimai'!E44</f>
        <v>0</v>
      </c>
      <c r="W52" s="92">
        <f t="shared" si="4"/>
        <v>100</v>
      </c>
      <c r="X52" s="92">
        <f>+'1 pr.asignavimai'!G44</f>
        <v>12081</v>
      </c>
      <c r="Y52" s="92">
        <f>+'1 pr.asignavimai'!H44</f>
        <v>12081</v>
      </c>
      <c r="Z52" s="92">
        <f>+'1 pr.asignavimai'!I44</f>
        <v>0</v>
      </c>
      <c r="AA52" s="92">
        <f>+'1 pr.asignavimai'!J44</f>
        <v>0</v>
      </c>
      <c r="AB52" s="92">
        <f>+'1 pr.asignavimai'!K44</f>
        <v>0</v>
      </c>
      <c r="AC52" s="92">
        <f>+'1 pr.asignavimai'!L44</f>
        <v>0</v>
      </c>
    </row>
    <row r="53" spans="1:29" ht="50.25" customHeight="1">
      <c r="A53" s="43" t="s">
        <v>140</v>
      </c>
      <c r="B53" s="41" t="s">
        <v>273</v>
      </c>
      <c r="C53" s="27" t="s">
        <v>55</v>
      </c>
      <c r="D53" s="15">
        <f>+E53+G53</f>
        <v>338.3</v>
      </c>
      <c r="E53" s="15">
        <v>338.3</v>
      </c>
      <c r="F53" s="15">
        <v>238.6</v>
      </c>
      <c r="G53" s="15"/>
      <c r="H53" s="15">
        <f>+I53+K53</f>
        <v>0</v>
      </c>
      <c r="I53" s="15"/>
      <c r="J53" s="15"/>
      <c r="K53" s="15"/>
      <c r="L53" s="15">
        <f t="shared" si="0"/>
        <v>338.3</v>
      </c>
      <c r="M53" s="15">
        <f t="shared" si="1"/>
        <v>338.3</v>
      </c>
      <c r="N53" s="15">
        <f t="shared" si="2"/>
        <v>238.6</v>
      </c>
      <c r="O53" s="15">
        <f t="shared" si="3"/>
        <v>0</v>
      </c>
      <c r="P53" s="15">
        <f>+Q53+S53</f>
        <v>0</v>
      </c>
      <c r="Q53" s="15"/>
      <c r="R53" s="15"/>
      <c r="S53" s="15"/>
      <c r="T53" s="92">
        <f>+'1 pr.asignavimai'!C8</f>
        <v>338.3</v>
      </c>
      <c r="U53" s="92">
        <f>+'1 pr.asignavimai'!D8</f>
        <v>326.2</v>
      </c>
      <c r="V53" s="92">
        <f>+'1 pr.asignavimai'!E8</f>
        <v>-12.1</v>
      </c>
      <c r="W53" s="92">
        <f t="shared" si="4"/>
        <v>96.4</v>
      </c>
      <c r="X53" s="92">
        <f>+'1 pr.asignavimai'!G8</f>
        <v>338.3</v>
      </c>
      <c r="Y53" s="92">
        <f>+'1 pr.asignavimai'!H8</f>
        <v>326.2</v>
      </c>
      <c r="Z53" s="92">
        <f>+'1 pr.asignavimai'!I8</f>
        <v>238.6</v>
      </c>
      <c r="AA53" s="92">
        <f>+'1 pr.asignavimai'!J8</f>
        <v>227.2</v>
      </c>
      <c r="AB53" s="92">
        <f>+'1 pr.asignavimai'!K8</f>
        <v>0</v>
      </c>
      <c r="AC53" s="92">
        <f>+'1 pr.asignavimai'!L8</f>
        <v>0</v>
      </c>
    </row>
    <row r="54" spans="1:29" ht="15.75">
      <c r="A54" s="4" t="s">
        <v>141</v>
      </c>
      <c r="B54" s="32" t="s">
        <v>9</v>
      </c>
      <c r="C54" s="12"/>
      <c r="D54" s="15">
        <f aca="true" t="shared" si="25" ref="D54:O54">+D14+D15+D18+D19+D23+D27+D32+D35+D36+D41+D44+D49+D50+D51+D52+D53</f>
        <v>381620.9</v>
      </c>
      <c r="E54" s="15">
        <f t="shared" si="25"/>
        <v>361323.6</v>
      </c>
      <c r="F54" s="15">
        <f t="shared" si="25"/>
        <v>157071.8</v>
      </c>
      <c r="G54" s="15">
        <f t="shared" si="25"/>
        <v>20297.3</v>
      </c>
      <c r="H54" s="15" t="e">
        <f t="shared" si="25"/>
        <v>#REF!</v>
      </c>
      <c r="I54" s="15" t="e">
        <f t="shared" si="25"/>
        <v>#REF!</v>
      </c>
      <c r="J54" s="15" t="e">
        <f t="shared" si="25"/>
        <v>#REF!</v>
      </c>
      <c r="K54" s="15" t="e">
        <f t="shared" si="25"/>
        <v>#REF!</v>
      </c>
      <c r="L54" s="15" t="e">
        <f t="shared" si="25"/>
        <v>#REF!</v>
      </c>
      <c r="M54" s="15" t="e">
        <f t="shared" si="25"/>
        <v>#REF!</v>
      </c>
      <c r="N54" s="15" t="e">
        <f t="shared" si="25"/>
        <v>#REF!</v>
      </c>
      <c r="O54" s="15" t="e">
        <f t="shared" si="25"/>
        <v>#REF!</v>
      </c>
      <c r="P54" s="15" t="e">
        <f>+P14+P15+P18+P19+P23+P27+P32+P35+P36+P41+P44+P49+P50+P51+P52+P53</f>
        <v>#REF!</v>
      </c>
      <c r="Q54" s="15" t="e">
        <f>+Q14+Q15+Q18+Q19+Q23+Q27+Q32+Q35+Q36+Q41+Q44+Q49+Q50+Q51+Q52+Q53</f>
        <v>#REF!</v>
      </c>
      <c r="R54" s="15" t="e">
        <f>+R14+R15+R18+R19+R23+R27+R32+R35+R36+R41+R44+R49+R50+R51+R52+R53</f>
        <v>#REF!</v>
      </c>
      <c r="S54" s="15" t="e">
        <f>+S14+S15+S18+S19+S23+S27+S32+S35+S36+S41+S44+S49+S50+S51+S52+S53</f>
        <v>#REF!</v>
      </c>
      <c r="T54" s="92">
        <f>+T14+T15+T18+T19+T23+T27+T32+T35+T36+T41+T49+T50+T51+T52+T53+T44</f>
        <v>394972.5</v>
      </c>
      <c r="U54" s="92">
        <f aca="true" t="shared" si="26" ref="U54:AC54">+U14+U15+U18+U19+U23+U27+U32+U35+U36+U41+U49+U50+U51+U52+U53+U44</f>
        <v>382368.7</v>
      </c>
      <c r="V54" s="92">
        <f t="shared" si="26"/>
        <v>-12603.8</v>
      </c>
      <c r="W54" s="92">
        <f t="shared" si="4"/>
        <v>96.8</v>
      </c>
      <c r="X54" s="92">
        <f t="shared" si="26"/>
        <v>371059.7</v>
      </c>
      <c r="Y54" s="92">
        <f t="shared" si="26"/>
        <v>365308.9</v>
      </c>
      <c r="Z54" s="92">
        <f t="shared" si="26"/>
        <v>156757.3</v>
      </c>
      <c r="AA54" s="92">
        <f t="shared" si="26"/>
        <v>156274.3</v>
      </c>
      <c r="AB54" s="92">
        <f t="shared" si="26"/>
        <v>23912.8</v>
      </c>
      <c r="AC54" s="92">
        <f t="shared" si="26"/>
        <v>17059.8</v>
      </c>
    </row>
    <row r="55" spans="16:19" ht="12.75">
      <c r="P55">
        <v>5792.7</v>
      </c>
      <c r="Q55">
        <v>3629.2</v>
      </c>
      <c r="R55">
        <v>-478.5</v>
      </c>
      <c r="S55">
        <v>2163.5</v>
      </c>
    </row>
    <row r="56" spans="2:22" ht="12.75">
      <c r="B56" s="25"/>
      <c r="C56" s="25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25"/>
      <c r="U56" s="25"/>
      <c r="V56" s="25"/>
    </row>
    <row r="57" spans="4:19" ht="12.75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</sheetData>
  <sheetProtection/>
  <mergeCells count="54">
    <mergeCell ref="Q11:R11"/>
    <mergeCell ref="W9:W12"/>
    <mergeCell ref="X9:AC9"/>
    <mergeCell ref="X10:AA10"/>
    <mergeCell ref="AB10:AC10"/>
    <mergeCell ref="X11:X12"/>
    <mergeCell ref="Y11:Y12"/>
    <mergeCell ref="AC11:AC12"/>
    <mergeCell ref="Z11:AA11"/>
    <mergeCell ref="AB11:AB12"/>
    <mergeCell ref="V9:V12"/>
    <mergeCell ref="T9:T12"/>
    <mergeCell ref="U9:U12"/>
    <mergeCell ref="D9:G9"/>
    <mergeCell ref="H9:K9"/>
    <mergeCell ref="L9:O9"/>
    <mergeCell ref="O11:O12"/>
    <mergeCell ref="P9:S9"/>
    <mergeCell ref="K11:K12"/>
    <mergeCell ref="L10:L12"/>
    <mergeCell ref="A9:A12"/>
    <mergeCell ref="B9:B12"/>
    <mergeCell ref="C9:C12"/>
    <mergeCell ref="M11:N11"/>
    <mergeCell ref="C4:F4"/>
    <mergeCell ref="C5:F5"/>
    <mergeCell ref="B6:AC6"/>
    <mergeCell ref="H10:H12"/>
    <mergeCell ref="I10:K10"/>
    <mergeCell ref="I11:J11"/>
    <mergeCell ref="P10:P12"/>
    <mergeCell ref="Q10:S10"/>
    <mergeCell ref="M10:O10"/>
    <mergeCell ref="S11:S12"/>
    <mergeCell ref="A45:A49"/>
    <mergeCell ref="B45:B49"/>
    <mergeCell ref="D10:D12"/>
    <mergeCell ref="E10:G10"/>
    <mergeCell ref="E11:F11"/>
    <mergeCell ref="G11:G12"/>
    <mergeCell ref="B20:B23"/>
    <mergeCell ref="A37:A41"/>
    <mergeCell ref="B37:B41"/>
    <mergeCell ref="A24:A27"/>
    <mergeCell ref="A42:A44"/>
    <mergeCell ref="B42:B44"/>
    <mergeCell ref="A16:A18"/>
    <mergeCell ref="B16:B18"/>
    <mergeCell ref="A20:A23"/>
    <mergeCell ref="B24:B27"/>
    <mergeCell ref="A33:A35"/>
    <mergeCell ref="B33:B35"/>
    <mergeCell ref="A28:A32"/>
    <mergeCell ref="B28:B32"/>
  </mergeCells>
  <printOptions/>
  <pageMargins left="0.7874015748031497" right="0.1968503937007874" top="0.7874015748031497" bottom="0.3937007874015748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showZeros="0" zoomScalePageLayoutView="0" workbookViewId="0" topLeftCell="A7">
      <selection activeCell="D27" sqref="D27"/>
    </sheetView>
  </sheetViews>
  <sheetFormatPr defaultColWidth="10.140625" defaultRowHeight="12.75"/>
  <cols>
    <col min="1" max="1" width="6.00390625" style="28" customWidth="1"/>
    <col min="2" max="2" width="34.7109375" style="0" customWidth="1"/>
    <col min="3" max="3" width="11.00390625" style="0" customWidth="1"/>
  </cols>
  <sheetData>
    <row r="1" spans="1:3" ht="14.25" customHeight="1">
      <c r="A1" s="3"/>
      <c r="B1" s="1"/>
      <c r="C1" s="1" t="s">
        <v>0</v>
      </c>
    </row>
    <row r="2" spans="1:3" ht="14.25" customHeight="1">
      <c r="A2" s="3"/>
      <c r="B2" s="1"/>
      <c r="C2" s="1" t="s">
        <v>354</v>
      </c>
    </row>
    <row r="3" spans="1:3" ht="14.25" customHeight="1">
      <c r="A3" s="3"/>
      <c r="B3" s="1"/>
      <c r="C3" s="1" t="s">
        <v>305</v>
      </c>
    </row>
    <row r="4" spans="1:3" ht="14.25" customHeight="1">
      <c r="A4" s="3"/>
      <c r="B4" s="3"/>
      <c r="C4" s="3"/>
    </row>
    <row r="5" spans="1:6" ht="47.25" customHeight="1">
      <c r="A5" s="119" t="s">
        <v>355</v>
      </c>
      <c r="B5" s="119"/>
      <c r="C5" s="119"/>
      <c r="D5" s="119"/>
      <c r="E5" s="119"/>
      <c r="F5" s="119"/>
    </row>
    <row r="6" spans="1:2" ht="15.75" customHeight="1">
      <c r="A6" s="54"/>
      <c r="B6" s="54"/>
    </row>
    <row r="7" spans="1:2" ht="15" customHeight="1">
      <c r="A7" s="3"/>
      <c r="B7" s="3"/>
    </row>
    <row r="8" spans="1:2" ht="31.5" customHeight="1">
      <c r="A8" s="34"/>
      <c r="B8" s="1"/>
    </row>
    <row r="9" spans="1:6" ht="15.75" customHeight="1">
      <c r="A9" s="126" t="s">
        <v>1</v>
      </c>
      <c r="B9" s="126" t="s">
        <v>51</v>
      </c>
      <c r="C9" s="125" t="s">
        <v>151</v>
      </c>
      <c r="D9" s="125"/>
      <c r="E9" s="125"/>
      <c r="F9" s="125"/>
    </row>
    <row r="10" spans="1:6" ht="63">
      <c r="A10" s="126"/>
      <c r="B10" s="126"/>
      <c r="C10" s="24" t="s">
        <v>352</v>
      </c>
      <c r="D10" s="24" t="s">
        <v>346</v>
      </c>
      <c r="E10" s="24" t="s">
        <v>353</v>
      </c>
      <c r="F10" s="24" t="s">
        <v>338</v>
      </c>
    </row>
    <row r="11" spans="1:6" ht="15.75">
      <c r="A11" s="4">
        <v>1</v>
      </c>
      <c r="B11" s="26">
        <v>2</v>
      </c>
      <c r="C11" s="27">
        <v>3</v>
      </c>
      <c r="D11" s="27">
        <v>4</v>
      </c>
      <c r="E11" s="27">
        <v>5</v>
      </c>
      <c r="F11" s="27">
        <v>6</v>
      </c>
    </row>
    <row r="12" spans="1:6" ht="31.5">
      <c r="A12" s="33">
        <v>1</v>
      </c>
      <c r="B12" s="31" t="s">
        <v>69</v>
      </c>
      <c r="C12" s="45"/>
      <c r="D12" s="45"/>
      <c r="E12" s="45"/>
      <c r="F12" s="45"/>
    </row>
    <row r="13" spans="1:6" ht="31.5">
      <c r="A13" s="33">
        <f>+A12+1</f>
        <v>2</v>
      </c>
      <c r="B13" s="24" t="s">
        <v>142</v>
      </c>
      <c r="C13" s="93">
        <v>1056.5</v>
      </c>
      <c r="D13" s="93">
        <v>596.3</v>
      </c>
      <c r="E13" s="93">
        <f>+D13-C13</f>
        <v>-460.2</v>
      </c>
      <c r="F13" s="93">
        <f>+D13/C13*100</f>
        <v>56.4</v>
      </c>
    </row>
    <row r="14" spans="1:6" ht="31.5">
      <c r="A14" s="33" t="s">
        <v>127</v>
      </c>
      <c r="B14" s="24" t="s">
        <v>272</v>
      </c>
      <c r="C14" s="93">
        <v>2279.7</v>
      </c>
      <c r="D14" s="93">
        <v>463</v>
      </c>
      <c r="E14" s="93">
        <f aca="true" t="shared" si="0" ref="E14:E20">+D14-C14</f>
        <v>-1816.7</v>
      </c>
      <c r="F14" s="93">
        <f aca="true" t="shared" si="1" ref="F14:F21">+D14/C14*100</f>
        <v>20.3</v>
      </c>
    </row>
    <row r="15" spans="1:6" s="11" customFormat="1" ht="31.5">
      <c r="A15" s="33" t="s">
        <v>128</v>
      </c>
      <c r="B15" s="24" t="s">
        <v>143</v>
      </c>
      <c r="C15" s="93">
        <v>1093.4</v>
      </c>
      <c r="D15" s="93">
        <v>680.4</v>
      </c>
      <c r="E15" s="93">
        <f t="shared" si="0"/>
        <v>-413</v>
      </c>
      <c r="F15" s="93">
        <f t="shared" si="1"/>
        <v>62.2</v>
      </c>
    </row>
    <row r="16" spans="1:6" s="11" customFormat="1" ht="31.5">
      <c r="A16" s="33" t="s">
        <v>129</v>
      </c>
      <c r="B16" s="6" t="s">
        <v>74</v>
      </c>
      <c r="C16" s="93">
        <v>2101.5</v>
      </c>
      <c r="D16" s="93">
        <v>66.2</v>
      </c>
      <c r="E16" s="93">
        <f t="shared" si="0"/>
        <v>-2035.3</v>
      </c>
      <c r="F16" s="93">
        <f t="shared" si="1"/>
        <v>3.2</v>
      </c>
    </row>
    <row r="17" spans="1:6" s="11" customFormat="1" ht="47.25">
      <c r="A17" s="33" t="s">
        <v>130</v>
      </c>
      <c r="B17" s="6" t="s">
        <v>77</v>
      </c>
      <c r="C17" s="93">
        <v>719</v>
      </c>
      <c r="D17" s="93">
        <v>700.2</v>
      </c>
      <c r="E17" s="93">
        <f t="shared" si="0"/>
        <v>-18.8</v>
      </c>
      <c r="F17" s="93">
        <f t="shared" si="1"/>
        <v>97.4</v>
      </c>
    </row>
    <row r="18" spans="1:6" ht="31.5">
      <c r="A18" s="33" t="s">
        <v>131</v>
      </c>
      <c r="B18" s="24" t="s">
        <v>95</v>
      </c>
      <c r="C18" s="93">
        <v>2062</v>
      </c>
      <c r="D18" s="93">
        <v>1870.2</v>
      </c>
      <c r="E18" s="93">
        <f t="shared" si="0"/>
        <v>-191.8</v>
      </c>
      <c r="F18" s="93">
        <f t="shared" si="1"/>
        <v>90.7</v>
      </c>
    </row>
    <row r="19" spans="1:6" s="11" customFormat="1" ht="31.5">
      <c r="A19" s="33" t="s">
        <v>132</v>
      </c>
      <c r="B19" s="24" t="s">
        <v>144</v>
      </c>
      <c r="C19" s="93">
        <v>991.7</v>
      </c>
      <c r="D19" s="93">
        <v>991.7</v>
      </c>
      <c r="E19" s="93">
        <f t="shared" si="0"/>
        <v>0</v>
      </c>
      <c r="F19" s="93">
        <f t="shared" si="1"/>
        <v>100</v>
      </c>
    </row>
    <row r="20" spans="1:6" s="11" customFormat="1" ht="31.5">
      <c r="A20" s="33" t="s">
        <v>133</v>
      </c>
      <c r="B20" s="24" t="s">
        <v>97</v>
      </c>
      <c r="C20" s="93">
        <v>1404.3</v>
      </c>
      <c r="D20" s="93">
        <v>331</v>
      </c>
      <c r="E20" s="93">
        <f t="shared" si="0"/>
        <v>-1073.3</v>
      </c>
      <c r="F20" s="93">
        <f t="shared" si="1"/>
        <v>23.6</v>
      </c>
    </row>
    <row r="21" spans="1:6" ht="15" customHeight="1">
      <c r="A21" s="33" t="s">
        <v>134</v>
      </c>
      <c r="B21" s="12" t="s">
        <v>85</v>
      </c>
      <c r="C21" s="29">
        <f>SUM(C13:C20)</f>
        <v>11708.1</v>
      </c>
      <c r="D21" s="29">
        <f>SUM(D13:D20)</f>
        <v>5699</v>
      </c>
      <c r="E21" s="29">
        <f>SUM(E13:E20)</f>
        <v>-6009.1</v>
      </c>
      <c r="F21" s="92">
        <f t="shared" si="1"/>
        <v>48.7</v>
      </c>
    </row>
    <row r="23" ht="15">
      <c r="B23" s="25"/>
    </row>
  </sheetData>
  <sheetProtection/>
  <mergeCells count="4">
    <mergeCell ref="C9:F9"/>
    <mergeCell ref="A5:F5"/>
    <mergeCell ref="A9:A10"/>
    <mergeCell ref="B9:B10"/>
  </mergeCells>
  <printOptions/>
  <pageMargins left="1.1811023622047245" right="0.3937007874015748" top="0.98425196850393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4"/>
  <sheetViews>
    <sheetView showZeros="0" zoomScalePageLayoutView="0" workbookViewId="0" topLeftCell="A1">
      <pane xSplit="2" ySplit="10" topLeftCell="C119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B42" sqref="B42"/>
    </sheetView>
  </sheetViews>
  <sheetFormatPr defaultColWidth="9.140625" defaultRowHeight="12.75"/>
  <cols>
    <col min="1" max="1" width="5.140625" style="1" customWidth="1"/>
    <col min="2" max="2" width="39.57421875" style="1" customWidth="1"/>
    <col min="3" max="3" width="8.28125" style="0" customWidth="1"/>
    <col min="4" max="4" width="9.28125" style="0" customWidth="1"/>
    <col min="5" max="5" width="10.7109375" style="0" customWidth="1"/>
    <col min="6" max="6" width="8.57421875" style="0" customWidth="1"/>
    <col min="7" max="7" width="9.00390625" style="0" customWidth="1"/>
    <col min="8" max="8" width="10.140625" style="0" customWidth="1"/>
    <col min="9" max="9" width="9.28125" style="0" customWidth="1"/>
    <col min="10" max="10" width="7.7109375" style="0" customWidth="1"/>
    <col min="11" max="11" width="9.8515625" style="0" customWidth="1"/>
    <col min="12" max="12" width="8.28125" style="0" customWidth="1"/>
    <col min="13" max="13" width="7.28125" style="0" customWidth="1"/>
    <col min="14" max="14" width="9.28125" style="0" customWidth="1"/>
  </cols>
  <sheetData>
    <row r="1" ht="15.75">
      <c r="I1" s="60" t="s">
        <v>0</v>
      </c>
    </row>
    <row r="2" ht="15.75">
      <c r="I2" s="60" t="s">
        <v>371</v>
      </c>
    </row>
    <row r="3" ht="15.75">
      <c r="I3" s="60" t="s">
        <v>145</v>
      </c>
    </row>
    <row r="4" ht="11.25" customHeight="1">
      <c r="L4" t="s">
        <v>372</v>
      </c>
    </row>
    <row r="5" spans="1:13" ht="39" customHeight="1">
      <c r="A5" s="14"/>
      <c r="B5" s="130" t="s">
        <v>373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5" ht="21.75" customHeight="1">
      <c r="A6" s="14"/>
      <c r="B6" s="14"/>
      <c r="C6" s="39"/>
      <c r="D6" s="39"/>
      <c r="E6" s="39"/>
    </row>
    <row r="7" spans="1:14" ht="15" customHeight="1">
      <c r="A7" s="2"/>
      <c r="B7" s="3"/>
      <c r="C7" s="94"/>
      <c r="D7" s="94"/>
      <c r="E7" s="94"/>
      <c r="F7" s="94"/>
      <c r="G7" s="94"/>
      <c r="H7" s="94"/>
      <c r="I7" s="94"/>
      <c r="J7" s="94"/>
      <c r="K7" s="94"/>
      <c r="L7" s="94"/>
      <c r="M7" s="104" t="s">
        <v>13</v>
      </c>
      <c r="N7" s="104"/>
    </row>
    <row r="8" spans="1:14" ht="21.75" customHeight="1">
      <c r="A8" s="127" t="s">
        <v>1</v>
      </c>
      <c r="B8" s="127" t="s">
        <v>146</v>
      </c>
      <c r="C8" s="103" t="s">
        <v>9</v>
      </c>
      <c r="D8" s="103"/>
      <c r="E8" s="103"/>
      <c r="F8" s="110" t="s">
        <v>14</v>
      </c>
      <c r="G8" s="110"/>
      <c r="H8" s="110"/>
      <c r="I8" s="110"/>
      <c r="J8" s="110"/>
      <c r="K8" s="110"/>
      <c r="L8" s="110"/>
      <c r="M8" s="110"/>
      <c r="N8" s="110"/>
    </row>
    <row r="9" spans="1:14" ht="48" customHeight="1">
      <c r="A9" s="128"/>
      <c r="B9" s="128"/>
      <c r="C9" s="103"/>
      <c r="D9" s="103"/>
      <c r="E9" s="103"/>
      <c r="F9" s="131" t="s">
        <v>374</v>
      </c>
      <c r="G9" s="131"/>
      <c r="H9" s="131"/>
      <c r="I9" s="132" t="s">
        <v>375</v>
      </c>
      <c r="J9" s="132"/>
      <c r="K9" s="132"/>
      <c r="L9" s="132" t="s">
        <v>376</v>
      </c>
      <c r="M9" s="132"/>
      <c r="N9" s="132"/>
    </row>
    <row r="10" spans="1:14" ht="60" customHeight="1">
      <c r="A10" s="129"/>
      <c r="B10" s="129"/>
      <c r="C10" s="87" t="s">
        <v>345</v>
      </c>
      <c r="D10" s="87" t="s">
        <v>346</v>
      </c>
      <c r="E10" s="19" t="s">
        <v>377</v>
      </c>
      <c r="F10" s="87" t="s">
        <v>345</v>
      </c>
      <c r="G10" s="87" t="s">
        <v>346</v>
      </c>
      <c r="H10" s="19" t="s">
        <v>377</v>
      </c>
      <c r="I10" s="87" t="s">
        <v>345</v>
      </c>
      <c r="J10" s="87" t="s">
        <v>384</v>
      </c>
      <c r="K10" s="19" t="s">
        <v>377</v>
      </c>
      <c r="L10" s="87" t="s">
        <v>345</v>
      </c>
      <c r="M10" s="87" t="s">
        <v>384</v>
      </c>
      <c r="N10" s="19" t="s">
        <v>393</v>
      </c>
    </row>
    <row r="11" spans="1:14" ht="15" customHeight="1">
      <c r="A11" s="4">
        <v>1</v>
      </c>
      <c r="B11" s="5" t="s">
        <v>2</v>
      </c>
      <c r="C11" s="4">
        <v>3</v>
      </c>
      <c r="D11" s="5" t="s">
        <v>3</v>
      </c>
      <c r="E11" s="4">
        <v>5</v>
      </c>
      <c r="F11" s="5" t="s">
        <v>15</v>
      </c>
      <c r="G11" s="4">
        <v>7</v>
      </c>
      <c r="H11" s="5" t="s">
        <v>390</v>
      </c>
      <c r="I11" s="4">
        <v>9</v>
      </c>
      <c r="J11" s="5" t="s">
        <v>391</v>
      </c>
      <c r="K11" s="4">
        <v>11</v>
      </c>
      <c r="L11" s="5" t="s">
        <v>392</v>
      </c>
      <c r="M11" s="4">
        <v>13</v>
      </c>
      <c r="N11" s="5" t="s">
        <v>394</v>
      </c>
    </row>
    <row r="12" spans="1:14" ht="18" customHeight="1">
      <c r="A12" s="40">
        <v>1</v>
      </c>
      <c r="B12" s="16" t="s">
        <v>4</v>
      </c>
      <c r="C12" s="36">
        <f>F12+I12+L12</f>
        <v>40.5</v>
      </c>
      <c r="D12" s="36">
        <f>G12+J12+M12</f>
        <v>40.5</v>
      </c>
      <c r="E12" s="36">
        <f>D12-C12</f>
        <v>0</v>
      </c>
      <c r="F12" s="15"/>
      <c r="G12" s="15"/>
      <c r="H12" s="36">
        <f>G12-F12</f>
        <v>0</v>
      </c>
      <c r="I12" s="15"/>
      <c r="J12" s="15"/>
      <c r="K12" s="36">
        <f>J12-I12</f>
        <v>0</v>
      </c>
      <c r="L12" s="15">
        <v>40.5</v>
      </c>
      <c r="M12" s="15">
        <v>40.5</v>
      </c>
      <c r="N12" s="36">
        <f>M12-L12</f>
        <v>0</v>
      </c>
    </row>
    <row r="13" spans="1:14" ht="19.5" customHeight="1">
      <c r="A13" s="40">
        <v>2</v>
      </c>
      <c r="B13" s="16" t="s">
        <v>10</v>
      </c>
      <c r="C13" s="36">
        <f aca="true" t="shared" si="0" ref="C13:N13">+C14+C15</f>
        <v>59.9</v>
      </c>
      <c r="D13" s="36">
        <f t="shared" si="0"/>
        <v>53.9</v>
      </c>
      <c r="E13" s="36">
        <f t="shared" si="0"/>
        <v>-6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11.5</v>
      </c>
      <c r="J13" s="36">
        <f t="shared" si="0"/>
        <v>9.5</v>
      </c>
      <c r="K13" s="36">
        <f t="shared" si="0"/>
        <v>-2</v>
      </c>
      <c r="L13" s="36">
        <f t="shared" si="0"/>
        <v>48.4</v>
      </c>
      <c r="M13" s="36">
        <f t="shared" si="0"/>
        <v>44.4</v>
      </c>
      <c r="N13" s="36">
        <f t="shared" si="0"/>
        <v>-4</v>
      </c>
    </row>
    <row r="14" spans="1:14" ht="16.5" customHeight="1">
      <c r="A14" s="40">
        <v>3</v>
      </c>
      <c r="B14" s="35" t="s">
        <v>10</v>
      </c>
      <c r="C14" s="37">
        <f>F14+I14+L14</f>
        <v>2.5</v>
      </c>
      <c r="D14" s="37">
        <f>G14+J14+M14</f>
        <v>1.6</v>
      </c>
      <c r="E14" s="37">
        <f aca="true" t="shared" si="1" ref="E14:E77">D14-C14</f>
        <v>-0.9</v>
      </c>
      <c r="F14" s="8"/>
      <c r="G14" s="8"/>
      <c r="H14" s="36">
        <f aca="true" t="shared" si="2" ref="H14:H77">G14-F14</f>
        <v>0</v>
      </c>
      <c r="I14" s="8">
        <v>2.5</v>
      </c>
      <c r="J14" s="8">
        <f>1.5+0.1</f>
        <v>1.6</v>
      </c>
      <c r="K14" s="37">
        <f aca="true" t="shared" si="3" ref="K14:K77">J14-I14</f>
        <v>-0.9</v>
      </c>
      <c r="L14" s="8">
        <v>0</v>
      </c>
      <c r="M14" s="8"/>
      <c r="N14" s="36">
        <f aca="true" t="shared" si="4" ref="N14:N77">M14-L14</f>
        <v>0</v>
      </c>
    </row>
    <row r="15" spans="1:14" ht="31.5">
      <c r="A15" s="40">
        <v>4</v>
      </c>
      <c r="B15" s="35" t="s">
        <v>5</v>
      </c>
      <c r="C15" s="37">
        <f>F15+I15+L15</f>
        <v>57.4</v>
      </c>
      <c r="D15" s="37">
        <f>G15+J15+M15</f>
        <v>52.3</v>
      </c>
      <c r="E15" s="37">
        <f t="shared" si="1"/>
        <v>-5.1</v>
      </c>
      <c r="F15" s="8"/>
      <c r="G15" s="8"/>
      <c r="H15" s="36">
        <f t="shared" si="2"/>
        <v>0</v>
      </c>
      <c r="I15" s="8">
        <v>9</v>
      </c>
      <c r="J15" s="8">
        <v>7.9</v>
      </c>
      <c r="K15" s="37">
        <f t="shared" si="3"/>
        <v>-1.1</v>
      </c>
      <c r="L15" s="8">
        <v>48.4</v>
      </c>
      <c r="M15" s="8">
        <v>44.4</v>
      </c>
      <c r="N15" s="37">
        <f t="shared" si="4"/>
        <v>-4</v>
      </c>
    </row>
    <row r="16" spans="1:14" s="11" customFormat="1" ht="15.75">
      <c r="A16" s="40">
        <v>5</v>
      </c>
      <c r="B16" s="16" t="s">
        <v>11</v>
      </c>
      <c r="C16" s="36">
        <f aca="true" t="shared" si="5" ref="C16:N16">SUM(C17:C121)</f>
        <v>18327.3</v>
      </c>
      <c r="D16" s="36">
        <f t="shared" si="5"/>
        <v>16638.3</v>
      </c>
      <c r="E16" s="36">
        <f t="shared" si="5"/>
        <v>-1689</v>
      </c>
      <c r="F16" s="36">
        <f t="shared" si="5"/>
        <v>13348.1</v>
      </c>
      <c r="G16" s="36">
        <f t="shared" si="5"/>
        <v>12105.3</v>
      </c>
      <c r="H16" s="36">
        <f t="shared" si="5"/>
        <v>-1242.8</v>
      </c>
      <c r="I16" s="36">
        <f t="shared" si="5"/>
        <v>4560.6</v>
      </c>
      <c r="J16" s="36">
        <f t="shared" si="5"/>
        <v>4176.9</v>
      </c>
      <c r="K16" s="36">
        <f t="shared" si="5"/>
        <v>-383.7</v>
      </c>
      <c r="L16" s="36">
        <f t="shared" si="5"/>
        <v>418.6</v>
      </c>
      <c r="M16" s="36">
        <f t="shared" si="5"/>
        <v>356.1</v>
      </c>
      <c r="N16" s="36">
        <f t="shared" si="5"/>
        <v>-62.5</v>
      </c>
    </row>
    <row r="17" spans="1:14" ht="15.75">
      <c r="A17" s="40">
        <v>6</v>
      </c>
      <c r="B17" s="35" t="s">
        <v>154</v>
      </c>
      <c r="C17" s="37">
        <f aca="true" t="shared" si="6" ref="C17:D80">F17+I17+L17</f>
        <v>208.5</v>
      </c>
      <c r="D17" s="37">
        <f t="shared" si="6"/>
        <v>237.7</v>
      </c>
      <c r="E17" s="37">
        <f t="shared" si="1"/>
        <v>29.2</v>
      </c>
      <c r="F17" s="8">
        <v>118.5</v>
      </c>
      <c r="G17" s="8">
        <v>116.8</v>
      </c>
      <c r="H17" s="37">
        <f t="shared" si="2"/>
        <v>-1.7</v>
      </c>
      <c r="I17" s="8">
        <v>90</v>
      </c>
      <c r="J17" s="8">
        <f>123.5-2.6</f>
        <v>120.9</v>
      </c>
      <c r="K17" s="37">
        <f t="shared" si="3"/>
        <v>30.9</v>
      </c>
      <c r="L17" s="8">
        <v>0</v>
      </c>
      <c r="M17" s="8"/>
      <c r="N17" s="37">
        <f t="shared" si="4"/>
        <v>0</v>
      </c>
    </row>
    <row r="18" spans="1:14" ht="15.75">
      <c r="A18" s="40">
        <v>7</v>
      </c>
      <c r="B18" s="35" t="s">
        <v>155</v>
      </c>
      <c r="C18" s="37">
        <f t="shared" si="6"/>
        <v>45</v>
      </c>
      <c r="D18" s="37">
        <f t="shared" si="6"/>
        <v>38.8</v>
      </c>
      <c r="E18" s="37">
        <f t="shared" si="1"/>
        <v>-6.2</v>
      </c>
      <c r="F18" s="8">
        <v>45</v>
      </c>
      <c r="G18" s="8">
        <v>38.8</v>
      </c>
      <c r="H18" s="37">
        <f t="shared" si="2"/>
        <v>-6.2</v>
      </c>
      <c r="I18" s="8">
        <v>0</v>
      </c>
      <c r="J18" s="8"/>
      <c r="K18" s="37">
        <f t="shared" si="3"/>
        <v>0</v>
      </c>
      <c r="L18" s="8">
        <v>0</v>
      </c>
      <c r="M18" s="8"/>
      <c r="N18" s="37">
        <f t="shared" si="4"/>
        <v>0</v>
      </c>
    </row>
    <row r="19" spans="1:14" ht="15" customHeight="1">
      <c r="A19" s="40">
        <v>8</v>
      </c>
      <c r="B19" s="35" t="s">
        <v>7</v>
      </c>
      <c r="C19" s="37">
        <f t="shared" si="6"/>
        <v>154.6</v>
      </c>
      <c r="D19" s="37">
        <f t="shared" si="6"/>
        <v>158.4</v>
      </c>
      <c r="E19" s="37">
        <f t="shared" si="1"/>
        <v>3.8</v>
      </c>
      <c r="F19" s="8">
        <v>75</v>
      </c>
      <c r="G19" s="8">
        <v>80.7</v>
      </c>
      <c r="H19" s="37">
        <f t="shared" si="2"/>
        <v>5.7</v>
      </c>
      <c r="I19" s="8">
        <v>68</v>
      </c>
      <c r="J19" s="8">
        <v>66.1</v>
      </c>
      <c r="K19" s="37">
        <f t="shared" si="3"/>
        <v>-1.9</v>
      </c>
      <c r="L19" s="8">
        <v>11.6</v>
      </c>
      <c r="M19" s="8">
        <v>11.6</v>
      </c>
      <c r="N19" s="37">
        <f t="shared" si="4"/>
        <v>0</v>
      </c>
    </row>
    <row r="20" spans="1:14" ht="14.25" customHeight="1">
      <c r="A20" s="40">
        <v>9</v>
      </c>
      <c r="B20" s="35" t="s">
        <v>253</v>
      </c>
      <c r="C20" s="37">
        <f t="shared" si="6"/>
        <v>82.2</v>
      </c>
      <c r="D20" s="37">
        <f t="shared" si="6"/>
        <v>63.7</v>
      </c>
      <c r="E20" s="37">
        <f t="shared" si="1"/>
        <v>-18.5</v>
      </c>
      <c r="F20" s="8">
        <v>82.2</v>
      </c>
      <c r="G20" s="8">
        <v>63.7</v>
      </c>
      <c r="H20" s="37">
        <f t="shared" si="2"/>
        <v>-18.5</v>
      </c>
      <c r="I20" s="8">
        <v>0</v>
      </c>
      <c r="J20" s="8"/>
      <c r="K20" s="37">
        <f t="shared" si="3"/>
        <v>0</v>
      </c>
      <c r="L20" s="8">
        <v>0</v>
      </c>
      <c r="M20" s="8"/>
      <c r="N20" s="37">
        <f t="shared" si="4"/>
        <v>0</v>
      </c>
    </row>
    <row r="21" spans="1:14" ht="33" customHeight="1">
      <c r="A21" s="40">
        <v>10</v>
      </c>
      <c r="B21" s="35" t="s">
        <v>254</v>
      </c>
      <c r="C21" s="37">
        <f t="shared" si="6"/>
        <v>98</v>
      </c>
      <c r="D21" s="37">
        <f t="shared" si="6"/>
        <v>98.8</v>
      </c>
      <c r="E21" s="37">
        <f t="shared" si="1"/>
        <v>0.8</v>
      </c>
      <c r="F21" s="8">
        <v>98</v>
      </c>
      <c r="G21" s="8">
        <v>98.8</v>
      </c>
      <c r="H21" s="37">
        <f t="shared" si="2"/>
        <v>0.8</v>
      </c>
      <c r="I21" s="8">
        <v>0</v>
      </c>
      <c r="J21" s="8"/>
      <c r="K21" s="37">
        <f t="shared" si="3"/>
        <v>0</v>
      </c>
      <c r="L21" s="8">
        <v>0</v>
      </c>
      <c r="M21" s="8"/>
      <c r="N21" s="37">
        <f t="shared" si="4"/>
        <v>0</v>
      </c>
    </row>
    <row r="22" spans="1:14" ht="32.25" customHeight="1">
      <c r="A22" s="40">
        <v>11</v>
      </c>
      <c r="B22" s="35" t="s">
        <v>156</v>
      </c>
      <c r="C22" s="37">
        <f t="shared" si="6"/>
        <v>112.5</v>
      </c>
      <c r="D22" s="37">
        <f t="shared" si="6"/>
        <v>113.9</v>
      </c>
      <c r="E22" s="37">
        <f t="shared" si="1"/>
        <v>1.4</v>
      </c>
      <c r="F22" s="8">
        <v>0</v>
      </c>
      <c r="G22" s="8"/>
      <c r="H22" s="37">
        <f t="shared" si="2"/>
        <v>0</v>
      </c>
      <c r="I22" s="8">
        <v>105</v>
      </c>
      <c r="J22" s="8">
        <v>105.7</v>
      </c>
      <c r="K22" s="37">
        <f t="shared" si="3"/>
        <v>0.7</v>
      </c>
      <c r="L22" s="8">
        <v>7.5</v>
      </c>
      <c r="M22" s="8">
        <v>8.2</v>
      </c>
      <c r="N22" s="37">
        <f t="shared" si="4"/>
        <v>0.7</v>
      </c>
    </row>
    <row r="23" spans="1:14" ht="30.75" customHeight="1">
      <c r="A23" s="40">
        <v>12</v>
      </c>
      <c r="B23" s="35" t="s">
        <v>157</v>
      </c>
      <c r="C23" s="37">
        <f t="shared" si="6"/>
        <v>47</v>
      </c>
      <c r="D23" s="37">
        <f t="shared" si="6"/>
        <v>34.8</v>
      </c>
      <c r="E23" s="37">
        <f t="shared" si="1"/>
        <v>-12.2</v>
      </c>
      <c r="F23" s="8">
        <v>0</v>
      </c>
      <c r="G23" s="8"/>
      <c r="H23" s="37">
        <f t="shared" si="2"/>
        <v>0</v>
      </c>
      <c r="I23" s="8">
        <v>45</v>
      </c>
      <c r="J23" s="8">
        <v>34.2</v>
      </c>
      <c r="K23" s="37">
        <f t="shared" si="3"/>
        <v>-10.8</v>
      </c>
      <c r="L23" s="8">
        <v>2</v>
      </c>
      <c r="M23" s="8">
        <v>0.6</v>
      </c>
      <c r="N23" s="37">
        <f t="shared" si="4"/>
        <v>-1.4</v>
      </c>
    </row>
    <row r="24" spans="1:14" ht="31.5" customHeight="1">
      <c r="A24" s="40">
        <v>13</v>
      </c>
      <c r="B24" s="35" t="s">
        <v>158</v>
      </c>
      <c r="C24" s="37">
        <f t="shared" si="6"/>
        <v>118.9</v>
      </c>
      <c r="D24" s="37">
        <f t="shared" si="6"/>
        <v>113.8</v>
      </c>
      <c r="E24" s="37">
        <f t="shared" si="1"/>
        <v>-5.1</v>
      </c>
      <c r="F24" s="8">
        <v>0</v>
      </c>
      <c r="G24" s="8"/>
      <c r="H24" s="37">
        <f t="shared" si="2"/>
        <v>0</v>
      </c>
      <c r="I24" s="8">
        <v>118.9</v>
      </c>
      <c r="J24" s="8">
        <v>113.8</v>
      </c>
      <c r="K24" s="37">
        <f t="shared" si="3"/>
        <v>-5.1</v>
      </c>
      <c r="L24" s="8">
        <v>0</v>
      </c>
      <c r="M24" s="8"/>
      <c r="N24" s="37">
        <f t="shared" si="4"/>
        <v>0</v>
      </c>
    </row>
    <row r="25" spans="1:14" ht="31.5">
      <c r="A25" s="40">
        <v>14</v>
      </c>
      <c r="B25" s="35" t="s">
        <v>161</v>
      </c>
      <c r="C25" s="37">
        <f t="shared" si="6"/>
        <v>353</v>
      </c>
      <c r="D25" s="37">
        <f t="shared" si="6"/>
        <v>352.1</v>
      </c>
      <c r="E25" s="37">
        <f t="shared" si="1"/>
        <v>-0.9</v>
      </c>
      <c r="F25" s="8">
        <v>0</v>
      </c>
      <c r="G25" s="8"/>
      <c r="H25" s="37">
        <f t="shared" si="2"/>
        <v>0</v>
      </c>
      <c r="I25" s="8">
        <v>200</v>
      </c>
      <c r="J25" s="8">
        <v>225</v>
      </c>
      <c r="K25" s="37">
        <f t="shared" si="3"/>
        <v>25</v>
      </c>
      <c r="L25" s="8">
        <v>153</v>
      </c>
      <c r="M25" s="8">
        <v>127.1</v>
      </c>
      <c r="N25" s="37">
        <f t="shared" si="4"/>
        <v>-25.9</v>
      </c>
    </row>
    <row r="26" spans="1:14" ht="31.5">
      <c r="A26" s="40">
        <v>15</v>
      </c>
      <c r="B26" s="35" t="s">
        <v>160</v>
      </c>
      <c r="C26" s="37">
        <f t="shared" si="6"/>
        <v>500.2</v>
      </c>
      <c r="D26" s="37">
        <f t="shared" si="6"/>
        <v>608.6</v>
      </c>
      <c r="E26" s="37">
        <f t="shared" si="1"/>
        <v>108.4</v>
      </c>
      <c r="F26" s="8">
        <v>0</v>
      </c>
      <c r="G26" s="8"/>
      <c r="H26" s="37">
        <f t="shared" si="2"/>
        <v>0</v>
      </c>
      <c r="I26" s="8">
        <v>490</v>
      </c>
      <c r="J26" s="8">
        <v>597</v>
      </c>
      <c r="K26" s="37">
        <f t="shared" si="3"/>
        <v>107</v>
      </c>
      <c r="L26" s="8">
        <v>10.2</v>
      </c>
      <c r="M26" s="8">
        <f>11.7-0.1</f>
        <v>11.6</v>
      </c>
      <c r="N26" s="37">
        <f t="shared" si="4"/>
        <v>1.4</v>
      </c>
    </row>
    <row r="27" spans="1:14" ht="32.25" customHeight="1">
      <c r="A27" s="40">
        <v>16</v>
      </c>
      <c r="B27" s="35" t="s">
        <v>159</v>
      </c>
      <c r="C27" s="37">
        <f t="shared" si="6"/>
        <v>20</v>
      </c>
      <c r="D27" s="37">
        <f t="shared" si="6"/>
        <v>11.2</v>
      </c>
      <c r="E27" s="37">
        <f t="shared" si="1"/>
        <v>-8.8</v>
      </c>
      <c r="F27" s="8">
        <v>0</v>
      </c>
      <c r="G27" s="8"/>
      <c r="H27" s="37">
        <f t="shared" si="2"/>
        <v>0</v>
      </c>
      <c r="I27" s="8">
        <v>20</v>
      </c>
      <c r="J27" s="8">
        <v>11.2</v>
      </c>
      <c r="K27" s="37">
        <f t="shared" si="3"/>
        <v>-8.8</v>
      </c>
      <c r="L27" s="8">
        <v>0</v>
      </c>
      <c r="M27" s="8"/>
      <c r="N27" s="37">
        <f t="shared" si="4"/>
        <v>0</v>
      </c>
    </row>
    <row r="28" spans="1:14" ht="15" customHeight="1">
      <c r="A28" s="40">
        <v>17</v>
      </c>
      <c r="B28" s="35" t="s">
        <v>8</v>
      </c>
      <c r="C28" s="37">
        <f t="shared" si="6"/>
        <v>28.7</v>
      </c>
      <c r="D28" s="37">
        <f t="shared" si="6"/>
        <v>34.2</v>
      </c>
      <c r="E28" s="37">
        <f t="shared" si="1"/>
        <v>5.5</v>
      </c>
      <c r="F28" s="8">
        <v>0</v>
      </c>
      <c r="G28" s="8"/>
      <c r="H28" s="37">
        <f t="shared" si="2"/>
        <v>0</v>
      </c>
      <c r="I28" s="8">
        <v>14.5</v>
      </c>
      <c r="J28" s="8">
        <v>17</v>
      </c>
      <c r="K28" s="37">
        <f t="shared" si="3"/>
        <v>2.5</v>
      </c>
      <c r="L28" s="8">
        <v>14.2</v>
      </c>
      <c r="M28" s="8">
        <v>17.2</v>
      </c>
      <c r="N28" s="37">
        <f t="shared" si="4"/>
        <v>3</v>
      </c>
    </row>
    <row r="29" spans="1:14" ht="15" customHeight="1">
      <c r="A29" s="40">
        <v>18</v>
      </c>
      <c r="B29" s="6" t="s">
        <v>162</v>
      </c>
      <c r="C29" s="37">
        <f t="shared" si="6"/>
        <v>373</v>
      </c>
      <c r="D29" s="37">
        <f t="shared" si="6"/>
        <v>400.6</v>
      </c>
      <c r="E29" s="37">
        <f t="shared" si="1"/>
        <v>27.6</v>
      </c>
      <c r="F29" s="8">
        <v>0</v>
      </c>
      <c r="G29" s="8"/>
      <c r="H29" s="37">
        <f t="shared" si="2"/>
        <v>0</v>
      </c>
      <c r="I29" s="8">
        <v>365</v>
      </c>
      <c r="J29" s="8">
        <v>392.5</v>
      </c>
      <c r="K29" s="37">
        <f t="shared" si="3"/>
        <v>27.5</v>
      </c>
      <c r="L29" s="8">
        <v>8</v>
      </c>
      <c r="M29" s="8">
        <v>8.1</v>
      </c>
      <c r="N29" s="37">
        <f t="shared" si="4"/>
        <v>0.1</v>
      </c>
    </row>
    <row r="30" spans="1:14" ht="15" customHeight="1">
      <c r="A30" s="40">
        <v>19</v>
      </c>
      <c r="B30" s="6" t="s">
        <v>163</v>
      </c>
      <c r="C30" s="37">
        <f t="shared" si="6"/>
        <v>4</v>
      </c>
      <c r="D30" s="37">
        <f t="shared" si="6"/>
        <v>3.1</v>
      </c>
      <c r="E30" s="37">
        <f t="shared" si="1"/>
        <v>-0.9</v>
      </c>
      <c r="F30" s="8">
        <v>0</v>
      </c>
      <c r="G30" s="8"/>
      <c r="H30" s="37">
        <f t="shared" si="2"/>
        <v>0</v>
      </c>
      <c r="I30" s="8">
        <v>0</v>
      </c>
      <c r="J30" s="8"/>
      <c r="K30" s="37">
        <f t="shared" si="3"/>
        <v>0</v>
      </c>
      <c r="L30" s="8">
        <v>4</v>
      </c>
      <c r="M30" s="8">
        <v>3.1</v>
      </c>
      <c r="N30" s="37">
        <f t="shared" si="4"/>
        <v>-0.9</v>
      </c>
    </row>
    <row r="31" spans="1:14" ht="15" customHeight="1">
      <c r="A31" s="40">
        <v>20</v>
      </c>
      <c r="B31" s="6" t="s">
        <v>164</v>
      </c>
      <c r="C31" s="37">
        <f t="shared" si="6"/>
        <v>106.9</v>
      </c>
      <c r="D31" s="37">
        <f t="shared" si="6"/>
        <v>61.6</v>
      </c>
      <c r="E31" s="37">
        <f t="shared" si="1"/>
        <v>-45.3</v>
      </c>
      <c r="F31" s="8">
        <v>0</v>
      </c>
      <c r="G31" s="8"/>
      <c r="H31" s="37">
        <f t="shared" si="2"/>
        <v>0</v>
      </c>
      <c r="I31" s="8">
        <v>104.5</v>
      </c>
      <c r="J31" s="8">
        <v>59.1</v>
      </c>
      <c r="K31" s="37">
        <f t="shared" si="3"/>
        <v>-45.4</v>
      </c>
      <c r="L31" s="8">
        <v>2.4</v>
      </c>
      <c r="M31" s="8">
        <v>2.5</v>
      </c>
      <c r="N31" s="37">
        <f t="shared" si="4"/>
        <v>0.1</v>
      </c>
    </row>
    <row r="32" spans="1:14" ht="15" customHeight="1">
      <c r="A32" s="40">
        <v>21</v>
      </c>
      <c r="B32" s="6" t="s">
        <v>398</v>
      </c>
      <c r="C32" s="37">
        <f t="shared" si="6"/>
        <v>0.6</v>
      </c>
      <c r="D32" s="37">
        <f t="shared" si="6"/>
        <v>0.4</v>
      </c>
      <c r="E32" s="37">
        <f t="shared" si="1"/>
        <v>-0.2</v>
      </c>
      <c r="F32" s="8">
        <v>0</v>
      </c>
      <c r="G32" s="8"/>
      <c r="H32" s="37">
        <f t="shared" si="2"/>
        <v>0</v>
      </c>
      <c r="I32" s="8">
        <v>0</v>
      </c>
      <c r="J32" s="8"/>
      <c r="K32" s="37">
        <f t="shared" si="3"/>
        <v>0</v>
      </c>
      <c r="L32" s="8">
        <v>0.6</v>
      </c>
      <c r="M32" s="8">
        <v>0.4</v>
      </c>
      <c r="N32" s="37">
        <f t="shared" si="4"/>
        <v>-0.2</v>
      </c>
    </row>
    <row r="33" spans="1:14" ht="15.75">
      <c r="A33" s="40">
        <v>22</v>
      </c>
      <c r="B33" s="6" t="s">
        <v>244</v>
      </c>
      <c r="C33" s="37">
        <f t="shared" si="6"/>
        <v>1.7</v>
      </c>
      <c r="D33" s="37">
        <f t="shared" si="6"/>
        <v>0.5</v>
      </c>
      <c r="E33" s="37">
        <f t="shared" si="1"/>
        <v>-1.2</v>
      </c>
      <c r="F33" s="8">
        <v>0</v>
      </c>
      <c r="G33" s="8"/>
      <c r="H33" s="37">
        <f t="shared" si="2"/>
        <v>0</v>
      </c>
      <c r="I33" s="8">
        <v>0</v>
      </c>
      <c r="J33" s="8"/>
      <c r="K33" s="37">
        <f t="shared" si="3"/>
        <v>0</v>
      </c>
      <c r="L33" s="8">
        <v>1.7</v>
      </c>
      <c r="M33" s="8">
        <v>0.5</v>
      </c>
      <c r="N33" s="37">
        <f t="shared" si="4"/>
        <v>-1.2</v>
      </c>
    </row>
    <row r="34" spans="1:14" ht="15" customHeight="1">
      <c r="A34" s="40">
        <v>23</v>
      </c>
      <c r="B34" s="6" t="s">
        <v>245</v>
      </c>
      <c r="C34" s="37">
        <f t="shared" si="6"/>
        <v>383.1</v>
      </c>
      <c r="D34" s="37">
        <f t="shared" si="6"/>
        <v>397.4</v>
      </c>
      <c r="E34" s="37">
        <f t="shared" si="1"/>
        <v>14.3</v>
      </c>
      <c r="F34" s="8">
        <v>56.5</v>
      </c>
      <c r="G34" s="8">
        <v>61</v>
      </c>
      <c r="H34" s="37">
        <f t="shared" si="2"/>
        <v>4.5</v>
      </c>
      <c r="I34" s="8">
        <v>318.1</v>
      </c>
      <c r="J34" s="8">
        <v>327.9</v>
      </c>
      <c r="K34" s="37">
        <f t="shared" si="3"/>
        <v>9.8</v>
      </c>
      <c r="L34" s="8">
        <v>8.5</v>
      </c>
      <c r="M34" s="8">
        <v>8.5</v>
      </c>
      <c r="N34" s="37">
        <f t="shared" si="4"/>
        <v>0</v>
      </c>
    </row>
    <row r="35" spans="1:14" ht="16.5" customHeight="1">
      <c r="A35" s="40">
        <v>24</v>
      </c>
      <c r="B35" s="6" t="s">
        <v>165</v>
      </c>
      <c r="C35" s="37">
        <f t="shared" si="6"/>
        <v>155.2</v>
      </c>
      <c r="D35" s="37">
        <f t="shared" si="6"/>
        <v>119.9</v>
      </c>
      <c r="E35" s="37">
        <f t="shared" si="1"/>
        <v>-35.3</v>
      </c>
      <c r="F35" s="8">
        <v>0</v>
      </c>
      <c r="G35" s="8"/>
      <c r="H35" s="37">
        <f t="shared" si="2"/>
        <v>0</v>
      </c>
      <c r="I35" s="8">
        <v>155.2</v>
      </c>
      <c r="J35" s="8">
        <v>119.9</v>
      </c>
      <c r="K35" s="37">
        <f t="shared" si="3"/>
        <v>-35.3</v>
      </c>
      <c r="L35" s="8">
        <v>0</v>
      </c>
      <c r="M35" s="8"/>
      <c r="N35" s="37">
        <f t="shared" si="4"/>
        <v>0</v>
      </c>
    </row>
    <row r="36" spans="1:14" ht="15" customHeight="1">
      <c r="A36" s="40">
        <v>25</v>
      </c>
      <c r="B36" s="6" t="s">
        <v>166</v>
      </c>
      <c r="C36" s="37">
        <f t="shared" si="6"/>
        <v>126.9</v>
      </c>
      <c r="D36" s="37">
        <f t="shared" si="6"/>
        <v>107.4</v>
      </c>
      <c r="E36" s="37">
        <f t="shared" si="1"/>
        <v>-19.5</v>
      </c>
      <c r="F36" s="8">
        <v>0</v>
      </c>
      <c r="G36" s="8"/>
      <c r="H36" s="37">
        <f t="shared" si="2"/>
        <v>0</v>
      </c>
      <c r="I36" s="8">
        <v>126.9</v>
      </c>
      <c r="J36" s="8">
        <v>107.4</v>
      </c>
      <c r="K36" s="37">
        <f t="shared" si="3"/>
        <v>-19.5</v>
      </c>
      <c r="L36" s="8">
        <v>0</v>
      </c>
      <c r="M36" s="8"/>
      <c r="N36" s="37">
        <f t="shared" si="4"/>
        <v>0</v>
      </c>
    </row>
    <row r="37" spans="1:14" ht="17.25" customHeight="1">
      <c r="A37" s="40">
        <v>26</v>
      </c>
      <c r="B37" s="6" t="s">
        <v>167</v>
      </c>
      <c r="C37" s="37">
        <f t="shared" si="6"/>
        <v>600.7</v>
      </c>
      <c r="D37" s="37">
        <f t="shared" si="6"/>
        <v>545.8</v>
      </c>
      <c r="E37" s="37">
        <f t="shared" si="1"/>
        <v>-54.9</v>
      </c>
      <c r="F37" s="8">
        <v>369.9</v>
      </c>
      <c r="G37" s="8">
        <v>321.4</v>
      </c>
      <c r="H37" s="37">
        <f t="shared" si="2"/>
        <v>-48.5</v>
      </c>
      <c r="I37" s="8">
        <v>225</v>
      </c>
      <c r="J37" s="8">
        <v>218.7</v>
      </c>
      <c r="K37" s="37">
        <f t="shared" si="3"/>
        <v>-6.3</v>
      </c>
      <c r="L37" s="8">
        <v>5.8</v>
      </c>
      <c r="M37" s="8">
        <f>5.6+0.1</f>
        <v>5.7</v>
      </c>
      <c r="N37" s="37">
        <f t="shared" si="4"/>
        <v>-0.1</v>
      </c>
    </row>
    <row r="38" spans="1:14" ht="17.25" customHeight="1">
      <c r="A38" s="40">
        <v>27</v>
      </c>
      <c r="B38" s="6" t="s">
        <v>246</v>
      </c>
      <c r="C38" s="37">
        <f t="shared" si="6"/>
        <v>189.3</v>
      </c>
      <c r="D38" s="37">
        <f t="shared" si="6"/>
        <v>138.3</v>
      </c>
      <c r="E38" s="37">
        <f t="shared" si="1"/>
        <v>-51</v>
      </c>
      <c r="F38" s="8">
        <v>0</v>
      </c>
      <c r="G38" s="8"/>
      <c r="H38" s="37">
        <f t="shared" si="2"/>
        <v>0</v>
      </c>
      <c r="I38" s="8">
        <v>176</v>
      </c>
      <c r="J38" s="8">
        <v>124.8</v>
      </c>
      <c r="K38" s="37">
        <f t="shared" si="3"/>
        <v>-51.2</v>
      </c>
      <c r="L38" s="8">
        <v>13.3</v>
      </c>
      <c r="M38" s="8">
        <v>13.5</v>
      </c>
      <c r="N38" s="37">
        <f t="shared" si="4"/>
        <v>0.2</v>
      </c>
    </row>
    <row r="39" spans="1:14" ht="16.5" customHeight="1">
      <c r="A39" s="40">
        <v>28</v>
      </c>
      <c r="B39" s="6" t="s">
        <v>168</v>
      </c>
      <c r="C39" s="37">
        <f t="shared" si="6"/>
        <v>21.7</v>
      </c>
      <c r="D39" s="37">
        <f t="shared" si="6"/>
        <v>18.7</v>
      </c>
      <c r="E39" s="37">
        <f t="shared" si="1"/>
        <v>-3</v>
      </c>
      <c r="F39" s="8">
        <v>14.8</v>
      </c>
      <c r="G39" s="8">
        <v>15.3</v>
      </c>
      <c r="H39" s="37">
        <f t="shared" si="2"/>
        <v>0.5</v>
      </c>
      <c r="I39" s="8">
        <v>0</v>
      </c>
      <c r="J39" s="8"/>
      <c r="K39" s="37">
        <f t="shared" si="3"/>
        <v>0</v>
      </c>
      <c r="L39" s="8">
        <v>6.9</v>
      </c>
      <c r="M39" s="8">
        <v>3.4</v>
      </c>
      <c r="N39" s="37">
        <f t="shared" si="4"/>
        <v>-3.5</v>
      </c>
    </row>
    <row r="40" spans="1:14" ht="31.5" customHeight="1">
      <c r="A40" s="40">
        <v>29</v>
      </c>
      <c r="B40" s="6" t="s">
        <v>169</v>
      </c>
      <c r="C40" s="37">
        <f t="shared" si="6"/>
        <v>236.5</v>
      </c>
      <c r="D40" s="37">
        <f t="shared" si="6"/>
        <v>203.6</v>
      </c>
      <c r="E40" s="37">
        <f t="shared" si="1"/>
        <v>-32.9</v>
      </c>
      <c r="F40" s="8">
        <v>0</v>
      </c>
      <c r="G40" s="8"/>
      <c r="H40" s="37">
        <f t="shared" si="2"/>
        <v>0</v>
      </c>
      <c r="I40" s="8">
        <v>220.5</v>
      </c>
      <c r="J40" s="8">
        <v>190.9</v>
      </c>
      <c r="K40" s="37">
        <f t="shared" si="3"/>
        <v>-29.6</v>
      </c>
      <c r="L40" s="8">
        <v>16</v>
      </c>
      <c r="M40" s="8">
        <v>12.7</v>
      </c>
      <c r="N40" s="37">
        <f t="shared" si="4"/>
        <v>-3.3</v>
      </c>
    </row>
    <row r="41" spans="1:14" ht="15" customHeight="1">
      <c r="A41" s="40">
        <v>30</v>
      </c>
      <c r="B41" s="6" t="s">
        <v>170</v>
      </c>
      <c r="C41" s="37">
        <f t="shared" si="6"/>
        <v>27.4</v>
      </c>
      <c r="D41" s="37">
        <f t="shared" si="6"/>
        <v>18.3</v>
      </c>
      <c r="E41" s="37">
        <f t="shared" si="1"/>
        <v>-9.1</v>
      </c>
      <c r="F41" s="8">
        <v>16.4</v>
      </c>
      <c r="G41" s="8">
        <v>12.7</v>
      </c>
      <c r="H41" s="37">
        <f t="shared" si="2"/>
        <v>-3.7</v>
      </c>
      <c r="I41" s="8">
        <v>0</v>
      </c>
      <c r="J41" s="8"/>
      <c r="K41" s="37">
        <f t="shared" si="3"/>
        <v>0</v>
      </c>
      <c r="L41" s="8">
        <v>11</v>
      </c>
      <c r="M41" s="8">
        <v>5.6</v>
      </c>
      <c r="N41" s="37">
        <f t="shared" si="4"/>
        <v>-5.4</v>
      </c>
    </row>
    <row r="42" spans="1:14" ht="15" customHeight="1">
      <c r="A42" s="40">
        <v>31</v>
      </c>
      <c r="B42" s="6" t="s">
        <v>399</v>
      </c>
      <c r="C42" s="37">
        <f t="shared" si="6"/>
        <v>6.6</v>
      </c>
      <c r="D42" s="37">
        <f t="shared" si="6"/>
        <v>6.6</v>
      </c>
      <c r="E42" s="37">
        <f t="shared" si="1"/>
        <v>0</v>
      </c>
      <c r="F42" s="8">
        <v>6.6</v>
      </c>
      <c r="G42" s="8">
        <v>6.6</v>
      </c>
      <c r="H42" s="37">
        <f t="shared" si="2"/>
        <v>0</v>
      </c>
      <c r="I42" s="8">
        <v>0</v>
      </c>
      <c r="J42" s="8"/>
      <c r="K42" s="37">
        <f t="shared" si="3"/>
        <v>0</v>
      </c>
      <c r="L42" s="8">
        <v>0</v>
      </c>
      <c r="M42" s="8"/>
      <c r="N42" s="37">
        <f t="shared" si="4"/>
        <v>0</v>
      </c>
    </row>
    <row r="43" spans="1:14" ht="15" customHeight="1">
      <c r="A43" s="40">
        <v>32</v>
      </c>
      <c r="B43" s="6" t="s">
        <v>247</v>
      </c>
      <c r="C43" s="37">
        <f t="shared" si="6"/>
        <v>137</v>
      </c>
      <c r="D43" s="37">
        <f t="shared" si="6"/>
        <v>99.6</v>
      </c>
      <c r="E43" s="37">
        <f t="shared" si="1"/>
        <v>-37.4</v>
      </c>
      <c r="F43" s="8">
        <v>0</v>
      </c>
      <c r="G43" s="8"/>
      <c r="H43" s="37">
        <f t="shared" si="2"/>
        <v>0</v>
      </c>
      <c r="I43" s="8">
        <v>132.7</v>
      </c>
      <c r="J43" s="8">
        <v>95.3</v>
      </c>
      <c r="K43" s="37">
        <f t="shared" si="3"/>
        <v>-37.4</v>
      </c>
      <c r="L43" s="8">
        <v>4.3</v>
      </c>
      <c r="M43" s="8">
        <v>4.3</v>
      </c>
      <c r="N43" s="37">
        <f t="shared" si="4"/>
        <v>0</v>
      </c>
    </row>
    <row r="44" spans="1:14" ht="15" customHeight="1">
      <c r="A44" s="40">
        <v>33</v>
      </c>
      <c r="B44" s="6" t="s">
        <v>248</v>
      </c>
      <c r="C44" s="37">
        <f t="shared" si="6"/>
        <v>163.6</v>
      </c>
      <c r="D44" s="37">
        <f t="shared" si="6"/>
        <v>129.1</v>
      </c>
      <c r="E44" s="37">
        <f t="shared" si="1"/>
        <v>-34.5</v>
      </c>
      <c r="F44" s="8">
        <v>0</v>
      </c>
      <c r="G44" s="8"/>
      <c r="H44" s="37">
        <f t="shared" si="2"/>
        <v>0</v>
      </c>
      <c r="I44" s="8">
        <v>160</v>
      </c>
      <c r="J44" s="8">
        <v>126.4</v>
      </c>
      <c r="K44" s="37">
        <f t="shared" si="3"/>
        <v>-33.6</v>
      </c>
      <c r="L44" s="8">
        <v>3.6</v>
      </c>
      <c r="M44" s="8">
        <v>2.7</v>
      </c>
      <c r="N44" s="37">
        <f t="shared" si="4"/>
        <v>-0.9</v>
      </c>
    </row>
    <row r="45" spans="1:14" ht="18.75" customHeight="1">
      <c r="A45" s="40">
        <v>34</v>
      </c>
      <c r="B45" s="6" t="s">
        <v>171</v>
      </c>
      <c r="C45" s="37">
        <f t="shared" si="6"/>
        <v>99.6</v>
      </c>
      <c r="D45" s="37">
        <f t="shared" si="6"/>
        <v>88.6</v>
      </c>
      <c r="E45" s="37">
        <f t="shared" si="1"/>
        <v>-11</v>
      </c>
      <c r="F45" s="8">
        <v>5.7</v>
      </c>
      <c r="G45" s="8">
        <v>6.2</v>
      </c>
      <c r="H45" s="37">
        <f t="shared" si="2"/>
        <v>0.5</v>
      </c>
      <c r="I45" s="8">
        <v>85.9</v>
      </c>
      <c r="J45" s="8">
        <v>76.8</v>
      </c>
      <c r="K45" s="37">
        <f t="shared" si="3"/>
        <v>-9.1</v>
      </c>
      <c r="L45" s="8">
        <v>8</v>
      </c>
      <c r="M45" s="8">
        <v>5.6</v>
      </c>
      <c r="N45" s="37">
        <f t="shared" si="4"/>
        <v>-2.4</v>
      </c>
    </row>
    <row r="46" spans="1:14" ht="15" customHeight="1">
      <c r="A46" s="40">
        <v>35</v>
      </c>
      <c r="B46" s="6" t="s">
        <v>172</v>
      </c>
      <c r="C46" s="37">
        <f t="shared" si="6"/>
        <v>83.2</v>
      </c>
      <c r="D46" s="37">
        <f t="shared" si="6"/>
        <v>91.8</v>
      </c>
      <c r="E46" s="37">
        <f t="shared" si="1"/>
        <v>8.6</v>
      </c>
      <c r="F46" s="8">
        <v>0</v>
      </c>
      <c r="G46" s="8"/>
      <c r="H46" s="37">
        <f t="shared" si="2"/>
        <v>0</v>
      </c>
      <c r="I46" s="8">
        <v>81.6</v>
      </c>
      <c r="J46" s="8">
        <v>90.2</v>
      </c>
      <c r="K46" s="37">
        <f t="shared" si="3"/>
        <v>8.6</v>
      </c>
      <c r="L46" s="8">
        <v>1.6</v>
      </c>
      <c r="M46" s="8">
        <v>1.6</v>
      </c>
      <c r="N46" s="37">
        <f t="shared" si="4"/>
        <v>0</v>
      </c>
    </row>
    <row r="47" spans="1:14" ht="15" customHeight="1">
      <c r="A47" s="40">
        <v>36</v>
      </c>
      <c r="B47" s="6" t="s">
        <v>173</v>
      </c>
      <c r="C47" s="37">
        <f t="shared" si="6"/>
        <v>48.3</v>
      </c>
      <c r="D47" s="37">
        <f t="shared" si="6"/>
        <v>45.2</v>
      </c>
      <c r="E47" s="37">
        <f t="shared" si="1"/>
        <v>-3.1</v>
      </c>
      <c r="F47" s="8">
        <v>0</v>
      </c>
      <c r="G47" s="8"/>
      <c r="H47" s="37">
        <f t="shared" si="2"/>
        <v>0</v>
      </c>
      <c r="I47" s="8">
        <v>42</v>
      </c>
      <c r="J47" s="8">
        <v>39.2</v>
      </c>
      <c r="K47" s="37">
        <f t="shared" si="3"/>
        <v>-2.8</v>
      </c>
      <c r="L47" s="8">
        <v>6.3</v>
      </c>
      <c r="M47" s="8">
        <v>6</v>
      </c>
      <c r="N47" s="37">
        <f t="shared" si="4"/>
        <v>-0.3</v>
      </c>
    </row>
    <row r="48" spans="1:14" ht="30" customHeight="1">
      <c r="A48" s="40">
        <v>37</v>
      </c>
      <c r="B48" s="6" t="s">
        <v>174</v>
      </c>
      <c r="C48" s="37">
        <f t="shared" si="6"/>
        <v>63</v>
      </c>
      <c r="D48" s="37">
        <f t="shared" si="6"/>
        <v>37.9</v>
      </c>
      <c r="E48" s="37">
        <f t="shared" si="1"/>
        <v>-25.1</v>
      </c>
      <c r="F48" s="8">
        <v>0</v>
      </c>
      <c r="G48" s="8"/>
      <c r="H48" s="37">
        <f t="shared" si="2"/>
        <v>0</v>
      </c>
      <c r="I48" s="8">
        <v>60</v>
      </c>
      <c r="J48" s="8">
        <v>35.6</v>
      </c>
      <c r="K48" s="37">
        <f t="shared" si="3"/>
        <v>-24.4</v>
      </c>
      <c r="L48" s="8">
        <v>3</v>
      </c>
      <c r="M48" s="8">
        <v>2.3</v>
      </c>
      <c r="N48" s="37">
        <f t="shared" si="4"/>
        <v>-0.7</v>
      </c>
    </row>
    <row r="49" spans="1:14" ht="15" customHeight="1">
      <c r="A49" s="40">
        <v>38</v>
      </c>
      <c r="B49" s="6" t="s">
        <v>175</v>
      </c>
      <c r="C49" s="37">
        <f t="shared" si="6"/>
        <v>28.8</v>
      </c>
      <c r="D49" s="37">
        <f t="shared" si="6"/>
        <v>51.8</v>
      </c>
      <c r="E49" s="37">
        <f t="shared" si="1"/>
        <v>23</v>
      </c>
      <c r="F49" s="8">
        <v>28.2</v>
      </c>
      <c r="G49" s="8">
        <v>51.3</v>
      </c>
      <c r="H49" s="37">
        <f t="shared" si="2"/>
        <v>23.1</v>
      </c>
      <c r="I49" s="8">
        <v>0</v>
      </c>
      <c r="J49" s="8"/>
      <c r="K49" s="37">
        <f t="shared" si="3"/>
        <v>0</v>
      </c>
      <c r="L49" s="8">
        <v>0.6</v>
      </c>
      <c r="M49" s="8">
        <v>0.5</v>
      </c>
      <c r="N49" s="37">
        <f t="shared" si="4"/>
        <v>-0.1</v>
      </c>
    </row>
    <row r="50" spans="1:14" ht="14.25" customHeight="1">
      <c r="A50" s="40">
        <v>39</v>
      </c>
      <c r="B50" s="6" t="s">
        <v>176</v>
      </c>
      <c r="C50" s="37">
        <f t="shared" si="6"/>
        <v>2.7</v>
      </c>
      <c r="D50" s="37">
        <f t="shared" si="6"/>
        <v>0</v>
      </c>
      <c r="E50" s="37">
        <f t="shared" si="1"/>
        <v>-2.7</v>
      </c>
      <c r="F50" s="8">
        <v>0</v>
      </c>
      <c r="G50" s="8"/>
      <c r="H50" s="37">
        <f t="shared" si="2"/>
        <v>0</v>
      </c>
      <c r="I50" s="8">
        <v>0</v>
      </c>
      <c r="J50" s="8"/>
      <c r="K50" s="37">
        <f t="shared" si="3"/>
        <v>0</v>
      </c>
      <c r="L50" s="8">
        <v>2.7</v>
      </c>
      <c r="M50" s="8"/>
      <c r="N50" s="37">
        <f t="shared" si="4"/>
        <v>-2.7</v>
      </c>
    </row>
    <row r="51" spans="1:14" ht="15.75">
      <c r="A51" s="40">
        <v>40</v>
      </c>
      <c r="B51" s="6" t="s">
        <v>249</v>
      </c>
      <c r="C51" s="37">
        <f t="shared" si="6"/>
        <v>543.3</v>
      </c>
      <c r="D51" s="37">
        <f t="shared" si="6"/>
        <v>328.5</v>
      </c>
      <c r="E51" s="37">
        <f t="shared" si="1"/>
        <v>-214.8</v>
      </c>
      <c r="F51" s="8">
        <v>0</v>
      </c>
      <c r="G51" s="8"/>
      <c r="H51" s="37">
        <f t="shared" si="2"/>
        <v>0</v>
      </c>
      <c r="I51" s="8">
        <v>540.8</v>
      </c>
      <c r="J51" s="8">
        <v>326.8</v>
      </c>
      <c r="K51" s="37">
        <f t="shared" si="3"/>
        <v>-214</v>
      </c>
      <c r="L51" s="8">
        <v>2.5</v>
      </c>
      <c r="M51" s="8">
        <v>1.7</v>
      </c>
      <c r="N51" s="37">
        <f t="shared" si="4"/>
        <v>-0.8</v>
      </c>
    </row>
    <row r="52" spans="1:14" ht="15.75">
      <c r="A52" s="40">
        <v>41</v>
      </c>
      <c r="B52" s="6" t="s">
        <v>177</v>
      </c>
      <c r="C52" s="37">
        <f t="shared" si="6"/>
        <v>171</v>
      </c>
      <c r="D52" s="37">
        <f t="shared" si="6"/>
        <v>138.2</v>
      </c>
      <c r="E52" s="37">
        <f t="shared" si="1"/>
        <v>-32.8</v>
      </c>
      <c r="F52" s="8">
        <v>0</v>
      </c>
      <c r="G52" s="8"/>
      <c r="H52" s="37">
        <f t="shared" si="2"/>
        <v>0</v>
      </c>
      <c r="I52" s="8">
        <v>170</v>
      </c>
      <c r="J52" s="8">
        <v>138.2</v>
      </c>
      <c r="K52" s="37">
        <f t="shared" si="3"/>
        <v>-31.8</v>
      </c>
      <c r="L52" s="8">
        <v>1</v>
      </c>
      <c r="M52" s="8"/>
      <c r="N52" s="37">
        <f t="shared" si="4"/>
        <v>-1</v>
      </c>
    </row>
    <row r="53" spans="1:14" ht="15.75" customHeight="1">
      <c r="A53" s="40">
        <v>42</v>
      </c>
      <c r="B53" s="6" t="s">
        <v>250</v>
      </c>
      <c r="C53" s="37">
        <f t="shared" si="6"/>
        <v>140.9</v>
      </c>
      <c r="D53" s="37">
        <f t="shared" si="6"/>
        <v>126</v>
      </c>
      <c r="E53" s="37">
        <f t="shared" si="1"/>
        <v>-14.9</v>
      </c>
      <c r="F53" s="8">
        <v>71.2</v>
      </c>
      <c r="G53" s="8">
        <v>68.5</v>
      </c>
      <c r="H53" s="37">
        <f t="shared" si="2"/>
        <v>-2.7</v>
      </c>
      <c r="I53" s="8">
        <v>69.7</v>
      </c>
      <c r="J53" s="8">
        <v>57.5</v>
      </c>
      <c r="K53" s="37">
        <f t="shared" si="3"/>
        <v>-12.2</v>
      </c>
      <c r="L53" s="8">
        <v>0</v>
      </c>
      <c r="M53" s="8"/>
      <c r="N53" s="37">
        <f t="shared" si="4"/>
        <v>0</v>
      </c>
    </row>
    <row r="54" spans="1:14" ht="17.25" customHeight="1">
      <c r="A54" s="40">
        <v>43</v>
      </c>
      <c r="B54" s="6" t="s">
        <v>378</v>
      </c>
      <c r="C54" s="37">
        <f t="shared" si="6"/>
        <v>148.2</v>
      </c>
      <c r="D54" s="37">
        <f t="shared" si="6"/>
        <v>137</v>
      </c>
      <c r="E54" s="37">
        <f t="shared" si="1"/>
        <v>-11.2</v>
      </c>
      <c r="F54" s="8">
        <v>5.2</v>
      </c>
      <c r="G54" s="8">
        <v>4.9</v>
      </c>
      <c r="H54" s="37">
        <f t="shared" si="2"/>
        <v>-0.3</v>
      </c>
      <c r="I54" s="8">
        <v>140</v>
      </c>
      <c r="J54" s="8">
        <v>130.4</v>
      </c>
      <c r="K54" s="37">
        <f t="shared" si="3"/>
        <v>-9.6</v>
      </c>
      <c r="L54" s="8">
        <v>3</v>
      </c>
      <c r="M54" s="8">
        <v>1.7</v>
      </c>
      <c r="N54" s="37">
        <f t="shared" si="4"/>
        <v>-1.3</v>
      </c>
    </row>
    <row r="55" spans="1:14" ht="33" customHeight="1">
      <c r="A55" s="40">
        <v>44</v>
      </c>
      <c r="B55" s="6" t="s">
        <v>178</v>
      </c>
      <c r="C55" s="37">
        <f t="shared" si="6"/>
        <v>4</v>
      </c>
      <c r="D55" s="37">
        <f t="shared" si="6"/>
        <v>2.4</v>
      </c>
      <c r="E55" s="37">
        <f t="shared" si="1"/>
        <v>-1.6</v>
      </c>
      <c r="F55" s="8">
        <v>0</v>
      </c>
      <c r="G55" s="8"/>
      <c r="H55" s="37">
        <f t="shared" si="2"/>
        <v>0</v>
      </c>
      <c r="I55" s="8">
        <v>0</v>
      </c>
      <c r="J55" s="8"/>
      <c r="K55" s="37">
        <f t="shared" si="3"/>
        <v>0</v>
      </c>
      <c r="L55" s="8">
        <v>4</v>
      </c>
      <c r="M55" s="8">
        <v>2.4</v>
      </c>
      <c r="N55" s="37">
        <f t="shared" si="4"/>
        <v>-1.6</v>
      </c>
    </row>
    <row r="56" spans="1:14" ht="15" customHeight="1">
      <c r="A56" s="40">
        <v>45</v>
      </c>
      <c r="B56" s="6" t="s">
        <v>251</v>
      </c>
      <c r="C56" s="37">
        <f t="shared" si="6"/>
        <v>0.7</v>
      </c>
      <c r="D56" s="37">
        <f t="shared" si="6"/>
        <v>0.7</v>
      </c>
      <c r="E56" s="37">
        <f t="shared" si="1"/>
        <v>0</v>
      </c>
      <c r="F56" s="8">
        <v>0</v>
      </c>
      <c r="G56" s="8"/>
      <c r="H56" s="37">
        <f t="shared" si="2"/>
        <v>0</v>
      </c>
      <c r="I56" s="8">
        <v>0</v>
      </c>
      <c r="J56" s="8"/>
      <c r="K56" s="37">
        <f t="shared" si="3"/>
        <v>0</v>
      </c>
      <c r="L56" s="8">
        <v>0.7</v>
      </c>
      <c r="M56" s="8">
        <v>0.7</v>
      </c>
      <c r="N56" s="37">
        <f t="shared" si="4"/>
        <v>0</v>
      </c>
    </row>
    <row r="57" spans="1:14" ht="15" customHeight="1">
      <c r="A57" s="40">
        <v>46</v>
      </c>
      <c r="B57" s="6" t="s">
        <v>252</v>
      </c>
      <c r="C57" s="37">
        <f t="shared" si="6"/>
        <v>5.5</v>
      </c>
      <c r="D57" s="37">
        <f t="shared" si="6"/>
        <v>0.5</v>
      </c>
      <c r="E57" s="37">
        <f t="shared" si="1"/>
        <v>-5</v>
      </c>
      <c r="F57" s="8">
        <v>5.5</v>
      </c>
      <c r="G57" s="8">
        <v>0.5</v>
      </c>
      <c r="H57" s="37">
        <f t="shared" si="2"/>
        <v>-5</v>
      </c>
      <c r="I57" s="8">
        <v>0</v>
      </c>
      <c r="J57" s="8"/>
      <c r="K57" s="37">
        <f t="shared" si="3"/>
        <v>0</v>
      </c>
      <c r="L57" s="8">
        <v>0</v>
      </c>
      <c r="M57" s="8"/>
      <c r="N57" s="37">
        <f t="shared" si="4"/>
        <v>0</v>
      </c>
    </row>
    <row r="58" spans="1:14" ht="31.5">
      <c r="A58" s="40">
        <v>47</v>
      </c>
      <c r="B58" s="6" t="s">
        <v>179</v>
      </c>
      <c r="C58" s="37">
        <f t="shared" si="6"/>
        <v>17.7</v>
      </c>
      <c r="D58" s="37">
        <f t="shared" si="6"/>
        <v>6.9</v>
      </c>
      <c r="E58" s="37">
        <f t="shared" si="1"/>
        <v>-10.8</v>
      </c>
      <c r="F58" s="8">
        <v>3.7</v>
      </c>
      <c r="G58" s="8">
        <v>0.9</v>
      </c>
      <c r="H58" s="37">
        <f t="shared" si="2"/>
        <v>-2.8</v>
      </c>
      <c r="I58" s="8">
        <v>0</v>
      </c>
      <c r="J58" s="8"/>
      <c r="K58" s="37">
        <f t="shared" si="3"/>
        <v>0</v>
      </c>
      <c r="L58" s="8">
        <v>14</v>
      </c>
      <c r="M58" s="8">
        <v>6</v>
      </c>
      <c r="N58" s="37">
        <f t="shared" si="4"/>
        <v>-8</v>
      </c>
    </row>
    <row r="59" spans="1:14" ht="31.5" customHeight="1">
      <c r="A59" s="40">
        <v>48</v>
      </c>
      <c r="B59" s="6" t="s">
        <v>180</v>
      </c>
      <c r="C59" s="37">
        <f t="shared" si="6"/>
        <v>2.8</v>
      </c>
      <c r="D59" s="37">
        <f t="shared" si="6"/>
        <v>6.1</v>
      </c>
      <c r="E59" s="37">
        <f t="shared" si="1"/>
        <v>3.3</v>
      </c>
      <c r="F59" s="8">
        <v>2.8</v>
      </c>
      <c r="G59" s="8">
        <v>6.1</v>
      </c>
      <c r="H59" s="37">
        <f t="shared" si="2"/>
        <v>3.3</v>
      </c>
      <c r="I59" s="8">
        <v>0</v>
      </c>
      <c r="J59" s="8"/>
      <c r="K59" s="37">
        <f t="shared" si="3"/>
        <v>0</v>
      </c>
      <c r="L59" s="8">
        <v>0</v>
      </c>
      <c r="M59" s="8"/>
      <c r="N59" s="37">
        <f t="shared" si="4"/>
        <v>0</v>
      </c>
    </row>
    <row r="60" spans="1:14" ht="15" customHeight="1">
      <c r="A60" s="40">
        <v>49</v>
      </c>
      <c r="B60" s="6" t="s">
        <v>181</v>
      </c>
      <c r="C60" s="37">
        <f t="shared" si="6"/>
        <v>288</v>
      </c>
      <c r="D60" s="37">
        <f t="shared" si="6"/>
        <v>288.6</v>
      </c>
      <c r="E60" s="37">
        <f t="shared" si="1"/>
        <v>0.6</v>
      </c>
      <c r="F60" s="8">
        <v>286</v>
      </c>
      <c r="G60" s="8">
        <v>286.8</v>
      </c>
      <c r="H60" s="37">
        <f t="shared" si="2"/>
        <v>0.8</v>
      </c>
      <c r="I60" s="8">
        <v>0</v>
      </c>
      <c r="J60" s="8"/>
      <c r="K60" s="37">
        <f t="shared" si="3"/>
        <v>0</v>
      </c>
      <c r="L60" s="8">
        <v>2</v>
      </c>
      <c r="M60" s="8">
        <v>1.8</v>
      </c>
      <c r="N60" s="37">
        <f t="shared" si="4"/>
        <v>-0.2</v>
      </c>
    </row>
    <row r="61" spans="1:14" ht="17.25" customHeight="1">
      <c r="A61" s="40">
        <v>50</v>
      </c>
      <c r="B61" s="6" t="s">
        <v>182</v>
      </c>
      <c r="C61" s="37">
        <f t="shared" si="6"/>
        <v>257.6</v>
      </c>
      <c r="D61" s="37">
        <f t="shared" si="6"/>
        <v>193.3</v>
      </c>
      <c r="E61" s="37">
        <f t="shared" si="1"/>
        <v>-64.3</v>
      </c>
      <c r="F61" s="8">
        <v>256.3</v>
      </c>
      <c r="G61" s="8">
        <v>191.9</v>
      </c>
      <c r="H61" s="37">
        <f t="shared" si="2"/>
        <v>-64.4</v>
      </c>
      <c r="I61" s="8">
        <v>0</v>
      </c>
      <c r="J61" s="8"/>
      <c r="K61" s="37">
        <f t="shared" si="3"/>
        <v>0</v>
      </c>
      <c r="L61" s="8">
        <v>1.3</v>
      </c>
      <c r="M61" s="8">
        <v>1.4</v>
      </c>
      <c r="N61" s="37">
        <f t="shared" si="4"/>
        <v>0.1</v>
      </c>
    </row>
    <row r="62" spans="1:14" ht="15" customHeight="1">
      <c r="A62" s="40">
        <v>51</v>
      </c>
      <c r="B62" s="6" t="s">
        <v>183</v>
      </c>
      <c r="C62" s="37">
        <f t="shared" si="6"/>
        <v>194.5</v>
      </c>
      <c r="D62" s="37">
        <f t="shared" si="6"/>
        <v>152.2</v>
      </c>
      <c r="E62" s="37">
        <f t="shared" si="1"/>
        <v>-42.3</v>
      </c>
      <c r="F62" s="8">
        <v>194.5</v>
      </c>
      <c r="G62" s="8">
        <f>150.8+1.4</f>
        <v>152.2</v>
      </c>
      <c r="H62" s="37">
        <f t="shared" si="2"/>
        <v>-42.3</v>
      </c>
      <c r="I62" s="8">
        <v>0</v>
      </c>
      <c r="J62" s="8"/>
      <c r="K62" s="37">
        <f t="shared" si="3"/>
        <v>0</v>
      </c>
      <c r="L62" s="8">
        <v>0</v>
      </c>
      <c r="M62" s="8"/>
      <c r="N62" s="37">
        <f t="shared" si="4"/>
        <v>0</v>
      </c>
    </row>
    <row r="63" spans="1:14" ht="15" customHeight="1">
      <c r="A63" s="40">
        <v>52</v>
      </c>
      <c r="B63" s="6" t="s">
        <v>184</v>
      </c>
      <c r="C63" s="37">
        <f t="shared" si="6"/>
        <v>346.7</v>
      </c>
      <c r="D63" s="37">
        <f t="shared" si="6"/>
        <v>309.4</v>
      </c>
      <c r="E63" s="37">
        <f t="shared" si="1"/>
        <v>-37.3</v>
      </c>
      <c r="F63" s="8">
        <v>343.8</v>
      </c>
      <c r="G63" s="8">
        <v>306.8</v>
      </c>
      <c r="H63" s="37">
        <f t="shared" si="2"/>
        <v>-37</v>
      </c>
      <c r="I63" s="8">
        <v>0</v>
      </c>
      <c r="J63" s="8"/>
      <c r="K63" s="37">
        <f t="shared" si="3"/>
        <v>0</v>
      </c>
      <c r="L63" s="8">
        <v>2.9</v>
      </c>
      <c r="M63" s="8">
        <v>2.6</v>
      </c>
      <c r="N63" s="37">
        <f t="shared" si="4"/>
        <v>-0.3</v>
      </c>
    </row>
    <row r="64" spans="1:14" ht="15" customHeight="1">
      <c r="A64" s="40">
        <v>53</v>
      </c>
      <c r="B64" s="6" t="s">
        <v>185</v>
      </c>
      <c r="C64" s="37">
        <f t="shared" si="6"/>
        <v>179.9</v>
      </c>
      <c r="D64" s="37">
        <f t="shared" si="6"/>
        <v>179.6</v>
      </c>
      <c r="E64" s="37">
        <f t="shared" si="1"/>
        <v>-0.3</v>
      </c>
      <c r="F64" s="8">
        <v>178.3</v>
      </c>
      <c r="G64" s="8">
        <v>178</v>
      </c>
      <c r="H64" s="37">
        <f t="shared" si="2"/>
        <v>-0.3</v>
      </c>
      <c r="I64" s="8">
        <v>0</v>
      </c>
      <c r="J64" s="8"/>
      <c r="K64" s="37">
        <f t="shared" si="3"/>
        <v>0</v>
      </c>
      <c r="L64" s="8">
        <v>1.6</v>
      </c>
      <c r="M64" s="8">
        <v>1.6</v>
      </c>
      <c r="N64" s="37">
        <f t="shared" si="4"/>
        <v>0</v>
      </c>
    </row>
    <row r="65" spans="1:14" ht="17.25" customHeight="1">
      <c r="A65" s="40">
        <v>54</v>
      </c>
      <c r="B65" s="6" t="s">
        <v>186</v>
      </c>
      <c r="C65" s="37">
        <f t="shared" si="6"/>
        <v>182.5</v>
      </c>
      <c r="D65" s="37">
        <f t="shared" si="6"/>
        <v>148.5</v>
      </c>
      <c r="E65" s="37">
        <f t="shared" si="1"/>
        <v>-34</v>
      </c>
      <c r="F65" s="8">
        <v>182.5</v>
      </c>
      <c r="G65" s="8">
        <v>148.5</v>
      </c>
      <c r="H65" s="37">
        <f t="shared" si="2"/>
        <v>-34</v>
      </c>
      <c r="I65" s="8">
        <v>0</v>
      </c>
      <c r="J65" s="8"/>
      <c r="K65" s="37">
        <f t="shared" si="3"/>
        <v>0</v>
      </c>
      <c r="L65" s="8">
        <v>0</v>
      </c>
      <c r="M65" s="8"/>
      <c r="N65" s="37">
        <f t="shared" si="4"/>
        <v>0</v>
      </c>
    </row>
    <row r="66" spans="1:14" ht="30.75" customHeight="1">
      <c r="A66" s="40">
        <v>55</v>
      </c>
      <c r="B66" s="6" t="s">
        <v>226</v>
      </c>
      <c r="C66" s="37">
        <f t="shared" si="6"/>
        <v>307.5</v>
      </c>
      <c r="D66" s="37">
        <f t="shared" si="6"/>
        <v>285.8</v>
      </c>
      <c r="E66" s="37">
        <f t="shared" si="1"/>
        <v>-21.7</v>
      </c>
      <c r="F66" s="8">
        <v>307.5</v>
      </c>
      <c r="G66" s="8">
        <v>285.8</v>
      </c>
      <c r="H66" s="37">
        <f t="shared" si="2"/>
        <v>-21.7</v>
      </c>
      <c r="I66" s="8">
        <v>0</v>
      </c>
      <c r="J66" s="8"/>
      <c r="K66" s="37">
        <f t="shared" si="3"/>
        <v>0</v>
      </c>
      <c r="L66" s="8">
        <v>0</v>
      </c>
      <c r="M66" s="8"/>
      <c r="N66" s="37">
        <f t="shared" si="4"/>
        <v>0</v>
      </c>
    </row>
    <row r="67" spans="1:14" ht="15" customHeight="1">
      <c r="A67" s="40">
        <v>56</v>
      </c>
      <c r="B67" s="6" t="s">
        <v>187</v>
      </c>
      <c r="C67" s="37">
        <f t="shared" si="6"/>
        <v>235.9</v>
      </c>
      <c r="D67" s="37">
        <f t="shared" si="6"/>
        <v>205.9</v>
      </c>
      <c r="E67" s="37">
        <f t="shared" si="1"/>
        <v>-30</v>
      </c>
      <c r="F67" s="8">
        <v>235.9</v>
      </c>
      <c r="G67" s="8">
        <v>205.9</v>
      </c>
      <c r="H67" s="37">
        <f t="shared" si="2"/>
        <v>-30</v>
      </c>
      <c r="I67" s="8">
        <v>0</v>
      </c>
      <c r="J67" s="8"/>
      <c r="K67" s="37">
        <f t="shared" si="3"/>
        <v>0</v>
      </c>
      <c r="L67" s="8">
        <v>0</v>
      </c>
      <c r="M67" s="8"/>
      <c r="N67" s="37">
        <f t="shared" si="4"/>
        <v>0</v>
      </c>
    </row>
    <row r="68" spans="1:14" ht="15" customHeight="1">
      <c r="A68" s="40">
        <v>57</v>
      </c>
      <c r="B68" s="6" t="s">
        <v>224</v>
      </c>
      <c r="C68" s="37">
        <f t="shared" si="6"/>
        <v>256.5</v>
      </c>
      <c r="D68" s="37">
        <f t="shared" si="6"/>
        <v>250.3</v>
      </c>
      <c r="E68" s="37">
        <f t="shared" si="1"/>
        <v>-6.2</v>
      </c>
      <c r="F68" s="8">
        <v>255.7</v>
      </c>
      <c r="G68" s="8">
        <v>249</v>
      </c>
      <c r="H68" s="37">
        <f t="shared" si="2"/>
        <v>-6.7</v>
      </c>
      <c r="I68" s="8">
        <v>0</v>
      </c>
      <c r="J68" s="8"/>
      <c r="K68" s="37">
        <f t="shared" si="3"/>
        <v>0</v>
      </c>
      <c r="L68" s="8">
        <v>0.8</v>
      </c>
      <c r="M68" s="8">
        <f>1.7-0.4</f>
        <v>1.3</v>
      </c>
      <c r="N68" s="37">
        <f t="shared" si="4"/>
        <v>0.5</v>
      </c>
    </row>
    <row r="69" spans="1:14" ht="15.75" customHeight="1">
      <c r="A69" s="40">
        <v>58</v>
      </c>
      <c r="B69" s="6" t="s">
        <v>188</v>
      </c>
      <c r="C69" s="37">
        <f t="shared" si="6"/>
        <v>288.8</v>
      </c>
      <c r="D69" s="37">
        <f t="shared" si="6"/>
        <v>239.9</v>
      </c>
      <c r="E69" s="37">
        <f t="shared" si="1"/>
        <v>-48.9</v>
      </c>
      <c r="F69" s="8">
        <v>287.2</v>
      </c>
      <c r="G69" s="8">
        <v>238.5</v>
      </c>
      <c r="H69" s="37">
        <f t="shared" si="2"/>
        <v>-48.7</v>
      </c>
      <c r="I69" s="8">
        <v>0</v>
      </c>
      <c r="J69" s="8"/>
      <c r="K69" s="37">
        <f t="shared" si="3"/>
        <v>0</v>
      </c>
      <c r="L69" s="8">
        <v>1.6</v>
      </c>
      <c r="M69" s="8">
        <f>1.5-0.1</f>
        <v>1.4</v>
      </c>
      <c r="N69" s="37">
        <f t="shared" si="4"/>
        <v>-0.2</v>
      </c>
    </row>
    <row r="70" spans="1:14" ht="33" customHeight="1">
      <c r="A70" s="40">
        <v>59</v>
      </c>
      <c r="B70" s="6" t="s">
        <v>227</v>
      </c>
      <c r="C70" s="37">
        <f t="shared" si="6"/>
        <v>161</v>
      </c>
      <c r="D70" s="37">
        <f t="shared" si="6"/>
        <v>125.7</v>
      </c>
      <c r="E70" s="37">
        <f t="shared" si="1"/>
        <v>-35.3</v>
      </c>
      <c r="F70" s="8">
        <v>157.6</v>
      </c>
      <c r="G70" s="8">
        <v>122.3</v>
      </c>
      <c r="H70" s="37">
        <f t="shared" si="2"/>
        <v>-35.3</v>
      </c>
      <c r="I70" s="8">
        <v>0</v>
      </c>
      <c r="J70" s="8"/>
      <c r="K70" s="37">
        <f t="shared" si="3"/>
        <v>0</v>
      </c>
      <c r="L70" s="8">
        <v>3.4</v>
      </c>
      <c r="M70" s="8">
        <v>3.4</v>
      </c>
      <c r="N70" s="37">
        <f t="shared" si="4"/>
        <v>0</v>
      </c>
    </row>
    <row r="71" spans="1:14" ht="18" customHeight="1">
      <c r="A71" s="40">
        <v>60</v>
      </c>
      <c r="B71" s="6" t="s">
        <v>189</v>
      </c>
      <c r="C71" s="37">
        <f t="shared" si="6"/>
        <v>160.9</v>
      </c>
      <c r="D71" s="37">
        <f t="shared" si="6"/>
        <v>135.2</v>
      </c>
      <c r="E71" s="37">
        <f t="shared" si="1"/>
        <v>-25.7</v>
      </c>
      <c r="F71" s="8">
        <v>160.9</v>
      </c>
      <c r="G71" s="8">
        <v>135.2</v>
      </c>
      <c r="H71" s="37">
        <f t="shared" si="2"/>
        <v>-25.7</v>
      </c>
      <c r="I71" s="8">
        <v>0</v>
      </c>
      <c r="J71" s="8"/>
      <c r="K71" s="37">
        <f t="shared" si="3"/>
        <v>0</v>
      </c>
      <c r="L71" s="8">
        <v>0</v>
      </c>
      <c r="M71" s="8"/>
      <c r="N71" s="37">
        <f t="shared" si="4"/>
        <v>0</v>
      </c>
    </row>
    <row r="72" spans="1:14" ht="15" customHeight="1">
      <c r="A72" s="40">
        <v>61</v>
      </c>
      <c r="B72" s="6" t="s">
        <v>225</v>
      </c>
      <c r="C72" s="37">
        <f t="shared" si="6"/>
        <v>163.3</v>
      </c>
      <c r="D72" s="37">
        <f t="shared" si="6"/>
        <v>135.4</v>
      </c>
      <c r="E72" s="37">
        <f t="shared" si="1"/>
        <v>-27.9</v>
      </c>
      <c r="F72" s="8">
        <v>160.8</v>
      </c>
      <c r="G72" s="8">
        <v>132.9</v>
      </c>
      <c r="H72" s="37">
        <f t="shared" si="2"/>
        <v>-27.9</v>
      </c>
      <c r="I72" s="8">
        <v>0</v>
      </c>
      <c r="J72" s="8"/>
      <c r="K72" s="37">
        <f t="shared" si="3"/>
        <v>0</v>
      </c>
      <c r="L72" s="8">
        <v>2.5</v>
      </c>
      <c r="M72" s="8">
        <v>2.5</v>
      </c>
      <c r="N72" s="37">
        <f t="shared" si="4"/>
        <v>0</v>
      </c>
    </row>
    <row r="73" spans="1:14" ht="15" customHeight="1">
      <c r="A73" s="40">
        <v>62</v>
      </c>
      <c r="B73" s="6" t="s">
        <v>190</v>
      </c>
      <c r="C73" s="37">
        <f t="shared" si="6"/>
        <v>174.8</v>
      </c>
      <c r="D73" s="37">
        <f t="shared" si="6"/>
        <v>148.2</v>
      </c>
      <c r="E73" s="37">
        <f t="shared" si="1"/>
        <v>-26.6</v>
      </c>
      <c r="F73" s="8">
        <v>174.8</v>
      </c>
      <c r="G73" s="8">
        <v>148.2</v>
      </c>
      <c r="H73" s="37">
        <f t="shared" si="2"/>
        <v>-26.6</v>
      </c>
      <c r="I73" s="8">
        <v>0</v>
      </c>
      <c r="J73" s="8"/>
      <c r="K73" s="37">
        <f t="shared" si="3"/>
        <v>0</v>
      </c>
      <c r="L73" s="8">
        <v>0</v>
      </c>
      <c r="M73" s="8"/>
      <c r="N73" s="37">
        <f t="shared" si="4"/>
        <v>0</v>
      </c>
    </row>
    <row r="74" spans="1:14" ht="15.75" customHeight="1">
      <c r="A74" s="40">
        <v>63</v>
      </c>
      <c r="B74" s="6" t="s">
        <v>379</v>
      </c>
      <c r="C74" s="37">
        <f t="shared" si="6"/>
        <v>234.8</v>
      </c>
      <c r="D74" s="37">
        <f t="shared" si="6"/>
        <v>206.7</v>
      </c>
      <c r="E74" s="37">
        <f t="shared" si="1"/>
        <v>-28.1</v>
      </c>
      <c r="F74" s="8">
        <v>234.8</v>
      </c>
      <c r="G74" s="8">
        <v>206.7</v>
      </c>
      <c r="H74" s="37">
        <f t="shared" si="2"/>
        <v>-28.1</v>
      </c>
      <c r="I74" s="8">
        <v>0</v>
      </c>
      <c r="J74" s="8"/>
      <c r="K74" s="37">
        <f t="shared" si="3"/>
        <v>0</v>
      </c>
      <c r="L74" s="8">
        <v>0</v>
      </c>
      <c r="M74" s="8"/>
      <c r="N74" s="37">
        <f t="shared" si="4"/>
        <v>0</v>
      </c>
    </row>
    <row r="75" spans="1:14" ht="15.75">
      <c r="A75" s="40">
        <v>64</v>
      </c>
      <c r="B75" s="6" t="s">
        <v>380</v>
      </c>
      <c r="C75" s="37">
        <f t="shared" si="6"/>
        <v>250</v>
      </c>
      <c r="D75" s="37">
        <f t="shared" si="6"/>
        <v>252.6</v>
      </c>
      <c r="E75" s="37">
        <f t="shared" si="1"/>
        <v>2.6</v>
      </c>
      <c r="F75" s="8">
        <v>250</v>
      </c>
      <c r="G75" s="8">
        <v>252.6</v>
      </c>
      <c r="H75" s="37">
        <f t="shared" si="2"/>
        <v>2.6</v>
      </c>
      <c r="I75" s="8">
        <v>0</v>
      </c>
      <c r="J75" s="8"/>
      <c r="K75" s="37">
        <f t="shared" si="3"/>
        <v>0</v>
      </c>
      <c r="L75" s="8">
        <v>0</v>
      </c>
      <c r="M75" s="8"/>
      <c r="N75" s="37">
        <f t="shared" si="4"/>
        <v>0</v>
      </c>
    </row>
    <row r="76" spans="1:14" ht="15.75">
      <c r="A76" s="40">
        <v>65</v>
      </c>
      <c r="B76" s="6" t="s">
        <v>381</v>
      </c>
      <c r="C76" s="37">
        <f t="shared" si="6"/>
        <v>313.3</v>
      </c>
      <c r="D76" s="37">
        <f t="shared" si="6"/>
        <v>278.8</v>
      </c>
      <c r="E76" s="37">
        <f t="shared" si="1"/>
        <v>-34.5</v>
      </c>
      <c r="F76" s="8">
        <v>312.1</v>
      </c>
      <c r="G76" s="8">
        <v>277.9</v>
      </c>
      <c r="H76" s="37">
        <f t="shared" si="2"/>
        <v>-34.2</v>
      </c>
      <c r="I76" s="8">
        <v>0</v>
      </c>
      <c r="J76" s="8"/>
      <c r="K76" s="37">
        <f t="shared" si="3"/>
        <v>0</v>
      </c>
      <c r="L76" s="8">
        <v>1.2</v>
      </c>
      <c r="M76" s="8">
        <v>0.9</v>
      </c>
      <c r="N76" s="37">
        <f t="shared" si="4"/>
        <v>-0.3</v>
      </c>
    </row>
    <row r="77" spans="1:14" ht="15" customHeight="1">
      <c r="A77" s="40">
        <v>66</v>
      </c>
      <c r="B77" s="6" t="s">
        <v>191</v>
      </c>
      <c r="C77" s="37">
        <f t="shared" si="6"/>
        <v>202.1</v>
      </c>
      <c r="D77" s="37">
        <f t="shared" si="6"/>
        <v>135.4</v>
      </c>
      <c r="E77" s="37">
        <f t="shared" si="1"/>
        <v>-66.7</v>
      </c>
      <c r="F77" s="8">
        <v>202.1</v>
      </c>
      <c r="G77" s="8">
        <v>135.4</v>
      </c>
      <c r="H77" s="37">
        <f t="shared" si="2"/>
        <v>-66.7</v>
      </c>
      <c r="I77" s="8">
        <v>0</v>
      </c>
      <c r="J77" s="8"/>
      <c r="K77" s="37">
        <f t="shared" si="3"/>
        <v>0</v>
      </c>
      <c r="L77" s="8">
        <v>0</v>
      </c>
      <c r="M77" s="8"/>
      <c r="N77" s="37">
        <f t="shared" si="4"/>
        <v>0</v>
      </c>
    </row>
    <row r="78" spans="1:14" ht="14.25" customHeight="1">
      <c r="A78" s="40">
        <v>67</v>
      </c>
      <c r="B78" s="6" t="s">
        <v>192</v>
      </c>
      <c r="C78" s="37">
        <f t="shared" si="6"/>
        <v>271.1</v>
      </c>
      <c r="D78" s="37">
        <f t="shared" si="6"/>
        <v>243</v>
      </c>
      <c r="E78" s="37">
        <f aca="true" t="shared" si="7" ref="E78:E130">D78-C78</f>
        <v>-28.1</v>
      </c>
      <c r="F78" s="8">
        <v>268</v>
      </c>
      <c r="G78" s="8">
        <v>240.9</v>
      </c>
      <c r="H78" s="37">
        <f aca="true" t="shared" si="8" ref="H78:H130">G78-F78</f>
        <v>-27.1</v>
      </c>
      <c r="I78" s="8">
        <v>0</v>
      </c>
      <c r="J78" s="8"/>
      <c r="K78" s="37">
        <f aca="true" t="shared" si="9" ref="K78:K130">J78-I78</f>
        <v>0</v>
      </c>
      <c r="L78" s="8">
        <v>3.1</v>
      </c>
      <c r="M78" s="8">
        <v>2.1</v>
      </c>
      <c r="N78" s="37">
        <f aca="true" t="shared" si="10" ref="N78:N130">M78-L78</f>
        <v>-1</v>
      </c>
    </row>
    <row r="79" spans="1:14" ht="15.75">
      <c r="A79" s="40">
        <v>68</v>
      </c>
      <c r="B79" s="6" t="s">
        <v>193</v>
      </c>
      <c r="C79" s="37">
        <f t="shared" si="6"/>
        <v>220.1</v>
      </c>
      <c r="D79" s="37">
        <f t="shared" si="6"/>
        <v>166.9</v>
      </c>
      <c r="E79" s="37">
        <f t="shared" si="7"/>
        <v>-53.2</v>
      </c>
      <c r="F79" s="8">
        <v>220.1</v>
      </c>
      <c r="G79" s="8">
        <v>166.9</v>
      </c>
      <c r="H79" s="37">
        <f t="shared" si="8"/>
        <v>-53.2</v>
      </c>
      <c r="I79" s="8">
        <v>0</v>
      </c>
      <c r="J79" s="8"/>
      <c r="K79" s="37">
        <f t="shared" si="9"/>
        <v>0</v>
      </c>
      <c r="L79" s="8">
        <v>0</v>
      </c>
      <c r="M79" s="8"/>
      <c r="N79" s="37">
        <f t="shared" si="10"/>
        <v>0</v>
      </c>
    </row>
    <row r="80" spans="1:14" ht="15.75">
      <c r="A80" s="40">
        <v>69</v>
      </c>
      <c r="B80" s="6" t="s">
        <v>194</v>
      </c>
      <c r="C80" s="37">
        <f t="shared" si="6"/>
        <v>118.5</v>
      </c>
      <c r="D80" s="37">
        <f t="shared" si="6"/>
        <v>106.7</v>
      </c>
      <c r="E80" s="37">
        <f t="shared" si="7"/>
        <v>-11.8</v>
      </c>
      <c r="F80" s="8">
        <v>118.5</v>
      </c>
      <c r="G80" s="8">
        <v>106.7</v>
      </c>
      <c r="H80" s="37">
        <f t="shared" si="8"/>
        <v>-11.8</v>
      </c>
      <c r="I80" s="8">
        <v>0</v>
      </c>
      <c r="J80" s="8"/>
      <c r="K80" s="37">
        <f t="shared" si="9"/>
        <v>0</v>
      </c>
      <c r="L80" s="8">
        <v>0</v>
      </c>
      <c r="M80" s="8"/>
      <c r="N80" s="37">
        <f t="shared" si="10"/>
        <v>0</v>
      </c>
    </row>
    <row r="81" spans="1:14" ht="15.75">
      <c r="A81" s="40">
        <v>70</v>
      </c>
      <c r="B81" s="6" t="s">
        <v>195</v>
      </c>
      <c r="C81" s="37">
        <f aca="true" t="shared" si="11" ref="C81:D121">F81+I81+L81</f>
        <v>239</v>
      </c>
      <c r="D81" s="37">
        <f t="shared" si="11"/>
        <v>231.5</v>
      </c>
      <c r="E81" s="37">
        <f t="shared" si="7"/>
        <v>-7.5</v>
      </c>
      <c r="F81" s="8">
        <v>237.4</v>
      </c>
      <c r="G81" s="8">
        <v>229.8</v>
      </c>
      <c r="H81" s="37">
        <f t="shared" si="8"/>
        <v>-7.6</v>
      </c>
      <c r="I81" s="8">
        <v>0</v>
      </c>
      <c r="J81" s="8"/>
      <c r="K81" s="37">
        <f t="shared" si="9"/>
        <v>0</v>
      </c>
      <c r="L81" s="8">
        <v>1.6</v>
      </c>
      <c r="M81" s="8">
        <v>1.7</v>
      </c>
      <c r="N81" s="37">
        <f t="shared" si="10"/>
        <v>0.1</v>
      </c>
    </row>
    <row r="82" spans="1:14" ht="15.75">
      <c r="A82" s="40">
        <v>71</v>
      </c>
      <c r="B82" s="6" t="s">
        <v>196</v>
      </c>
      <c r="C82" s="37">
        <f t="shared" si="11"/>
        <v>244.1</v>
      </c>
      <c r="D82" s="37">
        <f t="shared" si="11"/>
        <v>229.5</v>
      </c>
      <c r="E82" s="37">
        <f t="shared" si="7"/>
        <v>-14.6</v>
      </c>
      <c r="F82" s="8">
        <v>240.6</v>
      </c>
      <c r="G82" s="8">
        <f>226.3-0.1</f>
        <v>226.2</v>
      </c>
      <c r="H82" s="37">
        <f t="shared" si="8"/>
        <v>-14.4</v>
      </c>
      <c r="I82" s="8">
        <v>0</v>
      </c>
      <c r="J82" s="8"/>
      <c r="K82" s="37">
        <f t="shared" si="9"/>
        <v>0</v>
      </c>
      <c r="L82" s="8">
        <v>3.5</v>
      </c>
      <c r="M82" s="8">
        <v>3.3</v>
      </c>
      <c r="N82" s="37">
        <f t="shared" si="10"/>
        <v>-0.2</v>
      </c>
    </row>
    <row r="83" spans="1:14" ht="15.75">
      <c r="A83" s="40">
        <v>72</v>
      </c>
      <c r="B83" s="6" t="s">
        <v>197</v>
      </c>
      <c r="C83" s="37">
        <f t="shared" si="11"/>
        <v>198.3</v>
      </c>
      <c r="D83" s="37">
        <f t="shared" si="11"/>
        <v>181.6</v>
      </c>
      <c r="E83" s="37">
        <f t="shared" si="7"/>
        <v>-16.7</v>
      </c>
      <c r="F83" s="8">
        <v>198.3</v>
      </c>
      <c r="G83" s="8">
        <v>181.6</v>
      </c>
      <c r="H83" s="37">
        <f t="shared" si="8"/>
        <v>-16.7</v>
      </c>
      <c r="I83" s="8">
        <v>0</v>
      </c>
      <c r="J83" s="8"/>
      <c r="K83" s="37">
        <f t="shared" si="9"/>
        <v>0</v>
      </c>
      <c r="L83" s="8">
        <v>0</v>
      </c>
      <c r="M83" s="8"/>
      <c r="N83" s="37">
        <f t="shared" si="10"/>
        <v>0</v>
      </c>
    </row>
    <row r="84" spans="1:14" ht="15.75">
      <c r="A84" s="40">
        <v>73</v>
      </c>
      <c r="B84" s="6" t="s">
        <v>198</v>
      </c>
      <c r="C84" s="37">
        <f t="shared" si="11"/>
        <v>128.6</v>
      </c>
      <c r="D84" s="37">
        <f t="shared" si="11"/>
        <v>104.4</v>
      </c>
      <c r="E84" s="37">
        <f t="shared" si="7"/>
        <v>-24.2</v>
      </c>
      <c r="F84" s="8">
        <v>125.3</v>
      </c>
      <c r="G84" s="8">
        <v>101.9</v>
      </c>
      <c r="H84" s="37">
        <f t="shared" si="8"/>
        <v>-23.4</v>
      </c>
      <c r="I84" s="8">
        <v>0</v>
      </c>
      <c r="J84" s="8"/>
      <c r="K84" s="37">
        <f t="shared" si="9"/>
        <v>0</v>
      </c>
      <c r="L84" s="8">
        <v>3.3</v>
      </c>
      <c r="M84" s="8">
        <v>2.5</v>
      </c>
      <c r="N84" s="37">
        <f t="shared" si="10"/>
        <v>-0.8</v>
      </c>
    </row>
    <row r="85" spans="1:14" ht="15.75">
      <c r="A85" s="40">
        <v>74</v>
      </c>
      <c r="B85" s="6" t="s">
        <v>228</v>
      </c>
      <c r="C85" s="37">
        <f t="shared" si="11"/>
        <v>219.8</v>
      </c>
      <c r="D85" s="37">
        <f t="shared" si="11"/>
        <v>218.9</v>
      </c>
      <c r="E85" s="37">
        <f t="shared" si="7"/>
        <v>-0.9</v>
      </c>
      <c r="F85" s="8">
        <v>218.8</v>
      </c>
      <c r="G85" s="8">
        <v>217.7</v>
      </c>
      <c r="H85" s="37">
        <f t="shared" si="8"/>
        <v>-1.1</v>
      </c>
      <c r="I85" s="8">
        <v>0</v>
      </c>
      <c r="J85" s="8"/>
      <c r="K85" s="37">
        <f t="shared" si="9"/>
        <v>0</v>
      </c>
      <c r="L85" s="8">
        <v>1</v>
      </c>
      <c r="M85" s="8">
        <v>1.2</v>
      </c>
      <c r="N85" s="37">
        <f t="shared" si="10"/>
        <v>0.2</v>
      </c>
    </row>
    <row r="86" spans="1:14" ht="15.75">
      <c r="A86" s="40">
        <v>75</v>
      </c>
      <c r="B86" s="7" t="s">
        <v>199</v>
      </c>
      <c r="C86" s="37">
        <f t="shared" si="11"/>
        <v>152.6</v>
      </c>
      <c r="D86" s="37">
        <f t="shared" si="11"/>
        <v>129</v>
      </c>
      <c r="E86" s="37">
        <f t="shared" si="7"/>
        <v>-23.6</v>
      </c>
      <c r="F86" s="8">
        <v>152.6</v>
      </c>
      <c r="G86" s="8">
        <v>129</v>
      </c>
      <c r="H86" s="37">
        <f t="shared" si="8"/>
        <v>-23.6</v>
      </c>
      <c r="I86" s="8">
        <v>0</v>
      </c>
      <c r="J86" s="8"/>
      <c r="K86" s="37">
        <f t="shared" si="9"/>
        <v>0</v>
      </c>
      <c r="L86" s="8">
        <v>0</v>
      </c>
      <c r="M86" s="8"/>
      <c r="N86" s="37">
        <f t="shared" si="10"/>
        <v>0</v>
      </c>
    </row>
    <row r="87" spans="1:14" ht="15" customHeight="1">
      <c r="A87" s="40">
        <v>76</v>
      </c>
      <c r="B87" s="6" t="s">
        <v>200</v>
      </c>
      <c r="C87" s="37">
        <f t="shared" si="11"/>
        <v>152</v>
      </c>
      <c r="D87" s="37">
        <f t="shared" si="11"/>
        <v>152.9</v>
      </c>
      <c r="E87" s="37">
        <f t="shared" si="7"/>
        <v>0.9</v>
      </c>
      <c r="F87" s="8">
        <v>152</v>
      </c>
      <c r="G87" s="8">
        <v>152.9</v>
      </c>
      <c r="H87" s="37">
        <f t="shared" si="8"/>
        <v>0.9</v>
      </c>
      <c r="I87" s="8">
        <v>0</v>
      </c>
      <c r="J87" s="8"/>
      <c r="K87" s="37">
        <f t="shared" si="9"/>
        <v>0</v>
      </c>
      <c r="L87" s="8">
        <v>0</v>
      </c>
      <c r="M87" s="8"/>
      <c r="N87" s="37">
        <f t="shared" si="10"/>
        <v>0</v>
      </c>
    </row>
    <row r="88" spans="1:14" ht="15" customHeight="1">
      <c r="A88" s="40">
        <v>77</v>
      </c>
      <c r="B88" s="6" t="s">
        <v>201</v>
      </c>
      <c r="C88" s="37">
        <f t="shared" si="11"/>
        <v>122.7</v>
      </c>
      <c r="D88" s="37">
        <f t="shared" si="11"/>
        <v>119.4</v>
      </c>
      <c r="E88" s="37">
        <f t="shared" si="7"/>
        <v>-3.3</v>
      </c>
      <c r="F88" s="8">
        <v>122.7</v>
      </c>
      <c r="G88" s="8">
        <v>119.4</v>
      </c>
      <c r="H88" s="37">
        <f t="shared" si="8"/>
        <v>-3.3</v>
      </c>
      <c r="I88" s="8">
        <v>0</v>
      </c>
      <c r="J88" s="8"/>
      <c r="K88" s="37">
        <f t="shared" si="9"/>
        <v>0</v>
      </c>
      <c r="L88" s="8">
        <v>0</v>
      </c>
      <c r="M88" s="8"/>
      <c r="N88" s="37">
        <f t="shared" si="10"/>
        <v>0</v>
      </c>
    </row>
    <row r="89" spans="1:14" ht="15" customHeight="1">
      <c r="A89" s="40">
        <v>78</v>
      </c>
      <c r="B89" s="6" t="s">
        <v>202</v>
      </c>
      <c r="C89" s="37">
        <f t="shared" si="11"/>
        <v>241.2</v>
      </c>
      <c r="D89" s="37">
        <f t="shared" si="11"/>
        <v>225.6</v>
      </c>
      <c r="E89" s="37">
        <f t="shared" si="7"/>
        <v>-15.6</v>
      </c>
      <c r="F89" s="8">
        <v>238.8</v>
      </c>
      <c r="G89" s="8">
        <v>222.7</v>
      </c>
      <c r="H89" s="37">
        <f t="shared" si="8"/>
        <v>-16.1</v>
      </c>
      <c r="I89" s="8">
        <v>0</v>
      </c>
      <c r="J89" s="8"/>
      <c r="K89" s="37">
        <f t="shared" si="9"/>
        <v>0</v>
      </c>
      <c r="L89" s="8">
        <v>2.4</v>
      </c>
      <c r="M89" s="8">
        <v>2.9</v>
      </c>
      <c r="N89" s="37">
        <f t="shared" si="10"/>
        <v>0.5</v>
      </c>
    </row>
    <row r="90" spans="1:14" ht="15" customHeight="1">
      <c r="A90" s="40">
        <v>79</v>
      </c>
      <c r="B90" s="6" t="s">
        <v>203</v>
      </c>
      <c r="C90" s="37">
        <f t="shared" si="11"/>
        <v>151.9</v>
      </c>
      <c r="D90" s="37">
        <f t="shared" si="11"/>
        <v>80.7</v>
      </c>
      <c r="E90" s="37">
        <f t="shared" si="7"/>
        <v>-71.2</v>
      </c>
      <c r="F90" s="8">
        <v>151.1</v>
      </c>
      <c r="G90" s="8">
        <v>80.1</v>
      </c>
      <c r="H90" s="37">
        <f t="shared" si="8"/>
        <v>-71</v>
      </c>
      <c r="I90" s="8">
        <v>0</v>
      </c>
      <c r="J90" s="8"/>
      <c r="K90" s="37">
        <f t="shared" si="9"/>
        <v>0</v>
      </c>
      <c r="L90" s="8">
        <v>0.8</v>
      </c>
      <c r="M90" s="8">
        <v>0.6</v>
      </c>
      <c r="N90" s="37">
        <f t="shared" si="10"/>
        <v>-0.2</v>
      </c>
    </row>
    <row r="91" spans="1:14" ht="15" customHeight="1">
      <c r="A91" s="40">
        <v>80</v>
      </c>
      <c r="B91" s="6" t="s">
        <v>204</v>
      </c>
      <c r="C91" s="37">
        <f t="shared" si="11"/>
        <v>265.1</v>
      </c>
      <c r="D91" s="37">
        <f t="shared" si="11"/>
        <v>259.7</v>
      </c>
      <c r="E91" s="37">
        <f t="shared" si="7"/>
        <v>-5.4</v>
      </c>
      <c r="F91" s="8">
        <v>264.5</v>
      </c>
      <c r="G91" s="8">
        <v>258.9</v>
      </c>
      <c r="H91" s="37">
        <f t="shared" si="8"/>
        <v>-5.6</v>
      </c>
      <c r="I91" s="8">
        <v>0</v>
      </c>
      <c r="J91" s="8"/>
      <c r="K91" s="37">
        <f t="shared" si="9"/>
        <v>0</v>
      </c>
      <c r="L91" s="8">
        <v>0.6</v>
      </c>
      <c r="M91" s="8">
        <f>1-0.2</f>
        <v>0.8</v>
      </c>
      <c r="N91" s="37">
        <f t="shared" si="10"/>
        <v>0.2</v>
      </c>
    </row>
    <row r="92" spans="1:14" ht="15" customHeight="1">
      <c r="A92" s="40">
        <v>81</v>
      </c>
      <c r="B92" s="6" t="s">
        <v>205</v>
      </c>
      <c r="C92" s="37">
        <f t="shared" si="11"/>
        <v>221.1</v>
      </c>
      <c r="D92" s="37">
        <f t="shared" si="11"/>
        <v>200.4</v>
      </c>
      <c r="E92" s="37">
        <f t="shared" si="7"/>
        <v>-20.7</v>
      </c>
      <c r="F92" s="8">
        <v>220.5</v>
      </c>
      <c r="G92" s="8">
        <v>199.8</v>
      </c>
      <c r="H92" s="37">
        <f t="shared" si="8"/>
        <v>-20.7</v>
      </c>
      <c r="I92" s="8">
        <v>0</v>
      </c>
      <c r="J92" s="8"/>
      <c r="K92" s="37">
        <f t="shared" si="9"/>
        <v>0</v>
      </c>
      <c r="L92" s="8">
        <v>0.6</v>
      </c>
      <c r="M92" s="8">
        <v>0.6</v>
      </c>
      <c r="N92" s="37">
        <f t="shared" si="10"/>
        <v>0</v>
      </c>
    </row>
    <row r="93" spans="1:14" ht="15" customHeight="1">
      <c r="A93" s="40">
        <v>82</v>
      </c>
      <c r="B93" s="6" t="s">
        <v>206</v>
      </c>
      <c r="C93" s="37">
        <f t="shared" si="11"/>
        <v>263.3</v>
      </c>
      <c r="D93" s="37">
        <f t="shared" si="11"/>
        <v>234.7</v>
      </c>
      <c r="E93" s="37">
        <f t="shared" si="7"/>
        <v>-28.6</v>
      </c>
      <c r="F93" s="8">
        <v>261</v>
      </c>
      <c r="G93" s="8">
        <v>232.4</v>
      </c>
      <c r="H93" s="37">
        <f t="shared" si="8"/>
        <v>-28.6</v>
      </c>
      <c r="I93" s="8">
        <v>0</v>
      </c>
      <c r="J93" s="8"/>
      <c r="K93" s="37">
        <f t="shared" si="9"/>
        <v>0</v>
      </c>
      <c r="L93" s="8">
        <v>2.3</v>
      </c>
      <c r="M93" s="8">
        <v>2.3</v>
      </c>
      <c r="N93" s="37">
        <f t="shared" si="10"/>
        <v>0</v>
      </c>
    </row>
    <row r="94" spans="1:14" ht="14.25" customHeight="1">
      <c r="A94" s="40">
        <v>83</v>
      </c>
      <c r="B94" s="6" t="s">
        <v>207</v>
      </c>
      <c r="C94" s="37">
        <f t="shared" si="11"/>
        <v>235.2</v>
      </c>
      <c r="D94" s="37">
        <f t="shared" si="11"/>
        <v>230.1</v>
      </c>
      <c r="E94" s="37">
        <f t="shared" si="7"/>
        <v>-5.1</v>
      </c>
      <c r="F94" s="8">
        <v>235.2</v>
      </c>
      <c r="G94" s="8">
        <v>230.1</v>
      </c>
      <c r="H94" s="37">
        <f t="shared" si="8"/>
        <v>-5.1</v>
      </c>
      <c r="I94" s="8">
        <v>0</v>
      </c>
      <c r="J94" s="8"/>
      <c r="K94" s="37">
        <f t="shared" si="9"/>
        <v>0</v>
      </c>
      <c r="L94" s="8">
        <v>0</v>
      </c>
      <c r="M94" s="8"/>
      <c r="N94" s="37">
        <f t="shared" si="10"/>
        <v>0</v>
      </c>
    </row>
    <row r="95" spans="1:14" ht="15" customHeight="1">
      <c r="A95" s="40">
        <v>84</v>
      </c>
      <c r="B95" s="6" t="s">
        <v>208</v>
      </c>
      <c r="C95" s="37">
        <f t="shared" si="11"/>
        <v>162.4</v>
      </c>
      <c r="D95" s="37">
        <f t="shared" si="11"/>
        <v>152.7</v>
      </c>
      <c r="E95" s="37">
        <f t="shared" si="7"/>
        <v>-9.7</v>
      </c>
      <c r="F95" s="8">
        <v>162.4</v>
      </c>
      <c r="G95" s="8">
        <v>152.7</v>
      </c>
      <c r="H95" s="37">
        <f t="shared" si="8"/>
        <v>-9.7</v>
      </c>
      <c r="I95" s="8">
        <v>0</v>
      </c>
      <c r="J95" s="8"/>
      <c r="K95" s="37">
        <f t="shared" si="9"/>
        <v>0</v>
      </c>
      <c r="L95" s="8">
        <v>0</v>
      </c>
      <c r="M95" s="8"/>
      <c r="N95" s="37">
        <f t="shared" si="10"/>
        <v>0</v>
      </c>
    </row>
    <row r="96" spans="1:14" ht="15" customHeight="1">
      <c r="A96" s="40">
        <v>85</v>
      </c>
      <c r="B96" s="6" t="s">
        <v>209</v>
      </c>
      <c r="C96" s="37">
        <f t="shared" si="11"/>
        <v>191.7</v>
      </c>
      <c r="D96" s="37">
        <f t="shared" si="11"/>
        <v>176.7</v>
      </c>
      <c r="E96" s="37">
        <f t="shared" si="7"/>
        <v>-15</v>
      </c>
      <c r="F96" s="8">
        <v>191.7</v>
      </c>
      <c r="G96" s="8">
        <v>176.7</v>
      </c>
      <c r="H96" s="37">
        <f t="shared" si="8"/>
        <v>-15</v>
      </c>
      <c r="I96" s="8">
        <v>0</v>
      </c>
      <c r="J96" s="8"/>
      <c r="K96" s="37">
        <f t="shared" si="9"/>
        <v>0</v>
      </c>
      <c r="L96" s="8">
        <v>0</v>
      </c>
      <c r="M96" s="8"/>
      <c r="N96" s="37">
        <f t="shared" si="10"/>
        <v>0</v>
      </c>
    </row>
    <row r="97" spans="1:14" ht="15" customHeight="1">
      <c r="A97" s="40">
        <v>86</v>
      </c>
      <c r="B97" s="6" t="s">
        <v>210</v>
      </c>
      <c r="C97" s="37">
        <f t="shared" si="11"/>
        <v>242.7</v>
      </c>
      <c r="D97" s="37">
        <f t="shared" si="11"/>
        <v>243.2</v>
      </c>
      <c r="E97" s="37">
        <f t="shared" si="7"/>
        <v>0.5</v>
      </c>
      <c r="F97" s="8">
        <v>242.7</v>
      </c>
      <c r="G97" s="8">
        <v>243.2</v>
      </c>
      <c r="H97" s="37">
        <f t="shared" si="8"/>
        <v>0.5</v>
      </c>
      <c r="I97" s="8">
        <v>0</v>
      </c>
      <c r="J97" s="8"/>
      <c r="K97" s="37">
        <f t="shared" si="9"/>
        <v>0</v>
      </c>
      <c r="L97" s="8">
        <v>0</v>
      </c>
      <c r="M97" s="8"/>
      <c r="N97" s="37">
        <f t="shared" si="10"/>
        <v>0</v>
      </c>
    </row>
    <row r="98" spans="1:14" ht="15" customHeight="1">
      <c r="A98" s="40">
        <v>87</v>
      </c>
      <c r="B98" s="6" t="s">
        <v>211</v>
      </c>
      <c r="C98" s="37">
        <f t="shared" si="11"/>
        <v>277.8</v>
      </c>
      <c r="D98" s="37">
        <f t="shared" si="11"/>
        <v>282.9</v>
      </c>
      <c r="E98" s="37">
        <f t="shared" si="7"/>
        <v>5.1</v>
      </c>
      <c r="F98" s="8">
        <v>277</v>
      </c>
      <c r="G98" s="8">
        <v>281.8</v>
      </c>
      <c r="H98" s="37">
        <f t="shared" si="8"/>
        <v>4.8</v>
      </c>
      <c r="I98" s="8">
        <v>0</v>
      </c>
      <c r="J98" s="8"/>
      <c r="K98" s="37">
        <f t="shared" si="9"/>
        <v>0</v>
      </c>
      <c r="L98" s="8">
        <v>0.8</v>
      </c>
      <c r="M98" s="8">
        <v>1.1</v>
      </c>
      <c r="N98" s="37">
        <f t="shared" si="10"/>
        <v>0.3</v>
      </c>
    </row>
    <row r="99" spans="1:14" ht="15" customHeight="1">
      <c r="A99" s="40">
        <v>88</v>
      </c>
      <c r="B99" s="6" t="s">
        <v>212</v>
      </c>
      <c r="C99" s="37">
        <f t="shared" si="11"/>
        <v>290.3</v>
      </c>
      <c r="D99" s="37">
        <f t="shared" si="11"/>
        <v>190.4</v>
      </c>
      <c r="E99" s="37">
        <f t="shared" si="7"/>
        <v>-99.9</v>
      </c>
      <c r="F99" s="8">
        <v>288</v>
      </c>
      <c r="G99" s="8">
        <v>188.1</v>
      </c>
      <c r="H99" s="37">
        <f t="shared" si="8"/>
        <v>-99.9</v>
      </c>
      <c r="I99" s="8">
        <v>0</v>
      </c>
      <c r="J99" s="8"/>
      <c r="K99" s="37">
        <f t="shared" si="9"/>
        <v>0</v>
      </c>
      <c r="L99" s="8">
        <v>2.3</v>
      </c>
      <c r="M99" s="8">
        <v>2.3</v>
      </c>
      <c r="N99" s="37">
        <f t="shared" si="10"/>
        <v>0</v>
      </c>
    </row>
    <row r="100" spans="1:14" ht="15" customHeight="1">
      <c r="A100" s="40">
        <v>89</v>
      </c>
      <c r="B100" s="6" t="s">
        <v>213</v>
      </c>
      <c r="C100" s="37">
        <f t="shared" si="11"/>
        <v>262.2</v>
      </c>
      <c r="D100" s="37">
        <f t="shared" si="11"/>
        <v>232.1</v>
      </c>
      <c r="E100" s="37">
        <f t="shared" si="7"/>
        <v>-30.1</v>
      </c>
      <c r="F100" s="8">
        <v>261.6</v>
      </c>
      <c r="G100" s="8">
        <v>231.5</v>
      </c>
      <c r="H100" s="37">
        <f t="shared" si="8"/>
        <v>-30.1</v>
      </c>
      <c r="I100" s="8">
        <v>0</v>
      </c>
      <c r="J100" s="8"/>
      <c r="K100" s="37">
        <f t="shared" si="9"/>
        <v>0</v>
      </c>
      <c r="L100" s="8">
        <v>0.6</v>
      </c>
      <c r="M100" s="8">
        <v>0.6</v>
      </c>
      <c r="N100" s="37">
        <f t="shared" si="10"/>
        <v>0</v>
      </c>
    </row>
    <row r="101" spans="1:14" ht="15" customHeight="1">
      <c r="A101" s="40">
        <v>90</v>
      </c>
      <c r="B101" s="6" t="s">
        <v>214</v>
      </c>
      <c r="C101" s="37">
        <f t="shared" si="11"/>
        <v>193.9</v>
      </c>
      <c r="D101" s="37">
        <f t="shared" si="11"/>
        <v>162</v>
      </c>
      <c r="E101" s="37">
        <f t="shared" si="7"/>
        <v>-31.9</v>
      </c>
      <c r="F101" s="8">
        <v>193.9</v>
      </c>
      <c r="G101" s="8">
        <v>162</v>
      </c>
      <c r="H101" s="37">
        <f t="shared" si="8"/>
        <v>-31.9</v>
      </c>
      <c r="I101" s="8">
        <v>0</v>
      </c>
      <c r="J101" s="8"/>
      <c r="K101" s="37">
        <f t="shared" si="9"/>
        <v>0</v>
      </c>
      <c r="L101" s="8">
        <v>0</v>
      </c>
      <c r="M101" s="8"/>
      <c r="N101" s="37">
        <f t="shared" si="10"/>
        <v>0</v>
      </c>
    </row>
    <row r="102" spans="1:14" ht="15.75">
      <c r="A102" s="40">
        <v>91</v>
      </c>
      <c r="B102" s="6" t="s">
        <v>215</v>
      </c>
      <c r="C102" s="37">
        <f t="shared" si="11"/>
        <v>154.4</v>
      </c>
      <c r="D102" s="37">
        <f t="shared" si="11"/>
        <v>148.5</v>
      </c>
      <c r="E102" s="37">
        <f t="shared" si="7"/>
        <v>-5.9</v>
      </c>
      <c r="F102" s="8">
        <v>154.4</v>
      </c>
      <c r="G102" s="8">
        <v>148.5</v>
      </c>
      <c r="H102" s="37">
        <f t="shared" si="8"/>
        <v>-5.9</v>
      </c>
      <c r="I102" s="8">
        <v>0</v>
      </c>
      <c r="J102" s="8"/>
      <c r="K102" s="37">
        <f t="shared" si="9"/>
        <v>0</v>
      </c>
      <c r="L102" s="8">
        <v>0</v>
      </c>
      <c r="M102" s="8"/>
      <c r="N102" s="37">
        <f t="shared" si="10"/>
        <v>0</v>
      </c>
    </row>
    <row r="103" spans="1:14" s="39" customFormat="1" ht="15" customHeight="1">
      <c r="A103" s="40">
        <v>92</v>
      </c>
      <c r="B103" s="6" t="s">
        <v>216</v>
      </c>
      <c r="C103" s="37">
        <f t="shared" si="11"/>
        <v>295.2</v>
      </c>
      <c r="D103" s="37">
        <f t="shared" si="11"/>
        <v>251.1</v>
      </c>
      <c r="E103" s="37">
        <f t="shared" si="7"/>
        <v>-44.1</v>
      </c>
      <c r="F103" s="8">
        <v>294.5</v>
      </c>
      <c r="G103" s="8">
        <v>250.6</v>
      </c>
      <c r="H103" s="37">
        <f t="shared" si="8"/>
        <v>-43.9</v>
      </c>
      <c r="I103" s="8">
        <v>0</v>
      </c>
      <c r="J103" s="8"/>
      <c r="K103" s="37">
        <f t="shared" si="9"/>
        <v>0</v>
      </c>
      <c r="L103" s="8">
        <v>0.7</v>
      </c>
      <c r="M103" s="8">
        <f>0.6-0.1</f>
        <v>0.5</v>
      </c>
      <c r="N103" s="37">
        <f t="shared" si="10"/>
        <v>-0.2</v>
      </c>
    </row>
    <row r="104" spans="1:14" ht="15" customHeight="1">
      <c r="A104" s="40">
        <v>93</v>
      </c>
      <c r="B104" s="6" t="s">
        <v>217</v>
      </c>
      <c r="C104" s="37">
        <f t="shared" si="11"/>
        <v>169.8</v>
      </c>
      <c r="D104" s="37">
        <f t="shared" si="11"/>
        <v>150.9</v>
      </c>
      <c r="E104" s="37">
        <f t="shared" si="7"/>
        <v>-18.9</v>
      </c>
      <c r="F104" s="8">
        <v>167.7</v>
      </c>
      <c r="G104" s="8">
        <v>149.3</v>
      </c>
      <c r="H104" s="37">
        <f t="shared" si="8"/>
        <v>-18.4</v>
      </c>
      <c r="I104" s="8">
        <v>0</v>
      </c>
      <c r="J104" s="8"/>
      <c r="K104" s="37">
        <f t="shared" si="9"/>
        <v>0</v>
      </c>
      <c r="L104" s="8">
        <v>2.1</v>
      </c>
      <c r="M104" s="8">
        <v>1.6</v>
      </c>
      <c r="N104" s="37">
        <f t="shared" si="10"/>
        <v>-0.5</v>
      </c>
    </row>
    <row r="105" spans="1:14" ht="15" customHeight="1">
      <c r="A105" s="40">
        <v>94</v>
      </c>
      <c r="B105" s="6" t="s">
        <v>218</v>
      </c>
      <c r="C105" s="37">
        <f t="shared" si="11"/>
        <v>219.9</v>
      </c>
      <c r="D105" s="37">
        <f t="shared" si="11"/>
        <v>197.6</v>
      </c>
      <c r="E105" s="37">
        <f t="shared" si="7"/>
        <v>-22.3</v>
      </c>
      <c r="F105" s="8">
        <v>219.9</v>
      </c>
      <c r="G105" s="8">
        <v>197.6</v>
      </c>
      <c r="H105" s="37">
        <f t="shared" si="8"/>
        <v>-22.3</v>
      </c>
      <c r="I105" s="8">
        <v>0</v>
      </c>
      <c r="J105" s="8"/>
      <c r="K105" s="37">
        <f t="shared" si="9"/>
        <v>0</v>
      </c>
      <c r="L105" s="8">
        <v>0</v>
      </c>
      <c r="M105" s="8"/>
      <c r="N105" s="37">
        <f t="shared" si="10"/>
        <v>0</v>
      </c>
    </row>
    <row r="106" spans="1:14" ht="15" customHeight="1">
      <c r="A106" s="40">
        <v>95</v>
      </c>
      <c r="B106" s="6" t="s">
        <v>219</v>
      </c>
      <c r="C106" s="37">
        <f t="shared" si="11"/>
        <v>195.1</v>
      </c>
      <c r="D106" s="37">
        <f t="shared" si="11"/>
        <v>175.4</v>
      </c>
      <c r="E106" s="37">
        <f t="shared" si="7"/>
        <v>-19.7</v>
      </c>
      <c r="F106" s="8">
        <v>195.1</v>
      </c>
      <c r="G106" s="8">
        <v>175.4</v>
      </c>
      <c r="H106" s="37">
        <f t="shared" si="8"/>
        <v>-19.7</v>
      </c>
      <c r="I106" s="8">
        <v>0</v>
      </c>
      <c r="J106" s="8"/>
      <c r="K106" s="37">
        <f t="shared" si="9"/>
        <v>0</v>
      </c>
      <c r="L106" s="8">
        <v>0</v>
      </c>
      <c r="M106" s="8"/>
      <c r="N106" s="37">
        <f t="shared" si="10"/>
        <v>0</v>
      </c>
    </row>
    <row r="107" spans="1:14" ht="16.5" customHeight="1">
      <c r="A107" s="40">
        <v>96</v>
      </c>
      <c r="B107" s="6" t="s">
        <v>220</v>
      </c>
      <c r="C107" s="37">
        <f t="shared" si="11"/>
        <v>223.9</v>
      </c>
      <c r="D107" s="37">
        <f t="shared" si="11"/>
        <v>230.9</v>
      </c>
      <c r="E107" s="37">
        <f t="shared" si="7"/>
        <v>7</v>
      </c>
      <c r="F107" s="8">
        <v>222.7</v>
      </c>
      <c r="G107" s="8">
        <v>230.2</v>
      </c>
      <c r="H107" s="37">
        <f t="shared" si="8"/>
        <v>7.5</v>
      </c>
      <c r="I107" s="8">
        <v>0</v>
      </c>
      <c r="J107" s="8"/>
      <c r="K107" s="37">
        <f t="shared" si="9"/>
        <v>0</v>
      </c>
      <c r="L107" s="8">
        <v>1.2</v>
      </c>
      <c r="M107" s="8">
        <f>0.8-0.1</f>
        <v>0.7</v>
      </c>
      <c r="N107" s="37">
        <f t="shared" si="10"/>
        <v>-0.5</v>
      </c>
    </row>
    <row r="108" spans="1:14" ht="15" customHeight="1">
      <c r="A108" s="40">
        <v>97</v>
      </c>
      <c r="B108" s="6" t="s">
        <v>221</v>
      </c>
      <c r="C108" s="37">
        <f t="shared" si="11"/>
        <v>228.9</v>
      </c>
      <c r="D108" s="37">
        <f t="shared" si="11"/>
        <v>218.7</v>
      </c>
      <c r="E108" s="37">
        <f t="shared" si="7"/>
        <v>-10.2</v>
      </c>
      <c r="F108" s="8">
        <v>227.7</v>
      </c>
      <c r="G108" s="8">
        <v>217.5</v>
      </c>
      <c r="H108" s="37">
        <f t="shared" si="8"/>
        <v>-10.2</v>
      </c>
      <c r="I108" s="8">
        <v>0</v>
      </c>
      <c r="J108" s="8"/>
      <c r="K108" s="37">
        <f t="shared" si="9"/>
        <v>0</v>
      </c>
      <c r="L108" s="8">
        <v>1.2</v>
      </c>
      <c r="M108" s="8">
        <v>1.2</v>
      </c>
      <c r="N108" s="37">
        <f t="shared" si="10"/>
        <v>0</v>
      </c>
    </row>
    <row r="109" spans="1:14" ht="15" customHeight="1">
      <c r="A109" s="40">
        <v>98</v>
      </c>
      <c r="B109" s="6" t="s">
        <v>222</v>
      </c>
      <c r="C109" s="37">
        <f t="shared" si="11"/>
        <v>292.8</v>
      </c>
      <c r="D109" s="37">
        <f t="shared" si="11"/>
        <v>254.5</v>
      </c>
      <c r="E109" s="37">
        <f t="shared" si="7"/>
        <v>-38.3</v>
      </c>
      <c r="F109" s="8">
        <v>290.8</v>
      </c>
      <c r="G109" s="8">
        <v>252.5</v>
      </c>
      <c r="H109" s="37">
        <f t="shared" si="8"/>
        <v>-38.3</v>
      </c>
      <c r="I109" s="8">
        <v>0</v>
      </c>
      <c r="J109" s="8"/>
      <c r="K109" s="37">
        <f t="shared" si="9"/>
        <v>0</v>
      </c>
      <c r="L109" s="8">
        <v>2</v>
      </c>
      <c r="M109" s="8">
        <v>2</v>
      </c>
      <c r="N109" s="37">
        <f t="shared" si="10"/>
        <v>0</v>
      </c>
    </row>
    <row r="110" spans="1:14" ht="15" customHeight="1">
      <c r="A110" s="40">
        <v>99</v>
      </c>
      <c r="B110" s="6" t="s">
        <v>223</v>
      </c>
      <c r="C110" s="37">
        <f t="shared" si="11"/>
        <v>287.3</v>
      </c>
      <c r="D110" s="37">
        <f t="shared" si="11"/>
        <v>245</v>
      </c>
      <c r="E110" s="37">
        <f t="shared" si="7"/>
        <v>-42.3</v>
      </c>
      <c r="F110" s="8">
        <v>286.1</v>
      </c>
      <c r="G110" s="8">
        <v>244.4</v>
      </c>
      <c r="H110" s="37">
        <f t="shared" si="8"/>
        <v>-41.7</v>
      </c>
      <c r="I110" s="8">
        <v>0</v>
      </c>
      <c r="J110" s="8"/>
      <c r="K110" s="37">
        <f t="shared" si="9"/>
        <v>0</v>
      </c>
      <c r="L110" s="8">
        <v>1.2</v>
      </c>
      <c r="M110" s="8">
        <f>0.7-0.1</f>
        <v>0.6</v>
      </c>
      <c r="N110" s="37">
        <f t="shared" si="10"/>
        <v>-0.6</v>
      </c>
    </row>
    <row r="111" spans="1:14" ht="15" customHeight="1">
      <c r="A111" s="40">
        <v>100</v>
      </c>
      <c r="B111" s="6" t="s">
        <v>229</v>
      </c>
      <c r="C111" s="37">
        <f t="shared" si="11"/>
        <v>228.5</v>
      </c>
      <c r="D111" s="37">
        <f t="shared" si="11"/>
        <v>219.1</v>
      </c>
      <c r="E111" s="37">
        <f t="shared" si="7"/>
        <v>-9.4</v>
      </c>
      <c r="F111" s="8">
        <v>225</v>
      </c>
      <c r="G111" s="8">
        <v>215.8</v>
      </c>
      <c r="H111" s="37">
        <f t="shared" si="8"/>
        <v>-9.2</v>
      </c>
      <c r="I111" s="8">
        <v>2.6</v>
      </c>
      <c r="J111" s="8">
        <v>2.8</v>
      </c>
      <c r="K111" s="37">
        <f t="shared" si="9"/>
        <v>0.2</v>
      </c>
      <c r="L111" s="8">
        <v>0.9</v>
      </c>
      <c r="M111" s="8">
        <v>0.5</v>
      </c>
      <c r="N111" s="37">
        <f t="shared" si="10"/>
        <v>-0.4</v>
      </c>
    </row>
    <row r="112" spans="1:14" ht="33" customHeight="1">
      <c r="A112" s="40">
        <v>101</v>
      </c>
      <c r="B112" s="6" t="s">
        <v>231</v>
      </c>
      <c r="C112" s="37">
        <f t="shared" si="11"/>
        <v>276.7</v>
      </c>
      <c r="D112" s="37">
        <f t="shared" si="11"/>
        <v>278</v>
      </c>
      <c r="E112" s="37">
        <f t="shared" si="7"/>
        <v>1.3</v>
      </c>
      <c r="F112" s="8">
        <v>275</v>
      </c>
      <c r="G112" s="8">
        <v>276.3</v>
      </c>
      <c r="H112" s="37">
        <f t="shared" si="8"/>
        <v>1.3</v>
      </c>
      <c r="I112" s="8">
        <v>1.7</v>
      </c>
      <c r="J112" s="8">
        <v>1.7</v>
      </c>
      <c r="K112" s="37">
        <f t="shared" si="9"/>
        <v>0</v>
      </c>
      <c r="L112" s="8">
        <v>0</v>
      </c>
      <c r="M112" s="8"/>
      <c r="N112" s="37">
        <f t="shared" si="10"/>
        <v>0</v>
      </c>
    </row>
    <row r="113" spans="1:14" ht="15" customHeight="1">
      <c r="A113" s="40">
        <v>102</v>
      </c>
      <c r="B113" s="6" t="s">
        <v>230</v>
      </c>
      <c r="C113" s="37">
        <f t="shared" si="11"/>
        <v>75</v>
      </c>
      <c r="D113" s="37">
        <f t="shared" si="11"/>
        <v>78</v>
      </c>
      <c r="E113" s="37">
        <f t="shared" si="7"/>
        <v>3</v>
      </c>
      <c r="F113" s="8">
        <v>70</v>
      </c>
      <c r="G113" s="8">
        <v>72</v>
      </c>
      <c r="H113" s="37">
        <f t="shared" si="8"/>
        <v>2</v>
      </c>
      <c r="I113" s="8">
        <v>0</v>
      </c>
      <c r="J113" s="8"/>
      <c r="K113" s="37">
        <f t="shared" si="9"/>
        <v>0</v>
      </c>
      <c r="L113" s="8">
        <v>5</v>
      </c>
      <c r="M113" s="8">
        <v>6</v>
      </c>
      <c r="N113" s="37">
        <f t="shared" si="10"/>
        <v>1</v>
      </c>
    </row>
    <row r="114" spans="1:14" ht="15" customHeight="1">
      <c r="A114" s="40">
        <v>103</v>
      </c>
      <c r="B114" s="6" t="s">
        <v>232</v>
      </c>
      <c r="C114" s="37">
        <f t="shared" si="11"/>
        <v>160</v>
      </c>
      <c r="D114" s="37">
        <f t="shared" si="11"/>
        <v>174.6</v>
      </c>
      <c r="E114" s="37">
        <f t="shared" si="7"/>
        <v>14.6</v>
      </c>
      <c r="F114" s="8">
        <v>160</v>
      </c>
      <c r="G114" s="8">
        <v>174.6</v>
      </c>
      <c r="H114" s="37">
        <f t="shared" si="8"/>
        <v>14.6</v>
      </c>
      <c r="I114" s="8">
        <v>0</v>
      </c>
      <c r="J114" s="8"/>
      <c r="K114" s="37">
        <f t="shared" si="9"/>
        <v>0</v>
      </c>
      <c r="L114" s="8">
        <v>0</v>
      </c>
      <c r="M114" s="8"/>
      <c r="N114" s="37">
        <f t="shared" si="10"/>
        <v>0</v>
      </c>
    </row>
    <row r="115" spans="1:14" ht="15" customHeight="1">
      <c r="A115" s="40">
        <v>104</v>
      </c>
      <c r="B115" s="6" t="s">
        <v>235</v>
      </c>
      <c r="C115" s="37">
        <f t="shared" si="11"/>
        <v>116.5</v>
      </c>
      <c r="D115" s="37">
        <f t="shared" si="11"/>
        <v>143.1</v>
      </c>
      <c r="E115" s="37">
        <f t="shared" si="7"/>
        <v>26.6</v>
      </c>
      <c r="F115" s="8">
        <v>115</v>
      </c>
      <c r="G115" s="8">
        <v>141.6</v>
      </c>
      <c r="H115" s="37">
        <f t="shared" si="8"/>
        <v>26.6</v>
      </c>
      <c r="I115" s="8">
        <v>0</v>
      </c>
      <c r="J115" s="8"/>
      <c r="K115" s="37">
        <f t="shared" si="9"/>
        <v>0</v>
      </c>
      <c r="L115" s="8">
        <v>1.5</v>
      </c>
      <c r="M115" s="8">
        <v>1.5</v>
      </c>
      <c r="N115" s="37">
        <f t="shared" si="10"/>
        <v>0</v>
      </c>
    </row>
    <row r="116" spans="1:14" ht="15.75">
      <c r="A116" s="40">
        <v>105</v>
      </c>
      <c r="B116" s="6" t="s">
        <v>237</v>
      </c>
      <c r="C116" s="37">
        <f t="shared" si="11"/>
        <v>109.4</v>
      </c>
      <c r="D116" s="37">
        <f t="shared" si="11"/>
        <v>109.7</v>
      </c>
      <c r="E116" s="37">
        <f t="shared" si="7"/>
        <v>0.3</v>
      </c>
      <c r="F116" s="8">
        <v>103.3</v>
      </c>
      <c r="G116" s="8">
        <v>108.1</v>
      </c>
      <c r="H116" s="37">
        <f t="shared" si="8"/>
        <v>4.8</v>
      </c>
      <c r="I116" s="8">
        <v>0</v>
      </c>
      <c r="J116" s="8"/>
      <c r="K116" s="37">
        <f t="shared" si="9"/>
        <v>0</v>
      </c>
      <c r="L116" s="8">
        <v>6.1</v>
      </c>
      <c r="M116" s="8">
        <v>1.6</v>
      </c>
      <c r="N116" s="37">
        <f t="shared" si="10"/>
        <v>-4.5</v>
      </c>
    </row>
    <row r="117" spans="1:14" ht="15" customHeight="1">
      <c r="A117" s="40">
        <v>106</v>
      </c>
      <c r="B117" s="6" t="s">
        <v>233</v>
      </c>
      <c r="C117" s="37">
        <f t="shared" si="11"/>
        <v>114.4</v>
      </c>
      <c r="D117" s="37">
        <f t="shared" si="11"/>
        <v>111.3</v>
      </c>
      <c r="E117" s="37">
        <f t="shared" si="7"/>
        <v>-3.1</v>
      </c>
      <c r="F117" s="8">
        <v>112.2</v>
      </c>
      <c r="G117" s="8">
        <v>109.1</v>
      </c>
      <c r="H117" s="37">
        <f t="shared" si="8"/>
        <v>-3.1</v>
      </c>
      <c r="I117" s="8">
        <v>0</v>
      </c>
      <c r="J117" s="8"/>
      <c r="K117" s="37">
        <f t="shared" si="9"/>
        <v>0</v>
      </c>
      <c r="L117" s="8">
        <v>2.2</v>
      </c>
      <c r="M117" s="8">
        <v>2.2</v>
      </c>
      <c r="N117" s="37">
        <f t="shared" si="10"/>
        <v>0</v>
      </c>
    </row>
    <row r="118" spans="1:14" s="11" customFormat="1" ht="31.5" customHeight="1">
      <c r="A118" s="40">
        <v>107</v>
      </c>
      <c r="B118" s="6" t="s">
        <v>234</v>
      </c>
      <c r="C118" s="37">
        <f t="shared" si="11"/>
        <v>230</v>
      </c>
      <c r="D118" s="37">
        <f t="shared" si="11"/>
        <v>221.9</v>
      </c>
      <c r="E118" s="37">
        <f t="shared" si="7"/>
        <v>-8.1</v>
      </c>
      <c r="F118" s="8">
        <v>0</v>
      </c>
      <c r="G118" s="8"/>
      <c r="H118" s="37">
        <f t="shared" si="8"/>
        <v>0</v>
      </c>
      <c r="I118" s="8">
        <v>230</v>
      </c>
      <c r="J118" s="8">
        <v>221.9</v>
      </c>
      <c r="K118" s="37">
        <f t="shared" si="9"/>
        <v>-8.1</v>
      </c>
      <c r="L118" s="8">
        <v>0</v>
      </c>
      <c r="M118" s="8"/>
      <c r="N118" s="37">
        <f t="shared" si="10"/>
        <v>0</v>
      </c>
    </row>
    <row r="119" spans="1:14" ht="15" customHeight="1">
      <c r="A119" s="40">
        <v>108</v>
      </c>
      <c r="B119" s="6" t="s">
        <v>236</v>
      </c>
      <c r="C119" s="37">
        <f t="shared" si="11"/>
        <v>1</v>
      </c>
      <c r="D119" s="37">
        <f t="shared" si="11"/>
        <v>2</v>
      </c>
      <c r="E119" s="37">
        <f t="shared" si="7"/>
        <v>1</v>
      </c>
      <c r="F119" s="8">
        <v>0</v>
      </c>
      <c r="G119" s="8"/>
      <c r="H119" s="37">
        <f t="shared" si="8"/>
        <v>0</v>
      </c>
      <c r="I119" s="8">
        <v>1</v>
      </c>
      <c r="J119" s="8">
        <f>3.9-1.9</f>
        <v>2</v>
      </c>
      <c r="K119" s="37">
        <f t="shared" si="9"/>
        <v>1</v>
      </c>
      <c r="L119" s="8">
        <v>0</v>
      </c>
      <c r="M119" s="8"/>
      <c r="N119" s="37">
        <f t="shared" si="10"/>
        <v>0</v>
      </c>
    </row>
    <row r="120" spans="1:14" ht="15.75">
      <c r="A120" s="40">
        <v>109</v>
      </c>
      <c r="B120" s="6" t="s">
        <v>395</v>
      </c>
      <c r="C120" s="37">
        <f t="shared" si="11"/>
        <v>18.2</v>
      </c>
      <c r="D120" s="37">
        <f t="shared" si="11"/>
        <v>18.4</v>
      </c>
      <c r="E120" s="37">
        <f t="shared" si="7"/>
        <v>0.2</v>
      </c>
      <c r="F120" s="8">
        <v>0</v>
      </c>
      <c r="G120" s="8"/>
      <c r="H120" s="37">
        <f t="shared" si="8"/>
        <v>0</v>
      </c>
      <c r="I120" s="8">
        <v>0</v>
      </c>
      <c r="J120" s="8"/>
      <c r="K120" s="37">
        <f t="shared" si="9"/>
        <v>0</v>
      </c>
      <c r="L120" s="8">
        <v>18.2</v>
      </c>
      <c r="M120" s="8">
        <v>18.4</v>
      </c>
      <c r="N120" s="37">
        <f t="shared" si="10"/>
        <v>0.2</v>
      </c>
    </row>
    <row r="121" spans="1:14" ht="15.75">
      <c r="A121" s="40">
        <v>110</v>
      </c>
      <c r="B121" s="6" t="s">
        <v>396</v>
      </c>
      <c r="C121" s="37">
        <f t="shared" si="11"/>
        <v>4.1</v>
      </c>
      <c r="D121" s="37">
        <f t="shared" si="11"/>
        <v>4.6</v>
      </c>
      <c r="E121" s="37">
        <f t="shared" si="7"/>
        <v>0.5</v>
      </c>
      <c r="F121" s="88"/>
      <c r="G121" s="8"/>
      <c r="H121" s="37">
        <f t="shared" si="8"/>
        <v>0</v>
      </c>
      <c r="I121" s="88"/>
      <c r="J121" s="8"/>
      <c r="K121" s="37">
        <f t="shared" si="9"/>
        <v>0</v>
      </c>
      <c r="L121" s="8">
        <v>4.1</v>
      </c>
      <c r="M121" s="8">
        <v>4.6</v>
      </c>
      <c r="N121" s="37">
        <f t="shared" si="10"/>
        <v>0.5</v>
      </c>
    </row>
    <row r="122" spans="1:14" ht="15" customHeight="1">
      <c r="A122" s="40">
        <v>111</v>
      </c>
      <c r="B122" s="12" t="s">
        <v>12</v>
      </c>
      <c r="C122" s="36">
        <f aca="true" t="shared" si="12" ref="C122:N122">SUM(C123:C130)</f>
        <v>1683.1</v>
      </c>
      <c r="D122" s="36">
        <f t="shared" si="12"/>
        <v>1644</v>
      </c>
      <c r="E122" s="36">
        <f t="shared" si="12"/>
        <v>-39.1</v>
      </c>
      <c r="F122" s="36">
        <f t="shared" si="12"/>
        <v>1358.3</v>
      </c>
      <c r="G122" s="36">
        <f t="shared" si="12"/>
        <v>1301.2</v>
      </c>
      <c r="H122" s="36">
        <f t="shared" si="12"/>
        <v>-57.1</v>
      </c>
      <c r="I122" s="36">
        <f t="shared" si="12"/>
        <v>324.8</v>
      </c>
      <c r="J122" s="36">
        <f t="shared" si="12"/>
        <v>342.8</v>
      </c>
      <c r="K122" s="36">
        <f t="shared" si="12"/>
        <v>18</v>
      </c>
      <c r="L122" s="36">
        <f t="shared" si="12"/>
        <v>0</v>
      </c>
      <c r="M122" s="36">
        <f t="shared" si="12"/>
        <v>0</v>
      </c>
      <c r="N122" s="36">
        <f t="shared" si="12"/>
        <v>0</v>
      </c>
    </row>
    <row r="123" spans="1:14" ht="31.5">
      <c r="A123" s="40">
        <v>112</v>
      </c>
      <c r="B123" s="35" t="s">
        <v>243</v>
      </c>
      <c r="C123" s="37">
        <f aca="true" t="shared" si="13" ref="C123:D130">F123+I123+L123</f>
        <v>148.9</v>
      </c>
      <c r="D123" s="37">
        <f t="shared" si="13"/>
        <v>151</v>
      </c>
      <c r="E123" s="37">
        <f t="shared" si="7"/>
        <v>2.1</v>
      </c>
      <c r="F123" s="8">
        <v>0</v>
      </c>
      <c r="G123" s="8"/>
      <c r="H123" s="37">
        <f t="shared" si="8"/>
        <v>0</v>
      </c>
      <c r="I123" s="8">
        <v>148.9</v>
      </c>
      <c r="J123" s="8">
        <v>151</v>
      </c>
      <c r="K123" s="37">
        <f t="shared" si="9"/>
        <v>2.1</v>
      </c>
      <c r="L123" s="8"/>
      <c r="M123" s="8"/>
      <c r="N123" s="37">
        <f t="shared" si="10"/>
        <v>0</v>
      </c>
    </row>
    <row r="124" spans="1:14" ht="15" customHeight="1">
      <c r="A124" s="40">
        <v>113</v>
      </c>
      <c r="B124" s="35" t="s">
        <v>238</v>
      </c>
      <c r="C124" s="37">
        <f t="shared" si="13"/>
        <v>912.1</v>
      </c>
      <c r="D124" s="37">
        <f t="shared" si="13"/>
        <v>887</v>
      </c>
      <c r="E124" s="37">
        <f t="shared" si="7"/>
        <v>-25.1</v>
      </c>
      <c r="F124" s="8">
        <v>903</v>
      </c>
      <c r="G124" s="8">
        <v>880.3</v>
      </c>
      <c r="H124" s="37">
        <f t="shared" si="8"/>
        <v>-22.7</v>
      </c>
      <c r="I124" s="8">
        <v>9.1</v>
      </c>
      <c r="J124" s="8">
        <v>6.7</v>
      </c>
      <c r="K124" s="37">
        <f t="shared" si="9"/>
        <v>-2.4</v>
      </c>
      <c r="L124" s="8"/>
      <c r="M124" s="8"/>
      <c r="N124" s="37">
        <f t="shared" si="10"/>
        <v>0</v>
      </c>
    </row>
    <row r="125" spans="1:14" ht="15" customHeight="1">
      <c r="A125" s="40">
        <v>114</v>
      </c>
      <c r="B125" s="35" t="s">
        <v>6</v>
      </c>
      <c r="C125" s="37">
        <f t="shared" si="13"/>
        <v>146.8</v>
      </c>
      <c r="D125" s="37">
        <f t="shared" si="13"/>
        <v>153.5</v>
      </c>
      <c r="E125" s="37">
        <f t="shared" si="7"/>
        <v>6.7</v>
      </c>
      <c r="F125" s="8">
        <v>100</v>
      </c>
      <c r="G125" s="8">
        <v>105.4</v>
      </c>
      <c r="H125" s="37">
        <f t="shared" si="8"/>
        <v>5.4</v>
      </c>
      <c r="I125" s="8">
        <v>46.8</v>
      </c>
      <c r="J125" s="8">
        <v>48.1</v>
      </c>
      <c r="K125" s="37">
        <f t="shared" si="9"/>
        <v>1.3</v>
      </c>
      <c r="L125" s="8"/>
      <c r="M125" s="8"/>
      <c r="N125" s="37">
        <f t="shared" si="10"/>
        <v>0</v>
      </c>
    </row>
    <row r="126" spans="1:14" ht="15" customHeight="1">
      <c r="A126" s="40">
        <v>115</v>
      </c>
      <c r="B126" s="35" t="s">
        <v>239</v>
      </c>
      <c r="C126" s="37">
        <f t="shared" si="13"/>
        <v>34</v>
      </c>
      <c r="D126" s="37">
        <f t="shared" si="13"/>
        <v>25.4</v>
      </c>
      <c r="E126" s="37">
        <f t="shared" si="7"/>
        <v>-8.6</v>
      </c>
      <c r="F126" s="8">
        <v>34</v>
      </c>
      <c r="G126" s="8">
        <v>25.4</v>
      </c>
      <c r="H126" s="37">
        <f t="shared" si="8"/>
        <v>-8.6</v>
      </c>
      <c r="I126" s="8">
        <v>0</v>
      </c>
      <c r="J126" s="8"/>
      <c r="K126" s="37">
        <f t="shared" si="9"/>
        <v>0</v>
      </c>
      <c r="L126" s="8"/>
      <c r="M126" s="8"/>
      <c r="N126" s="37">
        <f t="shared" si="10"/>
        <v>0</v>
      </c>
    </row>
    <row r="127" spans="1:14" ht="15" customHeight="1">
      <c r="A127" s="40">
        <v>116</v>
      </c>
      <c r="B127" s="35" t="s">
        <v>397</v>
      </c>
      <c r="C127" s="37">
        <f t="shared" si="13"/>
        <v>9.3</v>
      </c>
      <c r="D127" s="37">
        <f t="shared" si="13"/>
        <v>9.3</v>
      </c>
      <c r="E127" s="37">
        <f t="shared" si="7"/>
        <v>0</v>
      </c>
      <c r="F127" s="8">
        <v>9.3</v>
      </c>
      <c r="G127" s="8">
        <v>9.3</v>
      </c>
      <c r="H127" s="37">
        <f t="shared" si="8"/>
        <v>0</v>
      </c>
      <c r="I127" s="8">
        <v>0</v>
      </c>
      <c r="J127" s="8"/>
      <c r="K127" s="37">
        <f t="shared" si="9"/>
        <v>0</v>
      </c>
      <c r="L127" s="8"/>
      <c r="M127" s="8"/>
      <c r="N127" s="37">
        <f t="shared" si="10"/>
        <v>0</v>
      </c>
    </row>
    <row r="128" spans="1:14" ht="15.75">
      <c r="A128" s="40">
        <v>117</v>
      </c>
      <c r="B128" s="6" t="s">
        <v>240</v>
      </c>
      <c r="C128" s="37">
        <f t="shared" si="13"/>
        <v>22</v>
      </c>
      <c r="D128" s="37">
        <f t="shared" si="13"/>
        <v>22.4</v>
      </c>
      <c r="E128" s="37">
        <f t="shared" si="7"/>
        <v>0.4</v>
      </c>
      <c r="F128" s="8">
        <v>22</v>
      </c>
      <c r="G128" s="8">
        <v>22.4</v>
      </c>
      <c r="H128" s="37">
        <f t="shared" si="8"/>
        <v>0.4</v>
      </c>
      <c r="I128" s="8">
        <v>0</v>
      </c>
      <c r="J128" s="8"/>
      <c r="K128" s="37">
        <f t="shared" si="9"/>
        <v>0</v>
      </c>
      <c r="L128" s="8"/>
      <c r="M128" s="8"/>
      <c r="N128" s="37">
        <f t="shared" si="10"/>
        <v>0</v>
      </c>
    </row>
    <row r="129" spans="1:14" ht="15.75">
      <c r="A129" s="40">
        <v>118</v>
      </c>
      <c r="B129" s="6" t="s">
        <v>241</v>
      </c>
      <c r="C129" s="37">
        <f t="shared" si="13"/>
        <v>290</v>
      </c>
      <c r="D129" s="37">
        <f t="shared" si="13"/>
        <v>258.4</v>
      </c>
      <c r="E129" s="37">
        <f t="shared" si="7"/>
        <v>-31.6</v>
      </c>
      <c r="F129" s="8">
        <v>290</v>
      </c>
      <c r="G129" s="8">
        <v>258.4</v>
      </c>
      <c r="H129" s="37">
        <f t="shared" si="8"/>
        <v>-31.6</v>
      </c>
      <c r="I129" s="8">
        <v>0</v>
      </c>
      <c r="J129" s="8"/>
      <c r="K129" s="37">
        <f t="shared" si="9"/>
        <v>0</v>
      </c>
      <c r="L129" s="8"/>
      <c r="M129" s="8"/>
      <c r="N129" s="37">
        <f t="shared" si="10"/>
        <v>0</v>
      </c>
    </row>
    <row r="130" spans="1:14" ht="15.75">
      <c r="A130" s="40">
        <v>119</v>
      </c>
      <c r="B130" s="6" t="s">
        <v>242</v>
      </c>
      <c r="C130" s="37">
        <f t="shared" si="13"/>
        <v>120</v>
      </c>
      <c r="D130" s="37">
        <f t="shared" si="13"/>
        <v>137</v>
      </c>
      <c r="E130" s="37">
        <f t="shared" si="7"/>
        <v>17</v>
      </c>
      <c r="F130" s="8">
        <v>0</v>
      </c>
      <c r="G130" s="8"/>
      <c r="H130" s="37">
        <f t="shared" si="8"/>
        <v>0</v>
      </c>
      <c r="I130" s="8">
        <v>120</v>
      </c>
      <c r="J130" s="8">
        <v>137</v>
      </c>
      <c r="K130" s="37">
        <f t="shared" si="9"/>
        <v>17</v>
      </c>
      <c r="L130" s="8"/>
      <c r="M130" s="8"/>
      <c r="N130" s="37">
        <f t="shared" si="10"/>
        <v>0</v>
      </c>
    </row>
    <row r="131" spans="1:14" ht="15.75">
      <c r="A131" s="40">
        <v>120</v>
      </c>
      <c r="B131" s="16" t="s">
        <v>9</v>
      </c>
      <c r="C131" s="29">
        <f>+C12+C13+C16+C122</f>
        <v>20110.8</v>
      </c>
      <c r="D131" s="29">
        <f aca="true" t="shared" si="14" ref="D131:N131">+D12+D13+D16+D122</f>
        <v>18376.7</v>
      </c>
      <c r="E131" s="29">
        <f t="shared" si="14"/>
        <v>-1734.1</v>
      </c>
      <c r="F131" s="29">
        <f t="shared" si="14"/>
        <v>14706.4</v>
      </c>
      <c r="G131" s="29">
        <f t="shared" si="14"/>
        <v>13406.5</v>
      </c>
      <c r="H131" s="29">
        <f t="shared" si="14"/>
        <v>-1299.9</v>
      </c>
      <c r="I131" s="29">
        <f t="shared" si="14"/>
        <v>4896.9</v>
      </c>
      <c r="J131" s="29">
        <f t="shared" si="14"/>
        <v>4529.2</v>
      </c>
      <c r="K131" s="29">
        <f t="shared" si="14"/>
        <v>-367.7</v>
      </c>
      <c r="L131" s="29">
        <f t="shared" si="14"/>
        <v>507.5</v>
      </c>
      <c r="M131" s="29">
        <f t="shared" si="14"/>
        <v>441</v>
      </c>
      <c r="N131" s="29">
        <f t="shared" si="14"/>
        <v>-66.5</v>
      </c>
    </row>
    <row r="132" spans="1:14" ht="15.75">
      <c r="A132" s="95"/>
      <c r="B132" s="96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</row>
    <row r="133" spans="1:14" ht="15.75">
      <c r="A133" s="95"/>
      <c r="B133" s="98"/>
      <c r="C133" s="99"/>
      <c r="D133" s="99"/>
      <c r="E133" s="99"/>
      <c r="F133" s="99"/>
      <c r="G133" s="99"/>
      <c r="H133" s="97"/>
      <c r="I133" s="97"/>
      <c r="J133" s="97"/>
      <c r="K133" s="97"/>
      <c r="L133" s="97"/>
      <c r="M133" s="97"/>
      <c r="N133" s="97"/>
    </row>
    <row r="134" ht="15.75">
      <c r="B134" s="38"/>
    </row>
  </sheetData>
  <sheetProtection/>
  <mergeCells count="9">
    <mergeCell ref="A8:A10"/>
    <mergeCell ref="B8:B10"/>
    <mergeCell ref="B5:M5"/>
    <mergeCell ref="F8:N8"/>
    <mergeCell ref="F9:H9"/>
    <mergeCell ref="I9:K9"/>
    <mergeCell ref="L9:N9"/>
    <mergeCell ref="C8:E9"/>
    <mergeCell ref="M7:N7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7">
      <selection activeCell="I15" sqref="I15"/>
    </sheetView>
  </sheetViews>
  <sheetFormatPr defaultColWidth="9.140625" defaultRowHeight="12.75"/>
  <cols>
    <col min="1" max="1" width="4.28125" style="77" customWidth="1"/>
    <col min="2" max="2" width="56.421875" style="77" customWidth="1"/>
    <col min="3" max="3" width="11.421875" style="77" customWidth="1"/>
    <col min="4" max="4" width="10.57421875" style="85" customWidth="1"/>
    <col min="5" max="5" width="10.57421875" style="77" customWidth="1"/>
    <col min="6" max="7" width="9.140625" style="77" customWidth="1"/>
    <col min="8" max="8" width="10.7109375" style="77" bestFit="1" customWidth="1"/>
    <col min="9" max="16384" width="9.140625" style="77" customWidth="1"/>
  </cols>
  <sheetData>
    <row r="1" spans="1:256" ht="15.75">
      <c r="A1" s="61"/>
      <c r="B1" s="62"/>
      <c r="C1" s="62" t="s">
        <v>359</v>
      </c>
      <c r="D1" s="63"/>
      <c r="E1" s="62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</row>
    <row r="2" spans="1:256" ht="15.75">
      <c r="A2" s="61"/>
      <c r="B2" s="62"/>
      <c r="C2" s="62" t="s">
        <v>360</v>
      </c>
      <c r="D2" s="63"/>
      <c r="E2" s="62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</row>
    <row r="3" spans="1:256" ht="15.75">
      <c r="A3" s="61"/>
      <c r="B3" s="62"/>
      <c r="C3" s="62" t="s">
        <v>361</v>
      </c>
      <c r="D3" s="63"/>
      <c r="E3" s="62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</row>
    <row r="4" spans="1:256" ht="15.75">
      <c r="A4" s="61"/>
      <c r="B4" s="62"/>
      <c r="C4" s="62" t="s">
        <v>362</v>
      </c>
      <c r="D4" s="63"/>
      <c r="E4" s="62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</row>
    <row r="5" spans="1:256" ht="15.75">
      <c r="A5" s="61"/>
      <c r="B5" s="62"/>
      <c r="C5" s="62"/>
      <c r="D5" s="63"/>
      <c r="E5" s="62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1:256" ht="39.75" customHeight="1">
      <c r="A6" s="61"/>
      <c r="B6" s="105" t="s">
        <v>363</v>
      </c>
      <c r="C6" s="105"/>
      <c r="D6" s="105"/>
      <c r="E6" s="105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</row>
    <row r="7" spans="1:256" ht="14.25" customHeight="1">
      <c r="A7" s="61"/>
      <c r="B7" s="91"/>
      <c r="C7" s="91"/>
      <c r="D7" s="91"/>
      <c r="E7" s="9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spans="1:256" ht="15.75">
      <c r="A8" s="61"/>
      <c r="B8" s="64"/>
      <c r="C8" s="64"/>
      <c r="D8" s="65"/>
      <c r="E8" s="66" t="s">
        <v>364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spans="1:256" ht="47.25">
      <c r="A9" s="67" t="s">
        <v>365</v>
      </c>
      <c r="B9" s="67" t="s">
        <v>366</v>
      </c>
      <c r="C9" s="67" t="s">
        <v>335</v>
      </c>
      <c r="D9" s="68" t="s">
        <v>346</v>
      </c>
      <c r="E9" s="67" t="s">
        <v>367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pans="1:256" ht="15.75">
      <c r="A10" s="67">
        <v>1</v>
      </c>
      <c r="B10" s="67">
        <v>2</v>
      </c>
      <c r="C10" s="69">
        <v>3</v>
      </c>
      <c r="D10" s="69">
        <v>4</v>
      </c>
      <c r="E10" s="67">
        <v>5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ht="63">
      <c r="A11" s="70">
        <v>1</v>
      </c>
      <c r="B11" s="71" t="s">
        <v>387</v>
      </c>
      <c r="C11" s="69"/>
      <c r="D11" s="72">
        <f>+'[1]2012 D stambiai'!F9</f>
        <v>39209.92</v>
      </c>
      <c r="E11" s="67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ht="78.75">
      <c r="A12" s="70">
        <v>2</v>
      </c>
      <c r="B12" s="71" t="s">
        <v>368</v>
      </c>
      <c r="C12" s="69"/>
      <c r="D12" s="72">
        <f>+'[1]2012 D stambiai'!F10</f>
        <v>50000</v>
      </c>
      <c r="E12" s="67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ht="94.5">
      <c r="A13" s="70">
        <v>3</v>
      </c>
      <c r="B13" s="71" t="s">
        <v>369</v>
      </c>
      <c r="C13" s="69"/>
      <c r="D13" s="72">
        <f>+'[1]2012 D stambiai'!F11</f>
        <v>50170.82</v>
      </c>
      <c r="E13" s="67"/>
      <c r="F13" s="66"/>
      <c r="G13" s="66"/>
      <c r="H13" s="73"/>
      <c r="I13" s="73"/>
      <c r="J13" s="73"/>
      <c r="K13" s="73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ht="69" customHeight="1">
      <c r="A14" s="70">
        <v>4</v>
      </c>
      <c r="B14" s="71" t="s">
        <v>388</v>
      </c>
      <c r="C14" s="69"/>
      <c r="D14" s="72">
        <f>+'[1]2012 D stambiai'!F12</f>
        <v>641.3</v>
      </c>
      <c r="E14" s="67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ht="63">
      <c r="A15" s="70">
        <v>5</v>
      </c>
      <c r="B15" s="71" t="s">
        <v>370</v>
      </c>
      <c r="C15" s="69"/>
      <c r="D15" s="72">
        <f>+'[1]2012 D stambiai'!F13</f>
        <v>28977.33</v>
      </c>
      <c r="E15" s="67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ht="72" customHeight="1">
      <c r="A16" s="70">
        <v>6</v>
      </c>
      <c r="B16" s="71" t="s">
        <v>389</v>
      </c>
      <c r="C16" s="69"/>
      <c r="D16" s="72">
        <f>+'[1]2012 D stambiai'!F14</f>
        <v>133617.29</v>
      </c>
      <c r="E16" s="67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5" ht="15.75">
      <c r="A17" s="70">
        <v>7</v>
      </c>
      <c r="B17" s="74" t="s">
        <v>9</v>
      </c>
      <c r="C17" s="75">
        <v>359800</v>
      </c>
      <c r="D17" s="76">
        <f>+D11+D12+D13+D14+D15+D16</f>
        <v>302616.66</v>
      </c>
      <c r="E17" s="75">
        <f>C17-D17</f>
        <v>57183.34</v>
      </c>
    </row>
    <row r="18" spans="1:5" ht="15.75">
      <c r="A18" s="78"/>
      <c r="B18" s="79"/>
      <c r="C18" s="80"/>
      <c r="D18" s="81"/>
      <c r="E18" s="82"/>
    </row>
    <row r="19" spans="2:4" ht="15">
      <c r="B19" s="83"/>
      <c r="C19" s="83"/>
      <c r="D19" s="84"/>
    </row>
    <row r="21" ht="15.75">
      <c r="B21" s="60"/>
    </row>
    <row r="23" ht="15">
      <c r="D23" s="86"/>
    </row>
  </sheetData>
  <sheetProtection/>
  <mergeCells count="1">
    <mergeCell ref="B6:E6"/>
  </mergeCells>
  <printOptions/>
  <pageMargins left="0.7086614173228347" right="0.3937007874015748" top="0.7480314960629921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V.Jurksiene</dc:creator>
  <cp:keywords/>
  <dc:description/>
  <cp:lastModifiedBy>V.Palaimiene</cp:lastModifiedBy>
  <cp:lastPrinted>2013-05-28T08:57:51Z</cp:lastPrinted>
  <dcterms:created xsi:type="dcterms:W3CDTF">2010-11-16T09:42:48Z</dcterms:created>
  <dcterms:modified xsi:type="dcterms:W3CDTF">2013-06-03T07:26:17Z</dcterms:modified>
  <cp:category/>
  <cp:version/>
  <cp:contentType/>
  <cp:contentStatus/>
</cp:coreProperties>
</file>