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920"/>
  </bookViews>
  <sheets>
    <sheet name="SVP 2014-2016" sheetId="16" r:id="rId1"/>
    <sheet name="Aiškinamoji lentelė" sheetId="15" state="hidden" r:id="rId2"/>
    <sheet name="Asignavimų valdytojai" sheetId="11" state="hidden" r:id="rId3"/>
  </sheets>
  <definedNames>
    <definedName name="_xlnm.Print_Area" localSheetId="1">'Aiškinamoji lentelė'!$A$1:$AB$218</definedName>
    <definedName name="_xlnm.Print_Area" localSheetId="0">'SVP 2014-2016'!$A$1:$R$155</definedName>
    <definedName name="_xlnm.Print_Titles" localSheetId="1">'Aiškinamoji lentelė'!$5:$7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O215" i="15" l="1"/>
  <c r="S210" i="15" l="1"/>
  <c r="S215" i="15"/>
  <c r="J37" i="16" l="1"/>
  <c r="K37" i="16"/>
  <c r="M119" i="16" l="1"/>
  <c r="M120" i="16" s="1"/>
  <c r="M121" i="16" s="1"/>
  <c r="J117" i="16"/>
  <c r="I117" i="16" s="1"/>
  <c r="L92" i="16"/>
  <c r="N113" i="16"/>
  <c r="M113" i="16"/>
  <c r="L113" i="16"/>
  <c r="I113" i="16" s="1"/>
  <c r="I111" i="16"/>
  <c r="N110" i="16"/>
  <c r="M110" i="16"/>
  <c r="L110" i="16"/>
  <c r="I110" i="16" s="1"/>
  <c r="I108" i="16"/>
  <c r="M107" i="16"/>
  <c r="L107" i="16"/>
  <c r="L120" i="16" s="1"/>
  <c r="K107" i="16"/>
  <c r="K120" i="16" s="1"/>
  <c r="K121" i="16" s="1"/>
  <c r="J107" i="16"/>
  <c r="J120" i="16" s="1"/>
  <c r="I106" i="16"/>
  <c r="I105" i="16"/>
  <c r="I103" i="16"/>
  <c r="N100" i="16"/>
  <c r="N101" i="16" s="1"/>
  <c r="M100" i="16"/>
  <c r="M101" i="16" s="1"/>
  <c r="L100" i="16"/>
  <c r="L101" i="16" s="1"/>
  <c r="K100" i="16"/>
  <c r="J100" i="16"/>
  <c r="J101" i="16" s="1"/>
  <c r="I99" i="16"/>
  <c r="I98" i="16"/>
  <c r="I97" i="16"/>
  <c r="N96" i="16"/>
  <c r="M96" i="16"/>
  <c r="L96" i="16"/>
  <c r="K96" i="16"/>
  <c r="J96" i="16"/>
  <c r="I95" i="16"/>
  <c r="I94" i="16"/>
  <c r="I93" i="16"/>
  <c r="M92" i="16"/>
  <c r="K92" i="16"/>
  <c r="K101" i="16" s="1"/>
  <c r="J92" i="16"/>
  <c r="I91" i="16"/>
  <c r="I90" i="16"/>
  <c r="I89" i="16"/>
  <c r="S28" i="15"/>
  <c r="I25" i="16"/>
  <c r="J121" i="16" l="1"/>
  <c r="L121" i="16"/>
  <c r="I92" i="16"/>
  <c r="I96" i="16"/>
  <c r="I100" i="16"/>
  <c r="I101" i="16" s="1"/>
  <c r="I107" i="16"/>
  <c r="I120" i="16" s="1"/>
  <c r="I121" i="16" s="1"/>
  <c r="N147" i="16"/>
  <c r="M127" i="16"/>
  <c r="M153" i="16"/>
  <c r="M152" i="16"/>
  <c r="M151" i="16"/>
  <c r="M149" i="16"/>
  <c r="M148" i="16"/>
  <c r="M146" i="16"/>
  <c r="N146" i="16" l="1"/>
  <c r="M139" i="16" l="1"/>
  <c r="M135" i="16"/>
  <c r="M82" i="16"/>
  <c r="M65" i="16"/>
  <c r="N135" i="16"/>
  <c r="J135" i="16"/>
  <c r="I135" i="16" s="1"/>
  <c r="I129" i="16"/>
  <c r="I128" i="16"/>
  <c r="V164" i="15"/>
  <c r="I114" i="16"/>
  <c r="N119" i="16"/>
  <c r="N120" i="16" s="1"/>
  <c r="N121" i="16" s="1"/>
  <c r="M140" i="16" l="1"/>
  <c r="J65" i="16"/>
  <c r="I65" i="16" s="1"/>
  <c r="J56" i="16"/>
  <c r="K56" i="16"/>
  <c r="L56" i="16"/>
  <c r="N56" i="16"/>
  <c r="N65" i="16"/>
  <c r="I60" i="16"/>
  <c r="I59" i="16"/>
  <c r="M34" i="16"/>
  <c r="W94" i="15"/>
  <c r="W90" i="15"/>
  <c r="W86" i="15"/>
  <c r="W82" i="15"/>
  <c r="W77" i="15"/>
  <c r="W67" i="15"/>
  <c r="W57" i="15"/>
  <c r="W52" i="15"/>
  <c r="W42" i="15"/>
  <c r="I37" i="16"/>
  <c r="I36" i="16"/>
  <c r="I35" i="16"/>
  <c r="I34" i="16"/>
  <c r="I33" i="16"/>
  <c r="M147" i="16" l="1"/>
  <c r="M145" i="16" s="1"/>
  <c r="M56" i="16"/>
  <c r="I56" i="16"/>
  <c r="N153" i="16" l="1"/>
  <c r="N152" i="16"/>
  <c r="N151" i="16"/>
  <c r="N149" i="16"/>
  <c r="N139" i="16"/>
  <c r="L139" i="16"/>
  <c r="K139" i="16"/>
  <c r="K140" i="16" s="1"/>
  <c r="J139" i="16"/>
  <c r="I138" i="16"/>
  <c r="I139" i="16" s="1"/>
  <c r="J140" i="16"/>
  <c r="N127" i="16"/>
  <c r="L127" i="16"/>
  <c r="I126" i="16"/>
  <c r="I124" i="16"/>
  <c r="N85" i="16"/>
  <c r="M85" i="16"/>
  <c r="L85" i="16"/>
  <c r="K85" i="16"/>
  <c r="J85" i="16"/>
  <c r="I84" i="16"/>
  <c r="I83" i="16"/>
  <c r="N82" i="16"/>
  <c r="K80" i="16"/>
  <c r="K82" i="16" s="1"/>
  <c r="J80" i="16"/>
  <c r="J82" i="16" s="1"/>
  <c r="I80" i="16"/>
  <c r="N77" i="16"/>
  <c r="M77" i="16"/>
  <c r="L77" i="16"/>
  <c r="J77" i="16"/>
  <c r="I75" i="16"/>
  <c r="N74" i="16"/>
  <c r="M74" i="16"/>
  <c r="J74" i="16"/>
  <c r="I74" i="16" s="1"/>
  <c r="I73" i="16"/>
  <c r="I72" i="16"/>
  <c r="I71" i="16"/>
  <c r="N70" i="16"/>
  <c r="M70" i="16"/>
  <c r="L70" i="16"/>
  <c r="J70" i="16"/>
  <c r="I69" i="16"/>
  <c r="I68" i="16"/>
  <c r="N67" i="16"/>
  <c r="M67" i="16"/>
  <c r="J67" i="16"/>
  <c r="I67" i="16" s="1"/>
  <c r="I66" i="16"/>
  <c r="N58" i="16"/>
  <c r="M58" i="16"/>
  <c r="J58" i="16"/>
  <c r="I58" i="16" s="1"/>
  <c r="I57" i="16"/>
  <c r="N30" i="16"/>
  <c r="M30" i="16"/>
  <c r="K30" i="16"/>
  <c r="J30" i="16"/>
  <c r="I29" i="16"/>
  <c r="I30" i="16" s="1"/>
  <c r="N28" i="16"/>
  <c r="M28" i="16"/>
  <c r="K28" i="16"/>
  <c r="J28" i="16"/>
  <c r="I27" i="16"/>
  <c r="N26" i="16"/>
  <c r="M26" i="16"/>
  <c r="K26" i="16"/>
  <c r="J26" i="16"/>
  <c r="I26" i="16"/>
  <c r="N24" i="16"/>
  <c r="M24" i="16"/>
  <c r="K24" i="16"/>
  <c r="J24" i="16"/>
  <c r="I24" i="16" s="1"/>
  <c r="I23" i="16"/>
  <c r="N22" i="16"/>
  <c r="M22" i="16"/>
  <c r="L22" i="16"/>
  <c r="K22" i="16"/>
  <c r="J21" i="16"/>
  <c r="I21" i="16" s="1"/>
  <c r="N20" i="16"/>
  <c r="M20" i="16"/>
  <c r="L20" i="16"/>
  <c r="K20" i="16"/>
  <c r="J20" i="16"/>
  <c r="N18" i="16"/>
  <c r="M18" i="16"/>
  <c r="L18" i="16"/>
  <c r="K18" i="16"/>
  <c r="I17" i="16"/>
  <c r="N16" i="16"/>
  <c r="M16" i="16"/>
  <c r="I12" i="16"/>
  <c r="T195" i="15"/>
  <c r="S194" i="15"/>
  <c r="S185" i="15"/>
  <c r="S123" i="15"/>
  <c r="S122" i="15"/>
  <c r="S73" i="15"/>
  <c r="S68" i="15"/>
  <c r="S49" i="15"/>
  <c r="S26" i="15"/>
  <c r="S12" i="15"/>
  <c r="T81" i="15"/>
  <c r="S81" i="15" s="1"/>
  <c r="T75" i="15"/>
  <c r="S75" i="15" s="1"/>
  <c r="T70" i="15"/>
  <c r="S70" i="15" s="1"/>
  <c r="U21" i="15"/>
  <c r="T16" i="15"/>
  <c r="S16" i="15" s="1"/>
  <c r="X25" i="15"/>
  <c r="W25" i="15"/>
  <c r="V25" i="15"/>
  <c r="U25" i="15"/>
  <c r="T24" i="15"/>
  <c r="T25" i="15" s="1"/>
  <c r="S25" i="15" s="1"/>
  <c r="X23" i="15"/>
  <c r="W23" i="15"/>
  <c r="V23" i="15"/>
  <c r="S23" i="15" s="1"/>
  <c r="U23" i="15"/>
  <c r="T23" i="15"/>
  <c r="X21" i="15"/>
  <c r="W21" i="15"/>
  <c r="V21" i="15"/>
  <c r="S20" i="15"/>
  <c r="S19" i="15"/>
  <c r="S18" i="15"/>
  <c r="T17" i="15"/>
  <c r="T21" i="15" s="1"/>
  <c r="X16" i="15"/>
  <c r="W16" i="15"/>
  <c r="S15" i="15"/>
  <c r="S21" i="15" l="1"/>
  <c r="S17" i="15"/>
  <c r="M31" i="16"/>
  <c r="M86" i="16"/>
  <c r="L86" i="16"/>
  <c r="J86" i="16"/>
  <c r="N86" i="16"/>
  <c r="K86" i="16"/>
  <c r="M150" i="16"/>
  <c r="N140" i="16"/>
  <c r="I153" i="16"/>
  <c r="I85" i="16"/>
  <c r="I70" i="16"/>
  <c r="I77" i="16"/>
  <c r="L140" i="16"/>
  <c r="I20" i="16"/>
  <c r="N150" i="16"/>
  <c r="J16" i="16"/>
  <c r="I16" i="16" s="1"/>
  <c r="I151" i="16"/>
  <c r="J18" i="16"/>
  <c r="I18" i="16" s="1"/>
  <c r="J22" i="16"/>
  <c r="I22" i="16" s="1"/>
  <c r="I127" i="16"/>
  <c r="N31" i="16"/>
  <c r="I149" i="16"/>
  <c r="I148" i="16"/>
  <c r="I152" i="16"/>
  <c r="I146" i="16"/>
  <c r="I28" i="16"/>
  <c r="K31" i="16"/>
  <c r="N148" i="16"/>
  <c r="N145" i="16" s="1"/>
  <c r="I82" i="16"/>
  <c r="S24" i="15"/>
  <c r="T164" i="15"/>
  <c r="S164" i="15" s="1"/>
  <c r="U164" i="15"/>
  <c r="P164" i="15"/>
  <c r="Q164" i="15"/>
  <c r="M141" i="16" l="1"/>
  <c r="I86" i="16"/>
  <c r="N154" i="16"/>
  <c r="I140" i="16"/>
  <c r="L141" i="16"/>
  <c r="L142" i="16" s="1"/>
  <c r="I150" i="16"/>
  <c r="J31" i="16"/>
  <c r="I31" i="16" s="1"/>
  <c r="K141" i="16"/>
  <c r="K142" i="16" s="1"/>
  <c r="N141" i="16"/>
  <c r="N142" i="16" s="1"/>
  <c r="I147" i="16"/>
  <c r="I145" i="16" s="1"/>
  <c r="I154" i="16" s="1"/>
  <c r="M154" i="16"/>
  <c r="O173" i="15"/>
  <c r="M142" i="16" l="1"/>
  <c r="J141" i="16"/>
  <c r="X174" i="15"/>
  <c r="W174" i="15"/>
  <c r="V174" i="15"/>
  <c r="S174" i="15" s="1"/>
  <c r="R174" i="15"/>
  <c r="O174" i="15" s="1"/>
  <c r="S172" i="15"/>
  <c r="O172" i="15"/>
  <c r="J142" i="16" l="1"/>
  <c r="I142" i="16" s="1"/>
  <c r="I141" i="16"/>
  <c r="S198" i="15"/>
  <c r="T135" i="15" l="1"/>
  <c r="U135" i="15"/>
  <c r="V135" i="15"/>
  <c r="O135" i="15"/>
  <c r="P135" i="15"/>
  <c r="Q135" i="15"/>
  <c r="R135" i="15"/>
  <c r="S134" i="15" l="1"/>
  <c r="S133" i="15"/>
  <c r="O134" i="15"/>
  <c r="O133" i="15"/>
  <c r="T124" i="15" l="1"/>
  <c r="T115" i="15"/>
  <c r="V127" i="15"/>
  <c r="T72" i="15"/>
  <c r="U72" i="15"/>
  <c r="T64" i="15"/>
  <c r="U64" i="15"/>
  <c r="U57" i="15"/>
  <c r="T52" i="15"/>
  <c r="U52" i="15"/>
  <c r="V52" i="15"/>
  <c r="U42" i="15"/>
  <c r="U130" i="15" l="1"/>
  <c r="U132" i="15" s="1"/>
  <c r="T130" i="15"/>
  <c r="T132" i="15" s="1"/>
  <c r="S130" i="15"/>
  <c r="S125" i="15"/>
  <c r="S119" i="15"/>
  <c r="S114" i="15"/>
  <c r="S132" i="15" l="1"/>
  <c r="X216" i="15"/>
  <c r="W216" i="15"/>
  <c r="S216" i="15"/>
  <c r="X215" i="15"/>
  <c r="X214" i="15"/>
  <c r="X213" i="15" s="1"/>
  <c r="W214" i="15"/>
  <c r="X211" i="15"/>
  <c r="W211" i="15"/>
  <c r="M200" i="15"/>
  <c r="X199" i="15"/>
  <c r="W199" i="15"/>
  <c r="V199" i="15"/>
  <c r="U199" i="15"/>
  <c r="U200" i="15" s="1"/>
  <c r="T199" i="15"/>
  <c r="S199" i="15"/>
  <c r="R199" i="15"/>
  <c r="Q199" i="15"/>
  <c r="Q200" i="15" s="1"/>
  <c r="P199" i="15"/>
  <c r="O198" i="15"/>
  <c r="X195" i="15"/>
  <c r="X200" i="15" s="1"/>
  <c r="W195" i="15"/>
  <c r="S195" i="15"/>
  <c r="P195" i="15"/>
  <c r="L195" i="15"/>
  <c r="L200" i="15" s="1"/>
  <c r="O194" i="15"/>
  <c r="S193" i="15"/>
  <c r="K193" i="15"/>
  <c r="S192" i="15"/>
  <c r="O192" i="15"/>
  <c r="K192" i="15"/>
  <c r="S191" i="15"/>
  <c r="O191" i="15"/>
  <c r="K191" i="15"/>
  <c r="S190" i="15"/>
  <c r="O190" i="15"/>
  <c r="K190" i="15"/>
  <c r="S189" i="15"/>
  <c r="O189" i="15"/>
  <c r="K189" i="15"/>
  <c r="S188" i="15"/>
  <c r="O188" i="15"/>
  <c r="K188" i="15"/>
  <c r="X186" i="15"/>
  <c r="W186" i="15"/>
  <c r="V186" i="15"/>
  <c r="R186" i="15"/>
  <c r="O186" i="15" s="1"/>
  <c r="N186" i="15"/>
  <c r="N200" i="15" s="1"/>
  <c r="O185" i="15"/>
  <c r="O184" i="15"/>
  <c r="O212" i="15" s="1"/>
  <c r="S183" i="15"/>
  <c r="S186" i="15" s="1"/>
  <c r="K183" i="15"/>
  <c r="K186" i="15" s="1"/>
  <c r="Q179" i="15"/>
  <c r="M179" i="15"/>
  <c r="X176" i="15"/>
  <c r="W176" i="15"/>
  <c r="L178" i="15"/>
  <c r="L179" i="15" s="1"/>
  <c r="K177" i="15"/>
  <c r="K178" i="15" s="1"/>
  <c r="X171" i="15"/>
  <c r="W171" i="15"/>
  <c r="V171" i="15"/>
  <c r="V179" i="15" s="1"/>
  <c r="R171" i="15"/>
  <c r="S169" i="15"/>
  <c r="O169" i="15"/>
  <c r="X168" i="15"/>
  <c r="W168" i="15"/>
  <c r="T168" i="15"/>
  <c r="P168" i="15"/>
  <c r="S167" i="15"/>
  <c r="O167" i="15"/>
  <c r="O168" i="15" s="1"/>
  <c r="X166" i="15"/>
  <c r="W166" i="15"/>
  <c r="T166" i="15"/>
  <c r="S166" i="15" s="1"/>
  <c r="P166" i="15"/>
  <c r="P179" i="15" s="1"/>
  <c r="S165" i="15"/>
  <c r="O165" i="15"/>
  <c r="O166" i="15" s="1"/>
  <c r="W164" i="15"/>
  <c r="R164" i="15"/>
  <c r="N164" i="15"/>
  <c r="N179" i="15" s="1"/>
  <c r="S163" i="15"/>
  <c r="O163" i="15"/>
  <c r="K163" i="15"/>
  <c r="S162" i="15"/>
  <c r="O162" i="15"/>
  <c r="K162" i="15"/>
  <c r="S160" i="15"/>
  <c r="O160" i="15"/>
  <c r="K160" i="15"/>
  <c r="N157" i="15"/>
  <c r="M157" i="15"/>
  <c r="L157" i="15"/>
  <c r="K156" i="15"/>
  <c r="K216" i="15" s="1"/>
  <c r="K155" i="15"/>
  <c r="K154" i="15"/>
  <c r="K153" i="15"/>
  <c r="X152" i="15"/>
  <c r="W152" i="15"/>
  <c r="V152" i="15"/>
  <c r="U152" i="15"/>
  <c r="T152" i="15"/>
  <c r="R152" i="15"/>
  <c r="Q152" i="15"/>
  <c r="P152" i="15"/>
  <c r="N152" i="15"/>
  <c r="M152" i="15"/>
  <c r="L152" i="15"/>
  <c r="K152" i="15" s="1"/>
  <c r="S151" i="15"/>
  <c r="O151" i="15"/>
  <c r="K151" i="15"/>
  <c r="S150" i="15"/>
  <c r="O150" i="15"/>
  <c r="K150" i="15"/>
  <c r="S149" i="15"/>
  <c r="O149" i="15"/>
  <c r="K149" i="15"/>
  <c r="X148" i="15"/>
  <c r="W148" i="15"/>
  <c r="V148" i="15"/>
  <c r="U148" i="15"/>
  <c r="T148" i="15"/>
  <c r="R148" i="15"/>
  <c r="Q148" i="15"/>
  <c r="P148" i="15"/>
  <c r="N148" i="15"/>
  <c r="M148" i="15"/>
  <c r="L148" i="15"/>
  <c r="K148" i="15" s="1"/>
  <c r="S147" i="15"/>
  <c r="O147" i="15"/>
  <c r="K147" i="15"/>
  <c r="S146" i="15"/>
  <c r="O146" i="15"/>
  <c r="K146" i="15"/>
  <c r="S145" i="15"/>
  <c r="O145" i="15"/>
  <c r="K145" i="15"/>
  <c r="X158" i="15"/>
  <c r="W144" i="15"/>
  <c r="W158" i="15" s="1"/>
  <c r="V144" i="15"/>
  <c r="U144" i="15"/>
  <c r="T144" i="15"/>
  <c r="R144" i="15"/>
  <c r="Q144" i="15"/>
  <c r="P144" i="15"/>
  <c r="N144" i="15"/>
  <c r="M144" i="15"/>
  <c r="L144" i="15"/>
  <c r="K144" i="15" s="1"/>
  <c r="S143" i="15"/>
  <c r="O143" i="15"/>
  <c r="O214" i="15" s="1"/>
  <c r="K143" i="15"/>
  <c r="S142" i="15"/>
  <c r="O142" i="15"/>
  <c r="K142" i="15"/>
  <c r="S141" i="15"/>
  <c r="S211" i="15" s="1"/>
  <c r="O141" i="15"/>
  <c r="O211" i="15" s="1"/>
  <c r="K141" i="15"/>
  <c r="K211" i="15" s="1"/>
  <c r="L137" i="15"/>
  <c r="K136" i="15"/>
  <c r="X135" i="15"/>
  <c r="W135" i="15"/>
  <c r="S135" i="15"/>
  <c r="L135" i="15"/>
  <c r="K135" i="15" s="1"/>
  <c r="X132" i="15"/>
  <c r="W132" i="15"/>
  <c r="N132" i="15"/>
  <c r="L132" i="15"/>
  <c r="Q130" i="15"/>
  <c r="Q132" i="15" s="1"/>
  <c r="P130" i="15"/>
  <c r="P132" i="15" s="1"/>
  <c r="O130" i="15"/>
  <c r="K129" i="15"/>
  <c r="K214" i="15" s="1"/>
  <c r="X127" i="15"/>
  <c r="W127" i="15"/>
  <c r="T127" i="15"/>
  <c r="S127" i="15" s="1"/>
  <c r="R127" i="15"/>
  <c r="P127" i="15"/>
  <c r="N127" i="15"/>
  <c r="L127" i="15"/>
  <c r="O125" i="15"/>
  <c r="K125" i="15"/>
  <c r="X124" i="15"/>
  <c r="W124" i="15"/>
  <c r="S124" i="15"/>
  <c r="P124" i="15"/>
  <c r="O124" i="15" s="1"/>
  <c r="L124" i="15"/>
  <c r="K124" i="15" s="1"/>
  <c r="O123" i="15"/>
  <c r="O122" i="15"/>
  <c r="S121" i="15"/>
  <c r="O121" i="15"/>
  <c r="K121" i="15"/>
  <c r="X120" i="15"/>
  <c r="W120" i="15"/>
  <c r="V120" i="15"/>
  <c r="T120" i="15"/>
  <c r="R120" i="15"/>
  <c r="P120" i="15"/>
  <c r="N120" i="15"/>
  <c r="L120" i="15"/>
  <c r="O119" i="15"/>
  <c r="S118" i="15"/>
  <c r="K118" i="15"/>
  <c r="X117" i="15"/>
  <c r="W117" i="15"/>
  <c r="T117" i="15"/>
  <c r="S117" i="15" s="1"/>
  <c r="P117" i="15"/>
  <c r="O117" i="15" s="1"/>
  <c r="L117" i="15"/>
  <c r="K117" i="15" s="1"/>
  <c r="S116" i="15"/>
  <c r="O116" i="15"/>
  <c r="K116" i="15"/>
  <c r="X115" i="15"/>
  <c r="W115" i="15"/>
  <c r="P115" i="15"/>
  <c r="O115" i="15" s="1"/>
  <c r="L115" i="15"/>
  <c r="K115" i="15" s="1"/>
  <c r="O114" i="15"/>
  <c r="O216" i="15" s="1"/>
  <c r="S113" i="15"/>
  <c r="O113" i="15"/>
  <c r="S112" i="15"/>
  <c r="O112" i="15"/>
  <c r="K112" i="15"/>
  <c r="S111" i="15"/>
  <c r="O111" i="15"/>
  <c r="K111" i="15"/>
  <c r="S110" i="15"/>
  <c r="O110" i="15"/>
  <c r="K110" i="15"/>
  <c r="X108" i="15"/>
  <c r="W108" i="15"/>
  <c r="T108" i="15"/>
  <c r="S108" i="15" s="1"/>
  <c r="P108" i="15"/>
  <c r="O108" i="15" s="1"/>
  <c r="L108" i="15"/>
  <c r="K108" i="15" s="1"/>
  <c r="S107" i="15"/>
  <c r="O107" i="15"/>
  <c r="K107" i="15"/>
  <c r="P105" i="15"/>
  <c r="O105" i="15" s="1"/>
  <c r="R104" i="15"/>
  <c r="Q104" i="15"/>
  <c r="P104" i="15"/>
  <c r="O104" i="15" s="1"/>
  <c r="Q103" i="15"/>
  <c r="P103" i="15" s="1"/>
  <c r="P100" i="15" s="1"/>
  <c r="R101" i="15"/>
  <c r="Q101" i="15"/>
  <c r="P101" i="15"/>
  <c r="O101" i="15" s="1"/>
  <c r="R100" i="15"/>
  <c r="N99" i="15"/>
  <c r="M99" i="15"/>
  <c r="M138" i="15" s="1"/>
  <c r="L99" i="15"/>
  <c r="K98" i="15"/>
  <c r="K97" i="15"/>
  <c r="K96" i="15"/>
  <c r="K95" i="15"/>
  <c r="X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X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X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O85" i="15"/>
  <c r="S83" i="15"/>
  <c r="O83" i="15"/>
  <c r="X82" i="15"/>
  <c r="U82" i="15"/>
  <c r="T82" i="15"/>
  <c r="S82" i="15" s="1"/>
  <c r="Q82" i="15"/>
  <c r="P82" i="15"/>
  <c r="O82" i="15" s="1"/>
  <c r="M82" i="15"/>
  <c r="L82" i="15"/>
  <c r="K82" i="15" s="1"/>
  <c r="S80" i="15"/>
  <c r="K80" i="15"/>
  <c r="S79" i="15"/>
  <c r="O79" i="15"/>
  <c r="K79" i="15"/>
  <c r="X77" i="15"/>
  <c r="U77" i="15"/>
  <c r="T77" i="15"/>
  <c r="S77" i="15" s="1"/>
  <c r="Q77" i="15"/>
  <c r="P77" i="15"/>
  <c r="O77" i="15" s="1"/>
  <c r="M77" i="15"/>
  <c r="L77" i="15"/>
  <c r="K77" i="15" s="1"/>
  <c r="S76" i="15"/>
  <c r="K76" i="15"/>
  <c r="Q72" i="15"/>
  <c r="M72" i="15"/>
  <c r="L72" i="15"/>
  <c r="K72" i="15" s="1"/>
  <c r="X71" i="15"/>
  <c r="S71" i="15"/>
  <c r="S72" i="15" s="1"/>
  <c r="O71" i="15"/>
  <c r="K71" i="15"/>
  <c r="X70" i="15"/>
  <c r="W70" i="15" s="1"/>
  <c r="W210" i="15" s="1"/>
  <c r="O70" i="15"/>
  <c r="X69" i="15"/>
  <c r="X209" i="15" s="1"/>
  <c r="P69" i="15"/>
  <c r="P72" i="15" s="1"/>
  <c r="O72" i="15" s="1"/>
  <c r="K69" i="15"/>
  <c r="W68" i="15"/>
  <c r="O68" i="15"/>
  <c r="X67" i="15"/>
  <c r="V67" i="15"/>
  <c r="U67" i="15"/>
  <c r="T67" i="15"/>
  <c r="R67" i="15"/>
  <c r="Q67" i="15"/>
  <c r="P67" i="15"/>
  <c r="N67" i="15"/>
  <c r="M67" i="15"/>
  <c r="L67" i="15"/>
  <c r="S66" i="15"/>
  <c r="O66" i="15"/>
  <c r="K66" i="15"/>
  <c r="S65" i="15"/>
  <c r="S67" i="15" s="1"/>
  <c r="O65" i="15"/>
  <c r="K65" i="15"/>
  <c r="X64" i="15"/>
  <c r="R64" i="15"/>
  <c r="Q64" i="15"/>
  <c r="P64" i="15"/>
  <c r="N64" i="15"/>
  <c r="M64" i="15"/>
  <c r="L64" i="15"/>
  <c r="K64" i="15"/>
  <c r="S59" i="15"/>
  <c r="W58" i="15"/>
  <c r="S58" i="15"/>
  <c r="S64" i="15" s="1"/>
  <c r="O58" i="15"/>
  <c r="O64" i="15" s="1"/>
  <c r="K58" i="15"/>
  <c r="X57" i="15"/>
  <c r="R57" i="15"/>
  <c r="N57" i="15"/>
  <c r="M57" i="15"/>
  <c r="L57" i="15"/>
  <c r="T54" i="15"/>
  <c r="T57" i="15" s="1"/>
  <c r="Q54" i="15"/>
  <c r="Q57" i="15" s="1"/>
  <c r="P54" i="15"/>
  <c r="P57" i="15" s="1"/>
  <c r="O54" i="15"/>
  <c r="O57" i="15" s="1"/>
  <c r="K54" i="15"/>
  <c r="AB53" i="15"/>
  <c r="AA53" i="15"/>
  <c r="Z53" i="15"/>
  <c r="S53" i="15"/>
  <c r="K53" i="15"/>
  <c r="K57" i="15" s="1"/>
  <c r="X52" i="15"/>
  <c r="R52" i="15"/>
  <c r="Q52" i="15"/>
  <c r="P52" i="15"/>
  <c r="O52" i="15" s="1"/>
  <c r="N52" i="15"/>
  <c r="M52" i="15"/>
  <c r="L52" i="15"/>
  <c r="K52" i="15"/>
  <c r="S50" i="15"/>
  <c r="O50" i="15"/>
  <c r="O49" i="15"/>
  <c r="S47" i="15"/>
  <c r="K47" i="15"/>
  <c r="O45" i="15"/>
  <c r="S43" i="15"/>
  <c r="O43" i="15"/>
  <c r="K43" i="15"/>
  <c r="X42" i="15"/>
  <c r="R42" i="15"/>
  <c r="Q42" i="15"/>
  <c r="N42" i="15"/>
  <c r="M42" i="15"/>
  <c r="L42" i="15"/>
  <c r="T41" i="15"/>
  <c r="T42" i="15" s="1"/>
  <c r="P41" i="15"/>
  <c r="P42" i="15" s="1"/>
  <c r="K41" i="15"/>
  <c r="S37" i="15"/>
  <c r="O37" i="15"/>
  <c r="K37" i="15"/>
  <c r="X33" i="15"/>
  <c r="W33" i="15"/>
  <c r="U33" i="15"/>
  <c r="U34" i="15" s="1"/>
  <c r="T33" i="15"/>
  <c r="P33" i="15"/>
  <c r="L33" i="15"/>
  <c r="S32" i="15"/>
  <c r="S33" i="15" s="1"/>
  <c r="O32" i="15"/>
  <c r="K32" i="15"/>
  <c r="X31" i="15"/>
  <c r="W31" i="15"/>
  <c r="U31" i="15"/>
  <c r="T31" i="15"/>
  <c r="P31" i="15"/>
  <c r="O31" i="15"/>
  <c r="L31" i="15"/>
  <c r="S30" i="15"/>
  <c r="S31" i="15" s="1"/>
  <c r="O30" i="15"/>
  <c r="K30" i="15"/>
  <c r="X29" i="15"/>
  <c r="W29" i="15"/>
  <c r="U29" i="15"/>
  <c r="T29" i="15"/>
  <c r="P29" i="15"/>
  <c r="O29" i="15" s="1"/>
  <c r="L29" i="15"/>
  <c r="K29" i="15" s="1"/>
  <c r="O28" i="15"/>
  <c r="K28" i="15"/>
  <c r="X27" i="15"/>
  <c r="W27" i="15"/>
  <c r="U27" i="15"/>
  <c r="T27" i="15"/>
  <c r="T34" i="15" s="1"/>
  <c r="S34" i="15" s="1"/>
  <c r="P27" i="15"/>
  <c r="O27" i="15" s="1"/>
  <c r="L27" i="15"/>
  <c r="K27" i="15" s="1"/>
  <c r="O26" i="15"/>
  <c r="K26" i="15"/>
  <c r="K215" i="15" s="1"/>
  <c r="P25" i="15"/>
  <c r="O25" i="15" s="1"/>
  <c r="L25" i="15"/>
  <c r="K25" i="15" s="1"/>
  <c r="O24" i="15"/>
  <c r="K24" i="15"/>
  <c r="Q23" i="15"/>
  <c r="P23" i="15"/>
  <c r="O23" i="15" s="1"/>
  <c r="M23" i="15"/>
  <c r="L23" i="15"/>
  <c r="K23" i="15" s="1"/>
  <c r="O22" i="15"/>
  <c r="K22" i="15"/>
  <c r="Q21" i="15"/>
  <c r="M21" i="15"/>
  <c r="L21" i="15"/>
  <c r="K21" i="15"/>
  <c r="O20" i="15"/>
  <c r="K20" i="15"/>
  <c r="O19" i="15"/>
  <c r="K19" i="15"/>
  <c r="O18" i="15"/>
  <c r="K18" i="15"/>
  <c r="P17" i="15"/>
  <c r="P21" i="15" s="1"/>
  <c r="O21" i="15" s="1"/>
  <c r="O17" i="15"/>
  <c r="K17" i="15"/>
  <c r="P16" i="15"/>
  <c r="L16" i="15"/>
  <c r="K16" i="15" s="1"/>
  <c r="O15" i="15"/>
  <c r="K15" i="15"/>
  <c r="O14" i="15"/>
  <c r="K13" i="15"/>
  <c r="O12" i="15"/>
  <c r="K12" i="15"/>
  <c r="S168" i="15" l="1"/>
  <c r="T179" i="15"/>
  <c r="S179" i="15" s="1"/>
  <c r="K210" i="15"/>
  <c r="M34" i="15"/>
  <c r="S52" i="15"/>
  <c r="S57" i="15"/>
  <c r="O67" i="15"/>
  <c r="W215" i="15"/>
  <c r="V99" i="15"/>
  <c r="V138" i="15" s="1"/>
  <c r="K120" i="15"/>
  <c r="N158" i="15"/>
  <c r="N180" i="15" s="1"/>
  <c r="N201" i="15" s="1"/>
  <c r="N202" i="15" s="1"/>
  <c r="W179" i="15"/>
  <c r="W180" i="15" s="1"/>
  <c r="X179" i="15"/>
  <c r="O16" i="15"/>
  <c r="W64" i="15"/>
  <c r="X208" i="15"/>
  <c r="X36" i="15"/>
  <c r="Q99" i="15"/>
  <c r="Q138" i="15" s="1"/>
  <c r="O132" i="15"/>
  <c r="P138" i="15"/>
  <c r="U99" i="15"/>
  <c r="U138" i="15" s="1"/>
  <c r="K42" i="15"/>
  <c r="W200" i="15"/>
  <c r="S27" i="15"/>
  <c r="P200" i="15"/>
  <c r="O164" i="15"/>
  <c r="R179" i="15"/>
  <c r="O179" i="15" s="1"/>
  <c r="W213" i="15"/>
  <c r="V200" i="15"/>
  <c r="R158" i="15"/>
  <c r="O208" i="15"/>
  <c r="K67" i="15"/>
  <c r="O120" i="15"/>
  <c r="K127" i="15"/>
  <c r="N138" i="15"/>
  <c r="S144" i="15"/>
  <c r="S148" i="15"/>
  <c r="S152" i="15"/>
  <c r="S158" i="15" s="1"/>
  <c r="O199" i="15"/>
  <c r="R200" i="15"/>
  <c r="X34" i="15"/>
  <c r="K99" i="15"/>
  <c r="Q100" i="15"/>
  <c r="S115" i="15"/>
  <c r="O144" i="15"/>
  <c r="O148" i="15"/>
  <c r="S214" i="15"/>
  <c r="O152" i="15"/>
  <c r="U158" i="15"/>
  <c r="U180" i="15" s="1"/>
  <c r="K157" i="15"/>
  <c r="K158" i="15" s="1"/>
  <c r="K195" i="15"/>
  <c r="T200" i="15"/>
  <c r="Q34" i="15"/>
  <c r="O41" i="15"/>
  <c r="O42" i="15" s="1"/>
  <c r="O69" i="15"/>
  <c r="R99" i="15"/>
  <c r="R138" i="15" s="1"/>
  <c r="S120" i="15"/>
  <c r="Q158" i="15"/>
  <c r="Q180" i="15" s="1"/>
  <c r="V158" i="15"/>
  <c r="M158" i="15"/>
  <c r="W34" i="15"/>
  <c r="S208" i="15"/>
  <c r="P99" i="15"/>
  <c r="T99" i="15"/>
  <c r="T138" i="15" s="1"/>
  <c r="K33" i="15"/>
  <c r="L34" i="15"/>
  <c r="K34" i="15" s="1"/>
  <c r="O127" i="15"/>
  <c r="S200" i="15"/>
  <c r="O213" i="15"/>
  <c r="S29" i="15"/>
  <c r="K208" i="15"/>
  <c r="P34" i="15"/>
  <c r="O34" i="15" s="1"/>
  <c r="K209" i="15"/>
  <c r="L138" i="15"/>
  <c r="K138" i="15" s="1"/>
  <c r="X180" i="15"/>
  <c r="M180" i="15"/>
  <c r="M201" i="15" s="1"/>
  <c r="M202" i="15" s="1"/>
  <c r="K200" i="15"/>
  <c r="O103" i="15"/>
  <c r="O100" i="15" s="1"/>
  <c r="K213" i="15"/>
  <c r="K132" i="15"/>
  <c r="K31" i="15"/>
  <c r="S41" i="15"/>
  <c r="S42" i="15" s="1"/>
  <c r="S54" i="15"/>
  <c r="W69" i="15"/>
  <c r="W209" i="15" s="1"/>
  <c r="W71" i="15"/>
  <c r="W208" i="15" s="1"/>
  <c r="K137" i="15"/>
  <c r="K164" i="15"/>
  <c r="K179" i="15" s="1"/>
  <c r="O195" i="15"/>
  <c r="X210" i="15"/>
  <c r="X207" i="15" s="1"/>
  <c r="X217" i="15" s="1"/>
  <c r="L158" i="15"/>
  <c r="L180" i="15" s="1"/>
  <c r="L201" i="15" s="1"/>
  <c r="P158" i="15"/>
  <c r="P180" i="15" s="1"/>
  <c r="T158" i="15"/>
  <c r="T180" i="15" s="1"/>
  <c r="X72" i="15"/>
  <c r="X99" i="15" s="1"/>
  <c r="X138" i="15" s="1"/>
  <c r="O171" i="15"/>
  <c r="O210" i="15"/>
  <c r="O33" i="15"/>
  <c r="S171" i="15"/>
  <c r="S99" i="15" l="1"/>
  <c r="S138" i="15" s="1"/>
  <c r="W36" i="15"/>
  <c r="O138" i="15"/>
  <c r="W72" i="15"/>
  <c r="W99" i="15" s="1"/>
  <c r="K180" i="15"/>
  <c r="W138" i="15"/>
  <c r="Q201" i="15"/>
  <c r="Q202" i="15" s="1"/>
  <c r="P201" i="15"/>
  <c r="O200" i="15"/>
  <c r="V180" i="15"/>
  <c r="V201" i="15" s="1"/>
  <c r="V202" i="15" s="1"/>
  <c r="R180" i="15"/>
  <c r="O158" i="15"/>
  <c r="S213" i="15"/>
  <c r="S180" i="15"/>
  <c r="U201" i="15"/>
  <c r="U202" i="15" s="1"/>
  <c r="R201" i="15"/>
  <c r="R202" i="15" s="1"/>
  <c r="O180" i="15"/>
  <c r="K207" i="15"/>
  <c r="K217" i="15" s="1"/>
  <c r="O99" i="15"/>
  <c r="O209" i="15"/>
  <c r="O207" i="15" s="1"/>
  <c r="O217" i="15" s="1"/>
  <c r="T201" i="15"/>
  <c r="T202" i="15" s="1"/>
  <c r="X201" i="15"/>
  <c r="X202" i="15" s="1"/>
  <c r="L202" i="15"/>
  <c r="K202" i="15" s="1"/>
  <c r="K201" i="15"/>
  <c r="P202" i="15"/>
  <c r="W201" i="15"/>
  <c r="W202" i="15" s="1"/>
  <c r="W207" i="15"/>
  <c r="W217" i="15" s="1"/>
  <c r="S209" i="15"/>
  <c r="S207" i="15" s="1"/>
  <c r="S217" i="15" s="1"/>
  <c r="O201" i="15" l="1"/>
  <c r="O202" i="15"/>
  <c r="S201" i="15"/>
  <c r="S202" i="15"/>
</calcChain>
</file>

<file path=xl/comments1.xml><?xml version="1.0" encoding="utf-8"?>
<comments xmlns="http://schemas.openxmlformats.org/spreadsheetml/2006/main">
  <authors>
    <author>Snieguole Kacerauskaite</author>
  </authors>
  <commentList>
    <comment ref="D8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E13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sharedStrings.xml><?xml version="1.0" encoding="utf-8"?>
<sst xmlns="http://schemas.openxmlformats.org/spreadsheetml/2006/main" count="964" uniqueCount="290">
  <si>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</si>
  <si>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</si>
  <si>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</si>
  <si>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</si>
  <si>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</si>
  <si>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</si>
  <si>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</si>
  <si>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</si>
  <si>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</si>
  <si>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</si>
  <si>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</si>
  <si>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</si>
  <si>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</si>
  <si>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</si>
  <si>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</si>
  <si>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</si>
  <si>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</si>
  <si>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</si>
  <si>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</si>
  <si>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</si>
  <si>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</si>
  <si>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</si>
  <si>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</si>
  <si>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</si>
  <si>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</si>
  <si>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</si>
  <si>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</si>
  <si>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</si>
  <si>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</si>
  <si>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</si>
  <si>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</si>
  <si>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</si>
  <si>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</si>
  <si>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</si>
  <si>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</si>
  <si>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</si>
  <si>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</si>
  <si>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</si>
  <si>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</si>
  <si>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</si>
  <si>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</si>
  <si>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</si>
  <si>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</si>
  <si>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</si>
  <si>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</si>
  <si>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</si>
  <si>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</si>
  <si>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</si>
  <si>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</si>
  <si>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</si>
  <si>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</si>
  <si>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</si>
  <si>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</si>
  <si>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</si>
  <si>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</si>
  <si>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</si>
  <si>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</si>
  <si>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pavadinimas</t>
  </si>
  <si>
    <t>Pritaikyta būstų neįgaliesiems</t>
  </si>
  <si>
    <t>I</t>
  </si>
  <si>
    <t>2015-ųjų metų lėšų poreikis</t>
  </si>
  <si>
    <t>planas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</si>
  <si>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</si>
  <si>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</si>
  <si>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</si>
  <si>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</si>
  <si>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</si>
  <si>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</si>
  <si>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</si>
  <si>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</si>
  <si>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</si>
  <si>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</si>
  <si>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</si>
  <si>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</si>
  <si>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</si>
  <si>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</si>
  <si>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</si>
  <si>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</si>
  <si>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</si>
  <si>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</si>
  <si>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</si>
  <si>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</si>
  <si>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</si>
  <si>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</si>
  <si>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SOCIALINĖS ATSKIRTIES MAŽINIMO PROGRAMOS (NR. 12)</t>
  </si>
  <si>
    <t>09</t>
  </si>
  <si>
    <t>Socialinės paslaugos kokybės vertinimas</t>
  </si>
  <si>
    <t>2015 m. poreikis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</si>
  <si>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</si>
  <si>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</si>
  <si>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</si>
  <si>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</si>
  <si>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</si>
  <si>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</si>
  <si>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</si>
  <si>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</si>
  <si>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</si>
  <si>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</si>
  <si>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</si>
  <si>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5</t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</si>
  <si>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</si>
  <si>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</si>
  <si>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</si>
  <si>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t xml:space="preserve">Nemokamo maitinimo organizavimas labdaros valgykloje Klaipėdos mieste gyvenantiems asmenims, nepajėgiantiems maitintis savo namuose 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</si>
  <si>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</si>
  <si>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</si>
  <si>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</si>
  <si>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</si>
  <si>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</si>
  <si>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</si>
  <si>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</si>
  <si>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</si>
  <si>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Asmenų su sunkia negalia, kuriems teikiamos socialinės globos paslaugos, skaičius (SPC)</t>
  </si>
  <si>
    <t>Asmenų su sunkia negalia, kuriems teikiamos socialinės globos paslaugos, skaičius (Globos namai)</t>
  </si>
  <si>
    <t>Nemokamą maitinimą gaunančių bei aprūpinamų mokinio reikmenimis mokinių sk.</t>
  </si>
  <si>
    <t xml:space="preserve">Vidutinis vienkartinių išmokų socialiai pažeidžiamiems asmenims skaičius per mėn. </t>
  </si>
  <si>
    <t>Nemokamą maitinimą gaunantys mokiniai</t>
  </si>
  <si>
    <t>BĮ Klaipėdos miesto globos namuose</t>
  </si>
  <si>
    <t>Vietų sk. įstaigoje</t>
  </si>
  <si>
    <t>Darbuotojų sk. įstaigoje</t>
  </si>
  <si>
    <t>BĮ Neįgaliųjų centre „Klaipėdos lakštutė“</t>
  </si>
  <si>
    <t>BĮ Klaipėdos miesto šeimos ir vaiko gerovės centre</t>
  </si>
  <si>
    <t>BĮ Klaipėdos miesto nakvynės namuose</t>
  </si>
  <si>
    <t>BĮ Klaipėdos vaikų globos namuose „Smiltelė“</t>
  </si>
  <si>
    <t>BĮ Klaipėdos vaikų globos namuose „Danė“</t>
  </si>
  <si>
    <t>BĮ Klaipėdos vaikų globos namuose „Rytas“</t>
  </si>
  <si>
    <t>Senyvo amžiaus asmenų dienos socialinės globos centre (Kretingos g. 44)</t>
  </si>
  <si>
    <t>Paslaugos gavėjų skaičius</t>
  </si>
  <si>
    <t>Suaugusių asmenų su psichine negalia dienos socialinės globos centre (Kretingos g. 44)</t>
  </si>
  <si>
    <t>Dienos socialinės globos paslaugų teikimas asmenims su psichine negalia dienos socialinės globos centre</t>
  </si>
  <si>
    <t>Dienos socialinę globą per mėn. gaunančių asmenų  su psichine negalia skaičius dienos socialinės globos centre</t>
  </si>
  <si>
    <t>Dienos socialinės globos paslaugų teikimas vaikams su negalia dienos socialinės globos centre</t>
  </si>
  <si>
    <t>Dienos socialinę globą per mėn. gaunančių vaikų su negalia skaičius dienos socialinės globos centre</t>
  </si>
  <si>
    <t>Dienos socialinės priežiūros paslauga vaikams iš socialinės rizikos šeimų vaikų dienos centruose</t>
  </si>
  <si>
    <t>Atlikti kapitalinio remonto darbai ir įsigyta visa reikalinga įranga bei baldai socialinės globos centro įrengimui. Užbaigtumas, proc.</t>
  </si>
  <si>
    <t>Socialinių paslaugų moterims, patyrusioms smurtą šeimoje ar nukentėjusioms nuo prekybos žmonėmis, plėtra steigiant moterų krizių centrą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</si>
  <si>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</si>
  <si>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</si>
  <si>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</si>
  <si>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</si>
  <si>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</si>
  <si>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</si>
  <si>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</si>
  <si>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</si>
  <si>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Vidutinis išmokamų kompensacijų skaičius per mėn.</t>
  </si>
  <si>
    <t xml:space="preserve">Vidutinis išmokamų socialinių pašalpų skaičius per mėn. </t>
  </si>
  <si>
    <t>Planinis vietų sk. įstaigoje</t>
  </si>
  <si>
    <t>Socialinę globą teikiančių darbuotojų dalis bendroje vaikų globos namų  personalo struktūroje</t>
  </si>
  <si>
    <t>Įsigyta vaizdo stebėjimo sistema, vnt.</t>
  </si>
  <si>
    <t>Paramą rūbais, avalyne gaunančių asm. sk. per mėn.</t>
  </si>
  <si>
    <t>Išduota techninės pagalbos priemonių, vnt./asm</t>
  </si>
  <si>
    <t>1400 /992</t>
  </si>
  <si>
    <t>dienos socialinės globos institucijoje, asm. sk.</t>
  </si>
  <si>
    <t>dienos socialinės globos asmens namuose, asm. sk.</t>
  </si>
  <si>
    <t>socialinės priežiūros (pagalbos į namus), asm. sk</t>
  </si>
  <si>
    <t>Organizuota tėvystės įgūdžių formavimo ir globėjų (rūpintojų)/ įtėvių užsiėmimų kursų</t>
  </si>
  <si>
    <t>Intensyvios krizių įveikimo pagalbos paslaugai gauti vaikų vietų sk.</t>
  </si>
  <si>
    <t>Trumpalaikės socialinės globos paslaugai gauti vaikų vietų sk.</t>
  </si>
  <si>
    <t>Trumpalaikė socialinė globa moterims ir motinoms su vaikais, nukentėjusiems nuo smurto šeimoje ar prekybos žmonėmis, vietų sk.</t>
  </si>
  <si>
    <t>266/ 335</t>
  </si>
  <si>
    <t>268/ 340</t>
  </si>
  <si>
    <t>Įsigytas kompiuteris ir programinė įranga, vnt.</t>
  </si>
  <si>
    <t>Senyvo amžiaus asmenų bei asmenų su negalia, apgyvendintų globos institucijose per metus, sk.</t>
  </si>
  <si>
    <t>Vidutiniškai per mėn. paslaugas gaunančių socialinės rizikos ir rizikos šeimų vaikų skaičius Dienos centre</t>
  </si>
  <si>
    <t>Vidutiniškai per dieną maitinimo paslaugas gaunančių asmenų skaičius</t>
  </si>
  <si>
    <t>Vidutiniškai per dieną apnakvindinimo paslaugas gaunančių asmenų skaičius</t>
  </si>
  <si>
    <t>40</t>
  </si>
  <si>
    <t>BĮ Klaipėdos miesto socialinės paramos centre, iš jų:</t>
  </si>
  <si>
    <t xml:space="preserve"> - senyvo amžiaus asmenims ir suaugusiems asmenims su negalia asmens namuose teikiamų paslaugų (pagalba į namus) plėtra</t>
  </si>
  <si>
    <t>Įsteigta etatų, sk.</t>
  </si>
  <si>
    <t>BĮ Klaipėdos nakvynės namų patalpų pritaikymas neįgaliųjų poreikiams</t>
  </si>
  <si>
    <t>Padinintas Savivaldybės socialinio būsto fondas, butų skaičius</t>
  </si>
  <si>
    <t>Turto skyrius</t>
  </si>
  <si>
    <t>Socialinio būsto skyrius</t>
  </si>
  <si>
    <t>SB(L)</t>
  </si>
  <si>
    <t>Sutrumpėjo nuomininkų pasirinktos garantijos įvykdymo terminas, mėn.</t>
  </si>
  <si>
    <t>Asignavimai 2013-iesiems metams</t>
  </si>
  <si>
    <t>2016 m. poreikis</t>
  </si>
  <si>
    <t xml:space="preserve">Asmenų su sunkia negalia, kuriems teikiamos socialinės globos paslaugos, sk. </t>
  </si>
  <si>
    <t>Socialinio būsto fondo plėtra</t>
  </si>
  <si>
    <t>Įsigyta kondicionierių, vnt.</t>
  </si>
  <si>
    <t>Socialinių įgūdžių ugdymo ir palaikymo paslaugos socialinės  rizikos vaikų ir socialinės rizikos  šeimų vaikams (dienos centre) vietų sk.</t>
  </si>
  <si>
    <t xml:space="preserve">Įsigyta mobilių laiptų kopiklių, vnt. </t>
  </si>
  <si>
    <t xml:space="preserve">iš jų apskaitos darbuot. išeitinės komp. </t>
  </si>
  <si>
    <t>SB*</t>
  </si>
  <si>
    <t>SB(VB)*</t>
  </si>
  <si>
    <t>Statybos ir infrastruktūros skyrius</t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</si>
  <si>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>“ įgyvendinimas (dienos socialinės globos ir slaugos paslaugos į namus)</t>
    </r>
  </si>
  <si>
    <r>
      <t>Suremontuotas pastato stogelis, m</t>
    </r>
    <r>
      <rPr>
        <vertAlign val="superscript"/>
        <sz val="9"/>
        <rFont val="Times New Roman"/>
        <family val="1"/>
      </rPr>
      <t>2</t>
    </r>
  </si>
  <si>
    <t>** pagal Klaipėdos miesto savivaldybės tarybos 2013-02-28 sprendimą Nr. T2-33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</si>
  <si>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</si>
  <si>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Vykdytojas (skyrius / asmuo)</t>
  </si>
  <si>
    <t>Įrengta belaidė personalo iškvietimo sistema</t>
  </si>
  <si>
    <t>Projekto „Ilgalaikės socialinės globos paslaugų infrastruktūros plėtra Klaipėdos mieste“ įgyvendinimas</t>
  </si>
  <si>
    <r>
      <t xml:space="preserve">Laikinai benamių asmenų, piktnaudžiaujančių alkoholiu ir psichotropinėmis medžiagomis, apgyvendinamas, esant krizinei situacijai </t>
    </r>
    <r>
      <rPr>
        <sz val="10"/>
        <rFont val="Times New Roman"/>
        <family val="1"/>
        <charset val="186"/>
      </rPr>
      <t>(priemonę finansuoti, jei bus sutaupyta lėšų mokant pašalpas)</t>
    </r>
  </si>
  <si>
    <t>Teikiamos socialinės paslaugos neįgaliesiems, asmenų sk.</t>
  </si>
  <si>
    <t>Socialinės paramos sk.</t>
  </si>
  <si>
    <t xml:space="preserve"> Socialinės paramos sk.</t>
  </si>
  <si>
    <t xml:space="preserve"> Socislinės paramos sk.</t>
  </si>
  <si>
    <t>Socialinės infrastruktūros poskyris</t>
  </si>
  <si>
    <t>Socialinės paramos skyrius</t>
  </si>
  <si>
    <t>Projektų skyrius</t>
  </si>
  <si>
    <t>Socialinės infrastruktūros priežiūros sk.</t>
  </si>
  <si>
    <t xml:space="preserve"> Projektų skyrius</t>
  </si>
  <si>
    <t>Statybos ir infrastruktūros plėtros skyrius</t>
  </si>
  <si>
    <t>Parengtas techninis projektas, vnt.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</si>
  <si>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</si>
  <si>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(802,22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), į</t>
    </r>
    <r>
      <rPr>
        <sz val="9"/>
        <rFont val="Times New Roman"/>
        <family val="1"/>
      </rPr>
      <t>sigyta visa reikalinga įranga bei baldai socialinės globos centro įrengimui.
Užbaigtumas, proc.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</si>
  <si>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</si>
  <si>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(636,58 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), sigyta visa reikalinga įranga bei baldai socialinės globos centro įrengimui.
Užbaigtumas, proc.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</si>
  <si>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rFont val="Times New Roman"/>
        <family val="1"/>
        <charset val="186"/>
      </rPr>
      <t xml:space="preserve"> įgyvendinimas</t>
    </r>
  </si>
  <si>
    <t>Suteikta paslaugų asmenims, kurie dėl negalios, ligos ar senatvės turi judėjimo problemų ir dėl to ar dėl nepakankamų pajamų negali naudotis visuomeniniu ar individualiu transportu (transporto organizavimas), asm. sk.</t>
  </si>
  <si>
    <t>Įsigyta kompiuterių ir programinės įrangos, vnt.</t>
  </si>
  <si>
    <t>Asmenų, turinčių psichikos ir elgesio sutrikimų, kuriems teikiamos paslaugos, skaičius, iš jų:</t>
  </si>
  <si>
    <t>NVO projektų, gaunančių dalinį finansavimą iš savivaldybės biudžeto, skaičius</t>
  </si>
  <si>
    <t>Asmenų su sunkia negalia, kuriems teikiamos socialinės globos paslaugos, skaičius (VšĮ Klaipėdos pirminės sveikatos priežiūros centras)</t>
  </si>
  <si>
    <t>Sutvarkyta sistema, vnt.</t>
  </si>
  <si>
    <t>Parengtas techninis projektas, sk.</t>
  </si>
  <si>
    <t>Daugiabučių namų, kuriuose vykdomi atnaujinimo darbai, skaičius</t>
  </si>
  <si>
    <t>Objektų, kuriuose  pašalintos galimų avarijų grėsmės ir likviduotos avarijos, skaičius</t>
  </si>
  <si>
    <t>Nupirkta butų, vnt.</t>
  </si>
  <si>
    <t>Socialinės paramos skyrius, LSIŽG bendrija  ,,Klaipėdos viltis"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</si>
  <si>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</si>
  <si>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</si>
  <si>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</si>
  <si>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</si>
  <si>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</si>
  <si>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</si>
  <si>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</si>
  <si>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</si>
  <si>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</si>
  <si>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</si>
  <si>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</si>
  <si>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</si>
  <si>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</si>
  <si>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Suaugusių asmenų su protine negalia dienos socialinės globos centre (2 spec. mokykla, III a.);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</si>
  <si>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</si>
  <si>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</si>
  <si>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</si>
  <si>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</si>
  <si>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</si>
  <si>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</si>
  <si>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</si>
  <si>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</si>
  <si>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44)“;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</si>
  <si>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</si>
  <si>
    <t xml:space="preserve">Parengta techninių projektų, sk. </t>
  </si>
  <si>
    <t>Laikinai neišnuomotų gyvenamųjų patalpų priežiūra;</t>
  </si>
  <si>
    <t>Savivaldybės gyvenamųjų patalpų techninės būklės vertinimas ir remontas;</t>
  </si>
  <si>
    <t>Apmokėjimas savivaldybei tenkančia dalimi už daugiabučių namų bendrosios  nuosavybės objektų atnaujinimą ir renovaciją;</t>
  </si>
  <si>
    <t>Rezervo naudojimas nenumatytiems darbams apmokėti ir avarinėms situacijoms likviduoti;</t>
  </si>
  <si>
    <t>Savivaldybės gyvenamųjų patalpų nuomos administravimas;</t>
  </si>
  <si>
    <t>Suremontuota butų, skaičius</t>
  </si>
  <si>
    <t>03 Strateginis tikslas. Užtikrinti gyventojams aukštą švietimo, kultūros, socialinių, sporto ir sveikatos apsaugos paslaugų kokybę ir prieinamumą</t>
  </si>
  <si>
    <t>Plėtoti socialinių paslaugų infrastruktūrą, įrengiant naujus ir modernizuojant esamus socialines paslaugas teikiančių įstaigų pastatus</t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</si>
  <si>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</si>
  <si>
    <t>BĮ Neįgaliųjų centro „Klaipėdos laikštutė“ rūsio rekonstrukcijos techninio projekto parengimas;</t>
  </si>
  <si>
    <t>BĮ Klaipėdos vaikų globos namų „Rytas“ reorganizavimas  plečiant socialines paslaugas, pritaikant pastatą asmenims su negalia</t>
  </si>
  <si>
    <t xml:space="preserve">BĮ Klaipėdos miesto globos namų statinio konstrukcijos pažeidimų pašalinimas; </t>
  </si>
  <si>
    <t>BĮ Klaipėdos miesto globos namuose gaisrinės saugos ir apsaugos sistemų gedimų šalinimo ir modernizavimo darbai</t>
  </si>
  <si>
    <t>Politinių kalinių ir tremtinių bei jų šeimų narių sugrįžimo į Lietuvą programos įgyvendinimas – daugiabučio gyvenamojo namo statybos sklype Rambyno g. 14A, Klaipėdoje, techninio projekto parengimas</t>
  </si>
  <si>
    <t>Asmenų su sunkia negalia, kuriems teikiamos socialinės globos paslaugos, skaičius (BĮ Neįgaliųjų centras „Klaipėdos lakštutė“)</t>
  </si>
  <si>
    <r>
      <t>A</t>
    </r>
    <r>
      <rPr>
        <sz val="10"/>
        <rFont val="Times New Roman"/>
        <family val="1"/>
        <charset val="186"/>
      </rPr>
      <t>smenų su sunkia negalia, kuriems teikiamos socialinės globos paslaugos, skaičius (VšĮ Klaipėdos pirminės sveikatos priežiūros centras)</t>
    </r>
  </si>
  <si>
    <t>Rekonstruota ir kapitališkai suremontuota patalpų, kv. m</t>
  </si>
  <si>
    <r>
      <t>O</t>
    </r>
    <r>
      <rPr>
        <sz val="10"/>
        <rFont val="Times New Roman"/>
        <family val="1"/>
        <charset val="186"/>
      </rPr>
      <t>bjektų, kuriuose  pašalintos galimų avarijų grėsmės ir likviduotos avarijos, skaičius</t>
    </r>
  </si>
  <si>
    <r>
      <t>S</t>
    </r>
    <r>
      <rPr>
        <sz val="10"/>
        <rFont val="Times New Roman"/>
        <family val="1"/>
        <charset val="186"/>
      </rPr>
      <t>utrumpėjo nuomininkų pasirinktos garantijos įvykdymo terminas, mėn.</t>
    </r>
  </si>
  <si>
    <r>
      <rPr>
        <sz val="10"/>
        <rFont val="Times New Roman"/>
        <family val="1"/>
        <charset val="186"/>
      </rPr>
      <t>Senyvo amžiaus asmenų bei asmenų su negalia, apgyvendintų globos institucijose per metus, sk</t>
    </r>
    <r>
      <rPr>
        <sz val="9"/>
        <rFont val="Times New Roman"/>
        <family val="1"/>
      </rPr>
      <t>.</t>
    </r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</si>
  <si>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</si>
  <si>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BĮ Neįgaliųjų centro „Klaipėdos laikštutė“ rūsio rekonstrukcijos techninio projekto parengimas</t>
  </si>
  <si>
    <t xml:space="preserve">BĮ Klaipėdos miesto globos namų statinio konstrukcijos pažeidimų pašalinimas </t>
  </si>
  <si>
    <t>Parengtų remontuoti butų skaičius</t>
  </si>
  <si>
    <t>Parengta remontuoti butų, skaičius</t>
  </si>
  <si>
    <t>Asmenų su sunkia negalia, kuriems teikiamos socialinės globos paslaugos, sk. („Klaipėdos lakštutė“)</t>
  </si>
  <si>
    <t>Paramą mokinio reikmenimis gaunantys mokiniai</t>
  </si>
  <si>
    <t>Įsigyta skalbimo ir džiovinimo mašina</t>
  </si>
  <si>
    <t xml:space="preserve">Senyvo amžiaus asmenims ir suaugusiems asmenims su negalia asmens namuose teikiamos paslaugos (pagalba į namus), asmenų skaičius </t>
  </si>
  <si>
    <t>Intervencijų į šeimas skaičius</t>
  </si>
  <si>
    <t>Socialinės rizikos asmenų, kuriems suteiktos trumpalaikės socialinės globos paslaugos, laikino apnakvindinimo paslaugos per metus, skaičius</t>
  </si>
  <si>
    <t>Suorganizuotas renginys – sporto šventė „Gatvės krepšinio 3x3 turnyras“</t>
  </si>
  <si>
    <t>Rekonstruota dalis pastato – 1373,64 kv. m.
Užbaigtumas, proc.</t>
  </si>
  <si>
    <t>Suremontuoti ir pritaikyti neįgaliesiems san. mazgai (Viršutinė g. 21 ir Šilutės pl. 8), vnt.</t>
  </si>
  <si>
    <t>Iš viso priemonei:</t>
  </si>
  <si>
    <t>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</si>
  <si>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</si>
  <si>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</si>
  <si>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</si>
  <si>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2015-ųjų metų lėšų planas</t>
  </si>
  <si>
    <t>2016-ųjų metų lėšų planas</t>
  </si>
  <si>
    <t>2015 m. planas</t>
  </si>
  <si>
    <t>2016 m.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</si>
</sst>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sz val="1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0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 wrapText="1"/>
    </xf>
    <xf numFmtId="49" fontId="10" fillId="3" borderId="19" xfId="0" applyNumberFormat="1" applyFont="1" applyFill="1" applyBorder="1" applyAlignment="1">
      <alignment vertical="top" wrapText="1"/>
    </xf>
    <xf numFmtId="49" fontId="10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9" fillId="4" borderId="9" xfId="0" applyFont="1" applyFill="1" applyBorder="1" applyAlignment="1">
      <alignment vertical="top" wrapText="1"/>
    </xf>
    <xf numFmtId="49" fontId="9" fillId="0" borderId="8" xfId="0" applyNumberFormat="1" applyFont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33" xfId="0" applyNumberFormat="1" applyFont="1" applyFill="1" applyBorder="1" applyAlignment="1">
      <alignment horizontal="center" vertical="top"/>
    </xf>
    <xf numFmtId="49" fontId="10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7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0" fontId="9" fillId="0" borderId="8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9" fontId="10" fillId="0" borderId="19" xfId="0" applyNumberFormat="1" applyFont="1" applyBorder="1" applyAlignment="1">
      <alignment vertical="top"/>
    </xf>
    <xf numFmtId="49" fontId="6" fillId="0" borderId="19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164" fontId="10" fillId="3" borderId="73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 wrapText="1"/>
    </xf>
    <xf numFmtId="2" fontId="11" fillId="0" borderId="15" xfId="0" applyNumberFormat="1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164" fontId="11" fillId="0" borderId="21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164" fontId="11" fillId="4" borderId="26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164" fontId="6" fillId="4" borderId="8" xfId="0" applyNumberFormat="1" applyFont="1" applyFill="1" applyBorder="1" applyAlignment="1">
      <alignment horizontal="center" vertical="top"/>
    </xf>
    <xf numFmtId="49" fontId="9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37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164" fontId="11" fillId="4" borderId="33" xfId="0" applyNumberFormat="1" applyFont="1" applyFill="1" applyBorder="1" applyAlignment="1">
      <alignment horizontal="center" vertical="top" wrapText="1"/>
    </xf>
    <xf numFmtId="164" fontId="11" fillId="4" borderId="16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9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2" fillId="0" borderId="0" xfId="0" applyFont="1" applyBorder="1"/>
    <xf numFmtId="164" fontId="11" fillId="4" borderId="13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vertical="top"/>
    </xf>
    <xf numFmtId="49" fontId="10" fillId="2" borderId="5" xfId="0" applyNumberFormat="1" applyFont="1" applyFill="1" applyBorder="1" applyAlignment="1">
      <alignment vertical="top"/>
    </xf>
    <xf numFmtId="49" fontId="10" fillId="3" borderId="7" xfId="0" applyNumberFormat="1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164" fontId="6" fillId="4" borderId="54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56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/>
    </xf>
    <xf numFmtId="49" fontId="10" fillId="3" borderId="19" xfId="0" applyNumberFormat="1" applyFont="1" applyFill="1" applyBorder="1" applyAlignment="1">
      <alignment vertical="top"/>
    </xf>
    <xf numFmtId="164" fontId="13" fillId="3" borderId="3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23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0" fillId="2" borderId="30" xfId="0" applyNumberFormat="1" applyFont="1" applyFill="1" applyBorder="1" applyAlignment="1">
      <alignment horizontal="center" vertical="top"/>
    </xf>
    <xf numFmtId="164" fontId="10" fillId="2" borderId="23" xfId="0" applyNumberFormat="1" applyFont="1" applyFill="1" applyBorder="1" applyAlignment="1">
      <alignment horizontal="center" vertical="top"/>
    </xf>
    <xf numFmtId="164" fontId="10" fillId="2" borderId="73" xfId="0" applyNumberFormat="1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49" fontId="10" fillId="0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top"/>
    </xf>
    <xf numFmtId="0" fontId="18" fillId="0" borderId="73" xfId="0" applyFont="1" applyBorder="1" applyAlignment="1">
      <alignment horizontal="center" vertical="center" wrapText="1"/>
    </xf>
    <xf numFmtId="164" fontId="9" fillId="5" borderId="73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/>
    </xf>
    <xf numFmtId="164" fontId="6" fillId="4" borderId="35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51" xfId="0" applyNumberFormat="1" applyFont="1" applyFill="1" applyBorder="1" applyAlignment="1">
      <alignment horizontal="center" vertical="top"/>
    </xf>
    <xf numFmtId="164" fontId="11" fillId="0" borderId="4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/>
    </xf>
    <xf numFmtId="164" fontId="11" fillId="0" borderId="3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51" xfId="0" applyNumberFormat="1" applyFont="1" applyFill="1" applyBorder="1" applyAlignment="1">
      <alignment horizontal="center" vertical="top"/>
    </xf>
    <xf numFmtId="164" fontId="11" fillId="0" borderId="14" xfId="0" applyNumberFormat="1" applyFont="1" applyFill="1" applyBorder="1" applyAlignment="1">
      <alignment horizontal="center" vertical="top"/>
    </xf>
    <xf numFmtId="164" fontId="11" fillId="0" borderId="36" xfId="0" applyNumberFormat="1" applyFont="1" applyFill="1" applyBorder="1" applyAlignment="1">
      <alignment horizontal="center" vertical="top"/>
    </xf>
    <xf numFmtId="164" fontId="11" fillId="0" borderId="66" xfId="0" applyNumberFormat="1" applyFont="1" applyFill="1" applyBorder="1" applyAlignment="1">
      <alignment horizontal="center" vertical="top"/>
    </xf>
    <xf numFmtId="164" fontId="11" fillId="0" borderId="50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horizontal="center" vertical="top"/>
    </xf>
    <xf numFmtId="164" fontId="11" fillId="0" borderId="11" xfId="0" applyNumberFormat="1" applyFont="1" applyFill="1" applyBorder="1" applyAlignment="1">
      <alignment horizontal="center" vertical="top"/>
    </xf>
    <xf numFmtId="164" fontId="11" fillId="0" borderId="49" xfId="0" applyNumberFormat="1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/>
    </xf>
    <xf numFmtId="164" fontId="6" fillId="4" borderId="78" xfId="0" applyNumberFormat="1" applyFont="1" applyFill="1" applyBorder="1" applyAlignment="1">
      <alignment horizontal="center" vertical="top"/>
    </xf>
    <xf numFmtId="164" fontId="6" fillId="4" borderId="36" xfId="0" applyNumberFormat="1" applyFont="1" applyFill="1" applyBorder="1" applyAlignment="1">
      <alignment horizontal="center" vertical="top"/>
    </xf>
    <xf numFmtId="164" fontId="1" fillId="0" borderId="80" xfId="0" applyNumberFormat="1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164" fontId="6" fillId="4" borderId="47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164" fontId="1" fillId="0" borderId="39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49" fontId="10" fillId="0" borderId="44" xfId="0" applyNumberFormat="1" applyFont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164" fontId="11" fillId="0" borderId="43" xfId="0" applyNumberFormat="1" applyFont="1" applyFill="1" applyBorder="1" applyAlignment="1">
      <alignment horizontal="center" vertical="top"/>
    </xf>
    <xf numFmtId="164" fontId="11" fillId="0" borderId="55" xfId="0" applyNumberFormat="1" applyFont="1" applyFill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vertical="top" wrapText="1"/>
    </xf>
    <xf numFmtId="164" fontId="11" fillId="0" borderId="57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11" fillId="0" borderId="53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/>
    </xf>
    <xf numFmtId="164" fontId="11" fillId="0" borderId="80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textRotation="180" wrapText="1"/>
    </xf>
    <xf numFmtId="164" fontId="11" fillId="0" borderId="14" xfId="0" applyNumberFormat="1" applyFont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164" fontId="6" fillId="0" borderId="45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4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/>
    </xf>
    <xf numFmtId="0" fontId="12" fillId="0" borderId="28" xfId="0" applyFont="1" applyBorder="1" applyAlignment="1">
      <alignment vertical="top"/>
    </xf>
    <xf numFmtId="49" fontId="10" fillId="4" borderId="8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0" fontId="10" fillId="0" borderId="10" xfId="0" applyFont="1" applyFill="1" applyBorder="1" applyAlignment="1">
      <alignment vertical="center" textRotation="90" wrapText="1"/>
    </xf>
    <xf numFmtId="49" fontId="9" fillId="0" borderId="34" xfId="0" applyNumberFormat="1" applyFont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 textRotation="90" wrapText="1"/>
    </xf>
    <xf numFmtId="49" fontId="10" fillId="4" borderId="20" xfId="0" applyNumberFormat="1" applyFont="1" applyFill="1" applyBorder="1" applyAlignment="1">
      <alignment horizontal="center" vertical="top" wrapText="1"/>
    </xf>
    <xf numFmtId="49" fontId="10" fillId="4" borderId="8" xfId="0" applyNumberFormat="1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64" fontId="6" fillId="4" borderId="43" xfId="0" applyNumberFormat="1" applyFont="1" applyFill="1" applyBorder="1" applyAlignment="1">
      <alignment horizontal="center" vertical="top"/>
    </xf>
    <xf numFmtId="164" fontId="6" fillId="4" borderId="55" xfId="0" applyNumberFormat="1" applyFont="1" applyFill="1" applyBorder="1" applyAlignment="1">
      <alignment horizontal="center" vertical="top"/>
    </xf>
    <xf numFmtId="49" fontId="10" fillId="4" borderId="20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textRotation="180" wrapText="1"/>
    </xf>
    <xf numFmtId="49" fontId="1" fillId="0" borderId="7" xfId="0" applyNumberFormat="1" applyFont="1" applyBorder="1" applyAlignment="1">
      <alignment vertical="center" wrapText="1"/>
    </xf>
    <xf numFmtId="0" fontId="9" fillId="0" borderId="35" xfId="0" applyNumberFormat="1" applyFont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top" wrapText="1"/>
    </xf>
    <xf numFmtId="164" fontId="6" fillId="4" borderId="45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9" fillId="0" borderId="34" xfId="0" applyNumberFormat="1" applyFont="1" applyBorder="1" applyAlignment="1">
      <alignment horizontal="center" vertical="center"/>
    </xf>
    <xf numFmtId="164" fontId="6" fillId="4" borderId="53" xfId="0" applyNumberFormat="1" applyFont="1" applyFill="1" applyBorder="1" applyAlignment="1">
      <alignment horizontal="center" vertical="top" wrapText="1"/>
    </xf>
    <xf numFmtId="164" fontId="6" fillId="4" borderId="55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 wrapText="1"/>
    </xf>
    <xf numFmtId="164" fontId="6" fillId="4" borderId="66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 wrapText="1"/>
    </xf>
    <xf numFmtId="0" fontId="9" fillId="6" borderId="62" xfId="0" applyFont="1" applyFill="1" applyBorder="1" applyAlignment="1">
      <alignment horizontal="center" vertical="top" wrapText="1"/>
    </xf>
    <xf numFmtId="164" fontId="10" fillId="6" borderId="41" xfId="0" applyNumberFormat="1" applyFont="1" applyFill="1" applyBorder="1" applyAlignment="1">
      <alignment horizontal="center" vertical="top"/>
    </xf>
    <xf numFmtId="164" fontId="10" fillId="6" borderId="2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164" fontId="6" fillId="4" borderId="65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6" fillId="4" borderId="64" xfId="0" applyNumberFormat="1" applyFont="1" applyFill="1" applyBorder="1" applyAlignment="1">
      <alignment horizontal="center" vertical="top" wrapText="1"/>
    </xf>
    <xf numFmtId="0" fontId="6" fillId="4" borderId="76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wrapText="1"/>
    </xf>
    <xf numFmtId="0" fontId="9" fillId="0" borderId="34" xfId="0" applyNumberFormat="1" applyFont="1" applyBorder="1" applyAlignment="1">
      <alignment vertical="center"/>
    </xf>
    <xf numFmtId="0" fontId="6" fillId="0" borderId="76" xfId="0" applyFont="1" applyFill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vertical="center" textRotation="90"/>
    </xf>
    <xf numFmtId="164" fontId="13" fillId="3" borderId="17" xfId="0" applyNumberFormat="1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 vertical="center" textRotation="90"/>
    </xf>
    <xf numFmtId="49" fontId="6" fillId="4" borderId="7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top" wrapText="1"/>
    </xf>
    <xf numFmtId="164" fontId="11" fillId="0" borderId="46" xfId="0" applyNumberFormat="1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 wrapText="1"/>
    </xf>
    <xf numFmtId="164" fontId="11" fillId="0" borderId="48" xfId="0" applyNumberFormat="1" applyFont="1" applyFill="1" applyBorder="1" applyAlignment="1">
      <alignment horizontal="center" vertical="top" wrapText="1"/>
    </xf>
    <xf numFmtId="0" fontId="11" fillId="0" borderId="69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4" fillId="0" borderId="0" xfId="0" applyNumberFormat="1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164" fontId="2" fillId="0" borderId="0" xfId="0" applyNumberFormat="1" applyFont="1"/>
    <xf numFmtId="0" fontId="9" fillId="0" borderId="11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center" textRotation="90" wrapText="1"/>
    </xf>
    <xf numFmtId="0" fontId="6" fillId="6" borderId="67" xfId="0" applyNumberFormat="1" applyFont="1" applyFill="1" applyBorder="1" applyAlignment="1">
      <alignment horizontal="center" vertical="center"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164" fontId="11" fillId="0" borderId="46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vertical="top"/>
    </xf>
    <xf numFmtId="164" fontId="11" fillId="0" borderId="13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79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/>
    </xf>
    <xf numFmtId="49" fontId="10" fillId="6" borderId="41" xfId="0" applyNumberFormat="1" applyFont="1" applyFill="1" applyBorder="1" applyAlignment="1">
      <alignment vertical="top"/>
    </xf>
    <xf numFmtId="49" fontId="10" fillId="0" borderId="50" xfId="0" applyNumberFormat="1" applyFont="1" applyBorder="1" applyAlignment="1">
      <alignment horizontal="center" vertical="top" wrapText="1"/>
    </xf>
    <xf numFmtId="49" fontId="9" fillId="6" borderId="11" xfId="0" applyNumberFormat="1" applyFont="1" applyFill="1" applyBorder="1" applyAlignment="1">
      <alignment horizontal="center" vertical="top"/>
    </xf>
    <xf numFmtId="49" fontId="10" fillId="6" borderId="11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center" textRotation="90" wrapText="1"/>
    </xf>
    <xf numFmtId="164" fontId="6" fillId="4" borderId="43" xfId="0" applyNumberFormat="1" applyFont="1" applyFill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center" textRotation="90" wrapText="1"/>
    </xf>
    <xf numFmtId="164" fontId="11" fillId="0" borderId="25" xfId="0" applyNumberFormat="1" applyFont="1" applyFill="1" applyBorder="1" applyAlignment="1">
      <alignment horizontal="center" vertical="top" wrapText="1"/>
    </xf>
    <xf numFmtId="49" fontId="10" fillId="2" borderId="28" xfId="0" applyNumberFormat="1" applyFont="1" applyFill="1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 wrapText="1"/>
    </xf>
    <xf numFmtId="0" fontId="9" fillId="4" borderId="22" xfId="0" applyFont="1" applyFill="1" applyBorder="1" applyAlignment="1">
      <alignment vertical="top" wrapText="1"/>
    </xf>
    <xf numFmtId="49" fontId="10" fillId="6" borderId="67" xfId="0" applyNumberFormat="1" applyFont="1" applyFill="1" applyBorder="1" applyAlignment="1">
      <alignment vertical="top"/>
    </xf>
    <xf numFmtId="49" fontId="9" fillId="6" borderId="35" xfId="0" applyNumberFormat="1" applyFont="1" applyFill="1" applyBorder="1" applyAlignment="1">
      <alignment horizontal="center" vertical="top"/>
    </xf>
    <xf numFmtId="164" fontId="13" fillId="6" borderId="40" xfId="0" applyNumberFormat="1" applyFont="1" applyFill="1" applyBorder="1" applyAlignment="1">
      <alignment horizontal="center" vertical="top"/>
    </xf>
    <xf numFmtId="164" fontId="6" fillId="0" borderId="13" xfId="0" applyNumberFormat="1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11" fillId="0" borderId="5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4" borderId="24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1" fillId="0" borderId="34" xfId="0" applyFont="1" applyFill="1" applyBorder="1" applyAlignment="1">
      <alignment vertical="top"/>
    </xf>
    <xf numFmtId="0" fontId="11" fillId="0" borderId="38" xfId="0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top"/>
    </xf>
    <xf numFmtId="0" fontId="11" fillId="0" borderId="24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/>
    </xf>
    <xf numFmtId="0" fontId="11" fillId="0" borderId="8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top" wrapText="1"/>
    </xf>
    <xf numFmtId="0" fontId="11" fillId="0" borderId="68" xfId="0" applyNumberFormat="1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top" wrapText="1"/>
    </xf>
    <xf numFmtId="0" fontId="11" fillId="0" borderId="44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horizontal="center" vertical="top" wrapText="1"/>
    </xf>
    <xf numFmtId="0" fontId="11" fillId="4" borderId="22" xfId="0" applyNumberFormat="1" applyFont="1" applyFill="1" applyBorder="1" applyAlignment="1">
      <alignment horizontal="center" vertical="top" wrapText="1"/>
    </xf>
    <xf numFmtId="0" fontId="11" fillId="4" borderId="60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78" xfId="0" applyNumberFormat="1" applyFont="1" applyFill="1" applyBorder="1" applyAlignment="1">
      <alignment horizontal="center" vertical="top" wrapText="1"/>
    </xf>
    <xf numFmtId="0" fontId="11" fillId="4" borderId="39" xfId="0" applyNumberFormat="1" applyFont="1" applyFill="1" applyBorder="1" applyAlignment="1">
      <alignment horizontal="center" vertical="top" wrapText="1"/>
    </xf>
    <xf numFmtId="0" fontId="11" fillId="4" borderId="79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12" xfId="0" applyNumberFormat="1" applyFont="1" applyBorder="1" applyAlignment="1">
      <alignment vertical="top"/>
    </xf>
    <xf numFmtId="0" fontId="11" fillId="0" borderId="21" xfId="0" applyNumberFormat="1" applyFont="1" applyBorder="1" applyAlignment="1">
      <alignment vertical="top"/>
    </xf>
    <xf numFmtId="0" fontId="11" fillId="4" borderId="8" xfId="0" applyNumberFormat="1" applyFont="1" applyFill="1" applyBorder="1" applyAlignment="1">
      <alignment vertical="top" wrapText="1"/>
    </xf>
    <xf numFmtId="0" fontId="11" fillId="4" borderId="7" xfId="0" applyNumberFormat="1" applyFont="1" applyFill="1" applyBorder="1" applyAlignment="1">
      <alignment vertical="top" wrapText="1"/>
    </xf>
    <xf numFmtId="0" fontId="11" fillId="4" borderId="22" xfId="0" applyNumberFormat="1" applyFont="1" applyFill="1" applyBorder="1" applyAlignment="1">
      <alignment vertical="top" wrapText="1"/>
    </xf>
    <xf numFmtId="0" fontId="11" fillId="0" borderId="12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1" fontId="11" fillId="0" borderId="46" xfId="0" applyNumberFormat="1" applyFont="1" applyFill="1" applyBorder="1" applyAlignment="1">
      <alignment horizontal="center" vertical="top"/>
    </xf>
    <xf numFmtId="1" fontId="11" fillId="0" borderId="47" xfId="0" applyNumberFormat="1" applyFont="1" applyFill="1" applyBorder="1" applyAlignment="1">
      <alignment horizontal="center" vertical="top"/>
    </xf>
    <xf numFmtId="1" fontId="11" fillId="0" borderId="4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vertical="center" wrapText="1"/>
    </xf>
    <xf numFmtId="1" fontId="16" fillId="0" borderId="0" xfId="0" applyNumberFormat="1" applyFont="1"/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68" xfId="0" applyNumberFormat="1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49" fontId="11" fillId="0" borderId="28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164" fontId="11" fillId="4" borderId="5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vertical="top"/>
    </xf>
    <xf numFmtId="164" fontId="10" fillId="4" borderId="52" xfId="0" applyNumberFormat="1" applyFont="1" applyFill="1" applyBorder="1" applyAlignment="1">
      <alignment vertical="top"/>
    </xf>
    <xf numFmtId="164" fontId="10" fillId="4" borderId="43" xfId="0" applyNumberFormat="1" applyFont="1" applyFill="1" applyBorder="1" applyAlignment="1">
      <alignment vertical="top"/>
    </xf>
    <xf numFmtId="164" fontId="22" fillId="0" borderId="1" xfId="0" applyNumberFormat="1" applyFont="1" applyFill="1" applyBorder="1" applyAlignment="1">
      <alignment horizontal="center" vertical="top"/>
    </xf>
    <xf numFmtId="164" fontId="11" fillId="0" borderId="69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/>
    </xf>
    <xf numFmtId="164" fontId="10" fillId="6" borderId="1" xfId="0" applyNumberFormat="1" applyFont="1" applyFill="1" applyBorder="1" applyAlignment="1">
      <alignment horizontal="center" vertical="top"/>
    </xf>
    <xf numFmtId="164" fontId="10" fillId="4" borderId="39" xfId="0" applyNumberFormat="1" applyFont="1" applyFill="1" applyBorder="1" applyAlignment="1">
      <alignment vertical="top"/>
    </xf>
    <xf numFmtId="49" fontId="10" fillId="4" borderId="14" xfId="0" applyNumberFormat="1" applyFont="1" applyFill="1" applyBorder="1" applyAlignment="1">
      <alignment vertical="top"/>
    </xf>
    <xf numFmtId="164" fontId="10" fillId="4" borderId="38" xfId="0" applyNumberFormat="1" applyFont="1" applyFill="1" applyBorder="1" applyAlignment="1">
      <alignment vertical="top"/>
    </xf>
    <xf numFmtId="49" fontId="10" fillId="4" borderId="66" xfId="0" applyNumberFormat="1" applyFont="1" applyFill="1" applyBorder="1" applyAlignment="1">
      <alignment vertical="top"/>
    </xf>
    <xf numFmtId="164" fontId="10" fillId="4" borderId="39" xfId="0" applyNumberFormat="1" applyFont="1" applyFill="1" applyBorder="1" applyAlignment="1">
      <alignment horizontal="center" vertical="top"/>
    </xf>
    <xf numFmtId="164" fontId="10" fillId="4" borderId="72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vertical="top"/>
    </xf>
    <xf numFmtId="164" fontId="10" fillId="6" borderId="2" xfId="0" applyNumberFormat="1" applyFont="1" applyFill="1" applyBorder="1" applyAlignment="1">
      <alignment vertical="top"/>
    </xf>
    <xf numFmtId="164" fontId="10" fillId="6" borderId="42" xfId="0" applyNumberFormat="1" applyFont="1" applyFill="1" applyBorder="1" applyAlignment="1">
      <alignment vertical="top"/>
    </xf>
    <xf numFmtId="164" fontId="22" fillId="6" borderId="2" xfId="0" applyNumberFormat="1" applyFont="1" applyFill="1" applyBorder="1" applyAlignment="1">
      <alignment horizontal="center" vertical="top"/>
    </xf>
    <xf numFmtId="164" fontId="22" fillId="0" borderId="43" xfId="0" applyNumberFormat="1" applyFont="1" applyFill="1" applyBorder="1" applyAlignment="1">
      <alignment horizontal="center" vertical="top"/>
    </xf>
    <xf numFmtId="164" fontId="10" fillId="6" borderId="1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34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9" fontId="9" fillId="0" borderId="31" xfId="0" applyNumberFormat="1" applyFont="1" applyBorder="1" applyAlignment="1">
      <alignment vertical="top"/>
    </xf>
    <xf numFmtId="164" fontId="13" fillId="3" borderId="27" xfId="0" applyNumberFormat="1" applyFont="1" applyFill="1" applyBorder="1" applyAlignment="1">
      <alignment horizontal="center" vertical="top"/>
    </xf>
    <xf numFmtId="164" fontId="10" fillId="2" borderId="29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4" borderId="4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/>
    </xf>
    <xf numFmtId="1" fontId="11" fillId="0" borderId="24" xfId="0" applyNumberFormat="1" applyFont="1" applyFill="1" applyBorder="1" applyAlignment="1">
      <alignment horizontal="center" vertical="top"/>
    </xf>
    <xf numFmtId="1" fontId="11" fillId="0" borderId="22" xfId="0" applyNumberFormat="1" applyFont="1" applyFill="1" applyBorder="1" applyAlignment="1">
      <alignment horizontal="center" vertical="top"/>
    </xf>
    <xf numFmtId="164" fontId="6" fillId="4" borderId="45" xfId="0" applyNumberFormat="1" applyFont="1" applyFill="1" applyBorder="1" applyAlignment="1">
      <alignment horizontal="center" vertical="top"/>
    </xf>
    <xf numFmtId="164" fontId="6" fillId="4" borderId="38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78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164" fontId="11" fillId="0" borderId="72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center" vertical="top"/>
    </xf>
    <xf numFmtId="164" fontId="11" fillId="0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164" fontId="8" fillId="0" borderId="33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164" fontId="6" fillId="4" borderId="65" xfId="0" applyNumberFormat="1" applyFont="1" applyFill="1" applyBorder="1" applyAlignment="1">
      <alignment horizontal="center" vertical="top"/>
    </xf>
    <xf numFmtId="1" fontId="11" fillId="0" borderId="52" xfId="0" applyNumberFormat="1" applyFont="1" applyFill="1" applyBorder="1" applyAlignment="1">
      <alignment horizontal="center" vertical="top"/>
    </xf>
    <xf numFmtId="164" fontId="11" fillId="0" borderId="46" xfId="0" applyNumberFormat="1" applyFont="1" applyBorder="1" applyAlignment="1">
      <alignment horizontal="center" vertical="top"/>
    </xf>
    <xf numFmtId="164" fontId="11" fillId="0" borderId="47" xfId="0" applyNumberFormat="1" applyFont="1" applyBorder="1" applyAlignment="1">
      <alignment horizontal="center" vertical="top"/>
    </xf>
    <xf numFmtId="164" fontId="11" fillId="0" borderId="58" xfId="0" applyNumberFormat="1" applyFont="1" applyBorder="1" applyAlignment="1">
      <alignment horizontal="center" vertical="top"/>
    </xf>
    <xf numFmtId="164" fontId="11" fillId="4" borderId="77" xfId="0" applyNumberFormat="1" applyFont="1" applyFill="1" applyBorder="1" applyAlignment="1">
      <alignment horizontal="center" vertical="top" wrapText="1"/>
    </xf>
    <xf numFmtId="2" fontId="11" fillId="0" borderId="16" xfId="0" applyNumberFormat="1" applyFont="1" applyFill="1" applyBorder="1" applyAlignment="1">
      <alignment vertical="top" wrapText="1"/>
    </xf>
    <xf numFmtId="0" fontId="11" fillId="0" borderId="46" xfId="0" applyFont="1" applyFill="1" applyBorder="1" applyAlignment="1">
      <alignment horizontal="center" vertical="top"/>
    </xf>
    <xf numFmtId="0" fontId="11" fillId="0" borderId="47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56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11" fillId="0" borderId="76" xfId="0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vertical="top" wrapText="1"/>
    </xf>
    <xf numFmtId="0" fontId="11" fillId="0" borderId="57" xfId="0" applyFont="1" applyFill="1" applyBorder="1" applyAlignment="1">
      <alignment horizontal="center" vertical="top"/>
    </xf>
    <xf numFmtId="0" fontId="11" fillId="0" borderId="37" xfId="0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center" vertical="top"/>
    </xf>
    <xf numFmtId="164" fontId="11" fillId="0" borderId="11" xfId="0" applyNumberFormat="1" applyFont="1" applyBorder="1" applyAlignment="1">
      <alignment horizontal="center" vertical="top"/>
    </xf>
    <xf numFmtId="164" fontId="11" fillId="0" borderId="12" xfId="0" applyNumberFormat="1" applyFont="1" applyBorder="1" applyAlignment="1">
      <alignment horizontal="center" vertical="top"/>
    </xf>
    <xf numFmtId="2" fontId="11" fillId="0" borderId="28" xfId="0" applyNumberFormat="1" applyFont="1" applyFill="1" applyBorder="1" applyAlignment="1">
      <alignment vertical="top" wrapText="1"/>
    </xf>
    <xf numFmtId="164" fontId="11" fillId="0" borderId="49" xfId="0" applyNumberFormat="1" applyFont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 wrapText="1"/>
    </xf>
    <xf numFmtId="164" fontId="11" fillId="0" borderId="32" xfId="0" applyNumberFormat="1" applyFont="1" applyBorder="1" applyAlignment="1">
      <alignment horizontal="left" vertical="top" wrapText="1"/>
    </xf>
    <xf numFmtId="164" fontId="11" fillId="0" borderId="72" xfId="0" applyNumberFormat="1" applyFont="1" applyBorder="1" applyAlignment="1">
      <alignment horizontal="center" vertical="top"/>
    </xf>
    <xf numFmtId="164" fontId="11" fillId="0" borderId="39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 wrapText="1"/>
    </xf>
    <xf numFmtId="164" fontId="11" fillId="0" borderId="80" xfId="0" applyNumberFormat="1" applyFont="1" applyBorder="1" applyAlignment="1">
      <alignment horizontal="left" vertical="top" wrapText="1"/>
    </xf>
    <xf numFmtId="164" fontId="11" fillId="0" borderId="45" xfId="0" applyNumberFormat="1" applyFont="1" applyBorder="1" applyAlignment="1">
      <alignment horizontal="center" vertical="top"/>
    </xf>
    <xf numFmtId="164" fontId="11" fillId="0" borderId="51" xfId="0" applyNumberFormat="1" applyFont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 wrapText="1"/>
    </xf>
    <xf numFmtId="164" fontId="11" fillId="0" borderId="56" xfId="0" applyNumberFormat="1" applyFont="1" applyBorder="1" applyAlignment="1">
      <alignment horizontal="left" vertical="top" wrapText="1"/>
    </xf>
    <xf numFmtId="164" fontId="11" fillId="0" borderId="10" xfId="0" applyNumberFormat="1" applyFont="1" applyBorder="1" applyAlignment="1">
      <alignment horizontal="center" vertical="top"/>
    </xf>
    <xf numFmtId="164" fontId="11" fillId="0" borderId="34" xfId="0" applyNumberFormat="1" applyFont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left" vertical="top" wrapText="1"/>
    </xf>
    <xf numFmtId="164" fontId="11" fillId="0" borderId="52" xfId="0" applyNumberFormat="1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left" vertical="top" wrapText="1"/>
    </xf>
    <xf numFmtId="164" fontId="11" fillId="4" borderId="45" xfId="0" applyNumberFormat="1" applyFont="1" applyFill="1" applyBorder="1" applyAlignment="1">
      <alignment horizontal="center" vertical="top"/>
    </xf>
    <xf numFmtId="164" fontId="11" fillId="0" borderId="50" xfId="0" applyNumberFormat="1" applyFont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top"/>
    </xf>
    <xf numFmtId="164" fontId="11" fillId="0" borderId="53" xfId="0" applyNumberFormat="1" applyFont="1" applyBorder="1" applyAlignment="1">
      <alignment horizontal="center" vertical="top"/>
    </xf>
    <xf numFmtId="0" fontId="11" fillId="0" borderId="53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164" fontId="11" fillId="0" borderId="52" xfId="0" applyNumberFormat="1" applyFont="1" applyBorder="1" applyAlignment="1">
      <alignment horizontal="center" vertical="top"/>
    </xf>
    <xf numFmtId="164" fontId="11" fillId="4" borderId="25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164" fontId="11" fillId="0" borderId="69" xfId="0" applyNumberFormat="1" applyFont="1" applyBorder="1" applyAlignment="1">
      <alignment horizontal="center" vertical="top"/>
    </xf>
    <xf numFmtId="0" fontId="11" fillId="0" borderId="80" xfId="0" applyFont="1" applyFill="1" applyBorder="1" applyAlignment="1">
      <alignment horizontal="center" vertical="top"/>
    </xf>
    <xf numFmtId="0" fontId="11" fillId="0" borderId="66" xfId="0" applyFont="1" applyFill="1" applyBorder="1" applyAlignment="1">
      <alignment horizontal="center" vertical="top"/>
    </xf>
    <xf numFmtId="164" fontId="11" fillId="0" borderId="80" xfId="0" applyNumberFormat="1" applyFont="1" applyBorder="1" applyAlignment="1">
      <alignment horizontal="center" vertical="top"/>
    </xf>
    <xf numFmtId="164" fontId="11" fillId="0" borderId="78" xfId="0" applyNumberFormat="1" applyFont="1" applyBorder="1" applyAlignment="1">
      <alignment horizontal="center" vertical="top"/>
    </xf>
    <xf numFmtId="2" fontId="11" fillId="0" borderId="80" xfId="0" applyNumberFormat="1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2" fontId="11" fillId="0" borderId="76" xfId="0" applyNumberFormat="1" applyFont="1" applyFill="1" applyBorder="1" applyAlignment="1">
      <alignment vertical="top" wrapText="1"/>
    </xf>
    <xf numFmtId="2" fontId="11" fillId="0" borderId="79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11" fillId="0" borderId="1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51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/>
    </xf>
    <xf numFmtId="0" fontId="6" fillId="0" borderId="22" xfId="0" applyNumberFormat="1" applyFont="1" applyBorder="1" applyAlignment="1">
      <alignment horizontal="center" vertical="center" textRotation="90" wrapText="1"/>
    </xf>
    <xf numFmtId="164" fontId="6" fillId="0" borderId="46" xfId="0" applyNumberFormat="1" applyFont="1" applyFill="1" applyBorder="1" applyAlignment="1">
      <alignment horizontal="center" vertical="top"/>
    </xf>
    <xf numFmtId="164" fontId="6" fillId="0" borderId="47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0" fontId="6" fillId="0" borderId="44" xfId="0" applyNumberFormat="1" applyFont="1" applyBorder="1" applyAlignment="1">
      <alignment horizontal="center" vertical="center" textRotation="90" wrapText="1"/>
    </xf>
    <xf numFmtId="164" fontId="6" fillId="4" borderId="34" xfId="0" applyNumberFormat="1" applyFont="1" applyFill="1" applyBorder="1" applyAlignment="1">
      <alignment horizontal="center" vertical="top" wrapText="1"/>
    </xf>
    <xf numFmtId="164" fontId="6" fillId="4" borderId="69" xfId="0" applyNumberFormat="1" applyFont="1" applyFill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21" xfId="0" applyNumberFormat="1" applyFont="1" applyBorder="1" applyAlignment="1">
      <alignment horizontal="center" vertical="top" wrapText="1"/>
    </xf>
    <xf numFmtId="0" fontId="7" fillId="0" borderId="68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0" fontId="7" fillId="0" borderId="44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 wrapText="1"/>
    </xf>
    <xf numFmtId="164" fontId="11" fillId="0" borderId="51" xfId="0" applyNumberFormat="1" applyFont="1" applyFill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center" vertical="top"/>
    </xf>
    <xf numFmtId="1" fontId="11" fillId="0" borderId="10" xfId="0" applyNumberFormat="1" applyFont="1" applyFill="1" applyBorder="1" applyAlignment="1">
      <alignment vertical="top"/>
    </xf>
    <xf numFmtId="1" fontId="11" fillId="0" borderId="12" xfId="0" applyNumberFormat="1" applyFont="1" applyFill="1" applyBorder="1" applyAlignment="1">
      <alignment vertical="top"/>
    </xf>
    <xf numFmtId="1" fontId="11" fillId="0" borderId="34" xfId="0" applyNumberFormat="1" applyFont="1" applyFill="1" applyBorder="1" applyAlignment="1">
      <alignment vertical="top"/>
    </xf>
    <xf numFmtId="1" fontId="11" fillId="0" borderId="17" xfId="0" applyNumberFormat="1" applyFont="1" applyFill="1" applyBorder="1" applyAlignment="1">
      <alignment vertical="top"/>
    </xf>
    <xf numFmtId="1" fontId="11" fillId="0" borderId="19" xfId="0" applyNumberFormat="1" applyFont="1" applyFill="1" applyBorder="1" applyAlignment="1">
      <alignment vertical="top"/>
    </xf>
    <xf numFmtId="1" fontId="11" fillId="0" borderId="31" xfId="0" applyNumberFormat="1" applyFont="1" applyFill="1" applyBorder="1" applyAlignment="1">
      <alignment vertical="top"/>
    </xf>
    <xf numFmtId="164" fontId="10" fillId="4" borderId="32" xfId="0" applyNumberFormat="1" applyFont="1" applyFill="1" applyBorder="1" applyAlignment="1">
      <alignment vertical="top"/>
    </xf>
    <xf numFmtId="164" fontId="10" fillId="4" borderId="56" xfId="0" applyNumberFormat="1" applyFont="1" applyFill="1" applyBorder="1" applyAlignment="1">
      <alignment vertical="top"/>
    </xf>
    <xf numFmtId="164" fontId="10" fillId="4" borderId="40" xfId="0" applyNumberFormat="1" applyFont="1" applyFill="1" applyBorder="1" applyAlignment="1">
      <alignment vertical="top"/>
    </xf>
    <xf numFmtId="164" fontId="10" fillId="4" borderId="16" xfId="0" applyNumberFormat="1" applyFont="1" applyFill="1" applyBorder="1" applyAlignment="1">
      <alignment vertical="top"/>
    </xf>
    <xf numFmtId="164" fontId="10" fillId="4" borderId="13" xfId="0" applyNumberFormat="1" applyFont="1" applyFill="1" applyBorder="1" applyAlignment="1">
      <alignment vertical="top"/>
    </xf>
    <xf numFmtId="164" fontId="10" fillId="4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/>
    </xf>
    <xf numFmtId="164" fontId="11" fillId="0" borderId="79" xfId="0" applyNumberFormat="1" applyFont="1" applyFill="1" applyBorder="1" applyAlignment="1">
      <alignment horizontal="center" vertical="top" wrapText="1"/>
    </xf>
    <xf numFmtId="164" fontId="11" fillId="4" borderId="37" xfId="0" applyNumberFormat="1" applyFont="1" applyFill="1" applyBorder="1" applyAlignment="1">
      <alignment horizontal="center" vertical="top" wrapText="1"/>
    </xf>
    <xf numFmtId="164" fontId="10" fillId="2" borderId="27" xfId="0" applyNumberFormat="1" applyFont="1" applyFill="1" applyBorder="1" applyAlignment="1">
      <alignment horizontal="center" vertical="top"/>
    </xf>
    <xf numFmtId="164" fontId="7" fillId="5" borderId="68" xfId="0" applyNumberFormat="1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center" vertical="top"/>
    </xf>
    <xf numFmtId="164" fontId="10" fillId="2" borderId="75" xfId="0" applyNumberFormat="1" applyFont="1" applyFill="1" applyBorder="1" applyAlignment="1">
      <alignment horizontal="center" vertical="top"/>
    </xf>
    <xf numFmtId="164" fontId="7" fillId="5" borderId="4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top"/>
    </xf>
    <xf numFmtId="164" fontId="8" fillId="4" borderId="47" xfId="0" applyNumberFormat="1" applyFont="1" applyFill="1" applyBorder="1" applyAlignment="1">
      <alignment horizontal="center" vertical="top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38" xfId="0" applyNumberFormat="1" applyFont="1" applyFill="1" applyBorder="1" applyAlignment="1">
      <alignment horizontal="center" vertical="top"/>
    </xf>
    <xf numFmtId="164" fontId="11" fillId="4" borderId="54" xfId="0" applyNumberFormat="1" applyFont="1" applyFill="1" applyBorder="1" applyAlignment="1">
      <alignment horizontal="center" vertical="top"/>
    </xf>
    <xf numFmtId="164" fontId="11" fillId="4" borderId="51" xfId="0" applyNumberFormat="1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0" fontId="9" fillId="0" borderId="78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center" textRotation="90" wrapText="1"/>
    </xf>
    <xf numFmtId="164" fontId="6" fillId="4" borderId="11" xfId="0" applyNumberFormat="1" applyFont="1" applyFill="1" applyBorder="1" applyAlignment="1">
      <alignment horizontal="center" vertical="top" wrapText="1"/>
    </xf>
    <xf numFmtId="164" fontId="6" fillId="4" borderId="80" xfId="0" applyNumberFormat="1" applyFont="1" applyFill="1" applyBorder="1" applyAlignment="1">
      <alignment horizontal="center" vertical="top" wrapText="1"/>
    </xf>
    <xf numFmtId="164" fontId="6" fillId="4" borderId="38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4" borderId="28" xfId="0" applyNumberFormat="1" applyFont="1" applyFill="1" applyBorder="1" applyAlignment="1">
      <alignment horizontal="center" vertical="top"/>
    </xf>
    <xf numFmtId="49" fontId="10" fillId="4" borderId="9" xfId="0" applyNumberFormat="1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164" fontId="11" fillId="4" borderId="64" xfId="0" applyNumberFormat="1" applyFont="1" applyFill="1" applyBorder="1" applyAlignment="1">
      <alignment horizontal="center" vertical="top"/>
    </xf>
    <xf numFmtId="164" fontId="10" fillId="6" borderId="54" xfId="0" applyNumberFormat="1" applyFont="1" applyFill="1" applyBorder="1" applyAlignment="1">
      <alignment horizontal="center" vertical="top"/>
    </xf>
    <xf numFmtId="164" fontId="10" fillId="6" borderId="43" xfId="0" applyNumberFormat="1" applyFont="1" applyFill="1" applyBorder="1" applyAlignment="1">
      <alignment horizontal="center" vertical="top"/>
    </xf>
    <xf numFmtId="164" fontId="10" fillId="6" borderId="60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164" fontId="6" fillId="0" borderId="4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164" fontId="11" fillId="4" borderId="32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164" fontId="11" fillId="8" borderId="38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vertical="top"/>
    </xf>
    <xf numFmtId="49" fontId="9" fillId="4" borderId="12" xfId="0" applyNumberFormat="1" applyFont="1" applyFill="1" applyBorder="1" applyAlignment="1">
      <alignment vertical="top"/>
    </xf>
    <xf numFmtId="164" fontId="1" fillId="0" borderId="62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/>
    </xf>
    <xf numFmtId="0" fontId="11" fillId="8" borderId="32" xfId="0" applyFont="1" applyFill="1" applyBorder="1" applyAlignment="1">
      <alignment horizontal="center" vertical="top"/>
    </xf>
    <xf numFmtId="0" fontId="11" fillId="8" borderId="47" xfId="0" applyFont="1" applyFill="1" applyBorder="1" applyAlignment="1">
      <alignment horizontal="center" vertical="top"/>
    </xf>
    <xf numFmtId="0" fontId="11" fillId="8" borderId="77" xfId="0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164" fontId="6" fillId="8" borderId="46" xfId="0" applyNumberFormat="1" applyFont="1" applyFill="1" applyBorder="1" applyAlignment="1">
      <alignment horizontal="center" vertical="top"/>
    </xf>
    <xf numFmtId="164" fontId="6" fillId="8" borderId="47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5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/>
    </xf>
    <xf numFmtId="164" fontId="6" fillId="8" borderId="45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11" fillId="0" borderId="6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/>
    </xf>
    <xf numFmtId="49" fontId="10" fillId="0" borderId="52" xfId="0" applyNumberFormat="1" applyFont="1" applyBorder="1" applyAlignment="1">
      <alignment vertical="center" textRotation="90"/>
    </xf>
    <xf numFmtId="49" fontId="13" fillId="0" borderId="55" xfId="0" applyNumberFormat="1" applyFont="1" applyBorder="1" applyAlignment="1">
      <alignment horizontal="center" vertical="top"/>
    </xf>
    <xf numFmtId="49" fontId="10" fillId="0" borderId="38" xfId="0" applyNumberFormat="1" applyFont="1" applyBorder="1" applyAlignment="1">
      <alignment vertical="center" textRotation="90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43" xfId="0" applyNumberFormat="1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/>
    </xf>
    <xf numFmtId="0" fontId="6" fillId="8" borderId="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9" fillId="4" borderId="24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textRotation="180" wrapText="1"/>
    </xf>
    <xf numFmtId="164" fontId="10" fillId="6" borderId="40" xfId="0" applyNumberFormat="1" applyFont="1" applyFill="1" applyBorder="1" applyAlignment="1">
      <alignment horizontal="center" vertical="top"/>
    </xf>
    <xf numFmtId="164" fontId="10" fillId="6" borderId="42" xfId="0" applyNumberFormat="1" applyFont="1" applyFill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center" vertical="top"/>
    </xf>
    <xf numFmtId="164" fontId="10" fillId="4" borderId="54" xfId="0" applyNumberFormat="1" applyFont="1" applyFill="1" applyBorder="1" applyAlignment="1">
      <alignment vertical="top"/>
    </xf>
    <xf numFmtId="164" fontId="10" fillId="4" borderId="25" xfId="0" applyNumberFormat="1" applyFont="1" applyFill="1" applyBorder="1" applyAlignment="1">
      <alignment vertical="top"/>
    </xf>
    <xf numFmtId="49" fontId="10" fillId="4" borderId="12" xfId="0" applyNumberFormat="1" applyFont="1" applyFill="1" applyBorder="1" applyAlignment="1">
      <alignment vertical="top"/>
    </xf>
    <xf numFmtId="49" fontId="10" fillId="4" borderId="11" xfId="0" applyNumberFormat="1" applyFont="1" applyFill="1" applyBorder="1" applyAlignment="1">
      <alignment vertical="top"/>
    </xf>
    <xf numFmtId="49" fontId="10" fillId="4" borderId="9" xfId="0" applyNumberFormat="1" applyFont="1" applyFill="1" applyBorder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70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vertical="top"/>
    </xf>
    <xf numFmtId="164" fontId="10" fillId="4" borderId="26" xfId="0" applyNumberFormat="1" applyFont="1" applyFill="1" applyBorder="1" applyAlignment="1">
      <alignment vertical="top"/>
    </xf>
    <xf numFmtId="49" fontId="10" fillId="4" borderId="81" xfId="0" applyNumberFormat="1" applyFont="1" applyFill="1" applyBorder="1" applyAlignment="1">
      <alignment horizontal="center" vertical="top"/>
    </xf>
    <xf numFmtId="0" fontId="6" fillId="0" borderId="15" xfId="0" applyNumberFormat="1" applyFont="1" applyFill="1" applyBorder="1" applyAlignment="1">
      <alignment horizontal="center" vertical="center" textRotation="90" wrapText="1"/>
    </xf>
    <xf numFmtId="0" fontId="6" fillId="0" borderId="70" xfId="0" applyNumberFormat="1" applyFont="1" applyBorder="1" applyAlignment="1">
      <alignment horizontal="center" vertical="center" textRotation="90" wrapText="1"/>
    </xf>
    <xf numFmtId="49" fontId="9" fillId="4" borderId="8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49" fontId="10" fillId="2" borderId="24" xfId="0" applyNumberFormat="1" applyFont="1" applyFill="1" applyBorder="1" applyAlignment="1">
      <alignment horizontal="center" vertical="top"/>
    </xf>
    <xf numFmtId="49" fontId="10" fillId="2" borderId="68" xfId="0" applyNumberFormat="1" applyFont="1" applyFill="1" applyBorder="1" applyAlignment="1">
      <alignment horizontal="center" vertical="top"/>
    </xf>
    <xf numFmtId="0" fontId="6" fillId="0" borderId="15" xfId="0" applyNumberFormat="1" applyFont="1" applyBorder="1" applyAlignment="1">
      <alignment horizontal="center" vertical="center" textRotation="90" wrapText="1"/>
    </xf>
    <xf numFmtId="164" fontId="10" fillId="6" borderId="56" xfId="0" applyNumberFormat="1" applyFont="1" applyFill="1" applyBorder="1" applyAlignment="1">
      <alignment horizontal="center" vertical="top"/>
    </xf>
    <xf numFmtId="164" fontId="11" fillId="0" borderId="77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 wrapText="1"/>
    </xf>
    <xf numFmtId="164" fontId="11" fillId="0" borderId="76" xfId="0" applyNumberFormat="1" applyFont="1" applyFill="1" applyBorder="1" applyAlignment="1">
      <alignment horizontal="center" vertical="top"/>
    </xf>
    <xf numFmtId="164" fontId="11" fillId="0" borderId="76" xfId="0" applyNumberFormat="1" applyFont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10" fillId="6" borderId="76" xfId="0" applyNumberFormat="1" applyFont="1" applyFill="1" applyBorder="1" applyAlignment="1">
      <alignment horizontal="center" vertical="top"/>
    </xf>
    <xf numFmtId="164" fontId="10" fillId="6" borderId="67" xfId="0" applyNumberFormat="1" applyFont="1" applyFill="1" applyBorder="1" applyAlignment="1">
      <alignment vertical="top"/>
    </xf>
    <xf numFmtId="164" fontId="16" fillId="0" borderId="0" xfId="0" applyNumberFormat="1" applyFont="1"/>
    <xf numFmtId="164" fontId="11" fillId="9" borderId="7" xfId="0" applyNumberFormat="1" applyFont="1" applyFill="1" applyBorder="1" applyAlignment="1">
      <alignment horizontal="center" vertical="top"/>
    </xf>
    <xf numFmtId="164" fontId="11" fillId="9" borderId="7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/>
    </xf>
    <xf numFmtId="164" fontId="11" fillId="9" borderId="45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center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34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" xfId="0" applyNumberFormat="1" applyFont="1" applyFill="1" applyBorder="1" applyAlignment="1">
      <alignment horizontal="center" vertical="top"/>
    </xf>
    <xf numFmtId="164" fontId="10" fillId="9" borderId="42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/>
    </xf>
    <xf numFmtId="164" fontId="11" fillId="9" borderId="47" xfId="0" applyNumberFormat="1" applyFont="1" applyFill="1" applyBorder="1" applyAlignment="1">
      <alignment horizontal="center" vertical="top"/>
    </xf>
    <xf numFmtId="164" fontId="11" fillId="9" borderId="48" xfId="0" applyNumberFormat="1" applyFont="1" applyFill="1" applyBorder="1" applyAlignment="1">
      <alignment horizontal="center" vertical="top"/>
    </xf>
    <xf numFmtId="164" fontId="11" fillId="9" borderId="51" xfId="0" applyNumberFormat="1" applyFont="1" applyFill="1" applyBorder="1" applyAlignment="1">
      <alignment horizontal="center" vertical="top"/>
    </xf>
    <xf numFmtId="164" fontId="11" fillId="9" borderId="38" xfId="0" applyNumberFormat="1" applyFont="1" applyFill="1" applyBorder="1" applyAlignment="1">
      <alignment horizontal="center" vertical="top"/>
    </xf>
    <xf numFmtId="164" fontId="11" fillId="9" borderId="39" xfId="0" applyNumberFormat="1" applyFont="1" applyFill="1" applyBorder="1" applyAlignment="1">
      <alignment horizontal="center" vertical="top"/>
    </xf>
    <xf numFmtId="164" fontId="11" fillId="9" borderId="36" xfId="0" applyNumberFormat="1" applyFont="1" applyFill="1" applyBorder="1" applyAlignment="1">
      <alignment horizontal="center" vertical="top"/>
    </xf>
    <xf numFmtId="164" fontId="11" fillId="9" borderId="10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34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top"/>
    </xf>
    <xf numFmtId="164" fontId="7" fillId="9" borderId="41" xfId="0" applyNumberFormat="1" applyFont="1" applyFill="1" applyBorder="1" applyAlignment="1">
      <alignment horizontal="center" vertical="top"/>
    </xf>
    <xf numFmtId="164" fontId="7" fillId="9" borderId="2" xfId="0" applyNumberFormat="1" applyFont="1" applyFill="1" applyBorder="1" applyAlignment="1">
      <alignment horizontal="center" vertical="top"/>
    </xf>
    <xf numFmtId="164" fontId="7" fillId="9" borderId="61" xfId="0" applyNumberFormat="1" applyFont="1" applyFill="1" applyBorder="1" applyAlignment="1">
      <alignment horizontal="center" vertical="top"/>
    </xf>
    <xf numFmtId="164" fontId="11" fillId="9" borderId="32" xfId="0" applyNumberFormat="1" applyFont="1" applyFill="1" applyBorder="1" applyAlignment="1">
      <alignment horizontal="center" vertical="top"/>
    </xf>
    <xf numFmtId="164" fontId="11" fillId="9" borderId="49" xfId="0" applyNumberFormat="1" applyFont="1" applyFill="1" applyBorder="1" applyAlignment="1">
      <alignment horizontal="center" vertical="top"/>
    </xf>
    <xf numFmtId="164" fontId="7" fillId="9" borderId="48" xfId="0" applyNumberFormat="1" applyFont="1" applyFill="1" applyBorder="1" applyAlignment="1">
      <alignment horizontal="center" vertical="top"/>
    </xf>
    <xf numFmtId="164" fontId="7" fillId="9" borderId="40" xfId="0" applyNumberFormat="1" applyFont="1" applyFill="1" applyBorder="1" applyAlignment="1">
      <alignment horizontal="center" vertical="top"/>
    </xf>
    <xf numFmtId="164" fontId="7" fillId="9" borderId="42" xfId="0" applyNumberFormat="1" applyFont="1" applyFill="1" applyBorder="1" applyAlignment="1">
      <alignment horizontal="center" vertical="top"/>
    </xf>
    <xf numFmtId="164" fontId="8" fillId="9" borderId="47" xfId="0" applyNumberFormat="1" applyFont="1" applyFill="1" applyBorder="1" applyAlignment="1">
      <alignment horizontal="center" vertical="top"/>
    </xf>
    <xf numFmtId="164" fontId="7" fillId="9" borderId="47" xfId="0" applyNumberFormat="1" applyFont="1" applyFill="1" applyBorder="1" applyAlignment="1">
      <alignment horizontal="center" vertical="top"/>
    </xf>
    <xf numFmtId="164" fontId="7" fillId="9" borderId="7" xfId="0" applyNumberFormat="1" applyFont="1" applyFill="1" applyBorder="1" applyAlignment="1">
      <alignment horizontal="center" vertical="top"/>
    </xf>
    <xf numFmtId="164" fontId="7" fillId="9" borderId="35" xfId="0" applyNumberFormat="1" applyFont="1" applyFill="1" applyBorder="1" applyAlignment="1">
      <alignment horizontal="center" vertical="top"/>
    </xf>
    <xf numFmtId="164" fontId="8" fillId="9" borderId="32" xfId="0" applyNumberFormat="1" applyFont="1" applyFill="1" applyBorder="1" applyAlignment="1">
      <alignment horizontal="center" vertical="top"/>
    </xf>
    <xf numFmtId="164" fontId="7" fillId="9" borderId="49" xfId="0" applyNumberFormat="1" applyFont="1" applyFill="1" applyBorder="1" applyAlignment="1">
      <alignment horizontal="center" vertical="top"/>
    </xf>
    <xf numFmtId="164" fontId="8" fillId="9" borderId="33" xfId="0" applyNumberFormat="1" applyFont="1" applyFill="1" applyBorder="1" applyAlignment="1">
      <alignment horizontal="center" vertical="top"/>
    </xf>
    <xf numFmtId="164" fontId="8" fillId="9" borderId="4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7" fillId="9" borderId="60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0" fillId="9" borderId="62" xfId="0" applyNumberFormat="1" applyFont="1" applyFill="1" applyBorder="1" applyAlignment="1">
      <alignment horizontal="center" vertical="top"/>
    </xf>
    <xf numFmtId="164" fontId="7" fillId="9" borderId="62" xfId="0" applyNumberFormat="1" applyFont="1" applyFill="1" applyBorder="1" applyAlignment="1">
      <alignment horizontal="center" vertical="top"/>
    </xf>
    <xf numFmtId="164" fontId="7" fillId="9" borderId="52" xfId="0" applyNumberFormat="1" applyFont="1" applyFill="1" applyBorder="1" applyAlignment="1">
      <alignment horizontal="center" vertical="top"/>
    </xf>
    <xf numFmtId="164" fontId="10" fillId="9" borderId="61" xfId="0" applyNumberFormat="1" applyFont="1" applyFill="1" applyBorder="1" applyAlignment="1">
      <alignment horizontal="center" vertical="top"/>
    </xf>
    <xf numFmtId="164" fontId="10" fillId="9" borderId="67" xfId="0" applyNumberFormat="1" applyFont="1" applyFill="1" applyBorder="1" applyAlignment="1">
      <alignment horizontal="center" vertical="top"/>
    </xf>
    <xf numFmtId="164" fontId="11" fillId="9" borderId="52" xfId="0" applyNumberFormat="1" applyFont="1" applyFill="1" applyBorder="1" applyAlignment="1">
      <alignment horizontal="center" vertical="top"/>
    </xf>
    <xf numFmtId="164" fontId="11" fillId="9" borderId="43" xfId="0" applyNumberFormat="1" applyFont="1" applyFill="1" applyBorder="1" applyAlignment="1">
      <alignment horizontal="center" vertical="top"/>
    </xf>
    <xf numFmtId="164" fontId="11" fillId="9" borderId="55" xfId="0" applyNumberFormat="1" applyFont="1" applyFill="1" applyBorder="1" applyAlignment="1">
      <alignment horizontal="center" vertical="top"/>
    </xf>
    <xf numFmtId="164" fontId="11" fillId="9" borderId="58" xfId="0" applyNumberFormat="1" applyFont="1" applyFill="1" applyBorder="1" applyAlignment="1">
      <alignment horizontal="center" vertical="top"/>
    </xf>
    <xf numFmtId="164" fontId="11" fillId="9" borderId="14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53" xfId="0" applyNumberFormat="1" applyFont="1" applyFill="1" applyBorder="1" applyAlignment="1">
      <alignment horizontal="center" vertical="top"/>
    </xf>
    <xf numFmtId="164" fontId="10" fillId="9" borderId="41" xfId="0" applyNumberFormat="1" applyFont="1" applyFill="1" applyBorder="1" applyAlignment="1">
      <alignment horizontal="center" vertical="top"/>
    </xf>
    <xf numFmtId="164" fontId="7" fillId="9" borderId="43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top"/>
    </xf>
    <xf numFmtId="164" fontId="10" fillId="9" borderId="43" xfId="0" applyNumberFormat="1" applyFont="1" applyFill="1" applyBorder="1" applyAlignment="1">
      <alignment horizontal="center" vertical="top"/>
    </xf>
    <xf numFmtId="164" fontId="10" fillId="9" borderId="60" xfId="0" applyNumberFormat="1" applyFont="1" applyFill="1" applyBorder="1" applyAlignment="1">
      <alignment horizontal="center" vertical="top"/>
    </xf>
    <xf numFmtId="164" fontId="7" fillId="9" borderId="53" xfId="0" applyNumberFormat="1" applyFont="1" applyFill="1" applyBorder="1" applyAlignment="1">
      <alignment horizontal="center" vertical="top"/>
    </xf>
    <xf numFmtId="164" fontId="12" fillId="9" borderId="64" xfId="0" applyNumberFormat="1" applyFont="1" applyFill="1" applyBorder="1" applyAlignment="1">
      <alignment horizontal="center" vertical="top"/>
    </xf>
    <xf numFmtId="164" fontId="11" fillId="9" borderId="64" xfId="0" applyNumberFormat="1" applyFont="1" applyFill="1" applyBorder="1" applyAlignment="1">
      <alignment horizontal="center" vertical="top"/>
    </xf>
    <xf numFmtId="164" fontId="11" fillId="9" borderId="50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center"/>
    </xf>
    <xf numFmtId="164" fontId="7" fillId="9" borderId="64" xfId="0" applyNumberFormat="1" applyFont="1" applyFill="1" applyBorder="1" applyAlignment="1">
      <alignment horizontal="center" vertical="center"/>
    </xf>
    <xf numFmtId="164" fontId="7" fillId="9" borderId="69" xfId="0" applyNumberFormat="1" applyFont="1" applyFill="1" applyBorder="1" applyAlignment="1">
      <alignment horizontal="center" vertical="center"/>
    </xf>
    <xf numFmtId="164" fontId="7" fillId="9" borderId="52" xfId="0" applyNumberFormat="1" applyFont="1" applyFill="1" applyBorder="1" applyAlignment="1">
      <alignment horizontal="center" vertical="center"/>
    </xf>
    <xf numFmtId="164" fontId="7" fillId="9" borderId="57" xfId="0" applyNumberFormat="1" applyFont="1" applyFill="1" applyBorder="1" applyAlignment="1">
      <alignment horizontal="center" vertical="center"/>
    </xf>
    <xf numFmtId="164" fontId="7" fillId="9" borderId="60" xfId="0" applyNumberFormat="1" applyFont="1" applyFill="1" applyBorder="1" applyAlignment="1">
      <alignment horizontal="center" vertical="center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60" xfId="0" applyNumberFormat="1" applyFont="1" applyFill="1" applyBorder="1" applyAlignment="1">
      <alignment horizontal="center" vertical="top"/>
    </xf>
    <xf numFmtId="164" fontId="9" fillId="9" borderId="61" xfId="0" applyNumberFormat="1" applyFont="1" applyFill="1" applyBorder="1" applyAlignment="1">
      <alignment horizontal="center" vertical="top"/>
    </xf>
    <xf numFmtId="164" fontId="9" fillId="9" borderId="67" xfId="0" applyNumberFormat="1" applyFont="1" applyFill="1" applyBorder="1" applyAlignment="1">
      <alignment horizontal="center" vertical="top"/>
    </xf>
    <xf numFmtId="164" fontId="9" fillId="9" borderId="62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/>
    </xf>
    <xf numFmtId="164" fontId="7" fillId="9" borderId="37" xfId="0" applyNumberFormat="1" applyFont="1" applyFill="1" applyBorder="1" applyAlignment="1">
      <alignment horizontal="center" vertical="top"/>
    </xf>
    <xf numFmtId="164" fontId="9" fillId="9" borderId="25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13" fillId="9" borderId="13" xfId="0" applyNumberFormat="1" applyFont="1" applyFill="1" applyBorder="1" applyAlignment="1">
      <alignment horizontal="center" vertical="top" wrapText="1"/>
    </xf>
    <xf numFmtId="164" fontId="13" fillId="9" borderId="76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center"/>
    </xf>
    <xf numFmtId="164" fontId="7" fillId="9" borderId="76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  <xf numFmtId="164" fontId="7" fillId="9" borderId="37" xfId="0" applyNumberFormat="1" applyFont="1" applyFill="1" applyBorder="1" applyAlignment="1">
      <alignment horizontal="center" vertical="center"/>
    </xf>
    <xf numFmtId="164" fontId="10" fillId="9" borderId="38" xfId="0" applyNumberFormat="1" applyFont="1" applyFill="1" applyBorder="1" applyAlignment="1">
      <alignment horizontal="center" vertical="top"/>
    </xf>
    <xf numFmtId="164" fontId="10" fillId="9" borderId="39" xfId="0" applyNumberFormat="1" applyFont="1" applyFill="1" applyBorder="1" applyAlignment="1">
      <alignment horizontal="center" vertical="top"/>
    </xf>
    <xf numFmtId="164" fontId="10" fillId="9" borderId="36" xfId="0" applyNumberFormat="1" applyFont="1" applyFill="1" applyBorder="1" applyAlignment="1">
      <alignment horizontal="center" vertical="top"/>
    </xf>
    <xf numFmtId="164" fontId="10" fillId="9" borderId="45" xfId="0" applyNumberFormat="1" applyFont="1" applyFill="1" applyBorder="1" applyAlignment="1">
      <alignment vertical="top"/>
    </xf>
    <xf numFmtId="164" fontId="10" fillId="9" borderId="1" xfId="0" applyNumberFormat="1" applyFont="1" applyFill="1" applyBorder="1" applyAlignment="1">
      <alignment vertical="top"/>
    </xf>
    <xf numFmtId="164" fontId="10" fillId="9" borderId="51" xfId="0" applyNumberFormat="1" applyFont="1" applyFill="1" applyBorder="1" applyAlignment="1">
      <alignment vertical="top"/>
    </xf>
    <xf numFmtId="164" fontId="10" fillId="9" borderId="52" xfId="0" applyNumberFormat="1" applyFont="1" applyFill="1" applyBorder="1" applyAlignment="1">
      <alignment vertical="top"/>
    </xf>
    <xf numFmtId="164" fontId="10" fillId="9" borderId="43" xfId="0" applyNumberFormat="1" applyFont="1" applyFill="1" applyBorder="1" applyAlignment="1">
      <alignment vertical="top"/>
    </xf>
    <xf numFmtId="164" fontId="10" fillId="9" borderId="55" xfId="0" applyNumberFormat="1" applyFont="1" applyFill="1" applyBorder="1" applyAlignment="1">
      <alignment vertical="top"/>
    </xf>
    <xf numFmtId="164" fontId="10" fillId="9" borderId="45" xfId="0" applyNumberFormat="1" applyFont="1" applyFill="1" applyBorder="1" applyAlignment="1">
      <alignment horizontal="center" vertical="top"/>
    </xf>
    <xf numFmtId="164" fontId="6" fillId="9" borderId="5" xfId="0" applyNumberFormat="1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top"/>
    </xf>
    <xf numFmtId="164" fontId="6" fillId="9" borderId="8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164" fontId="6" fillId="9" borderId="69" xfId="0" applyNumberFormat="1" applyFont="1" applyFill="1" applyBorder="1" applyAlignment="1">
      <alignment horizontal="center" vertical="top" wrapText="1"/>
    </xf>
    <xf numFmtId="164" fontId="6" fillId="9" borderId="1" xfId="0" applyNumberFormat="1" applyFont="1" applyFill="1" applyBorder="1" applyAlignment="1">
      <alignment horizontal="center" vertical="top" wrapText="1"/>
    </xf>
    <xf numFmtId="164" fontId="6" fillId="9" borderId="60" xfId="0" applyNumberFormat="1" applyFont="1" applyFill="1" applyBorder="1" applyAlignment="1">
      <alignment horizontal="center" vertical="top" wrapText="1"/>
    </xf>
    <xf numFmtId="164" fontId="6" fillId="9" borderId="43" xfId="0" applyNumberFormat="1" applyFont="1" applyFill="1" applyBorder="1" applyAlignment="1">
      <alignment horizontal="center" vertical="top" wrapText="1"/>
    </xf>
    <xf numFmtId="164" fontId="6" fillId="9" borderId="6" xfId="0" applyNumberFormat="1" applyFont="1" applyFill="1" applyBorder="1" applyAlignment="1">
      <alignment horizontal="center" vertical="top"/>
    </xf>
    <xf numFmtId="164" fontId="9" fillId="9" borderId="59" xfId="0" applyNumberFormat="1" applyFont="1" applyFill="1" applyBorder="1" applyAlignment="1">
      <alignment horizontal="center" vertical="top"/>
    </xf>
    <xf numFmtId="164" fontId="9" fillId="9" borderId="2" xfId="0" applyNumberFormat="1" applyFont="1" applyFill="1" applyBorder="1" applyAlignment="1">
      <alignment horizontal="center" vertical="top"/>
    </xf>
    <xf numFmtId="164" fontId="9" fillId="9" borderId="63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6" fillId="9" borderId="12" xfId="0" applyNumberFormat="1" applyFont="1" applyFill="1" applyBorder="1" applyAlignment="1">
      <alignment horizontal="center" vertical="top"/>
    </xf>
    <xf numFmtId="164" fontId="6" fillId="9" borderId="11" xfId="0" applyNumberFormat="1" applyFont="1" applyFill="1" applyBorder="1" applyAlignment="1">
      <alignment horizontal="center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9" borderId="41" xfId="0" applyNumberFormat="1" applyFont="1" applyFill="1" applyBorder="1" applyAlignment="1">
      <alignment horizontal="center" vertical="top"/>
    </xf>
    <xf numFmtId="164" fontId="11" fillId="9" borderId="21" xfId="0" applyNumberFormat="1" applyFont="1" applyFill="1" applyBorder="1" applyAlignment="1">
      <alignment horizontal="center" vertical="top"/>
    </xf>
    <xf numFmtId="164" fontId="11" fillId="9" borderId="76" xfId="0" applyNumberFormat="1" applyFont="1" applyFill="1" applyBorder="1" applyAlignment="1">
      <alignment horizontal="center" vertical="top"/>
    </xf>
    <xf numFmtId="164" fontId="7" fillId="9" borderId="67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center"/>
    </xf>
    <xf numFmtId="164" fontId="7" fillId="9" borderId="61" xfId="0" applyNumberFormat="1" applyFont="1" applyFill="1" applyBorder="1" applyAlignment="1">
      <alignment horizontal="center" vertical="center"/>
    </xf>
    <xf numFmtId="164" fontId="7" fillId="9" borderId="67" xfId="0" applyNumberFormat="1" applyFont="1" applyFill="1" applyBorder="1" applyAlignment="1">
      <alignment horizontal="center" vertical="center"/>
    </xf>
    <xf numFmtId="164" fontId="7" fillId="9" borderId="4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 wrapText="1"/>
    </xf>
    <xf numFmtId="164" fontId="6" fillId="9" borderId="51" xfId="0" applyNumberFormat="1" applyFont="1" applyFill="1" applyBorder="1" applyAlignment="1">
      <alignment horizontal="center" vertical="top" wrapText="1"/>
    </xf>
    <xf numFmtId="164" fontId="6" fillId="9" borderId="10" xfId="0" applyNumberFormat="1" applyFont="1" applyFill="1" applyBorder="1" applyAlignment="1">
      <alignment horizontal="center" vertical="top" wrapText="1"/>
    </xf>
    <xf numFmtId="164" fontId="6" fillId="9" borderId="11" xfId="0" applyNumberFormat="1" applyFont="1" applyFill="1" applyBorder="1" applyAlignment="1">
      <alignment horizontal="center" vertical="top" wrapText="1"/>
    </xf>
    <xf numFmtId="164" fontId="6" fillId="9" borderId="34" xfId="0" applyNumberFormat="1" applyFont="1" applyFill="1" applyBorder="1" applyAlignment="1">
      <alignment horizontal="center" vertical="top" wrapText="1"/>
    </xf>
    <xf numFmtId="164" fontId="9" fillId="9" borderId="52" xfId="0" applyNumberFormat="1" applyFont="1" applyFill="1" applyBorder="1" applyAlignment="1">
      <alignment horizontal="center" vertical="top" wrapText="1"/>
    </xf>
    <xf numFmtId="164" fontId="9" fillId="9" borderId="53" xfId="0" applyNumberFormat="1" applyFont="1" applyFill="1" applyBorder="1" applyAlignment="1">
      <alignment horizontal="center" vertical="top" wrapText="1"/>
    </xf>
    <xf numFmtId="164" fontId="9" fillId="9" borderId="55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 wrapText="1"/>
    </xf>
    <xf numFmtId="164" fontId="6" fillId="9" borderId="53" xfId="0" applyNumberFormat="1" applyFont="1" applyFill="1" applyBorder="1" applyAlignment="1">
      <alignment horizontal="center" vertical="top" wrapText="1"/>
    </xf>
    <xf numFmtId="164" fontId="6" fillId="9" borderId="55" xfId="0" applyNumberFormat="1" applyFont="1" applyFill="1" applyBorder="1" applyAlignment="1">
      <alignment horizontal="center" vertical="top" wrapText="1"/>
    </xf>
    <xf numFmtId="164" fontId="6" fillId="9" borderId="36" xfId="0" applyNumberFormat="1" applyFont="1" applyFill="1" applyBorder="1" applyAlignment="1">
      <alignment horizontal="center" vertical="top" wrapText="1"/>
    </xf>
    <xf numFmtId="164" fontId="9" fillId="9" borderId="80" xfId="0" applyNumberFormat="1" applyFont="1" applyFill="1" applyBorder="1" applyAlignment="1">
      <alignment horizontal="center" vertical="top" wrapText="1"/>
    </xf>
    <xf numFmtId="164" fontId="9" fillId="9" borderId="66" xfId="0" applyNumberFormat="1" applyFont="1" applyFill="1" applyBorder="1" applyAlignment="1">
      <alignment horizontal="center" vertical="top" wrapText="1"/>
    </xf>
    <xf numFmtId="164" fontId="9" fillId="9" borderId="36" xfId="0" applyNumberFormat="1" applyFont="1" applyFill="1" applyBorder="1" applyAlignment="1">
      <alignment horizontal="center" vertical="top" wrapText="1"/>
    </xf>
    <xf numFmtId="164" fontId="6" fillId="9" borderId="38" xfId="0" applyNumberFormat="1" applyFont="1" applyFill="1" applyBorder="1" applyAlignment="1">
      <alignment horizontal="center" vertical="top" wrapText="1"/>
    </xf>
    <xf numFmtId="164" fontId="6" fillId="9" borderId="39" xfId="0" applyNumberFormat="1" applyFont="1" applyFill="1" applyBorder="1" applyAlignment="1">
      <alignment horizontal="center" vertical="top" wrapText="1"/>
    </xf>
    <xf numFmtId="164" fontId="6" fillId="9" borderId="12" xfId="0" applyNumberFormat="1" applyFont="1" applyFill="1" applyBorder="1" applyAlignment="1">
      <alignment horizontal="center" vertical="top" wrapText="1"/>
    </xf>
    <xf numFmtId="164" fontId="9" fillId="9" borderId="54" xfId="0" applyNumberFormat="1" applyFont="1" applyFill="1" applyBorder="1" applyAlignment="1">
      <alignment horizontal="center" vertical="top" wrapText="1"/>
    </xf>
    <xf numFmtId="164" fontId="9" fillId="9" borderId="43" xfId="0" applyNumberFormat="1" applyFont="1" applyFill="1" applyBorder="1" applyAlignment="1">
      <alignment horizontal="center" vertical="top" wrapText="1"/>
    </xf>
    <xf numFmtId="164" fontId="9" fillId="9" borderId="60" xfId="0" applyNumberFormat="1" applyFont="1" applyFill="1" applyBorder="1" applyAlignment="1">
      <alignment horizontal="center" vertical="top" wrapText="1"/>
    </xf>
    <xf numFmtId="164" fontId="9" fillId="9" borderId="15" xfId="0" applyNumberFormat="1" applyFont="1" applyFill="1" applyBorder="1" applyAlignment="1">
      <alignment horizontal="center" vertical="top" wrapText="1"/>
    </xf>
    <xf numFmtId="164" fontId="9" fillId="9" borderId="21" xfId="0" applyNumberFormat="1" applyFont="1" applyFill="1" applyBorder="1" applyAlignment="1">
      <alignment horizontal="center" vertical="top" wrapText="1"/>
    </xf>
    <xf numFmtId="164" fontId="9" fillId="9" borderId="26" xfId="0" applyNumberFormat="1" applyFont="1" applyFill="1" applyBorder="1" applyAlignment="1">
      <alignment horizontal="center" vertical="top" wrapText="1"/>
    </xf>
    <xf numFmtId="164" fontId="9" fillId="9" borderId="79" xfId="0" applyNumberFormat="1" applyFont="1" applyFill="1" applyBorder="1" applyAlignment="1">
      <alignment horizontal="center" vertical="top" wrapText="1"/>
    </xf>
    <xf numFmtId="164" fontId="9" fillId="9" borderId="25" xfId="0" applyNumberFormat="1" applyFont="1" applyFill="1" applyBorder="1" applyAlignment="1">
      <alignment horizontal="center" vertical="top" wrapText="1"/>
    </xf>
    <xf numFmtId="164" fontId="9" fillId="9" borderId="57" xfId="0" applyNumberFormat="1" applyFont="1" applyFill="1" applyBorder="1" applyAlignment="1">
      <alignment horizontal="center" vertical="top" wrapText="1"/>
    </xf>
    <xf numFmtId="164" fontId="6" fillId="9" borderId="52" xfId="0" applyNumberFormat="1" applyFont="1" applyFill="1" applyBorder="1" applyAlignment="1">
      <alignment horizontal="center" vertical="top" wrapText="1"/>
    </xf>
    <xf numFmtId="164" fontId="7" fillId="9" borderId="57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14" xfId="0" applyNumberFormat="1" applyFont="1" applyFill="1" applyBorder="1" applyAlignment="1">
      <alignment horizontal="center" vertical="top" wrapText="1"/>
    </xf>
    <xf numFmtId="164" fontId="11" fillId="9" borderId="47" xfId="0" applyNumberFormat="1" applyFont="1" applyFill="1" applyBorder="1" applyAlignment="1">
      <alignment horizontal="center" vertical="top" wrapText="1"/>
    </xf>
    <xf numFmtId="164" fontId="11" fillId="9" borderId="48" xfId="0" applyNumberFormat="1" applyFont="1" applyFill="1" applyBorder="1" applyAlignment="1">
      <alignment horizontal="center" vertical="top" wrapText="1"/>
    </xf>
    <xf numFmtId="164" fontId="11" fillId="9" borderId="37" xfId="0" applyNumberFormat="1" applyFont="1" applyFill="1" applyBorder="1" applyAlignment="1">
      <alignment horizontal="center" vertical="top"/>
    </xf>
    <xf numFmtId="164" fontId="9" fillId="9" borderId="73" xfId="0" applyNumberFormat="1" applyFont="1" applyFill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center" vertical="top"/>
    </xf>
    <xf numFmtId="0" fontId="10" fillId="9" borderId="40" xfId="0" applyFont="1" applyFill="1" applyBorder="1" applyAlignment="1">
      <alignment horizontal="center" vertical="top"/>
    </xf>
    <xf numFmtId="164" fontId="7" fillId="9" borderId="63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 wrapText="1"/>
    </xf>
    <xf numFmtId="164" fontId="9" fillId="9" borderId="42" xfId="0" applyNumberFormat="1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7" fillId="9" borderId="1" xfId="0" applyNumberFormat="1" applyFont="1" applyFill="1" applyBorder="1" applyAlignment="1">
      <alignment horizontal="center" vertical="top"/>
    </xf>
    <xf numFmtId="164" fontId="7" fillId="9" borderId="14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vertical="top"/>
    </xf>
    <xf numFmtId="0" fontId="10" fillId="9" borderId="55" xfId="0" applyFont="1" applyFill="1" applyBorder="1" applyAlignment="1">
      <alignment horizontal="center" vertical="top"/>
    </xf>
    <xf numFmtId="164" fontId="9" fillId="9" borderId="43" xfId="0" applyNumberFormat="1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/>
    </xf>
    <xf numFmtId="164" fontId="7" fillId="9" borderId="56" xfId="0" applyNumberFormat="1" applyFont="1" applyFill="1" applyBorder="1" applyAlignment="1">
      <alignment horizontal="center" vertical="top"/>
    </xf>
    <xf numFmtId="164" fontId="7" fillId="9" borderId="51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10" fillId="9" borderId="13" xfId="0" applyFont="1" applyFill="1" applyBorder="1" applyAlignment="1">
      <alignment horizontal="center" vertical="top"/>
    </xf>
    <xf numFmtId="0" fontId="10" fillId="9" borderId="26" xfId="0" applyFont="1" applyFill="1" applyBorder="1" applyAlignment="1">
      <alignment horizontal="center" vertical="top"/>
    </xf>
    <xf numFmtId="164" fontId="6" fillId="9" borderId="46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8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horizontal="center" vertical="top" wrapText="1"/>
    </xf>
    <xf numFmtId="164" fontId="10" fillId="9" borderId="52" xfId="0" applyNumberFormat="1" applyFont="1" applyFill="1" applyBorder="1" applyAlignment="1">
      <alignment horizontal="center" vertical="top" wrapText="1"/>
    </xf>
    <xf numFmtId="0" fontId="9" fillId="9" borderId="26" xfId="0" applyFont="1" applyFill="1" applyBorder="1" applyAlignment="1">
      <alignment horizontal="center" vertical="top" wrapText="1"/>
    </xf>
    <xf numFmtId="164" fontId="10" fillId="9" borderId="80" xfId="0" applyNumberFormat="1" applyFont="1" applyFill="1" applyBorder="1" applyAlignment="1">
      <alignment horizontal="center" vertical="top" wrapText="1"/>
    </xf>
    <xf numFmtId="164" fontId="10" fillId="9" borderId="54" xfId="0" applyNumberFormat="1" applyFont="1" applyFill="1" applyBorder="1" applyAlignment="1">
      <alignment horizontal="center" vertical="top" wrapText="1"/>
    </xf>
    <xf numFmtId="0" fontId="9" fillId="9" borderId="37" xfId="0" applyFont="1" applyFill="1" applyBorder="1" applyAlignment="1">
      <alignment horizontal="center" vertical="top" wrapText="1"/>
    </xf>
    <xf numFmtId="0" fontId="10" fillId="9" borderId="37" xfId="0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left" vertical="top" wrapText="1"/>
    </xf>
    <xf numFmtId="164" fontId="6" fillId="9" borderId="50" xfId="0" applyNumberFormat="1" applyFont="1" applyFill="1" applyBorder="1" applyAlignment="1">
      <alignment horizontal="center" vertical="top"/>
    </xf>
    <xf numFmtId="164" fontId="11" fillId="9" borderId="56" xfId="0" applyNumberFormat="1" applyFont="1" applyFill="1" applyBorder="1" applyAlignment="1">
      <alignment horizontal="center" vertical="top"/>
    </xf>
    <xf numFmtId="164" fontId="11" fillId="9" borderId="80" xfId="0" applyNumberFormat="1" applyFont="1" applyFill="1" applyBorder="1" applyAlignment="1">
      <alignment horizontal="center" vertical="top"/>
    </xf>
    <xf numFmtId="164" fontId="13" fillId="6" borderId="41" xfId="0" applyNumberFormat="1" applyFont="1" applyFill="1" applyBorder="1" applyAlignment="1">
      <alignment horizontal="center" vertical="top"/>
    </xf>
    <xf numFmtId="164" fontId="13" fillId="6" borderId="2" xfId="0" applyNumberFormat="1" applyFont="1" applyFill="1" applyBorder="1" applyAlignment="1">
      <alignment horizontal="center" vertical="top"/>
    </xf>
    <xf numFmtId="164" fontId="13" fillId="3" borderId="71" xfId="0" applyNumberFormat="1" applyFont="1" applyFill="1" applyBorder="1" applyAlignment="1">
      <alignment horizontal="center" vertical="top"/>
    </xf>
    <xf numFmtId="164" fontId="13" fillId="3" borderId="68" xfId="0" applyNumberFormat="1" applyFont="1" applyFill="1" applyBorder="1" applyAlignment="1">
      <alignment horizontal="center" vertical="top"/>
    </xf>
    <xf numFmtId="0" fontId="9" fillId="6" borderId="25" xfId="0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vertical="top" wrapText="1"/>
    </xf>
    <xf numFmtId="164" fontId="11" fillId="4" borderId="28" xfId="0" applyNumberFormat="1" applyFont="1" applyFill="1" applyBorder="1" applyAlignment="1">
      <alignment horizontal="center" vertical="top" wrapText="1"/>
    </xf>
    <xf numFmtId="164" fontId="7" fillId="9" borderId="4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vertical="top"/>
    </xf>
    <xf numFmtId="2" fontId="11" fillId="0" borderId="7" xfId="0" applyNumberFormat="1" applyFont="1" applyFill="1" applyBorder="1" applyAlignment="1">
      <alignment vertical="top"/>
    </xf>
    <xf numFmtId="2" fontId="11" fillId="0" borderId="35" xfId="0" applyNumberFormat="1" applyFont="1" applyFill="1" applyBorder="1" applyAlignment="1">
      <alignment vertical="top"/>
    </xf>
    <xf numFmtId="164" fontId="11" fillId="4" borderId="32" xfId="0" applyNumberFormat="1" applyFont="1" applyFill="1" applyBorder="1" applyAlignment="1">
      <alignment horizontal="center" vertical="top" wrapText="1"/>
    </xf>
    <xf numFmtId="0" fontId="9" fillId="8" borderId="55" xfId="0" applyNumberFormat="1" applyFont="1" applyFill="1" applyBorder="1" applyAlignment="1">
      <alignment horizontal="center" vertical="top"/>
    </xf>
    <xf numFmtId="0" fontId="9" fillId="8" borderId="34" xfId="0" applyNumberFormat="1" applyFont="1" applyFill="1" applyBorder="1" applyAlignment="1">
      <alignment vertical="top"/>
    </xf>
    <xf numFmtId="0" fontId="1" fillId="8" borderId="37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7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4" borderId="70" xfId="0" applyFont="1" applyFill="1" applyBorder="1" applyAlignment="1">
      <alignment vertical="top" wrapText="1"/>
    </xf>
    <xf numFmtId="0" fontId="9" fillId="0" borderId="20" xfId="0" applyNumberFormat="1" applyFont="1" applyBorder="1" applyAlignment="1">
      <alignment horizontal="center" vertical="top"/>
    </xf>
    <xf numFmtId="2" fontId="11" fillId="0" borderId="68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164" fontId="6" fillId="9" borderId="0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 wrapText="1"/>
    </xf>
    <xf numFmtId="49" fontId="9" fillId="4" borderId="19" xfId="0" applyNumberFormat="1" applyFont="1" applyFill="1" applyBorder="1" applyAlignment="1">
      <alignment vertical="top"/>
    </xf>
    <xf numFmtId="164" fontId="11" fillId="0" borderId="79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/>
    </xf>
    <xf numFmtId="0" fontId="11" fillId="0" borderId="11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 wrapText="1"/>
    </xf>
    <xf numFmtId="0" fontId="9" fillId="0" borderId="55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top" wrapText="1"/>
    </xf>
    <xf numFmtId="49" fontId="1" fillId="0" borderId="39" xfId="0" applyNumberFormat="1" applyFont="1" applyBorder="1" applyAlignment="1">
      <alignment vertical="top" wrapText="1"/>
    </xf>
    <xf numFmtId="0" fontId="9" fillId="0" borderId="36" xfId="0" applyNumberFormat="1" applyFont="1" applyBorder="1" applyAlignment="1">
      <alignment horizontal="center" vertical="top"/>
    </xf>
    <xf numFmtId="0" fontId="10" fillId="0" borderId="52" xfId="0" applyFont="1" applyFill="1" applyBorder="1" applyAlignment="1">
      <alignment horizontal="center" vertical="top" wrapText="1"/>
    </xf>
    <xf numFmtId="0" fontId="9" fillId="0" borderId="37" xfId="0" applyNumberFormat="1" applyFont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 wrapText="1"/>
    </xf>
    <xf numFmtId="0" fontId="9" fillId="0" borderId="79" xfId="0" applyNumberFormat="1" applyFont="1" applyBorder="1" applyAlignment="1">
      <alignment horizontal="center" vertical="top"/>
    </xf>
    <xf numFmtId="49" fontId="6" fillId="8" borderId="43" xfId="0" applyNumberFormat="1" applyFont="1" applyFill="1" applyBorder="1" applyAlignment="1">
      <alignment vertical="top" wrapText="1"/>
    </xf>
    <xf numFmtId="49" fontId="6" fillId="8" borderId="39" xfId="0" applyNumberFormat="1" applyFont="1" applyFill="1" applyBorder="1" applyAlignment="1">
      <alignment vertical="top" wrapText="1"/>
    </xf>
    <xf numFmtId="49" fontId="6" fillId="8" borderId="12" xfId="0" applyNumberFormat="1" applyFont="1" applyFill="1" applyBorder="1" applyAlignment="1">
      <alignment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0" fillId="9" borderId="53" xfId="0" applyFont="1" applyFill="1" applyBorder="1" applyAlignment="1">
      <alignment horizontal="center" vertical="top"/>
    </xf>
    <xf numFmtId="164" fontId="6" fillId="0" borderId="14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/>
    </xf>
    <xf numFmtId="164" fontId="11" fillId="4" borderId="14" xfId="0" applyNumberFormat="1" applyFont="1" applyFill="1" applyBorder="1" applyAlignment="1">
      <alignment horizontal="center" vertical="top"/>
    </xf>
    <xf numFmtId="164" fontId="11" fillId="4" borderId="53" xfId="0" applyNumberFormat="1" applyFont="1" applyFill="1" applyBorder="1" applyAlignment="1">
      <alignment horizontal="center" vertical="top"/>
    </xf>
    <xf numFmtId="164" fontId="10" fillId="6" borderId="53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vertical="top"/>
    </xf>
    <xf numFmtId="164" fontId="10" fillId="4" borderId="66" xfId="0" applyNumberFormat="1" applyFont="1" applyFill="1" applyBorder="1" applyAlignment="1">
      <alignment vertical="top"/>
    </xf>
    <xf numFmtId="164" fontId="10" fillId="4" borderId="14" xfId="0" applyNumberFormat="1" applyFont="1" applyFill="1" applyBorder="1" applyAlignment="1">
      <alignment vertical="top"/>
    </xf>
    <xf numFmtId="164" fontId="10" fillId="4" borderId="53" xfId="0" applyNumberFormat="1" applyFont="1" applyFill="1" applyBorder="1" applyAlignment="1">
      <alignment vertical="top"/>
    </xf>
    <xf numFmtId="164" fontId="11" fillId="0" borderId="48" xfId="0" applyNumberFormat="1" applyFont="1" applyBorder="1" applyAlignment="1">
      <alignment horizontal="center" vertical="top"/>
    </xf>
    <xf numFmtId="164" fontId="11" fillId="4" borderId="36" xfId="0" applyNumberFormat="1" applyFont="1" applyFill="1" applyBorder="1" applyAlignment="1">
      <alignment horizontal="center" vertical="top"/>
    </xf>
    <xf numFmtId="164" fontId="11" fillId="4" borderId="34" xfId="0" applyNumberFormat="1" applyFont="1" applyFill="1" applyBorder="1" applyAlignment="1">
      <alignment horizontal="center" vertical="top"/>
    </xf>
    <xf numFmtId="164" fontId="11" fillId="8" borderId="56" xfId="0" applyNumberFormat="1" applyFont="1" applyFill="1" applyBorder="1" applyAlignment="1">
      <alignment horizontal="center" vertical="top"/>
    </xf>
    <xf numFmtId="164" fontId="11" fillId="8" borderId="51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11" fillId="8" borderId="3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center" vertical="top"/>
    </xf>
    <xf numFmtId="164" fontId="9" fillId="9" borderId="54" xfId="0" applyNumberFormat="1" applyFont="1" applyFill="1" applyBorder="1" applyAlignment="1">
      <alignment horizontal="center" vertical="top"/>
    </xf>
    <xf numFmtId="0" fontId="9" fillId="9" borderId="37" xfId="0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/>
    </xf>
    <xf numFmtId="164" fontId="13" fillId="9" borderId="51" xfId="0" applyNumberFormat="1" applyFont="1" applyFill="1" applyBorder="1" applyAlignment="1">
      <alignment horizontal="center" vertical="top"/>
    </xf>
    <xf numFmtId="164" fontId="10" fillId="6" borderId="45" xfId="0" applyNumberFormat="1" applyFont="1" applyFill="1" applyBorder="1" applyAlignment="1">
      <alignment horizontal="center" vertical="top"/>
    </xf>
    <xf numFmtId="164" fontId="10" fillId="6" borderId="51" xfId="0" applyNumberFormat="1" applyFont="1" applyFill="1" applyBorder="1" applyAlignment="1">
      <alignment horizontal="center" vertical="top"/>
    </xf>
    <xf numFmtId="164" fontId="22" fillId="6" borderId="40" xfId="0" applyNumberFormat="1" applyFont="1" applyFill="1" applyBorder="1" applyAlignment="1">
      <alignment horizontal="center" vertical="top"/>
    </xf>
    <xf numFmtId="164" fontId="22" fillId="6" borderId="67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horizontal="center" vertical="top"/>
    </xf>
    <xf numFmtId="164" fontId="10" fillId="4" borderId="36" xfId="0" applyNumberFormat="1" applyFont="1" applyFill="1" applyBorder="1" applyAlignment="1">
      <alignment horizontal="center" vertical="top"/>
    </xf>
    <xf numFmtId="164" fontId="22" fillId="0" borderId="45" xfId="0" applyNumberFormat="1" applyFont="1" applyFill="1" applyBorder="1" applyAlignment="1">
      <alignment horizontal="center" vertical="top"/>
    </xf>
    <xf numFmtId="164" fontId="10" fillId="4" borderId="51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horizontal="center" vertical="top"/>
    </xf>
    <xf numFmtId="164" fontId="22" fillId="0" borderId="52" xfId="0" applyNumberFormat="1" applyFont="1" applyFill="1" applyBorder="1" applyAlignment="1">
      <alignment horizontal="center" vertical="top"/>
    </xf>
    <xf numFmtId="164" fontId="10" fillId="4" borderId="55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center" vertical="top" wrapText="1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36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165" fontId="13" fillId="4" borderId="0" xfId="0" applyNumberFormat="1" applyFont="1" applyFill="1" applyBorder="1" applyAlignment="1">
      <alignment horizontal="center" vertical="center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164" fontId="6" fillId="4" borderId="50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164" fontId="6" fillId="8" borderId="45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 wrapText="1"/>
    </xf>
    <xf numFmtId="164" fontId="6" fillId="9" borderId="14" xfId="0" applyNumberFormat="1" applyFont="1" applyFill="1" applyBorder="1" applyAlignment="1">
      <alignment horizontal="center" vertical="top" wrapText="1"/>
    </xf>
    <xf numFmtId="164" fontId="6" fillId="8" borderId="56" xfId="0" applyNumberFormat="1" applyFont="1" applyFill="1" applyBorder="1" applyAlignment="1">
      <alignment horizontal="center" vertical="top" wrapText="1"/>
    </xf>
    <xf numFmtId="164" fontId="6" fillId="9" borderId="56" xfId="0" applyNumberFormat="1" applyFont="1" applyFill="1" applyBorder="1" applyAlignment="1">
      <alignment horizontal="center" vertical="top" wrapText="1"/>
    </xf>
    <xf numFmtId="164" fontId="6" fillId="9" borderId="80" xfId="0" applyNumberFormat="1" applyFont="1" applyFill="1" applyBorder="1" applyAlignment="1">
      <alignment horizontal="center" vertical="top" wrapText="1"/>
    </xf>
    <xf numFmtId="164" fontId="6" fillId="9" borderId="66" xfId="0" applyNumberFormat="1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 wrapText="1"/>
    </xf>
    <xf numFmtId="164" fontId="6" fillId="8" borderId="13" xfId="0" applyNumberFormat="1" applyFont="1" applyFill="1" applyBorder="1" applyAlignment="1">
      <alignment horizontal="center" vertical="top" wrapText="1"/>
    </xf>
    <xf numFmtId="164" fontId="6" fillId="8" borderId="52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 wrapText="1"/>
    </xf>
    <xf numFmtId="164" fontId="6" fillId="8" borderId="15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6" fillId="0" borderId="43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6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0" fontId="11" fillId="0" borderId="6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1" xfId="0" applyNumberFormat="1" applyFont="1" applyFill="1" applyBorder="1" applyAlignment="1">
      <alignment horizontal="center" vertical="top"/>
    </xf>
    <xf numFmtId="164" fontId="8" fillId="9" borderId="10" xfId="0" applyNumberFormat="1" applyFont="1" applyFill="1" applyBorder="1" applyAlignment="1">
      <alignment horizontal="center" vertical="top"/>
    </xf>
    <xf numFmtId="164" fontId="8" fillId="9" borderId="12" xfId="0" applyNumberFormat="1" applyFont="1" applyFill="1" applyBorder="1" applyAlignment="1">
      <alignment horizontal="center" vertical="top"/>
    </xf>
    <xf numFmtId="164" fontId="13" fillId="9" borderId="43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top"/>
    </xf>
    <xf numFmtId="164" fontId="8" fillId="9" borderId="52" xfId="0" applyNumberFormat="1" applyFont="1" applyFill="1" applyBorder="1" applyAlignment="1">
      <alignment horizontal="center" vertical="top"/>
    </xf>
    <xf numFmtId="164" fontId="8" fillId="9" borderId="43" xfId="0" applyNumberFormat="1" applyFont="1" applyFill="1" applyBorder="1" applyAlignment="1">
      <alignment horizontal="center" vertical="top"/>
    </xf>
    <xf numFmtId="164" fontId="9" fillId="9" borderId="60" xfId="0" applyNumberFormat="1" applyFont="1" applyFill="1" applyBorder="1" applyAlignment="1">
      <alignment horizontal="center" vertical="top"/>
    </xf>
    <xf numFmtId="164" fontId="8" fillId="9" borderId="38" xfId="0" applyNumberFormat="1" applyFont="1" applyFill="1" applyBorder="1" applyAlignment="1">
      <alignment horizontal="center" vertical="top"/>
    </xf>
    <xf numFmtId="164" fontId="8" fillId="9" borderId="39" xfId="0" applyNumberFormat="1" applyFont="1" applyFill="1" applyBorder="1" applyAlignment="1">
      <alignment horizontal="center" vertical="top"/>
    </xf>
    <xf numFmtId="164" fontId="8" fillId="9" borderId="69" xfId="0" applyNumberFormat="1" applyFont="1" applyFill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vertical="top"/>
    </xf>
    <xf numFmtId="49" fontId="1" fillId="6" borderId="11" xfId="0" applyNumberFormat="1" applyFont="1" applyFill="1" applyBorder="1" applyAlignment="1">
      <alignment vertical="top"/>
    </xf>
    <xf numFmtId="49" fontId="1" fillId="6" borderId="66" xfId="0" applyNumberFormat="1" applyFont="1" applyFill="1" applyBorder="1" applyAlignment="1">
      <alignment vertical="top"/>
    </xf>
    <xf numFmtId="49" fontId="1" fillId="8" borderId="60" xfId="0" applyNumberFormat="1" applyFont="1" applyFill="1" applyBorder="1" applyAlignment="1">
      <alignment vertical="top"/>
    </xf>
    <xf numFmtId="49" fontId="1" fillId="8" borderId="0" xfId="0" applyNumberFormat="1" applyFont="1" applyFill="1" applyBorder="1" applyAlignment="1">
      <alignment vertical="top"/>
    </xf>
    <xf numFmtId="49" fontId="1" fillId="8" borderId="78" xfId="0" applyNumberFormat="1" applyFont="1" applyFill="1" applyBorder="1" applyAlignment="1">
      <alignment vertical="top"/>
    </xf>
    <xf numFmtId="49" fontId="1" fillId="8" borderId="43" xfId="0" applyNumberFormat="1" applyFont="1" applyFill="1" applyBorder="1" applyAlignment="1">
      <alignment vertical="top"/>
    </xf>
    <xf numFmtId="49" fontId="1" fillId="8" borderId="12" xfId="0" applyNumberFormat="1" applyFont="1" applyFill="1" applyBorder="1" applyAlignment="1">
      <alignment vertical="top"/>
    </xf>
    <xf numFmtId="49" fontId="1" fillId="8" borderId="39" xfId="0" applyNumberFormat="1" applyFont="1" applyFill="1" applyBorder="1" applyAlignment="1">
      <alignment vertical="top"/>
    </xf>
    <xf numFmtId="0" fontId="1" fillId="6" borderId="0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9" fillId="0" borderId="78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vertical="top" wrapText="1"/>
    </xf>
    <xf numFmtId="49" fontId="1" fillId="8" borderId="25" xfId="0" applyNumberFormat="1" applyFont="1" applyFill="1" applyBorder="1" applyAlignment="1">
      <alignment vertical="top"/>
    </xf>
    <xf numFmtId="49" fontId="1" fillId="8" borderId="15" xfId="0" applyNumberFormat="1" applyFont="1" applyFill="1" applyBorder="1" applyAlignment="1">
      <alignment vertical="top"/>
    </xf>
    <xf numFmtId="49" fontId="1" fillId="8" borderId="26" xfId="0" applyNumberFormat="1" applyFont="1" applyFill="1" applyBorder="1" applyAlignment="1">
      <alignment vertical="top"/>
    </xf>
    <xf numFmtId="0" fontId="11" fillId="4" borderId="13" xfId="0" applyFont="1" applyFill="1" applyBorder="1" applyAlignment="1">
      <alignment horizontal="center" vertical="top" wrapText="1"/>
    </xf>
    <xf numFmtId="1" fontId="8" fillId="8" borderId="10" xfId="0" applyNumberFormat="1" applyFont="1" applyFill="1" applyBorder="1" applyAlignment="1">
      <alignment horizontal="center" vertical="top"/>
    </xf>
    <xf numFmtId="1" fontId="8" fillId="8" borderId="12" xfId="0" applyNumberFormat="1" applyFont="1" applyFill="1" applyBorder="1" applyAlignment="1">
      <alignment horizontal="center" vertical="top"/>
    </xf>
    <xf numFmtId="1" fontId="8" fillId="8" borderId="34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6" fillId="8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164" fontId="8" fillId="9" borderId="5" xfId="0" applyNumberFormat="1" applyFont="1" applyFill="1" applyBorder="1" applyAlignment="1">
      <alignment horizontal="center" vertical="top"/>
    </xf>
    <xf numFmtId="164" fontId="8" fillId="9" borderId="65" xfId="0" applyNumberFormat="1" applyFont="1" applyFill="1" applyBorder="1" applyAlignment="1">
      <alignment horizontal="center" vertical="top"/>
    </xf>
    <xf numFmtId="164" fontId="8" fillId="9" borderId="8" xfId="0" applyNumberFormat="1" applyFont="1" applyFill="1" applyBorder="1" applyAlignment="1">
      <alignment horizontal="center" vertical="top"/>
    </xf>
    <xf numFmtId="164" fontId="8" fillId="4" borderId="22" xfId="0" applyNumberFormat="1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164" fontId="8" fillId="8" borderId="0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center"/>
    </xf>
    <xf numFmtId="164" fontId="8" fillId="9" borderId="64" xfId="0" applyNumberFormat="1" applyFont="1" applyFill="1" applyBorder="1" applyAlignment="1">
      <alignment horizontal="center" vertical="center"/>
    </xf>
    <xf numFmtId="164" fontId="8" fillId="9" borderId="69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11" fillId="9" borderId="78" xfId="0" applyNumberFormat="1" applyFont="1" applyFill="1" applyBorder="1" applyAlignment="1">
      <alignment horizontal="center" vertical="top"/>
    </xf>
    <xf numFmtId="164" fontId="7" fillId="9" borderId="4" xfId="0" applyNumberFormat="1" applyFont="1" applyFill="1" applyBorder="1" applyAlignment="1">
      <alignment horizontal="center" vertical="center"/>
    </xf>
    <xf numFmtId="164" fontId="7" fillId="9" borderId="30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164" fontId="11" fillId="9" borderId="54" xfId="0" applyNumberFormat="1" applyFont="1" applyFill="1" applyBorder="1" applyAlignment="1">
      <alignment horizontal="center" vertical="top"/>
    </xf>
    <xf numFmtId="164" fontId="11" fillId="8" borderId="52" xfId="0" applyNumberFormat="1" applyFont="1" applyFill="1" applyBorder="1" applyAlignment="1">
      <alignment horizontal="center" vertical="top"/>
    </xf>
    <xf numFmtId="0" fontId="11" fillId="8" borderId="28" xfId="0" applyFont="1" applyFill="1" applyBorder="1" applyAlignment="1">
      <alignment horizontal="center" vertical="top"/>
    </xf>
    <xf numFmtId="0" fontId="11" fillId="8" borderId="12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horizontal="center" vertical="top"/>
    </xf>
    <xf numFmtId="164" fontId="11" fillId="9" borderId="11" xfId="0" applyNumberFormat="1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164" fontId="12" fillId="9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11" fillId="0" borderId="21" xfId="0" applyNumberFormat="1" applyFont="1" applyBorder="1" applyAlignment="1">
      <alignment horizontal="center" vertical="top"/>
    </xf>
    <xf numFmtId="164" fontId="8" fillId="9" borderId="28" xfId="0" applyNumberFormat="1" applyFont="1" applyFill="1" applyBorder="1" applyAlignment="1">
      <alignment horizontal="center" vertical="top"/>
    </xf>
    <xf numFmtId="164" fontId="11" fillId="9" borderId="79" xfId="0" applyNumberFormat="1" applyFont="1" applyFill="1" applyBorder="1" applyAlignment="1">
      <alignment horizontal="center" vertical="top"/>
    </xf>
    <xf numFmtId="164" fontId="12" fillId="9" borderId="50" xfId="0" applyNumberFormat="1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horizontal="center" vertical="top" wrapText="1"/>
    </xf>
    <xf numFmtId="2" fontId="11" fillId="0" borderId="28" xfId="0" applyNumberFormat="1" applyFont="1" applyFill="1" applyBorder="1" applyAlignment="1">
      <alignment horizontal="center" vertical="top"/>
    </xf>
    <xf numFmtId="2" fontId="11" fillId="0" borderId="12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center" vertical="top"/>
    </xf>
    <xf numFmtId="0" fontId="11" fillId="4" borderId="35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9" fontId="10" fillId="0" borderId="34" xfId="0" applyNumberFormat="1" applyFont="1" applyBorder="1" applyAlignment="1">
      <alignment horizontal="center" vertical="top" wrapText="1"/>
    </xf>
    <xf numFmtId="0" fontId="11" fillId="0" borderId="52" xfId="0" applyNumberFormat="1" applyFont="1" applyFill="1" applyBorder="1" applyAlignment="1">
      <alignment horizontal="center" vertical="top" wrapText="1"/>
    </xf>
    <xf numFmtId="0" fontId="11" fillId="0" borderId="43" xfId="0" applyNumberFormat="1" applyFont="1" applyFill="1" applyBorder="1" applyAlignment="1">
      <alignment horizontal="center" vertical="top" wrapText="1"/>
    </xf>
    <xf numFmtId="0" fontId="11" fillId="0" borderId="55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164" fontId="6" fillId="8" borderId="5" xfId="0" applyNumberFormat="1" applyFont="1" applyFill="1" applyBorder="1" applyAlignment="1">
      <alignment horizontal="center" vertical="top" wrapText="1"/>
    </xf>
    <xf numFmtId="164" fontId="6" fillId="8" borderId="22" xfId="0" applyNumberFormat="1" applyFont="1" applyFill="1" applyBorder="1" applyAlignment="1">
      <alignment horizontal="center" vertical="top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6" fillId="9" borderId="24" xfId="0" applyNumberFormat="1" applyFont="1" applyFill="1" applyBorder="1" applyAlignment="1">
      <alignment horizontal="center" vertical="top" wrapText="1"/>
    </xf>
    <xf numFmtId="164" fontId="6" fillId="9" borderId="48" xfId="0" applyNumberFormat="1" applyFont="1" applyFill="1" applyBorder="1" applyAlignment="1">
      <alignment horizontal="center" vertical="top" wrapText="1"/>
    </xf>
    <xf numFmtId="164" fontId="6" fillId="9" borderId="65" xfId="0" applyNumberFormat="1" applyFont="1" applyFill="1" applyBorder="1" applyAlignment="1">
      <alignment horizontal="center" vertical="top" wrapText="1"/>
    </xf>
    <xf numFmtId="164" fontId="6" fillId="9" borderId="4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164" fontId="9" fillId="9" borderId="28" xfId="0" applyNumberFormat="1" applyFont="1" applyFill="1" applyBorder="1" applyAlignment="1">
      <alignment horizontal="center" vertical="top" wrapText="1"/>
    </xf>
    <xf numFmtId="164" fontId="9" fillId="9" borderId="34" xfId="0" applyNumberFormat="1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vertical="top"/>
    </xf>
    <xf numFmtId="49" fontId="9" fillId="4" borderId="11" xfId="0" applyNumberFormat="1" applyFont="1" applyFill="1" applyBorder="1" applyAlignment="1">
      <alignment vertical="top"/>
    </xf>
    <xf numFmtId="0" fontId="10" fillId="9" borderId="60" xfId="0" applyFont="1" applyFill="1" applyBorder="1" applyAlignment="1">
      <alignment horizontal="center" vertical="top"/>
    </xf>
    <xf numFmtId="164" fontId="13" fillId="6" borderId="59" xfId="0" applyNumberFormat="1" applyFont="1" applyFill="1" applyBorder="1" applyAlignment="1">
      <alignment horizontal="center" vertical="top"/>
    </xf>
    <xf numFmtId="164" fontId="13" fillId="3" borderId="19" xfId="0" applyNumberFormat="1" applyFont="1" applyFill="1" applyBorder="1" applyAlignment="1">
      <alignment horizontal="center" vertical="top"/>
    </xf>
    <xf numFmtId="164" fontId="13" fillId="6" borderId="63" xfId="0" applyNumberFormat="1" applyFont="1" applyFill="1" applyBorder="1" applyAlignment="1">
      <alignment horizontal="center" vertical="top"/>
    </xf>
    <xf numFmtId="164" fontId="13" fillId="3" borderId="30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/>
    </xf>
    <xf numFmtId="164" fontId="9" fillId="9" borderId="11" xfId="0" applyNumberFormat="1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vertical="top"/>
    </xf>
    <xf numFmtId="164" fontId="7" fillId="9" borderId="10" xfId="0" applyNumberFormat="1" applyFont="1" applyFill="1" applyBorder="1" applyAlignment="1">
      <alignment horizontal="center" vertical="top"/>
    </xf>
    <xf numFmtId="164" fontId="7" fillId="9" borderId="50" xfId="0" applyNumberFormat="1" applyFont="1" applyFill="1" applyBorder="1" applyAlignment="1">
      <alignment horizontal="center" vertical="top"/>
    </xf>
    <xf numFmtId="164" fontId="7" fillId="8" borderId="15" xfId="0" applyNumberFormat="1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164" fontId="11" fillId="8" borderId="25" xfId="0" applyNumberFormat="1" applyFont="1" applyFill="1" applyBorder="1" applyAlignment="1">
      <alignment horizontal="center" vertical="top" wrapText="1"/>
    </xf>
    <xf numFmtId="0" fontId="6" fillId="8" borderId="28" xfId="0" applyFont="1" applyFill="1" applyBorder="1" applyAlignment="1">
      <alignment horizontal="center" vertical="top"/>
    </xf>
    <xf numFmtId="164" fontId="11" fillId="8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164" fontId="11" fillId="9" borderId="39" xfId="0" applyNumberFormat="1" applyFont="1" applyFill="1" applyBorder="1" applyAlignment="1">
      <alignment horizontal="center" vertical="top" wrapText="1"/>
    </xf>
    <xf numFmtId="164" fontId="11" fillId="9" borderId="66" xfId="0" applyNumberFormat="1" applyFont="1" applyFill="1" applyBorder="1" applyAlignment="1">
      <alignment horizontal="center" vertical="top" wrapText="1"/>
    </xf>
    <xf numFmtId="164" fontId="11" fillId="9" borderId="12" xfId="0" applyNumberFormat="1" applyFont="1" applyFill="1" applyBorder="1" applyAlignment="1">
      <alignment horizontal="center" vertical="top" wrapText="1"/>
    </xf>
    <xf numFmtId="164" fontId="11" fillId="9" borderId="11" xfId="0" applyNumberFormat="1" applyFont="1" applyFill="1" applyBorder="1" applyAlignment="1">
      <alignment horizontal="center" vertical="top" wrapText="1"/>
    </xf>
    <xf numFmtId="164" fontId="11" fillId="9" borderId="0" xfId="0" applyNumberFormat="1" applyFont="1" applyFill="1" applyBorder="1" applyAlignment="1">
      <alignment horizontal="center" vertical="top"/>
    </xf>
    <xf numFmtId="1" fontId="11" fillId="0" borderId="38" xfId="0" applyNumberFormat="1" applyFont="1" applyFill="1" applyBorder="1" applyAlignment="1">
      <alignment horizontal="center" vertical="top"/>
    </xf>
    <xf numFmtId="164" fontId="11" fillId="9" borderId="65" xfId="0" applyNumberFormat="1" applyFont="1" applyFill="1" applyBorder="1" applyAlignment="1">
      <alignment horizontal="center" vertical="top"/>
    </xf>
    <xf numFmtId="164" fontId="11" fillId="9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 wrapText="1"/>
    </xf>
    <xf numFmtId="164" fontId="11" fillId="4" borderId="22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24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vertical="center" textRotation="90"/>
    </xf>
    <xf numFmtId="0" fontId="10" fillId="0" borderId="68" xfId="0" applyFont="1" applyBorder="1" applyAlignment="1">
      <alignment horizontal="center" vertical="center" textRotation="90"/>
    </xf>
    <xf numFmtId="0" fontId="9" fillId="0" borderId="73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51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/>
    </xf>
    <xf numFmtId="0" fontId="8" fillId="0" borderId="68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44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textRotation="180" wrapText="1"/>
    </xf>
    <xf numFmtId="164" fontId="10" fillId="9" borderId="57" xfId="0" applyNumberFormat="1" applyFont="1" applyFill="1" applyBorder="1" applyAlignment="1">
      <alignment horizontal="center" vertical="top"/>
    </xf>
    <xf numFmtId="164" fontId="9" fillId="9" borderId="52" xfId="0" applyNumberFormat="1" applyFont="1" applyFill="1" applyBorder="1" applyAlignment="1">
      <alignment horizontal="center" vertical="top"/>
    </xf>
    <xf numFmtId="164" fontId="9" fillId="9" borderId="57" xfId="0" applyNumberFormat="1" applyFont="1" applyFill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vertical="top" wrapText="1"/>
    </xf>
    <xf numFmtId="0" fontId="11" fillId="0" borderId="54" xfId="0" applyNumberFormat="1" applyFont="1" applyFill="1" applyBorder="1" applyAlignment="1">
      <alignment horizontal="center" vertical="top"/>
    </xf>
    <xf numFmtId="0" fontId="11" fillId="0" borderId="53" xfId="0" applyNumberFormat="1" applyFont="1" applyFill="1" applyBorder="1" applyAlignment="1">
      <alignment horizontal="center" vertical="top"/>
    </xf>
    <xf numFmtId="0" fontId="11" fillId="0" borderId="55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9" fillId="9" borderId="15" xfId="0" applyFont="1" applyFill="1" applyBorder="1" applyAlignment="1">
      <alignment horizontal="center" vertical="top" wrapText="1"/>
    </xf>
    <xf numFmtId="164" fontId="10" fillId="9" borderId="28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49" fontId="9" fillId="6" borderId="23" xfId="0" applyNumberFormat="1" applyFont="1" applyFill="1" applyBorder="1" applyAlignment="1">
      <alignment horizontal="center" vertical="top"/>
    </xf>
    <xf numFmtId="0" fontId="9" fillId="4" borderId="73" xfId="0" applyFont="1" applyFill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9" fillId="0" borderId="23" xfId="0" applyNumberFormat="1" applyFont="1" applyBorder="1" applyAlignment="1">
      <alignment horizontal="center" vertical="top"/>
    </xf>
    <xf numFmtId="0" fontId="1" fillId="0" borderId="73" xfId="0" applyNumberFormat="1" applyFont="1" applyBorder="1" applyAlignment="1">
      <alignment horizontal="center" vertical="top" wrapText="1"/>
    </xf>
    <xf numFmtId="0" fontId="10" fillId="4" borderId="73" xfId="0" applyFont="1" applyFill="1" applyBorder="1" applyAlignment="1">
      <alignment horizontal="center" vertical="top"/>
    </xf>
    <xf numFmtId="164" fontId="7" fillId="4" borderId="7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75" xfId="0" applyNumberFormat="1" applyFont="1" applyFill="1" applyBorder="1" applyAlignment="1">
      <alignment horizontal="center" vertical="center"/>
    </xf>
    <xf numFmtId="164" fontId="7" fillId="9" borderId="27" xfId="0" applyNumberFormat="1" applyFont="1" applyFill="1" applyBorder="1" applyAlignment="1">
      <alignment horizontal="center" vertical="center"/>
    </xf>
    <xf numFmtId="164" fontId="7" fillId="9" borderId="23" xfId="0" applyNumberFormat="1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vertical="top" wrapText="1"/>
    </xf>
    <xf numFmtId="0" fontId="11" fillId="4" borderId="27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30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9" fillId="0" borderId="6" xfId="0" applyNumberFormat="1" applyFont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49" fontId="1" fillId="4" borderId="51" xfId="0" applyNumberFormat="1" applyFont="1" applyFill="1" applyBorder="1" applyAlignment="1">
      <alignment horizontal="center" vertical="top" wrapText="1"/>
    </xf>
    <xf numFmtId="0" fontId="11" fillId="0" borderId="57" xfId="0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top"/>
    </xf>
    <xf numFmtId="49" fontId="10" fillId="0" borderId="17" xfId="0" applyNumberFormat="1" applyFont="1" applyBorder="1" applyAlignment="1">
      <alignment vertical="center" textRotation="90"/>
    </xf>
    <xf numFmtId="49" fontId="6" fillId="8" borderId="19" xfId="0" applyNumberFormat="1" applyFont="1" applyFill="1" applyBorder="1" applyAlignment="1">
      <alignment vertical="top" wrapText="1"/>
    </xf>
    <xf numFmtId="0" fontId="10" fillId="9" borderId="67" xfId="0" applyFont="1" applyFill="1" applyBorder="1" applyAlignment="1">
      <alignment horizontal="center" vertical="top"/>
    </xf>
    <xf numFmtId="1" fontId="11" fillId="0" borderId="72" xfId="0" applyNumberFormat="1" applyFont="1" applyFill="1" applyBorder="1" applyAlignment="1">
      <alignment horizontal="center" vertical="top"/>
    </xf>
    <xf numFmtId="0" fontId="1" fillId="0" borderId="25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7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24" xfId="0" applyNumberFormat="1" applyFont="1" applyFill="1" applyBorder="1" applyAlignment="1">
      <alignment vertical="top" wrapText="1"/>
    </xf>
    <xf numFmtId="0" fontId="1" fillId="4" borderId="54" xfId="0" applyNumberFormat="1" applyFont="1" applyFill="1" applyBorder="1" applyAlignment="1">
      <alignment vertical="top" wrapText="1"/>
    </xf>
    <xf numFmtId="164" fontId="7" fillId="8" borderId="27" xfId="0" applyNumberFormat="1" applyFont="1" applyFill="1" applyBorder="1" applyAlignment="1">
      <alignment horizontal="center" vertical="center"/>
    </xf>
    <xf numFmtId="164" fontId="11" fillId="4" borderId="69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Fill="1" applyBorder="1" applyAlignment="1">
      <alignment horizontal="center" vertical="top" wrapText="1"/>
    </xf>
    <xf numFmtId="164" fontId="11" fillId="0" borderId="78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0" borderId="69" xfId="0" applyNumberFormat="1" applyFont="1" applyFill="1" applyBorder="1" applyAlignment="1">
      <alignment horizontal="center" vertical="top" wrapText="1"/>
    </xf>
    <xf numFmtId="164" fontId="7" fillId="8" borderId="73" xfId="0" applyNumberFormat="1" applyFont="1" applyFill="1" applyBorder="1" applyAlignment="1">
      <alignment horizontal="center" vertical="center"/>
    </xf>
    <xf numFmtId="164" fontId="13" fillId="9" borderId="49" xfId="0" applyNumberFormat="1" applyFont="1" applyFill="1" applyBorder="1" applyAlignment="1">
      <alignment horizontal="center" vertical="top"/>
    </xf>
    <xf numFmtId="164" fontId="6" fillId="9" borderId="35" xfId="0" applyNumberFormat="1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164" fontId="9" fillId="9" borderId="45" xfId="0" applyNumberFormat="1" applyFont="1" applyFill="1" applyBorder="1" applyAlignment="1">
      <alignment horizontal="center" vertical="top" wrapText="1"/>
    </xf>
    <xf numFmtId="164" fontId="9" fillId="9" borderId="14" xfId="0" applyNumberFormat="1" applyFont="1" applyFill="1" applyBorder="1" applyAlignment="1">
      <alignment horizontal="center" vertical="top" wrapText="1"/>
    </xf>
    <xf numFmtId="164" fontId="9" fillId="9" borderId="51" xfId="0" applyNumberFormat="1" applyFont="1" applyFill="1" applyBorder="1" applyAlignment="1">
      <alignment horizontal="center" vertical="top" wrapText="1"/>
    </xf>
    <xf numFmtId="164" fontId="9" fillId="9" borderId="13" xfId="0" applyNumberFormat="1" applyFont="1" applyFill="1" applyBorder="1" applyAlignment="1">
      <alignment horizontal="center" vertical="top" wrapText="1"/>
    </xf>
    <xf numFmtId="164" fontId="9" fillId="9" borderId="76" xfId="0" applyNumberFormat="1" applyFont="1" applyFill="1" applyBorder="1" applyAlignment="1">
      <alignment horizontal="center" vertical="top" wrapText="1"/>
    </xf>
    <xf numFmtId="0" fontId="11" fillId="0" borderId="78" xfId="0" applyFont="1" applyBorder="1" applyAlignment="1">
      <alignment vertical="top"/>
    </xf>
    <xf numFmtId="0" fontId="11" fillId="0" borderId="39" xfId="0" applyFont="1" applyBorder="1" applyAlignment="1">
      <alignment vertical="top"/>
    </xf>
    <xf numFmtId="0" fontId="11" fillId="0" borderId="79" xfId="0" applyFont="1" applyBorder="1" applyAlignment="1">
      <alignment vertical="top"/>
    </xf>
    <xf numFmtId="0" fontId="9" fillId="0" borderId="38" xfId="0" applyFont="1" applyFill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9" fillId="8" borderId="36" xfId="0" applyNumberFormat="1" applyFont="1" applyFill="1" applyBorder="1" applyAlignment="1">
      <alignment vertical="top"/>
    </xf>
    <xf numFmtId="1" fontId="11" fillId="0" borderId="50" xfId="0" applyNumberFormat="1" applyFont="1" applyFill="1" applyBorder="1" applyAlignment="1">
      <alignment horizontal="center" vertical="top"/>
    </xf>
    <xf numFmtId="164" fontId="13" fillId="9" borderId="45" xfId="0" applyNumberFormat="1" applyFont="1" applyFill="1" applyBorder="1" applyAlignment="1">
      <alignment horizontal="center" vertical="top"/>
    </xf>
    <xf numFmtId="164" fontId="13" fillId="9" borderId="64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vertical="top"/>
    </xf>
    <xf numFmtId="164" fontId="7" fillId="9" borderId="0" xfId="0" applyNumberFormat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center" vertical="top"/>
    </xf>
    <xf numFmtId="164" fontId="13" fillId="9" borderId="69" xfId="0" applyNumberFormat="1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 wrapText="1"/>
    </xf>
    <xf numFmtId="164" fontId="13" fillId="9" borderId="13" xfId="0" applyNumberFormat="1" applyFont="1" applyFill="1" applyBorder="1" applyAlignment="1">
      <alignment horizontal="center" vertical="top"/>
    </xf>
    <xf numFmtId="0" fontId="11" fillId="8" borderId="54" xfId="0" applyFont="1" applyFill="1" applyBorder="1" applyAlignment="1">
      <alignment horizontal="center" vertical="top" wrapText="1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top" wrapText="1"/>
    </xf>
    <xf numFmtId="164" fontId="11" fillId="0" borderId="7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43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55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164" fontId="11" fillId="0" borderId="64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textRotation="90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top" wrapText="1"/>
    </xf>
    <xf numFmtId="164" fontId="12" fillId="9" borderId="1" xfId="0" applyNumberFormat="1" applyFont="1" applyFill="1" applyBorder="1" applyAlignment="1">
      <alignment horizontal="center" vertical="top"/>
    </xf>
    <xf numFmtId="164" fontId="11" fillId="0" borderId="76" xfId="0" applyNumberFormat="1" applyFont="1" applyFill="1" applyBorder="1" applyAlignment="1">
      <alignment horizontal="center" vertical="top" wrapText="1"/>
    </xf>
    <xf numFmtId="2" fontId="11" fillId="0" borderId="56" xfId="0" applyNumberFormat="1" applyFont="1" applyFill="1" applyBorder="1" applyAlignment="1">
      <alignment vertical="top" wrapText="1"/>
    </xf>
    <xf numFmtId="164" fontId="10" fillId="9" borderId="64" xfId="0" applyNumberFormat="1" applyFont="1" applyFill="1" applyBorder="1" applyAlignment="1">
      <alignment horizontal="center" vertical="top"/>
    </xf>
    <xf numFmtId="164" fontId="10" fillId="9" borderId="69" xfId="0" applyNumberFormat="1" applyFont="1" applyFill="1" applyBorder="1" applyAlignment="1">
      <alignment horizontal="center" vertical="top"/>
    </xf>
    <xf numFmtId="164" fontId="9" fillId="9" borderId="45" xfId="0" applyNumberFormat="1" applyFont="1" applyFill="1" applyBorder="1" applyAlignment="1">
      <alignment horizontal="center" vertical="top"/>
    </xf>
    <xf numFmtId="164" fontId="9" fillId="9" borderId="64" xfId="0" applyNumberFormat="1" applyFont="1" applyFill="1" applyBorder="1" applyAlignment="1">
      <alignment horizontal="center" vertical="top"/>
    </xf>
    <xf numFmtId="164" fontId="9" fillId="9" borderId="76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horizontal="left" vertical="top" wrapText="1"/>
    </xf>
    <xf numFmtId="49" fontId="10" fillId="4" borderId="53" xfId="0" applyNumberFormat="1" applyFont="1" applyFill="1" applyBorder="1" applyAlignment="1">
      <alignment vertical="top"/>
    </xf>
    <xf numFmtId="49" fontId="10" fillId="4" borderId="5" xfId="0" applyNumberFormat="1" applyFont="1" applyFill="1" applyBorder="1" applyAlignment="1">
      <alignment vertical="top"/>
    </xf>
    <xf numFmtId="49" fontId="10" fillId="4" borderId="7" xfId="0" applyNumberFormat="1" applyFont="1" applyFill="1" applyBorder="1" applyAlignment="1">
      <alignment vertical="top"/>
    </xf>
    <xf numFmtId="49" fontId="10" fillId="4" borderId="6" xfId="0" applyNumberFormat="1" applyFont="1" applyFill="1" applyBorder="1" applyAlignment="1">
      <alignment vertical="top"/>
    </xf>
    <xf numFmtId="49" fontId="10" fillId="4" borderId="45" xfId="0" applyNumberFormat="1" applyFont="1" applyFill="1" applyBorder="1" applyAlignment="1">
      <alignment vertical="top"/>
    </xf>
    <xf numFmtId="49" fontId="10" fillId="4" borderId="10" xfId="0" applyNumberFormat="1" applyFont="1" applyFill="1" applyBorder="1" applyAlignment="1">
      <alignment vertical="top"/>
    </xf>
    <xf numFmtId="49" fontId="10" fillId="4" borderId="17" xfId="0" applyNumberFormat="1" applyFont="1" applyFill="1" applyBorder="1" applyAlignment="1">
      <alignment vertical="top"/>
    </xf>
    <xf numFmtId="49" fontId="10" fillId="4" borderId="19" xfId="0" applyNumberFormat="1" applyFont="1" applyFill="1" applyBorder="1" applyAlignment="1">
      <alignment vertical="top"/>
    </xf>
    <xf numFmtId="49" fontId="10" fillId="4" borderId="18" xfId="0" applyNumberFormat="1" applyFont="1" applyFill="1" applyBorder="1" applyAlignment="1">
      <alignment vertical="top"/>
    </xf>
    <xf numFmtId="0" fontId="1" fillId="0" borderId="15" xfId="0" applyNumberFormat="1" applyFont="1" applyBorder="1" applyAlignment="1">
      <alignment vertical="center" textRotation="90" wrapText="1"/>
    </xf>
    <xf numFmtId="49" fontId="1" fillId="6" borderId="18" xfId="0" applyNumberFormat="1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vertical="center" textRotation="90" wrapText="1"/>
    </xf>
    <xf numFmtId="0" fontId="11" fillId="0" borderId="62" xfId="0" applyFont="1" applyFill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61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1" fillId="0" borderId="67" xfId="0" applyNumberFormat="1" applyFont="1" applyFill="1" applyBorder="1" applyAlignment="1">
      <alignment horizontal="center" vertical="top"/>
    </xf>
    <xf numFmtId="164" fontId="11" fillId="9" borderId="59" xfId="0" applyNumberFormat="1" applyFont="1" applyFill="1" applyBorder="1" applyAlignment="1">
      <alignment horizontal="center" vertical="top"/>
    </xf>
    <xf numFmtId="164" fontId="11" fillId="9" borderId="2" xfId="0" applyNumberFormat="1" applyFont="1" applyFill="1" applyBorder="1" applyAlignment="1">
      <alignment horizontal="center" vertical="top"/>
    </xf>
    <xf numFmtId="164" fontId="11" fillId="9" borderId="63" xfId="0" applyNumberFormat="1" applyFont="1" applyFill="1" applyBorder="1" applyAlignment="1">
      <alignment horizontal="center" vertical="top"/>
    </xf>
    <xf numFmtId="164" fontId="11" fillId="4" borderId="62" xfId="0" applyNumberFormat="1" applyFont="1" applyFill="1" applyBorder="1" applyAlignment="1">
      <alignment horizontal="center" vertical="top" wrapText="1"/>
    </xf>
    <xf numFmtId="164" fontId="11" fillId="4" borderId="67" xfId="0" applyNumberFormat="1" applyFont="1" applyFill="1" applyBorder="1" applyAlignment="1">
      <alignment horizontal="center" vertical="top" wrapText="1"/>
    </xf>
    <xf numFmtId="2" fontId="11" fillId="0" borderId="62" xfId="0" applyNumberFormat="1" applyFont="1" applyFill="1" applyBorder="1" applyAlignment="1">
      <alignment vertical="top" wrapText="1"/>
    </xf>
    <xf numFmtId="0" fontId="11" fillId="0" borderId="59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1" fillId="0" borderId="42" xfId="0" applyFont="1" applyFill="1" applyBorder="1" applyAlignment="1">
      <alignment horizontal="center" vertical="top"/>
    </xf>
    <xf numFmtId="0" fontId="9" fillId="0" borderId="22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vertical="center" textRotation="90" wrapText="1"/>
    </xf>
    <xf numFmtId="0" fontId="11" fillId="0" borderId="9" xfId="0" applyFont="1" applyFill="1" applyBorder="1" applyAlignment="1">
      <alignment horizontal="center" vertical="top"/>
    </xf>
    <xf numFmtId="164" fontId="11" fillId="0" borderId="24" xfId="0" applyNumberFormat="1" applyFont="1" applyBorder="1" applyAlignment="1">
      <alignment horizontal="center" vertical="top"/>
    </xf>
    <xf numFmtId="164" fontId="11" fillId="0" borderId="7" xfId="0" applyNumberFormat="1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center" vertical="top"/>
    </xf>
    <xf numFmtId="164" fontId="11" fillId="0" borderId="65" xfId="0" applyNumberFormat="1" applyFont="1" applyFill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11" fillId="9" borderId="5" xfId="0" applyNumberFormat="1" applyFont="1" applyFill="1" applyBorder="1" applyAlignment="1">
      <alignment horizontal="center" vertical="top"/>
    </xf>
    <xf numFmtId="49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vertical="top"/>
    </xf>
    <xf numFmtId="164" fontId="10" fillId="4" borderId="2" xfId="0" applyNumberFormat="1" applyFont="1" applyFill="1" applyBorder="1" applyAlignment="1">
      <alignment vertical="top"/>
    </xf>
    <xf numFmtId="164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164" fontId="10" fillId="4" borderId="42" xfId="0" applyNumberFormat="1" applyFont="1" applyFill="1" applyBorder="1" applyAlignment="1">
      <alignment horizontal="center" vertical="top"/>
    </xf>
    <xf numFmtId="164" fontId="11" fillId="0" borderId="20" xfId="0" applyNumberFormat="1" applyFont="1" applyFill="1" applyBorder="1" applyAlignment="1">
      <alignment horizontal="left" vertical="top" wrapText="1"/>
    </xf>
    <xf numFmtId="49" fontId="11" fillId="0" borderId="68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vertical="top"/>
    </xf>
    <xf numFmtId="0" fontId="11" fillId="4" borderId="28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/>
    </xf>
    <xf numFmtId="0" fontId="9" fillId="0" borderId="20" xfId="0" applyFont="1" applyFill="1" applyBorder="1" applyAlignment="1">
      <alignment horizontal="center" vertical="top" textRotation="180" wrapText="1"/>
    </xf>
    <xf numFmtId="49" fontId="1" fillId="0" borderId="19" xfId="0" applyNumberFormat="1" applyFont="1" applyFill="1" applyBorder="1" applyAlignment="1">
      <alignment horizontal="center" vertical="top" wrapText="1"/>
    </xf>
    <xf numFmtId="0" fontId="11" fillId="0" borderId="70" xfId="0" applyFont="1" applyFill="1" applyBorder="1" applyAlignment="1">
      <alignment horizontal="center" vertical="top"/>
    </xf>
    <xf numFmtId="164" fontId="8" fillId="9" borderId="17" xfId="0" applyNumberFormat="1" applyFont="1" applyFill="1" applyBorder="1" applyAlignment="1">
      <alignment horizontal="center" vertical="top"/>
    </xf>
    <xf numFmtId="164" fontId="8" fillId="9" borderId="19" xfId="0" applyNumberFormat="1" applyFont="1" applyFill="1" applyBorder="1" applyAlignment="1">
      <alignment horizontal="center" vertical="top"/>
    </xf>
    <xf numFmtId="164" fontId="11" fillId="9" borderId="31" xfId="0" applyNumberFormat="1" applyFont="1" applyFill="1" applyBorder="1" applyAlignment="1">
      <alignment horizontal="center" vertical="top"/>
    </xf>
    <xf numFmtId="164" fontId="11" fillId="4" borderId="70" xfId="0" applyNumberFormat="1" applyFont="1" applyFill="1" applyBorder="1" applyAlignment="1">
      <alignment horizontal="center" vertical="top" wrapText="1"/>
    </xf>
    <xf numFmtId="164" fontId="11" fillId="4" borderId="44" xfId="0" applyNumberFormat="1" applyFont="1" applyFill="1" applyBorder="1" applyAlignment="1">
      <alignment horizontal="center" vertical="top" wrapText="1"/>
    </xf>
    <xf numFmtId="2" fontId="11" fillId="0" borderId="44" xfId="0" applyNumberFormat="1" applyFont="1" applyFill="1" applyBorder="1" applyAlignment="1">
      <alignment vertical="top" wrapText="1"/>
    </xf>
    <xf numFmtId="0" fontId="6" fillId="0" borderId="70" xfId="0" applyFont="1" applyFill="1" applyBorder="1" applyAlignment="1">
      <alignment vertical="top" wrapText="1"/>
    </xf>
    <xf numFmtId="0" fontId="6" fillId="0" borderId="70" xfId="0" applyFont="1" applyBorder="1" applyAlignment="1">
      <alignment horizontal="center" vertical="top" wrapText="1"/>
    </xf>
    <xf numFmtId="164" fontId="6" fillId="9" borderId="20" xfId="0" applyNumberFormat="1" applyFont="1" applyFill="1" applyBorder="1" applyAlignment="1">
      <alignment horizontal="center" vertical="top" wrapText="1"/>
    </xf>
    <xf numFmtId="164" fontId="6" fillId="9" borderId="19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textRotation="90" wrapText="1"/>
    </xf>
    <xf numFmtId="0" fontId="12" fillId="0" borderId="10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 textRotation="90" wrapText="1"/>
    </xf>
    <xf numFmtId="49" fontId="10" fillId="0" borderId="34" xfId="0" applyNumberFormat="1" applyFont="1" applyBorder="1" applyAlignment="1">
      <alignment vertical="top"/>
    </xf>
    <xf numFmtId="49" fontId="10" fillId="0" borderId="31" xfId="0" applyNumberFormat="1" applyFont="1" applyBorder="1" applyAlignment="1">
      <alignment vertical="top"/>
    </xf>
    <xf numFmtId="49" fontId="10" fillId="0" borderId="35" xfId="0" applyNumberFormat="1" applyFont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top"/>
    </xf>
    <xf numFmtId="164" fontId="11" fillId="9" borderId="68" xfId="0" applyNumberFormat="1" applyFont="1" applyFill="1" applyBorder="1" applyAlignment="1">
      <alignment horizontal="center" vertical="top"/>
    </xf>
    <xf numFmtId="164" fontId="11" fillId="9" borderId="19" xfId="0" applyNumberFormat="1" applyFont="1" applyFill="1" applyBorder="1" applyAlignment="1">
      <alignment horizontal="center" vertical="top"/>
    </xf>
    <xf numFmtId="164" fontId="11" fillId="9" borderId="67" xfId="0" applyNumberFormat="1" applyFont="1" applyFill="1" applyBorder="1" applyAlignment="1">
      <alignment horizontal="center" vertical="top"/>
    </xf>
    <xf numFmtId="164" fontId="11" fillId="0" borderId="70" xfId="0" applyNumberFormat="1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vertical="top"/>
    </xf>
    <xf numFmtId="49" fontId="10" fillId="3" borderId="4" xfId="0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center" vertical="center" wrapText="1"/>
    </xf>
    <xf numFmtId="0" fontId="9" fillId="0" borderId="75" xfId="0" applyNumberFormat="1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top" wrapText="1"/>
    </xf>
    <xf numFmtId="164" fontId="6" fillId="9" borderId="27" xfId="0" applyNumberFormat="1" applyFont="1" applyFill="1" applyBorder="1" applyAlignment="1">
      <alignment horizontal="center" vertical="top" wrapText="1"/>
    </xf>
    <xf numFmtId="164" fontId="6" fillId="9" borderId="4" xfId="0" applyNumberFormat="1" applyFont="1" applyFill="1" applyBorder="1" applyAlignment="1">
      <alignment horizontal="center" vertical="top" wrapText="1"/>
    </xf>
    <xf numFmtId="164" fontId="6" fillId="9" borderId="23" xfId="0" applyNumberFormat="1" applyFont="1" applyFill="1" applyBorder="1" applyAlignment="1">
      <alignment horizontal="center" vertical="top" wrapText="1"/>
    </xf>
    <xf numFmtId="164" fontId="6" fillId="9" borderId="29" xfId="0" applyNumberFormat="1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horizontal="center" vertical="top" wrapText="1"/>
    </xf>
    <xf numFmtId="0" fontId="1" fillId="4" borderId="73" xfId="0" applyNumberFormat="1" applyFont="1" applyFill="1" applyBorder="1" applyAlignment="1">
      <alignment vertical="top" wrapText="1"/>
    </xf>
    <xf numFmtId="0" fontId="11" fillId="4" borderId="23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vertical="top" wrapText="1"/>
    </xf>
    <xf numFmtId="0" fontId="11" fillId="4" borderId="75" xfId="0" applyNumberFormat="1" applyFont="1" applyFill="1" applyBorder="1" applyAlignment="1">
      <alignment vertical="top" wrapText="1"/>
    </xf>
    <xf numFmtId="49" fontId="6" fillId="0" borderId="43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1" fontId="11" fillId="0" borderId="42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 wrapText="1"/>
    </xf>
    <xf numFmtId="0" fontId="11" fillId="4" borderId="26" xfId="0" applyFont="1" applyFill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49" fontId="9" fillId="4" borderId="29" xfId="0" applyNumberFormat="1" applyFont="1" applyFill="1" applyBorder="1" applyAlignment="1">
      <alignment vertical="top"/>
    </xf>
    <xf numFmtId="49" fontId="9" fillId="4" borderId="18" xfId="0" applyNumberFormat="1" applyFont="1" applyFill="1" applyBorder="1" applyAlignment="1">
      <alignment vertical="top"/>
    </xf>
    <xf numFmtId="164" fontId="9" fillId="9" borderId="0" xfId="0" applyNumberFormat="1" applyFont="1" applyFill="1" applyBorder="1" applyAlignment="1">
      <alignment horizontal="center" vertical="top" wrapText="1"/>
    </xf>
    <xf numFmtId="164" fontId="9" fillId="9" borderId="2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64" fontId="11" fillId="9" borderId="35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49" fontId="10" fillId="0" borderId="35" xfId="0" applyNumberFormat="1" applyFont="1" applyBorder="1" applyAlignment="1">
      <alignment vertical="top"/>
    </xf>
    <xf numFmtId="164" fontId="6" fillId="0" borderId="9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 wrapText="1"/>
    </xf>
    <xf numFmtId="164" fontId="6" fillId="9" borderId="46" xfId="0" applyNumberFormat="1" applyFont="1" applyFill="1" applyBorder="1" applyAlignment="1">
      <alignment horizontal="center" vertical="top" wrapText="1"/>
    </xf>
    <xf numFmtId="164" fontId="6" fillId="9" borderId="58" xfId="0" applyNumberFormat="1" applyFont="1" applyFill="1" applyBorder="1" applyAlignment="1">
      <alignment horizontal="center" vertical="top" wrapText="1"/>
    </xf>
    <xf numFmtId="164" fontId="6" fillId="8" borderId="16" xfId="0" applyNumberFormat="1" applyFont="1" applyFill="1" applyBorder="1" applyAlignment="1">
      <alignment horizontal="center" vertical="top" wrapText="1"/>
    </xf>
    <xf numFmtId="164" fontId="6" fillId="4" borderId="77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49" fontId="10" fillId="4" borderId="30" xfId="0" applyNumberFormat="1" applyFont="1" applyFill="1" applyBorder="1" applyAlignment="1">
      <alignment horizontal="center" vertical="top"/>
    </xf>
    <xf numFmtId="0" fontId="9" fillId="0" borderId="73" xfId="0" applyFont="1" applyBorder="1" applyAlignment="1">
      <alignment vertical="top" wrapText="1"/>
    </xf>
    <xf numFmtId="0" fontId="10" fillId="0" borderId="23" xfId="0" applyFont="1" applyBorder="1" applyAlignment="1">
      <alignment vertical="center" textRotation="90"/>
    </xf>
    <xf numFmtId="49" fontId="6" fillId="0" borderId="4" xfId="0" applyNumberFormat="1" applyFont="1" applyBorder="1" applyAlignment="1">
      <alignment horizontal="center" vertical="top" wrapText="1"/>
    </xf>
    <xf numFmtId="49" fontId="9" fillId="0" borderId="23" xfId="0" applyNumberFormat="1" applyFont="1" applyBorder="1" applyAlignment="1">
      <alignment horizontal="center" vertical="top"/>
    </xf>
    <xf numFmtId="0" fontId="6" fillId="0" borderId="73" xfId="0" applyFont="1" applyFill="1" applyBorder="1" applyAlignment="1">
      <alignment horizontal="center" vertical="top"/>
    </xf>
    <xf numFmtId="164" fontId="11" fillId="9" borderId="3" xfId="0" applyNumberFormat="1" applyFont="1" applyFill="1" applyBorder="1" applyAlignment="1">
      <alignment horizontal="center" vertical="top"/>
    </xf>
    <xf numFmtId="164" fontId="11" fillId="9" borderId="4" xfId="0" applyNumberFormat="1" applyFont="1" applyFill="1" applyBorder="1" applyAlignment="1">
      <alignment horizontal="center" vertical="top" wrapText="1"/>
    </xf>
    <xf numFmtId="164" fontId="11" fillId="9" borderId="30" xfId="0" applyNumberFormat="1" applyFont="1" applyFill="1" applyBorder="1" applyAlignment="1">
      <alignment horizontal="center" vertical="top" wrapText="1"/>
    </xf>
    <xf numFmtId="164" fontId="11" fillId="4" borderId="7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vertical="top" wrapText="1"/>
    </xf>
    <xf numFmtId="1" fontId="11" fillId="0" borderId="3" xfId="0" applyNumberFormat="1" applyFont="1" applyFill="1" applyBorder="1" applyAlignment="1">
      <alignment horizontal="center" vertical="top"/>
    </xf>
    <xf numFmtId="1" fontId="11" fillId="0" borderId="4" xfId="0" applyNumberFormat="1" applyFont="1" applyFill="1" applyBorder="1" applyAlignment="1">
      <alignment horizontal="center" vertical="top"/>
    </xf>
    <xf numFmtId="1" fontId="11" fillId="0" borderId="30" xfId="0" applyNumberFormat="1" applyFont="1" applyFill="1" applyBorder="1" applyAlignment="1">
      <alignment horizontal="center" vertical="top"/>
    </xf>
    <xf numFmtId="0" fontId="11" fillId="0" borderId="47" xfId="0" applyNumberFormat="1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2" fontId="10" fillId="5" borderId="29" xfId="0" applyNumberFormat="1" applyFont="1" applyFill="1" applyBorder="1" applyAlignment="1">
      <alignment horizontal="right" vertical="center"/>
    </xf>
    <xf numFmtId="2" fontId="10" fillId="5" borderId="23" xfId="0" applyNumberFormat="1" applyFont="1" applyFill="1" applyBorder="1" applyAlignment="1">
      <alignment horizontal="right" vertical="center"/>
    </xf>
    <xf numFmtId="164" fontId="11" fillId="5" borderId="27" xfId="0" applyNumberFormat="1" applyFont="1" applyFill="1" applyBorder="1" applyAlignment="1">
      <alignment horizontal="center" vertical="center" wrapText="1"/>
    </xf>
    <xf numFmtId="164" fontId="11" fillId="5" borderId="23" xfId="0" applyNumberFormat="1" applyFont="1" applyFill="1" applyBorder="1" applyAlignment="1">
      <alignment horizontal="center" vertical="center" wrapText="1"/>
    </xf>
    <xf numFmtId="164" fontId="11" fillId="5" borderId="7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right" vertical="top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2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0" fontId="11" fillId="0" borderId="28" xfId="0" applyFont="1" applyFill="1" applyBorder="1" applyAlignment="1">
      <alignment horizontal="left" vertical="top" wrapText="1"/>
    </xf>
    <xf numFmtId="0" fontId="11" fillId="0" borderId="6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right" vertical="top"/>
    </xf>
    <xf numFmtId="49" fontId="10" fillId="3" borderId="75" xfId="0" applyNumberFormat="1" applyFont="1" applyFill="1" applyBorder="1" applyAlignment="1">
      <alignment horizontal="right" vertical="top"/>
    </xf>
    <xf numFmtId="0" fontId="1" fillId="4" borderId="25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center"/>
    </xf>
    <xf numFmtId="0" fontId="10" fillId="9" borderId="27" xfId="0" applyFont="1" applyFill="1" applyBorder="1" applyAlignment="1">
      <alignment horizontal="right" vertical="top" wrapText="1"/>
    </xf>
    <xf numFmtId="0" fontId="10" fillId="9" borderId="23" xfId="0" applyFont="1" applyFill="1" applyBorder="1" applyAlignment="1">
      <alignment horizontal="right" vertical="top" wrapText="1"/>
    </xf>
    <xf numFmtId="0" fontId="10" fillId="9" borderId="75" xfId="0" applyFont="1" applyFill="1" applyBorder="1" applyAlignment="1">
      <alignment horizontal="right" vertical="top" wrapText="1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1" fillId="0" borderId="7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70" xfId="0" applyFont="1" applyFill="1" applyBorder="1" applyAlignment="1">
      <alignment horizontal="left"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164" fontId="1" fillId="0" borderId="37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9" fillId="5" borderId="23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26" xfId="0" applyNumberFormat="1" applyFont="1" applyFill="1" applyBorder="1" applyAlignment="1">
      <alignment horizontal="left" vertical="top" wrapText="1"/>
    </xf>
    <xf numFmtId="0" fontId="11" fillId="4" borderId="5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72" xfId="0" applyNumberFormat="1" applyFont="1" applyFill="1" applyBorder="1" applyAlignment="1">
      <alignment horizontal="center" vertical="top"/>
    </xf>
    <xf numFmtId="164" fontId="11" fillId="0" borderId="57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2" borderId="59" xfId="0" applyNumberFormat="1" applyFont="1" applyFill="1" applyBorder="1" applyAlignment="1">
      <alignment horizontal="center" vertical="top"/>
    </xf>
    <xf numFmtId="49" fontId="10" fillId="3" borderId="47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center" textRotation="90"/>
    </xf>
    <xf numFmtId="49" fontId="10" fillId="0" borderId="0" xfId="0" applyNumberFormat="1" applyFont="1" applyBorder="1" applyAlignment="1">
      <alignment horizontal="center" vertical="center" textRotation="90"/>
    </xf>
    <xf numFmtId="49" fontId="10" fillId="0" borderId="20" xfId="0" applyNumberFormat="1" applyFont="1" applyBorder="1" applyAlignment="1">
      <alignment horizontal="center" vertical="center" textRotation="90"/>
    </xf>
    <xf numFmtId="0" fontId="11" fillId="4" borderId="25" xfId="0" applyNumberFormat="1" applyFont="1" applyFill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49" fontId="13" fillId="8" borderId="34" xfId="0" applyNumberFormat="1" applyFont="1" applyFill="1" applyBorder="1" applyAlignment="1">
      <alignment horizontal="center" vertical="top"/>
    </xf>
    <xf numFmtId="0" fontId="11" fillId="4" borderId="15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/>
    </xf>
    <xf numFmtId="49" fontId="10" fillId="3" borderId="23" xfId="0" applyNumberFormat="1" applyFont="1" applyFill="1" applyBorder="1" applyAlignment="1">
      <alignment horizontal="left" vertical="top"/>
    </xf>
    <xf numFmtId="49" fontId="10" fillId="3" borderId="75" xfId="0" applyNumberFormat="1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 wrapText="1"/>
    </xf>
    <xf numFmtId="49" fontId="10" fillId="9" borderId="40" xfId="0" applyNumberFormat="1" applyFont="1" applyFill="1" applyBorder="1" applyAlignment="1">
      <alignment horizontal="center" vertical="center"/>
    </xf>
    <xf numFmtId="49" fontId="10" fillId="9" borderId="41" xfId="0" applyNumberFormat="1" applyFont="1" applyFill="1" applyBorder="1" applyAlignment="1">
      <alignment horizontal="center" vertical="center"/>
    </xf>
    <xf numFmtId="49" fontId="10" fillId="9" borderId="67" xfId="0" applyNumberFormat="1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right" vertical="top" wrapText="1"/>
    </xf>
    <xf numFmtId="0" fontId="10" fillId="9" borderId="41" xfId="0" applyFont="1" applyFill="1" applyBorder="1" applyAlignment="1">
      <alignment horizontal="right" vertical="top" wrapText="1"/>
    </xf>
    <xf numFmtId="0" fontId="10" fillId="9" borderId="67" xfId="0" applyFont="1" applyFill="1" applyBorder="1" applyAlignment="1">
      <alignment horizontal="right" vertical="top" wrapText="1"/>
    </xf>
    <xf numFmtId="0" fontId="1" fillId="4" borderId="7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59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164" fontId="1" fillId="0" borderId="24" xfId="0" applyNumberFormat="1" applyFont="1" applyFill="1" applyBorder="1" applyAlignment="1">
      <alignment horizontal="left" vertical="top" wrapText="1"/>
    </xf>
    <xf numFmtId="164" fontId="11" fillId="0" borderId="80" xfId="0" applyNumberFormat="1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top" textRotation="90" wrapText="1"/>
    </xf>
    <xf numFmtId="0" fontId="12" fillId="0" borderId="28" xfId="0" applyFont="1" applyFill="1" applyBorder="1" applyAlignment="1">
      <alignment horizontal="center" vertical="top" textRotation="90" wrapText="1"/>
    </xf>
    <xf numFmtId="0" fontId="12" fillId="0" borderId="68" xfId="0" applyFont="1" applyFill="1" applyBorder="1" applyAlignment="1">
      <alignment horizontal="center" vertical="top" textRotation="90" wrapText="1"/>
    </xf>
    <xf numFmtId="49" fontId="10" fillId="0" borderId="22" xfId="0" applyNumberFormat="1" applyFont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horizontal="left" vertical="top" wrapText="1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19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0" fontId="11" fillId="0" borderId="31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center" textRotation="90" wrapText="1"/>
    </xf>
    <xf numFmtId="0" fontId="10" fillId="0" borderId="68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left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164" fontId="11" fillId="0" borderId="8" xfId="0" applyNumberFormat="1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3" borderId="74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1" fontId="8" fillId="0" borderId="7" xfId="0" applyNumberFormat="1" applyFont="1" applyFill="1" applyBorder="1" applyAlignment="1">
      <alignment horizontal="center" vertical="top" textRotation="1"/>
    </xf>
    <xf numFmtId="1" fontId="8" fillId="0" borderId="19" xfId="0" applyNumberFormat="1" applyFont="1" applyFill="1" applyBorder="1" applyAlignment="1">
      <alignment horizontal="center" vertical="top" textRotation="1"/>
    </xf>
    <xf numFmtId="1" fontId="8" fillId="0" borderId="35" xfId="0" applyNumberFormat="1" applyFont="1" applyFill="1" applyBorder="1" applyAlignment="1">
      <alignment horizontal="center" vertical="top" textRotation="1"/>
    </xf>
    <xf numFmtId="1" fontId="8" fillId="0" borderId="31" xfId="0" applyNumberFormat="1" applyFont="1" applyFill="1" applyBorder="1" applyAlignment="1">
      <alignment horizontal="center" vertical="top" textRotation="1"/>
    </xf>
    <xf numFmtId="164" fontId="1" fillId="0" borderId="9" xfId="0" applyNumberFormat="1" applyFont="1" applyFill="1" applyBorder="1" applyAlignment="1">
      <alignment horizontal="left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6" fillId="0" borderId="17" xfId="0" applyNumberFormat="1" applyFont="1" applyFill="1" applyBorder="1" applyAlignment="1">
      <alignment horizontal="center" vertical="top"/>
    </xf>
    <xf numFmtId="1" fontId="16" fillId="0" borderId="19" xfId="0" applyNumberFormat="1" applyFont="1" applyFill="1" applyBorder="1" applyAlignment="1">
      <alignment horizontal="center" vertical="top"/>
    </xf>
    <xf numFmtId="1" fontId="16" fillId="0" borderId="31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6" fillId="0" borderId="68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horizontal="center" vertical="top" textRotation="1"/>
    </xf>
    <xf numFmtId="1" fontId="8" fillId="0" borderId="17" xfId="0" applyNumberFormat="1" applyFont="1" applyFill="1" applyBorder="1" applyAlignment="1">
      <alignment horizontal="center" vertical="top" textRotation="1"/>
    </xf>
    <xf numFmtId="0" fontId="12" fillId="0" borderId="24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1" fontId="16" fillId="0" borderId="31" xfId="0" applyNumberFormat="1" applyFont="1" applyBorder="1" applyAlignment="1">
      <alignment horizontal="center" vertical="top"/>
    </xf>
    <xf numFmtId="0" fontId="11" fillId="0" borderId="65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0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44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70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" fillId="4" borderId="54" xfId="0" applyFont="1" applyFill="1" applyBorder="1" applyAlignment="1">
      <alignment horizontal="left" vertical="top" wrapText="1"/>
    </xf>
    <xf numFmtId="0" fontId="16" fillId="0" borderId="68" xfId="0" applyFont="1" applyBorder="1" applyAlignment="1">
      <alignment horizontal="left" vertical="top" wrapText="1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49" fontId="10" fillId="7" borderId="32" xfId="0" applyNumberFormat="1" applyFont="1" applyFill="1" applyBorder="1" applyAlignment="1">
      <alignment horizontal="left" vertical="top" wrapText="1"/>
    </xf>
    <xf numFmtId="49" fontId="10" fillId="7" borderId="33" xfId="0" applyNumberFormat="1" applyFont="1" applyFill="1" applyBorder="1" applyAlignment="1">
      <alignment horizontal="left" vertical="top" wrapText="1"/>
    </xf>
    <xf numFmtId="49" fontId="10" fillId="7" borderId="77" xfId="0" applyNumberFormat="1" applyFont="1" applyFill="1" applyBorder="1" applyAlignment="1">
      <alignment horizontal="left" vertical="top" wrapText="1"/>
    </xf>
    <xf numFmtId="0" fontId="15" fillId="5" borderId="56" xfId="0" applyFont="1" applyFill="1" applyBorder="1" applyAlignment="1">
      <alignment horizontal="left" vertical="top" wrapText="1"/>
    </xf>
    <xf numFmtId="0" fontId="15" fillId="5" borderId="60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/>
    </xf>
    <xf numFmtId="0" fontId="10" fillId="2" borderId="75" xfId="0" applyFont="1" applyFill="1" applyBorder="1" applyAlignment="1">
      <alignment horizontal="left" vertical="top"/>
    </xf>
    <xf numFmtId="0" fontId="10" fillId="3" borderId="2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164" fontId="11" fillId="10" borderId="54" xfId="0" applyNumberFormat="1" applyFont="1" applyFill="1" applyBorder="1" applyAlignment="1">
      <alignment horizontal="center" vertical="top" wrapText="1"/>
    </xf>
    <xf numFmtId="164" fontId="11" fillId="10" borderId="60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11" fillId="10" borderId="68" xfId="0" applyNumberFormat="1" applyFont="1" applyFill="1" applyBorder="1" applyAlignment="1">
      <alignment horizontal="center" vertical="top" wrapText="1"/>
    </xf>
    <xf numFmtId="164" fontId="11" fillId="10" borderId="20" xfId="0" applyNumberFormat="1" applyFont="1" applyFill="1" applyBorder="1" applyAlignment="1">
      <alignment horizontal="center" vertical="top" wrapText="1"/>
    </xf>
    <xf numFmtId="164" fontId="11" fillId="10" borderId="44" xfId="0" applyNumberFormat="1" applyFont="1" applyFill="1" applyBorder="1" applyAlignment="1">
      <alignment horizontal="center" vertical="top" wrapText="1"/>
    </xf>
    <xf numFmtId="164" fontId="9" fillId="9" borderId="27" xfId="0" applyNumberFormat="1" applyFont="1" applyFill="1" applyBorder="1" applyAlignment="1">
      <alignment horizontal="center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164" fontId="1" fillId="0" borderId="40" xfId="0" applyNumberFormat="1" applyFont="1" applyBorder="1" applyAlignment="1">
      <alignment horizontal="center" vertical="top" wrapText="1"/>
    </xf>
    <xf numFmtId="0" fontId="10" fillId="5" borderId="27" xfId="0" applyFont="1" applyFill="1" applyBorder="1" applyAlignment="1">
      <alignment horizontal="left" vertical="top" wrapText="1"/>
    </xf>
    <xf numFmtId="0" fontId="10" fillId="5" borderId="23" xfId="0" applyFont="1" applyFill="1" applyBorder="1" applyAlignment="1">
      <alignment horizontal="left" vertical="top" wrapText="1"/>
    </xf>
    <xf numFmtId="0" fontId="10" fillId="5" borderId="75" xfId="0" applyFont="1" applyFill="1" applyBorder="1" applyAlignment="1">
      <alignment horizontal="left" vertical="top" wrapText="1"/>
    </xf>
    <xf numFmtId="164" fontId="9" fillId="5" borderId="27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4" fontId="1" fillId="0" borderId="54" xfId="0" applyNumberFormat="1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0" fontId="6" fillId="0" borderId="80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15" xfId="0" applyNumberFormat="1" applyFont="1" applyBorder="1" applyAlignment="1">
      <alignment horizontal="center" vertical="top" wrapText="1"/>
    </xf>
    <xf numFmtId="0" fontId="6" fillId="0" borderId="70" xfId="0" applyNumberFormat="1" applyFont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0" fontId="11" fillId="0" borderId="54" xfId="0" applyFont="1" applyFill="1" applyBorder="1" applyAlignment="1">
      <alignment horizontal="left" vertical="top" wrapText="1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19" xfId="0" applyNumberFormat="1" applyFont="1" applyFill="1" applyBorder="1" applyAlignment="1">
      <alignment horizontal="center" vertical="top"/>
    </xf>
    <xf numFmtId="0" fontId="1" fillId="0" borderId="25" xfId="0" applyNumberFormat="1" applyFont="1" applyBorder="1" applyAlignment="1">
      <alignment horizontal="center" vertical="top" wrapText="1"/>
    </xf>
    <xf numFmtId="0" fontId="1" fillId="0" borderId="70" xfId="0" applyNumberFormat="1" applyFont="1" applyBorder="1" applyAlignment="1">
      <alignment horizontal="center" vertical="top" wrapText="1"/>
    </xf>
    <xf numFmtId="0" fontId="8" fillId="0" borderId="25" xfId="0" applyNumberFormat="1" applyFont="1" applyBorder="1" applyAlignment="1">
      <alignment horizontal="center" vertical="top" wrapText="1"/>
    </xf>
    <xf numFmtId="0" fontId="8" fillId="0" borderId="26" xfId="0" applyNumberFormat="1" applyFont="1" applyBorder="1" applyAlignment="1">
      <alignment horizontal="center" vertical="top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1" fontId="11" fillId="0" borderId="64" xfId="0" applyNumberFormat="1" applyFont="1" applyFill="1" applyBorder="1" applyAlignment="1">
      <alignment horizontal="center" vertical="top"/>
    </xf>
    <xf numFmtId="49" fontId="10" fillId="6" borderId="53" xfId="0" applyNumberFormat="1" applyFont="1" applyFill="1" applyBorder="1" applyAlignment="1">
      <alignment horizontal="center" vertical="top"/>
    </xf>
    <xf numFmtId="49" fontId="10" fillId="6" borderId="60" xfId="0" applyNumberFormat="1" applyFont="1" applyFill="1" applyBorder="1" applyAlignment="1">
      <alignment horizontal="center" vertical="top"/>
    </xf>
    <xf numFmtId="49" fontId="10" fillId="6" borderId="37" xfId="0" applyNumberFormat="1" applyFont="1" applyFill="1" applyBorder="1" applyAlignment="1">
      <alignment horizontal="center" vertical="top"/>
    </xf>
    <xf numFmtId="164" fontId="8" fillId="6" borderId="40" xfId="0" applyNumberFormat="1" applyFont="1" applyFill="1" applyBorder="1" applyAlignment="1">
      <alignment horizontal="center" vertical="top"/>
    </xf>
    <xf numFmtId="164" fontId="8" fillId="6" borderId="41" xfId="0" applyNumberFormat="1" applyFont="1" applyFill="1" applyBorder="1" applyAlignment="1">
      <alignment horizontal="center" vertical="top"/>
    </xf>
    <xf numFmtId="164" fontId="8" fillId="6" borderId="67" xfId="0" applyNumberFormat="1" applyFont="1" applyFill="1" applyBorder="1" applyAlignment="1">
      <alignment horizontal="center" vertical="top"/>
    </xf>
    <xf numFmtId="0" fontId="1" fillId="8" borderId="28" xfId="0" applyFont="1" applyFill="1" applyBorder="1" applyAlignment="1">
      <alignment horizontal="left" vertical="top" wrapText="1"/>
    </xf>
    <xf numFmtId="164" fontId="8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left" vertical="top" wrapText="1"/>
    </xf>
    <xf numFmtId="0" fontId="19" fillId="0" borderId="80" xfId="0" applyFont="1" applyBorder="1" applyAlignment="1">
      <alignment horizontal="left" vertical="top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9" fillId="0" borderId="68" xfId="0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164" fontId="8" fillId="0" borderId="70" xfId="0" applyNumberFormat="1" applyFont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left" vertical="top" wrapText="1"/>
    </xf>
    <xf numFmtId="1" fontId="11" fillId="0" borderId="61" xfId="0" applyNumberFormat="1" applyFont="1" applyFill="1" applyBorder="1" applyAlignment="1">
      <alignment horizontal="center" vertical="top"/>
    </xf>
    <xf numFmtId="49" fontId="13" fillId="8" borderId="36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49" fontId="1" fillId="6" borderId="63" xfId="0" applyNumberFormat="1" applyFont="1" applyFill="1" applyBorder="1" applyAlignment="1">
      <alignment horizontal="center" vertical="top"/>
    </xf>
    <xf numFmtId="49" fontId="1" fillId="6" borderId="41" xfId="0" applyNumberFormat="1" applyFont="1" applyFill="1" applyBorder="1" applyAlignment="1">
      <alignment horizontal="center" vertical="top"/>
    </xf>
    <xf numFmtId="0" fontId="6" fillId="6" borderId="40" xfId="0" applyNumberFormat="1" applyFont="1" applyFill="1" applyBorder="1" applyAlignment="1">
      <alignment horizontal="center" vertical="top" wrapText="1"/>
    </xf>
    <xf numFmtId="0" fontId="6" fillId="6" borderId="41" xfId="0" applyNumberFormat="1" applyFont="1" applyFill="1" applyBorder="1" applyAlignment="1">
      <alignment horizontal="center" vertical="top" wrapText="1"/>
    </xf>
    <xf numFmtId="0" fontId="6" fillId="6" borderId="67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80" xfId="0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1" fillId="4" borderId="52" xfId="0" applyNumberFormat="1" applyFont="1" applyFill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55" xfId="0" applyNumberFormat="1" applyFont="1" applyFill="1" applyBorder="1" applyAlignment="1">
      <alignment horizontal="center" vertical="top" wrapText="1"/>
    </xf>
    <xf numFmtId="0" fontId="1" fillId="4" borderId="79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1" fillId="8" borderId="25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left" vertical="top" wrapText="1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left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horizontal="left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70" xfId="0" applyNumberFormat="1" applyFont="1" applyFill="1" applyBorder="1" applyAlignment="1">
      <alignment horizontal="center" vertical="top" wrapText="1"/>
    </xf>
    <xf numFmtId="49" fontId="10" fillId="6" borderId="14" xfId="0" applyNumberFormat="1" applyFont="1" applyFill="1" applyBorder="1" applyAlignment="1">
      <alignment horizontal="right" vertical="top"/>
    </xf>
    <xf numFmtId="49" fontId="10" fillId="6" borderId="78" xfId="0" applyNumberFormat="1" applyFont="1" applyFill="1" applyBorder="1" applyAlignment="1">
      <alignment horizontal="right" vertical="top"/>
    </xf>
    <xf numFmtId="49" fontId="10" fillId="6" borderId="69" xfId="0" applyNumberFormat="1" applyFont="1" applyFill="1" applyBorder="1" applyAlignment="1">
      <alignment horizontal="right" vertical="top"/>
    </xf>
    <xf numFmtId="49" fontId="10" fillId="6" borderId="63" xfId="0" applyNumberFormat="1" applyFont="1" applyFill="1" applyBorder="1" applyAlignment="1">
      <alignment horizontal="right" vertical="top"/>
    </xf>
    <xf numFmtId="49" fontId="10" fillId="6" borderId="41" xfId="0" applyNumberFormat="1" applyFont="1" applyFill="1" applyBorder="1" applyAlignment="1">
      <alignment horizontal="right" vertical="top"/>
    </xf>
    <xf numFmtId="49" fontId="10" fillId="6" borderId="67" xfId="0" applyNumberFormat="1" applyFont="1" applyFill="1" applyBorder="1" applyAlignment="1">
      <alignment horizontal="right" vertical="top"/>
    </xf>
    <xf numFmtId="49" fontId="10" fillId="4" borderId="56" xfId="0" applyNumberFormat="1" applyFont="1" applyFill="1" applyBorder="1" applyAlignment="1">
      <alignment horizontal="right" vertical="top"/>
    </xf>
    <xf numFmtId="49" fontId="10" fillId="4" borderId="69" xfId="0" applyNumberFormat="1" applyFont="1" applyFill="1" applyBorder="1" applyAlignment="1">
      <alignment horizontal="right" vertical="top"/>
    </xf>
    <xf numFmtId="49" fontId="10" fillId="4" borderId="79" xfId="0" applyNumberFormat="1" applyFont="1" applyFill="1" applyBorder="1" applyAlignment="1">
      <alignment horizontal="right" vertical="top"/>
    </xf>
    <xf numFmtId="49" fontId="10" fillId="4" borderId="76" xfId="0" applyNumberFormat="1" applyFont="1" applyFill="1" applyBorder="1" applyAlignment="1">
      <alignment horizontal="right" vertical="top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70" xfId="0" applyNumberFormat="1" applyFont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horizontal="left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164" fontId="11" fillId="0" borderId="60" xfId="0" applyNumberFormat="1" applyFont="1" applyFill="1" applyBorder="1" applyAlignment="1">
      <alignment horizontal="left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2" fontId="11" fillId="0" borderId="79" xfId="0" applyNumberFormat="1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left" vertical="top" wrapText="1"/>
    </xf>
    <xf numFmtId="2" fontId="11" fillId="0" borderId="70" xfId="0" applyNumberFormat="1" applyFont="1" applyFill="1" applyBorder="1" applyAlignment="1">
      <alignment horizontal="left" vertical="top" wrapText="1"/>
    </xf>
    <xf numFmtId="2" fontId="11" fillId="0" borderId="9" xfId="0" applyNumberFormat="1" applyFont="1" applyFill="1" applyBorder="1" applyAlignment="1">
      <alignment horizontal="left" vertical="top" wrapText="1"/>
    </xf>
    <xf numFmtId="2" fontId="11" fillId="0" borderId="15" xfId="0" applyNumberFormat="1" applyFont="1" applyFill="1" applyBorder="1" applyAlignment="1">
      <alignment horizontal="left" vertical="top" wrapText="1"/>
    </xf>
    <xf numFmtId="49" fontId="1" fillId="6" borderId="35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70" xfId="0" applyNumberFormat="1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54" xfId="0" applyFont="1" applyBorder="1" applyAlignment="1">
      <alignment horizontal="left" vertical="top" wrapText="1"/>
    </xf>
    <xf numFmtId="0" fontId="11" fillId="4" borderId="54" xfId="0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left" vertical="top" wrapText="1"/>
    </xf>
    <xf numFmtId="164" fontId="8" fillId="8" borderId="25" xfId="0" applyNumberFormat="1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0"/>
  <sheetViews>
    <sheetView tabSelected="1" zoomScale="130" zoomScaleNormal="130" zoomScaleSheetLayoutView="90" workbookViewId="0">
      <selection activeCell="M16" sqref="M16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5" customWidth="1"/>
    <col min="6" max="6" width="2.85546875" style="165" customWidth="1"/>
    <col min="7" max="7" width="2.7109375" style="168" customWidth="1"/>
    <col min="8" max="8" width="7.5703125" style="21" customWidth="1"/>
    <col min="9" max="10" width="8.42578125" style="21" customWidth="1"/>
    <col min="11" max="11" width="6.140625" style="21" customWidth="1"/>
    <col min="12" max="12" width="7.42578125" style="21" customWidth="1"/>
    <col min="13" max="13" width="8.42578125" style="21" customWidth="1"/>
    <col min="14" max="14" width="8.140625" style="21" customWidth="1"/>
    <col min="15" max="15" width="23.85546875" style="387" customWidth="1"/>
    <col min="16" max="16" width="5.7109375" style="167" customWidth="1"/>
    <col min="17" max="17" width="5.5703125" style="167" customWidth="1"/>
    <col min="18" max="18" width="5.5703125" style="382" customWidth="1"/>
    <col min="19" max="19" width="9.140625" style="21"/>
    <col min="20" max="20" width="35" style="21" customWidth="1"/>
    <col min="21" max="16384" width="9.140625" style="21"/>
  </cols>
  <sheetData>
    <row r="1" spans="1:20" ht="15.75" x14ac:dyDescent="0.25">
      <c r="A1" s="1824" t="s">
        <v>282</v>
      </c>
      <c r="B1" s="1824"/>
      <c r="C1" s="1824"/>
      <c r="D1" s="1824"/>
      <c r="E1" s="1824"/>
      <c r="F1" s="1824"/>
      <c r="G1" s="1824"/>
      <c r="H1" s="1824"/>
      <c r="I1" s="1824"/>
      <c r="J1" s="1824"/>
      <c r="K1" s="1824"/>
      <c r="L1" s="1824"/>
      <c r="M1" s="1824"/>
      <c r="N1" s="1824"/>
      <c r="O1" s="1824"/>
      <c r="P1" s="1824"/>
      <c r="Q1" s="1824"/>
      <c r="R1" s="1824"/>
    </row>
    <row r="2" spans="1:20" s="22" customFormat="1" x14ac:dyDescent="0.25">
      <c r="A2" s="1825" t="s">
        <v>84</v>
      </c>
      <c r="B2" s="1825"/>
      <c r="C2" s="1825"/>
      <c r="D2" s="1825"/>
      <c r="E2" s="1825"/>
      <c r="F2" s="1825"/>
      <c r="G2" s="1825"/>
      <c r="H2" s="1825"/>
      <c r="I2" s="1825"/>
      <c r="J2" s="1825"/>
      <c r="K2" s="1825"/>
      <c r="L2" s="1825"/>
      <c r="M2" s="1825"/>
      <c r="N2" s="1825"/>
      <c r="O2" s="1825"/>
      <c r="P2" s="1825"/>
      <c r="Q2" s="1825"/>
      <c r="R2" s="1825"/>
    </row>
    <row r="3" spans="1:20" s="22" customFormat="1" x14ac:dyDescent="0.25">
      <c r="A3" s="1826" t="s">
        <v>284</v>
      </c>
      <c r="B3" s="1826"/>
      <c r="C3" s="1826"/>
      <c r="D3" s="1826"/>
      <c r="E3" s="1826"/>
      <c r="F3" s="1826"/>
      <c r="G3" s="1826"/>
      <c r="H3" s="1826"/>
      <c r="I3" s="1826"/>
      <c r="J3" s="1826"/>
      <c r="K3" s="1826"/>
      <c r="L3" s="1826"/>
      <c r="M3" s="1826"/>
      <c r="N3" s="1826"/>
      <c r="O3" s="1826"/>
      <c r="P3" s="1826"/>
      <c r="Q3" s="1826"/>
      <c r="R3" s="1826"/>
    </row>
    <row r="4" spans="1:20" s="22" customFormat="1" ht="13.5" thickBot="1" x14ac:dyDescent="0.3">
      <c r="A4" s="1827" t="s">
        <v>0</v>
      </c>
      <c r="B4" s="1827"/>
      <c r="C4" s="1827"/>
      <c r="D4" s="1827"/>
      <c r="E4" s="1827"/>
      <c r="F4" s="1827"/>
      <c r="G4" s="1827"/>
      <c r="H4" s="1827"/>
      <c r="I4" s="1827"/>
      <c r="J4" s="1827"/>
      <c r="K4" s="1827"/>
      <c r="L4" s="1827"/>
      <c r="M4" s="1827"/>
      <c r="N4" s="1827"/>
      <c r="O4" s="1827"/>
      <c r="P4" s="1827"/>
      <c r="Q4" s="1827"/>
      <c r="R4" s="1827"/>
    </row>
    <row r="5" spans="1:20" s="23" customFormat="1" ht="13.5" customHeight="1" thickBot="1" x14ac:dyDescent="0.3">
      <c r="A5" s="1828" t="s">
        <v>1</v>
      </c>
      <c r="B5" s="1831" t="s">
        <v>2</v>
      </c>
      <c r="C5" s="1834" t="s">
        <v>3</v>
      </c>
      <c r="D5" s="1837" t="s">
        <v>4</v>
      </c>
      <c r="E5" s="1840" t="s">
        <v>5</v>
      </c>
      <c r="F5" s="1831" t="s">
        <v>283</v>
      </c>
      <c r="G5" s="1851" t="s">
        <v>6</v>
      </c>
      <c r="H5" s="1854" t="s">
        <v>7</v>
      </c>
      <c r="I5" s="1857" t="s">
        <v>141</v>
      </c>
      <c r="J5" s="1858"/>
      <c r="K5" s="1858"/>
      <c r="L5" s="1859"/>
      <c r="M5" s="1843" t="s">
        <v>286</v>
      </c>
      <c r="N5" s="1843" t="s">
        <v>287</v>
      </c>
      <c r="O5" s="1846" t="s">
        <v>285</v>
      </c>
      <c r="P5" s="1847"/>
      <c r="Q5" s="1847"/>
      <c r="R5" s="1848"/>
    </row>
    <row r="6" spans="1:20" s="23" customFormat="1" ht="12.75" customHeight="1" x14ac:dyDescent="0.25">
      <c r="A6" s="1829"/>
      <c r="B6" s="1832"/>
      <c r="C6" s="1835"/>
      <c r="D6" s="1838"/>
      <c r="E6" s="1841"/>
      <c r="F6" s="1832"/>
      <c r="G6" s="1852"/>
      <c r="H6" s="1855"/>
      <c r="I6" s="1849" t="s">
        <v>8</v>
      </c>
      <c r="J6" s="1860" t="s">
        <v>9</v>
      </c>
      <c r="K6" s="1861"/>
      <c r="L6" s="1862" t="s">
        <v>10</v>
      </c>
      <c r="M6" s="1844"/>
      <c r="N6" s="1844"/>
      <c r="O6" s="1872" t="s">
        <v>57</v>
      </c>
      <c r="P6" s="1874" t="s">
        <v>61</v>
      </c>
      <c r="Q6" s="1875"/>
      <c r="R6" s="1876"/>
    </row>
    <row r="7" spans="1:20" s="23" customFormat="1" ht="118.5" customHeight="1" thickBot="1" x14ac:dyDescent="0.3">
      <c r="A7" s="1830"/>
      <c r="B7" s="1833"/>
      <c r="C7" s="1836"/>
      <c r="D7" s="1839"/>
      <c r="E7" s="1842"/>
      <c r="F7" s="1833"/>
      <c r="G7" s="1853"/>
      <c r="H7" s="1856"/>
      <c r="I7" s="1850"/>
      <c r="J7" s="24" t="s">
        <v>8</v>
      </c>
      <c r="K7" s="24" t="s">
        <v>11</v>
      </c>
      <c r="L7" s="1863"/>
      <c r="M7" s="1845"/>
      <c r="N7" s="1845"/>
      <c r="O7" s="1873"/>
      <c r="P7" s="332" t="s">
        <v>62</v>
      </c>
      <c r="Q7" s="332" t="s">
        <v>63</v>
      </c>
      <c r="R7" s="333" t="s">
        <v>143</v>
      </c>
    </row>
    <row r="8" spans="1:20" s="22" customFormat="1" x14ac:dyDescent="0.25">
      <c r="A8" s="1877" t="s">
        <v>253</v>
      </c>
      <c r="B8" s="1878"/>
      <c r="C8" s="1878"/>
      <c r="D8" s="1878"/>
      <c r="E8" s="1878"/>
      <c r="F8" s="1878"/>
      <c r="G8" s="1878"/>
      <c r="H8" s="1878"/>
      <c r="I8" s="1878"/>
      <c r="J8" s="1878"/>
      <c r="K8" s="1878"/>
      <c r="L8" s="1878"/>
      <c r="M8" s="1878"/>
      <c r="N8" s="1878"/>
      <c r="O8" s="1878"/>
      <c r="P8" s="1878"/>
      <c r="Q8" s="1878"/>
      <c r="R8" s="1879"/>
    </row>
    <row r="9" spans="1:20" s="22" customFormat="1" ht="13.5" thickBot="1" x14ac:dyDescent="0.3">
      <c r="A9" s="1880" t="s">
        <v>12</v>
      </c>
      <c r="B9" s="1881"/>
      <c r="C9" s="1881"/>
      <c r="D9" s="1881"/>
      <c r="E9" s="1881"/>
      <c r="F9" s="1881"/>
      <c r="G9" s="1881"/>
      <c r="H9" s="1881"/>
      <c r="I9" s="1881"/>
      <c r="J9" s="1881"/>
      <c r="K9" s="1881"/>
      <c r="L9" s="1881"/>
      <c r="M9" s="1881"/>
      <c r="N9" s="1881"/>
      <c r="O9" s="1881"/>
      <c r="P9" s="1881"/>
      <c r="Q9" s="1881"/>
      <c r="R9" s="1882"/>
    </row>
    <row r="10" spans="1:20" s="26" customFormat="1" ht="15" customHeight="1" thickBot="1" x14ac:dyDescent="0.3">
      <c r="A10" s="25" t="s">
        <v>13</v>
      </c>
      <c r="B10" s="1883" t="s">
        <v>14</v>
      </c>
      <c r="C10" s="1883"/>
      <c r="D10" s="1883"/>
      <c r="E10" s="1883"/>
      <c r="F10" s="1883"/>
      <c r="G10" s="1883"/>
      <c r="H10" s="1883"/>
      <c r="I10" s="1883"/>
      <c r="J10" s="1883"/>
      <c r="K10" s="1883"/>
      <c r="L10" s="1883"/>
      <c r="M10" s="1883"/>
      <c r="N10" s="1883"/>
      <c r="O10" s="1883"/>
      <c r="P10" s="1883"/>
      <c r="Q10" s="1883"/>
      <c r="R10" s="1884"/>
    </row>
    <row r="11" spans="1:20" s="26" customFormat="1" ht="13.5" thickBot="1" x14ac:dyDescent="0.3">
      <c r="A11" s="27" t="s">
        <v>13</v>
      </c>
      <c r="B11" s="28" t="s">
        <v>13</v>
      </c>
      <c r="C11" s="1885" t="s">
        <v>15</v>
      </c>
      <c r="D11" s="1885"/>
      <c r="E11" s="1885"/>
      <c r="F11" s="1885"/>
      <c r="G11" s="1885"/>
      <c r="H11" s="1886"/>
      <c r="I11" s="1886"/>
      <c r="J11" s="1886"/>
      <c r="K11" s="1886"/>
      <c r="L11" s="1886"/>
      <c r="M11" s="1886"/>
      <c r="N11" s="1886"/>
      <c r="O11" s="1886"/>
      <c r="P11" s="1886"/>
      <c r="Q11" s="1886"/>
      <c r="R11" s="1887"/>
    </row>
    <row r="12" spans="1:20" s="26" customFormat="1" ht="37.5" customHeight="1" x14ac:dyDescent="0.25">
      <c r="A12" s="1064" t="s">
        <v>13</v>
      </c>
      <c r="B12" s="29" t="s">
        <v>13</v>
      </c>
      <c r="C12" s="1067" t="s">
        <v>13</v>
      </c>
      <c r="D12" s="1629" t="s">
        <v>64</v>
      </c>
      <c r="E12" s="169"/>
      <c r="F12" s="1046" t="s">
        <v>16</v>
      </c>
      <c r="G12" s="1082" t="s">
        <v>26</v>
      </c>
      <c r="H12" s="30" t="s">
        <v>17</v>
      </c>
      <c r="I12" s="764">
        <f>J12+L12</f>
        <v>7208</v>
      </c>
      <c r="J12" s="765">
        <v>7208</v>
      </c>
      <c r="K12" s="671"/>
      <c r="L12" s="672"/>
      <c r="M12" s="32">
        <v>13287</v>
      </c>
      <c r="N12" s="91">
        <v>13287</v>
      </c>
      <c r="O12" s="1305" t="s">
        <v>144</v>
      </c>
      <c r="P12" s="429">
        <v>21455</v>
      </c>
      <c r="Q12" s="1080">
        <v>21500</v>
      </c>
      <c r="R12" s="430">
        <v>21500</v>
      </c>
      <c r="S12" s="1128"/>
      <c r="T12" s="23"/>
    </row>
    <row r="13" spans="1:20" s="26" customFormat="1" x14ac:dyDescent="0.25">
      <c r="A13" s="1053"/>
      <c r="B13" s="33"/>
      <c r="C13" s="34"/>
      <c r="D13" s="1613"/>
      <c r="E13" s="172"/>
      <c r="F13" s="1047"/>
      <c r="G13" s="35"/>
      <c r="H13" s="36" t="s">
        <v>27</v>
      </c>
      <c r="I13" s="869">
        <v>16606.7</v>
      </c>
      <c r="J13" s="674">
        <v>16606.7</v>
      </c>
      <c r="K13" s="675"/>
      <c r="L13" s="676"/>
      <c r="M13" s="38">
        <v>17271</v>
      </c>
      <c r="N13" s="103">
        <v>17271</v>
      </c>
      <c r="O13" s="1866" t="s">
        <v>145</v>
      </c>
      <c r="P13" s="1090">
        <v>5966</v>
      </c>
      <c r="Q13" s="1071">
        <v>5900</v>
      </c>
      <c r="R13" s="1086">
        <v>5500</v>
      </c>
      <c r="S13" s="23"/>
      <c r="T13" s="23"/>
    </row>
    <row r="14" spans="1:20" s="26" customFormat="1" x14ac:dyDescent="0.25">
      <c r="A14" s="1053"/>
      <c r="B14" s="33"/>
      <c r="C14" s="34"/>
      <c r="D14" s="1613"/>
      <c r="E14" s="172"/>
      <c r="F14" s="1047"/>
      <c r="G14" s="35"/>
      <c r="H14" s="36"/>
      <c r="I14" s="869"/>
      <c r="J14" s="674"/>
      <c r="K14" s="675"/>
      <c r="L14" s="676"/>
      <c r="M14" s="38"/>
      <c r="N14" s="103"/>
      <c r="O14" s="1867"/>
      <c r="P14" s="226"/>
      <c r="Q14" s="628"/>
      <c r="R14" s="630"/>
      <c r="S14" s="23"/>
      <c r="T14" s="23"/>
    </row>
    <row r="15" spans="1:20" s="26" customFormat="1" x14ac:dyDescent="0.25">
      <c r="A15" s="1053"/>
      <c r="B15" s="33"/>
      <c r="C15" s="34"/>
      <c r="D15" s="1613"/>
      <c r="E15" s="172"/>
      <c r="F15" s="1047"/>
      <c r="G15" s="35"/>
      <c r="H15" s="39"/>
      <c r="I15" s="673"/>
      <c r="J15" s="674"/>
      <c r="K15" s="675"/>
      <c r="L15" s="677"/>
      <c r="M15" s="41"/>
      <c r="N15" s="1250"/>
      <c r="O15" s="1868" t="s">
        <v>222</v>
      </c>
      <c r="P15" s="1870">
        <v>183</v>
      </c>
      <c r="Q15" s="1671">
        <v>183</v>
      </c>
      <c r="R15" s="1864">
        <v>183</v>
      </c>
      <c r="S15" s="23"/>
      <c r="T15" s="23"/>
    </row>
    <row r="16" spans="1:20" s="26" customFormat="1" ht="13.5" thickBot="1" x14ac:dyDescent="0.3">
      <c r="A16" s="1053"/>
      <c r="B16" s="33"/>
      <c r="C16" s="34"/>
      <c r="D16" s="1614"/>
      <c r="E16" s="172"/>
      <c r="F16" s="1047"/>
      <c r="G16" s="35"/>
      <c r="H16" s="833" t="s">
        <v>18</v>
      </c>
      <c r="I16" s="678">
        <f>J16+L16</f>
        <v>23814.7</v>
      </c>
      <c r="J16" s="679">
        <f>SUM(J12:J15)</f>
        <v>23814.7</v>
      </c>
      <c r="K16" s="679"/>
      <c r="L16" s="680"/>
      <c r="M16" s="712">
        <f>SUM(M12:M15)</f>
        <v>30558</v>
      </c>
      <c r="N16" s="716">
        <f>SUM(N12:N15)</f>
        <v>30558</v>
      </c>
      <c r="O16" s="1869"/>
      <c r="P16" s="1871"/>
      <c r="Q16" s="1783"/>
      <c r="R16" s="1865"/>
      <c r="S16" s="23"/>
      <c r="T16" s="23"/>
    </row>
    <row r="17" spans="1:20" s="26" customFormat="1" ht="27.75" customHeight="1" x14ac:dyDescent="0.25">
      <c r="A17" s="1064" t="s">
        <v>13</v>
      </c>
      <c r="B17" s="29" t="s">
        <v>13</v>
      </c>
      <c r="C17" s="1067" t="s">
        <v>19</v>
      </c>
      <c r="D17" s="1629" t="s">
        <v>65</v>
      </c>
      <c r="E17" s="169"/>
      <c r="F17" s="1046" t="s">
        <v>16</v>
      </c>
      <c r="G17" s="1082" t="s">
        <v>26</v>
      </c>
      <c r="H17" s="8" t="s">
        <v>17</v>
      </c>
      <c r="I17" s="681">
        <f>J17</f>
        <v>3629.1</v>
      </c>
      <c r="J17" s="682">
        <v>3629.1</v>
      </c>
      <c r="K17" s="682">
        <v>1032.8</v>
      </c>
      <c r="L17" s="683"/>
      <c r="M17" s="42">
        <v>4323.3999999999996</v>
      </c>
      <c r="N17" s="42">
        <v>4323.3999999999996</v>
      </c>
      <c r="O17" s="1630" t="s">
        <v>223</v>
      </c>
      <c r="P17" s="436">
        <v>385</v>
      </c>
      <c r="Q17" s="1632">
        <v>390</v>
      </c>
      <c r="R17" s="1085">
        <v>392</v>
      </c>
      <c r="S17" s="23"/>
      <c r="T17" s="1128"/>
    </row>
    <row r="18" spans="1:20" s="26" customFormat="1" ht="15.75" customHeight="1" thickBot="1" x14ac:dyDescent="0.3">
      <c r="A18" s="1053"/>
      <c r="B18" s="33"/>
      <c r="C18" s="34"/>
      <c r="D18" s="1614"/>
      <c r="E18" s="172"/>
      <c r="F18" s="1047"/>
      <c r="G18" s="35"/>
      <c r="H18" s="834" t="s">
        <v>18</v>
      </c>
      <c r="I18" s="691">
        <f>L18+J18</f>
        <v>3629.1</v>
      </c>
      <c r="J18" s="692">
        <f>SUM(J17:J17)</f>
        <v>3629.1</v>
      </c>
      <c r="K18" s="693">
        <f>SUM(K17:K17)</f>
        <v>1032.8</v>
      </c>
      <c r="L18" s="789">
        <f>SUM(L17:L17)</f>
        <v>0</v>
      </c>
      <c r="M18" s="713">
        <f>SUM(M17:M17)</f>
        <v>4323.3999999999996</v>
      </c>
      <c r="N18" s="694">
        <f>SUM(N17:N17)</f>
        <v>4323.3999999999996</v>
      </c>
      <c r="O18" s="1631"/>
      <c r="P18" s="1087"/>
      <c r="Q18" s="1633"/>
      <c r="R18" s="1089"/>
    </row>
    <row r="19" spans="1:20" s="26" customFormat="1" ht="25.5" x14ac:dyDescent="0.25">
      <c r="A19" s="1064" t="s">
        <v>13</v>
      </c>
      <c r="B19" s="29" t="s">
        <v>13</v>
      </c>
      <c r="C19" s="1067" t="s">
        <v>22</v>
      </c>
      <c r="D19" s="1629" t="s">
        <v>67</v>
      </c>
      <c r="E19" s="169"/>
      <c r="F19" s="1046" t="s">
        <v>16</v>
      </c>
      <c r="G19" s="1082" t="s">
        <v>26</v>
      </c>
      <c r="H19" s="45" t="s">
        <v>17</v>
      </c>
      <c r="I19" s="695">
        <v>529.70000000000005</v>
      </c>
      <c r="J19" s="682">
        <v>529.70000000000005</v>
      </c>
      <c r="K19" s="696">
        <v>404.4</v>
      </c>
      <c r="L19" s="697"/>
      <c r="M19" s="42">
        <v>546.1</v>
      </c>
      <c r="N19" s="42">
        <v>546.1</v>
      </c>
      <c r="O19" s="1630" t="s">
        <v>68</v>
      </c>
      <c r="P19" s="1820">
        <v>17</v>
      </c>
      <c r="Q19" s="1632">
        <v>17</v>
      </c>
      <c r="R19" s="1822">
        <v>17</v>
      </c>
    </row>
    <row r="20" spans="1:20" s="26" customFormat="1" ht="13.5" thickBot="1" x14ac:dyDescent="0.3">
      <c r="A20" s="1077"/>
      <c r="B20" s="44"/>
      <c r="C20" s="1068"/>
      <c r="D20" s="1614"/>
      <c r="E20" s="189"/>
      <c r="F20" s="1048"/>
      <c r="G20" s="1083"/>
      <c r="H20" s="833" t="s">
        <v>18</v>
      </c>
      <c r="I20" s="698">
        <f>J20+L20</f>
        <v>529.70000000000005</v>
      </c>
      <c r="J20" s="693">
        <f>+J19</f>
        <v>529.70000000000005</v>
      </c>
      <c r="K20" s="692">
        <f>+K19</f>
        <v>404.4</v>
      </c>
      <c r="L20" s="699">
        <f>+L19</f>
        <v>0</v>
      </c>
      <c r="M20" s="691">
        <f>+M19</f>
        <v>546.1</v>
      </c>
      <c r="N20" s="691">
        <f>+N19</f>
        <v>546.1</v>
      </c>
      <c r="O20" s="1631"/>
      <c r="P20" s="1821"/>
      <c r="Q20" s="1633"/>
      <c r="R20" s="1823"/>
    </row>
    <row r="21" spans="1:20" s="26" customFormat="1" ht="26.25" customHeight="1" x14ac:dyDescent="0.25">
      <c r="A21" s="1064" t="s">
        <v>13</v>
      </c>
      <c r="B21" s="29" t="s">
        <v>13</v>
      </c>
      <c r="C21" s="1067" t="s">
        <v>24</v>
      </c>
      <c r="D21" s="1634" t="s">
        <v>69</v>
      </c>
      <c r="E21" s="169"/>
      <c r="F21" s="1046" t="s">
        <v>16</v>
      </c>
      <c r="G21" s="1082" t="s">
        <v>26</v>
      </c>
      <c r="H21" s="45" t="s">
        <v>17</v>
      </c>
      <c r="I21" s="681">
        <f>J21</f>
        <v>3219.4000000000005</v>
      </c>
      <c r="J21" s="682">
        <f>436.8+2467.8+314.8</f>
        <v>3219.4000000000005</v>
      </c>
      <c r="K21" s="701"/>
      <c r="L21" s="697"/>
      <c r="M21" s="42">
        <v>2990</v>
      </c>
      <c r="N21" s="42">
        <v>2990</v>
      </c>
      <c r="O21" s="1630" t="s">
        <v>114</v>
      </c>
      <c r="P21" s="1807">
        <v>3500</v>
      </c>
      <c r="Q21" s="1790">
        <v>3500</v>
      </c>
      <c r="R21" s="1791">
        <v>3500</v>
      </c>
    </row>
    <row r="22" spans="1:20" s="26" customFormat="1" ht="25.5" customHeight="1" thickBot="1" x14ac:dyDescent="0.3">
      <c r="A22" s="1077"/>
      <c r="B22" s="44"/>
      <c r="C22" s="1068"/>
      <c r="D22" s="1635"/>
      <c r="E22" s="189"/>
      <c r="F22" s="1048"/>
      <c r="G22" s="1083"/>
      <c r="H22" s="833" t="s">
        <v>18</v>
      </c>
      <c r="I22" s="698">
        <f>J22+L22</f>
        <v>3219.4000000000005</v>
      </c>
      <c r="J22" s="693">
        <f>+J21</f>
        <v>3219.4000000000005</v>
      </c>
      <c r="K22" s="692">
        <f>+K21</f>
        <v>0</v>
      </c>
      <c r="L22" s="699">
        <f>+L21</f>
        <v>0</v>
      </c>
      <c r="M22" s="691">
        <f>+M21</f>
        <v>2990</v>
      </c>
      <c r="N22" s="691">
        <f>+N21</f>
        <v>2990</v>
      </c>
      <c r="O22" s="1631"/>
      <c r="P22" s="1808"/>
      <c r="Q22" s="1809"/>
      <c r="R22" s="1819"/>
    </row>
    <row r="23" spans="1:20" s="26" customFormat="1" ht="12.75" customHeight="1" x14ac:dyDescent="0.25">
      <c r="A23" s="1736" t="s">
        <v>13</v>
      </c>
      <c r="B23" s="1737" t="s">
        <v>13</v>
      </c>
      <c r="C23" s="1761" t="s">
        <v>28</v>
      </c>
      <c r="D23" s="1634" t="s">
        <v>20</v>
      </c>
      <c r="E23" s="1817"/>
      <c r="F23" s="1692" t="s">
        <v>16</v>
      </c>
      <c r="G23" s="1811" t="s">
        <v>26</v>
      </c>
      <c r="H23" s="30" t="s">
        <v>21</v>
      </c>
      <c r="I23" s="832">
        <f>J23+L23</f>
        <v>33873</v>
      </c>
      <c r="J23" s="670">
        <v>33873</v>
      </c>
      <c r="K23" s="702"/>
      <c r="L23" s="703"/>
      <c r="M23" s="46">
        <v>33873</v>
      </c>
      <c r="N23" s="47">
        <v>33873</v>
      </c>
      <c r="O23" s="1306" t="s">
        <v>70</v>
      </c>
      <c r="P23" s="445">
        <v>6081</v>
      </c>
      <c r="Q23" s="446">
        <v>6081</v>
      </c>
      <c r="R23" s="447">
        <v>6081</v>
      </c>
    </row>
    <row r="24" spans="1:20" s="26" customFormat="1" ht="39" customHeight="1" thickBot="1" x14ac:dyDescent="0.3">
      <c r="A24" s="1794"/>
      <c r="B24" s="1795"/>
      <c r="C24" s="1762"/>
      <c r="D24" s="1635"/>
      <c r="E24" s="1818"/>
      <c r="F24" s="1605"/>
      <c r="G24" s="1812"/>
      <c r="H24" s="833" t="s">
        <v>18</v>
      </c>
      <c r="I24" s="698">
        <f>J24+L24</f>
        <v>33873</v>
      </c>
      <c r="J24" s="693">
        <f>+J23</f>
        <v>33873</v>
      </c>
      <c r="K24" s="692">
        <f>+K23</f>
        <v>0</v>
      </c>
      <c r="L24" s="699"/>
      <c r="M24" s="691">
        <f>+M23</f>
        <v>33873</v>
      </c>
      <c r="N24" s="713">
        <f>+N23</f>
        <v>33873</v>
      </c>
      <c r="O24" s="49"/>
      <c r="P24" s="336"/>
      <c r="Q24" s="68"/>
      <c r="R24" s="337"/>
    </row>
    <row r="25" spans="1:20" s="26" customFormat="1" ht="17.25" customHeight="1" x14ac:dyDescent="0.25">
      <c r="A25" s="1346" t="s">
        <v>13</v>
      </c>
      <c r="B25" s="29" t="s">
        <v>13</v>
      </c>
      <c r="C25" s="1350" t="s">
        <v>36</v>
      </c>
      <c r="D25" s="1634" t="s">
        <v>23</v>
      </c>
      <c r="E25" s="1352"/>
      <c r="F25" s="1353" t="s">
        <v>16</v>
      </c>
      <c r="G25" s="1364" t="s">
        <v>26</v>
      </c>
      <c r="H25" s="56" t="s">
        <v>21</v>
      </c>
      <c r="I25" s="704">
        <f>J25</f>
        <v>9017.6</v>
      </c>
      <c r="J25" s="700">
        <v>9017.6</v>
      </c>
      <c r="K25" s="1317"/>
      <c r="L25" s="697"/>
      <c r="M25" s="42">
        <v>9018</v>
      </c>
      <c r="N25" s="43">
        <v>9018</v>
      </c>
      <c r="O25" s="1813" t="s">
        <v>70</v>
      </c>
      <c r="P25" s="1815">
        <v>4062</v>
      </c>
      <c r="Q25" s="1802">
        <v>4062</v>
      </c>
      <c r="R25" s="1804">
        <v>4062</v>
      </c>
    </row>
    <row r="26" spans="1:20" s="26" customFormat="1" ht="13.5" thickBot="1" x14ac:dyDescent="0.3">
      <c r="A26" s="1347"/>
      <c r="B26" s="44"/>
      <c r="C26" s="1351"/>
      <c r="D26" s="1635"/>
      <c r="E26" s="189"/>
      <c r="F26" s="1354"/>
      <c r="G26" s="1345"/>
      <c r="H26" s="833" t="s">
        <v>18</v>
      </c>
      <c r="I26" s="698">
        <f t="shared" ref="I26:N26" si="0">+I25</f>
        <v>9017.6</v>
      </c>
      <c r="J26" s="693">
        <f t="shared" si="0"/>
        <v>9017.6</v>
      </c>
      <c r="K26" s="692">
        <f t="shared" si="0"/>
        <v>0</v>
      </c>
      <c r="L26" s="699"/>
      <c r="M26" s="691">
        <f t="shared" si="0"/>
        <v>9018</v>
      </c>
      <c r="N26" s="691">
        <f t="shared" si="0"/>
        <v>9018</v>
      </c>
      <c r="O26" s="1814"/>
      <c r="P26" s="1816"/>
      <c r="Q26" s="1803"/>
      <c r="R26" s="1805"/>
    </row>
    <row r="27" spans="1:20" s="22" customFormat="1" ht="28.5" customHeight="1" x14ac:dyDescent="0.25">
      <c r="A27" s="1736" t="s">
        <v>13</v>
      </c>
      <c r="B27" s="1737" t="s">
        <v>13</v>
      </c>
      <c r="C27" s="1684" t="s">
        <v>38</v>
      </c>
      <c r="D27" s="1634" t="s">
        <v>25</v>
      </c>
      <c r="E27" s="198"/>
      <c r="F27" s="1069">
        <v>10</v>
      </c>
      <c r="G27" s="1070" t="s">
        <v>26</v>
      </c>
      <c r="H27" s="51" t="s">
        <v>27</v>
      </c>
      <c r="I27" s="704">
        <f>J27+L27</f>
        <v>393</v>
      </c>
      <c r="J27" s="700">
        <v>393</v>
      </c>
      <c r="K27" s="706"/>
      <c r="L27" s="707"/>
      <c r="M27" s="52">
        <v>406.5</v>
      </c>
      <c r="N27" s="448">
        <v>406.5</v>
      </c>
      <c r="O27" s="1806" t="s">
        <v>115</v>
      </c>
      <c r="P27" s="1807">
        <v>2203</v>
      </c>
      <c r="Q27" s="1790">
        <v>2203</v>
      </c>
      <c r="R27" s="1791">
        <v>2203</v>
      </c>
    </row>
    <row r="28" spans="1:20" s="26" customFormat="1" ht="13.5" thickBot="1" x14ac:dyDescent="0.3">
      <c r="A28" s="1679"/>
      <c r="B28" s="1682"/>
      <c r="C28" s="1685"/>
      <c r="D28" s="1635"/>
      <c r="E28" s="172"/>
      <c r="F28" s="1047"/>
      <c r="G28" s="35"/>
      <c r="H28" s="833" t="s">
        <v>18</v>
      </c>
      <c r="I28" s="708">
        <f t="shared" ref="I28:N28" si="1">+I27</f>
        <v>393</v>
      </c>
      <c r="J28" s="693">
        <f t="shared" si="1"/>
        <v>393</v>
      </c>
      <c r="K28" s="692">
        <f t="shared" si="1"/>
        <v>0</v>
      </c>
      <c r="L28" s="699"/>
      <c r="M28" s="691">
        <f t="shared" si="1"/>
        <v>406.5</v>
      </c>
      <c r="N28" s="691">
        <f t="shared" si="1"/>
        <v>406.5</v>
      </c>
      <c r="O28" s="1735"/>
      <c r="P28" s="1808"/>
      <c r="Q28" s="1809"/>
      <c r="R28" s="1810"/>
    </row>
    <row r="29" spans="1:20" s="23" customFormat="1" ht="29.25" customHeight="1" x14ac:dyDescent="0.25">
      <c r="A29" s="1736" t="s">
        <v>13</v>
      </c>
      <c r="B29" s="1737" t="s">
        <v>13</v>
      </c>
      <c r="C29" s="53" t="s">
        <v>71</v>
      </c>
      <c r="D29" s="1634" t="s">
        <v>29</v>
      </c>
      <c r="E29" s="203"/>
      <c r="F29" s="54" t="s">
        <v>16</v>
      </c>
      <c r="G29" s="55">
        <v>3</v>
      </c>
      <c r="H29" s="56" t="s">
        <v>27</v>
      </c>
      <c r="I29" s="704">
        <f>J29+L29</f>
        <v>638.5</v>
      </c>
      <c r="J29" s="700">
        <v>638.5</v>
      </c>
      <c r="K29" s="706"/>
      <c r="L29" s="707"/>
      <c r="M29" s="42">
        <v>638.5</v>
      </c>
      <c r="N29" s="43">
        <v>638.5</v>
      </c>
      <c r="O29" s="1363" t="s">
        <v>224</v>
      </c>
      <c r="P29" s="429">
        <v>6300</v>
      </c>
      <c r="Q29" s="1344">
        <v>6300</v>
      </c>
      <c r="R29" s="430">
        <v>6300</v>
      </c>
      <c r="S29" s="1130"/>
    </row>
    <row r="30" spans="1:20" s="23" customFormat="1" ht="13.5" thickBot="1" x14ac:dyDescent="0.3">
      <c r="A30" s="1794"/>
      <c r="B30" s="1795"/>
      <c r="C30" s="57"/>
      <c r="D30" s="1635"/>
      <c r="E30" s="1384"/>
      <c r="F30" s="58"/>
      <c r="G30" s="890"/>
      <c r="H30" s="840" t="s">
        <v>18</v>
      </c>
      <c r="I30" s="698">
        <f t="shared" ref="I30:N30" si="2">+I29</f>
        <v>638.5</v>
      </c>
      <c r="J30" s="693">
        <f t="shared" si="2"/>
        <v>638.5</v>
      </c>
      <c r="K30" s="692">
        <f t="shared" si="2"/>
        <v>0</v>
      </c>
      <c r="L30" s="699"/>
      <c r="M30" s="691">
        <f t="shared" si="2"/>
        <v>638.5</v>
      </c>
      <c r="N30" s="691">
        <f t="shared" si="2"/>
        <v>638.5</v>
      </c>
      <c r="O30" s="1385"/>
      <c r="P30" s="1372"/>
      <c r="Q30" s="1374"/>
      <c r="R30" s="1376"/>
    </row>
    <row r="31" spans="1:20" s="22" customFormat="1" ht="13.5" thickBot="1" x14ac:dyDescent="0.3">
      <c r="A31" s="27" t="s">
        <v>13</v>
      </c>
      <c r="B31" s="28" t="s">
        <v>13</v>
      </c>
      <c r="C31" s="1796" t="s">
        <v>30</v>
      </c>
      <c r="D31" s="1797"/>
      <c r="E31" s="1797"/>
      <c r="F31" s="1797"/>
      <c r="G31" s="1797"/>
      <c r="H31" s="1798"/>
      <c r="I31" s="60">
        <f>J31+L31</f>
        <v>75115</v>
      </c>
      <c r="J31" s="61">
        <f>J30+J28+J26+J24+J22+J20+J18+J16</f>
        <v>75115</v>
      </c>
      <c r="K31" s="62">
        <f>K30+K28+K26+K24+K22+K20+K18+K16</f>
        <v>1437.1999999999998</v>
      </c>
      <c r="L31" s="61"/>
      <c r="M31" s="63">
        <f>M30+M28+M26+M24+M22+M20+M18+M16</f>
        <v>82353.5</v>
      </c>
      <c r="N31" s="61">
        <f>N30+N28+N26+N24+N22+N20+N18+N16</f>
        <v>82353.5</v>
      </c>
      <c r="O31" s="1799"/>
      <c r="P31" s="1800"/>
      <c r="Q31" s="1800"/>
      <c r="R31" s="1801"/>
    </row>
    <row r="32" spans="1:20" s="22" customFormat="1" ht="13.5" thickBot="1" x14ac:dyDescent="0.3">
      <c r="A32" s="658" t="s">
        <v>13</v>
      </c>
      <c r="B32" s="1065" t="s">
        <v>19</v>
      </c>
      <c r="C32" s="1792" t="s">
        <v>31</v>
      </c>
      <c r="D32" s="1792"/>
      <c r="E32" s="1792"/>
      <c r="F32" s="1792"/>
      <c r="G32" s="1792"/>
      <c r="H32" s="1792"/>
      <c r="I32" s="1792"/>
      <c r="J32" s="1792"/>
      <c r="K32" s="1792"/>
      <c r="L32" s="1792"/>
      <c r="M32" s="1792"/>
      <c r="N32" s="1792"/>
      <c r="O32" s="1792"/>
      <c r="P32" s="1792"/>
      <c r="Q32" s="1792"/>
      <c r="R32" s="1793"/>
    </row>
    <row r="33" spans="1:23" s="23" customFormat="1" ht="39" customHeight="1" x14ac:dyDescent="0.25">
      <c r="A33" s="1517" t="s">
        <v>13</v>
      </c>
      <c r="B33" s="1518" t="s">
        <v>19</v>
      </c>
      <c r="C33" s="1529" t="s">
        <v>13</v>
      </c>
      <c r="D33" s="18" t="s">
        <v>56</v>
      </c>
      <c r="E33" s="640"/>
      <c r="F33" s="888" t="s">
        <v>16</v>
      </c>
      <c r="G33" s="55">
        <v>3</v>
      </c>
      <c r="H33" s="1131" t="s">
        <v>27</v>
      </c>
      <c r="I33" s="1132">
        <f>J33+L33</f>
        <v>7698.8</v>
      </c>
      <c r="J33" s="1133">
        <v>7696.8</v>
      </c>
      <c r="K33" s="1133">
        <v>5138.6000000000004</v>
      </c>
      <c r="L33" s="1134">
        <v>2</v>
      </c>
      <c r="M33" s="1138">
        <v>9854.7000000000007</v>
      </c>
      <c r="N33" s="1135">
        <v>9887.5</v>
      </c>
      <c r="O33" s="1307" t="s">
        <v>226</v>
      </c>
      <c r="P33" s="338">
        <v>230</v>
      </c>
      <c r="Q33" s="339">
        <v>230</v>
      </c>
      <c r="R33" s="1166">
        <v>230</v>
      </c>
      <c r="S33" s="1137"/>
      <c r="T33" s="1137"/>
      <c r="U33" s="1137"/>
      <c r="V33" s="1137"/>
      <c r="W33" s="1136"/>
    </row>
    <row r="34" spans="1:23" s="23" customFormat="1" ht="16.5" customHeight="1" x14ac:dyDescent="0.25">
      <c r="A34" s="1507"/>
      <c r="B34" s="1508"/>
      <c r="C34" s="206"/>
      <c r="D34" s="210" t="s">
        <v>225</v>
      </c>
      <c r="E34" s="217"/>
      <c r="F34" s="77"/>
      <c r="G34" s="59"/>
      <c r="H34" s="602" t="s">
        <v>32</v>
      </c>
      <c r="I34" s="1139">
        <f>J34+L34</f>
        <v>1501.2</v>
      </c>
      <c r="J34" s="1140">
        <v>1498.2</v>
      </c>
      <c r="K34" s="1140">
        <v>416.3</v>
      </c>
      <c r="L34" s="1141">
        <v>3</v>
      </c>
      <c r="M34" s="1142">
        <f>1773.7+59.4</f>
        <v>1833.1000000000001</v>
      </c>
      <c r="N34" s="1142">
        <v>1833.1</v>
      </c>
      <c r="O34" s="1308" t="s">
        <v>227</v>
      </c>
      <c r="P34" s="1162">
        <v>404</v>
      </c>
      <c r="Q34" s="1538">
        <v>508</v>
      </c>
      <c r="R34" s="364">
        <v>508</v>
      </c>
      <c r="S34" s="1137"/>
      <c r="T34" s="1137"/>
      <c r="U34" s="1137"/>
      <c r="V34" s="1137"/>
      <c r="W34" s="1136"/>
    </row>
    <row r="35" spans="1:23" s="23" customFormat="1" ht="25.5" customHeight="1" x14ac:dyDescent="0.25">
      <c r="A35" s="1507"/>
      <c r="B35" s="1508"/>
      <c r="C35" s="206"/>
      <c r="D35" s="210" t="s">
        <v>167</v>
      </c>
      <c r="E35" s="217"/>
      <c r="F35" s="77"/>
      <c r="G35" s="300"/>
      <c r="H35" s="311" t="s">
        <v>42</v>
      </c>
      <c r="I35" s="870">
        <f>J35+L35</f>
        <v>3.6</v>
      </c>
      <c r="J35" s="674">
        <v>3.6</v>
      </c>
      <c r="K35" s="1143"/>
      <c r="L35" s="684"/>
      <c r="M35" s="603">
        <v>3.6</v>
      </c>
      <c r="N35" s="603">
        <v>3.6</v>
      </c>
      <c r="O35" s="66"/>
      <c r="P35" s="1163"/>
      <c r="Q35" s="1164"/>
      <c r="R35" s="1165"/>
      <c r="T35" s="1584"/>
      <c r="U35" s="1146"/>
      <c r="V35" s="1146"/>
      <c r="W35" s="1146"/>
    </row>
    <row r="36" spans="1:23" s="23" customFormat="1" ht="43.5" customHeight="1" x14ac:dyDescent="0.25">
      <c r="A36" s="1507"/>
      <c r="B36" s="1508"/>
      <c r="C36" s="206"/>
      <c r="D36" s="1622" t="s">
        <v>228</v>
      </c>
      <c r="E36" s="217"/>
      <c r="F36" s="77"/>
      <c r="G36" s="59"/>
      <c r="H36" s="311" t="s">
        <v>21</v>
      </c>
      <c r="I36" s="673">
        <f>J36+L36</f>
        <v>386.5</v>
      </c>
      <c r="J36" s="674">
        <v>351.5</v>
      </c>
      <c r="K36" s="674"/>
      <c r="L36" s="684">
        <v>35</v>
      </c>
      <c r="M36" s="65">
        <v>621.5</v>
      </c>
      <c r="N36" s="65">
        <v>621.5</v>
      </c>
      <c r="O36" s="66"/>
      <c r="P36" s="1542"/>
      <c r="Q36" s="1543"/>
      <c r="R36" s="1544"/>
      <c r="T36" s="1584"/>
    </row>
    <row r="37" spans="1:23" s="23" customFormat="1" x14ac:dyDescent="0.25">
      <c r="A37" s="1507"/>
      <c r="B37" s="1508"/>
      <c r="C37" s="206"/>
      <c r="D37" s="1622"/>
      <c r="E37" s="217"/>
      <c r="F37" s="77"/>
      <c r="G37" s="59"/>
      <c r="H37" s="517" t="s">
        <v>17</v>
      </c>
      <c r="I37" s="1149">
        <f>J37+L37</f>
        <v>1892.9</v>
      </c>
      <c r="J37" s="718">
        <f>1974.4-81.5</f>
        <v>1892.9</v>
      </c>
      <c r="K37" s="718">
        <f>1188-62.2</f>
        <v>1125.8</v>
      </c>
      <c r="L37" s="739"/>
      <c r="M37" s="1150">
        <v>2871.4</v>
      </c>
      <c r="N37" s="1150">
        <v>2871.4</v>
      </c>
      <c r="O37" s="66"/>
      <c r="P37" s="1542"/>
      <c r="Q37" s="336"/>
      <c r="R37" s="69"/>
      <c r="T37" s="1147"/>
      <c r="U37" s="1148"/>
      <c r="V37" s="1148"/>
      <c r="W37" s="1148"/>
    </row>
    <row r="38" spans="1:23" s="23" customFormat="1" ht="25.5" x14ac:dyDescent="0.25">
      <c r="A38" s="1507"/>
      <c r="B38" s="1508"/>
      <c r="C38" s="206"/>
      <c r="D38" s="210" t="s">
        <v>229</v>
      </c>
      <c r="E38" s="217"/>
      <c r="F38" s="77"/>
      <c r="G38" s="59"/>
      <c r="H38" s="401"/>
      <c r="I38" s="688"/>
      <c r="J38" s="689"/>
      <c r="K38" s="689"/>
      <c r="L38" s="690"/>
      <c r="M38" s="70"/>
      <c r="N38" s="74"/>
      <c r="O38" s="66"/>
      <c r="P38" s="1151"/>
      <c r="Q38" s="1152"/>
      <c r="R38" s="1153"/>
    </row>
    <row r="39" spans="1:23" s="23" customFormat="1" x14ac:dyDescent="0.25">
      <c r="A39" s="1507"/>
      <c r="B39" s="1508"/>
      <c r="C39" s="206"/>
      <c r="D39" s="1622" t="s">
        <v>230</v>
      </c>
      <c r="E39" s="214"/>
      <c r="F39" s="77"/>
      <c r="G39" s="59"/>
      <c r="H39" s="401"/>
      <c r="I39" s="688"/>
      <c r="J39" s="689"/>
      <c r="K39" s="689"/>
      <c r="L39" s="1154"/>
      <c r="M39" s="441"/>
      <c r="N39" s="643"/>
      <c r="O39" s="66"/>
      <c r="P39" s="67"/>
      <c r="Q39" s="1155"/>
      <c r="R39" s="1544"/>
    </row>
    <row r="40" spans="1:23" s="23" customFormat="1" x14ac:dyDescent="0.25">
      <c r="A40" s="1507"/>
      <c r="B40" s="1508"/>
      <c r="C40" s="206"/>
      <c r="D40" s="1622"/>
      <c r="E40" s="214"/>
      <c r="F40" s="77"/>
      <c r="G40" s="59"/>
      <c r="H40" s="401"/>
      <c r="I40" s="688"/>
      <c r="J40" s="689"/>
      <c r="K40" s="689"/>
      <c r="L40" s="1154"/>
      <c r="M40" s="74"/>
      <c r="N40" s="70"/>
      <c r="O40" s="66"/>
      <c r="P40" s="67"/>
      <c r="Q40" s="1155"/>
      <c r="R40" s="1544"/>
    </row>
    <row r="41" spans="1:23" s="23" customFormat="1" ht="25.5" x14ac:dyDescent="0.25">
      <c r="A41" s="1507"/>
      <c r="B41" s="1508"/>
      <c r="C41" s="206"/>
      <c r="D41" s="210" t="s">
        <v>231</v>
      </c>
      <c r="E41" s="214"/>
      <c r="F41" s="77"/>
      <c r="G41" s="59"/>
      <c r="H41" s="401"/>
      <c r="I41" s="688"/>
      <c r="J41" s="1156"/>
      <c r="K41" s="689"/>
      <c r="L41" s="1154"/>
      <c r="M41" s="491"/>
      <c r="N41" s="72"/>
      <c r="O41" s="475"/>
      <c r="P41" s="897"/>
      <c r="Q41" s="895"/>
      <c r="R41" s="500"/>
    </row>
    <row r="42" spans="1:23" s="23" customFormat="1" x14ac:dyDescent="0.25">
      <c r="A42" s="1507"/>
      <c r="B42" s="1508"/>
      <c r="C42" s="76"/>
      <c r="D42" s="1622" t="s">
        <v>232</v>
      </c>
      <c r="E42" s="1115"/>
      <c r="F42" s="112"/>
      <c r="G42" s="59"/>
      <c r="H42" s="39"/>
      <c r="I42" s="688"/>
      <c r="J42" s="689"/>
      <c r="K42" s="689"/>
      <c r="L42" s="690"/>
      <c r="M42" s="441"/>
      <c r="N42" s="643"/>
      <c r="O42" s="900"/>
      <c r="P42" s="901"/>
      <c r="Q42" s="902"/>
      <c r="R42" s="903"/>
    </row>
    <row r="43" spans="1:23" s="23" customFormat="1" ht="15.75" customHeight="1" x14ac:dyDescent="0.25">
      <c r="A43" s="1507"/>
      <c r="B43" s="1508"/>
      <c r="C43" s="76"/>
      <c r="D43" s="1622"/>
      <c r="E43" s="1115"/>
      <c r="F43" s="112"/>
      <c r="G43" s="59"/>
      <c r="H43" s="39"/>
      <c r="I43" s="688"/>
      <c r="J43" s="689"/>
      <c r="K43" s="689"/>
      <c r="L43" s="690"/>
      <c r="M43" s="441"/>
      <c r="N43" s="643"/>
      <c r="O43" s="1539"/>
      <c r="P43" s="1542"/>
      <c r="Q43" s="1543"/>
      <c r="R43" s="1544"/>
    </row>
    <row r="44" spans="1:23" s="23" customFormat="1" x14ac:dyDescent="0.25">
      <c r="A44" s="1507"/>
      <c r="B44" s="1508"/>
      <c r="C44" s="1510"/>
      <c r="D44" s="1622" t="s">
        <v>233</v>
      </c>
      <c r="E44" s="1116"/>
      <c r="F44" s="1498"/>
      <c r="G44" s="7"/>
      <c r="H44" s="39"/>
      <c r="I44" s="1093"/>
      <c r="J44" s="1094"/>
      <c r="K44" s="1094"/>
      <c r="L44" s="690"/>
      <c r="M44" s="1157"/>
      <c r="N44" s="1158"/>
      <c r="O44" s="900"/>
      <c r="P44" s="1542"/>
      <c r="Q44" s="1543"/>
      <c r="R44" s="1544"/>
    </row>
    <row r="45" spans="1:23" s="23" customFormat="1" ht="14.25" customHeight="1" x14ac:dyDescent="0.25">
      <c r="A45" s="1507"/>
      <c r="B45" s="1508"/>
      <c r="C45" s="1510"/>
      <c r="D45" s="1622"/>
      <c r="E45" s="1116"/>
      <c r="F45" s="1498"/>
      <c r="G45" s="7"/>
      <c r="H45" s="401"/>
      <c r="I45" s="1093"/>
      <c r="J45" s="1094"/>
      <c r="K45" s="1094"/>
      <c r="L45" s="690"/>
      <c r="M45" s="74"/>
      <c r="N45" s="70"/>
      <c r="O45" s="1539"/>
      <c r="P45" s="1542"/>
      <c r="Q45" s="1543"/>
      <c r="R45" s="1544"/>
    </row>
    <row r="46" spans="1:23" s="75" customFormat="1" x14ac:dyDescent="0.25">
      <c r="A46" s="1507"/>
      <c r="B46" s="1508"/>
      <c r="C46" s="215"/>
      <c r="D46" s="1622" t="s">
        <v>234</v>
      </c>
      <c r="E46" s="1117"/>
      <c r="F46" s="73"/>
      <c r="G46" s="59"/>
      <c r="H46" s="39"/>
      <c r="I46" s="1159"/>
      <c r="J46" s="1094"/>
      <c r="K46" s="1094"/>
      <c r="L46" s="690"/>
      <c r="M46" s="74"/>
      <c r="N46" s="70"/>
      <c r="O46" s="900"/>
      <c r="P46" s="1542"/>
      <c r="Q46" s="1543"/>
      <c r="R46" s="1544"/>
    </row>
    <row r="47" spans="1:23" s="75" customFormat="1" ht="14.25" customHeight="1" thickBot="1" x14ac:dyDescent="0.3">
      <c r="A47" s="1532"/>
      <c r="B47" s="1533"/>
      <c r="C47" s="1453"/>
      <c r="D47" s="1716"/>
      <c r="E47" s="1454"/>
      <c r="F47" s="1455"/>
      <c r="G47" s="890"/>
      <c r="H47" s="1456"/>
      <c r="I47" s="1457"/>
      <c r="J47" s="1458"/>
      <c r="K47" s="1458"/>
      <c r="L47" s="1459"/>
      <c r="M47" s="1460"/>
      <c r="N47" s="1461"/>
      <c r="O47" s="1462"/>
      <c r="P47" s="1372"/>
      <c r="Q47" s="1374"/>
      <c r="R47" s="1376"/>
    </row>
    <row r="48" spans="1:23" s="23" customFormat="1" x14ac:dyDescent="0.25">
      <c r="A48" s="1517"/>
      <c r="B48" s="1518"/>
      <c r="C48" s="1529"/>
      <c r="D48" s="1655" t="s">
        <v>235</v>
      </c>
      <c r="E48" s="1550"/>
      <c r="F48" s="888"/>
      <c r="G48" s="55"/>
      <c r="H48" s="30"/>
      <c r="I48" s="1441"/>
      <c r="J48" s="670"/>
      <c r="K48" s="670"/>
      <c r="L48" s="1551"/>
      <c r="M48" s="1219"/>
      <c r="N48" s="1220"/>
      <c r="O48" s="1787"/>
      <c r="P48" s="1789"/>
      <c r="Q48" s="1790"/>
      <c r="R48" s="1791"/>
    </row>
    <row r="49" spans="1:23" s="23" customFormat="1" x14ac:dyDescent="0.25">
      <c r="A49" s="1507"/>
      <c r="B49" s="33"/>
      <c r="C49" s="206"/>
      <c r="D49" s="1622"/>
      <c r="E49" s="1115"/>
      <c r="F49" s="77"/>
      <c r="G49" s="59"/>
      <c r="H49" s="39"/>
      <c r="I49" s="688"/>
      <c r="J49" s="1161"/>
      <c r="K49" s="732"/>
      <c r="L49" s="787"/>
      <c r="M49" s="74"/>
      <c r="N49" s="70"/>
      <c r="O49" s="1788"/>
      <c r="P49" s="1780"/>
      <c r="Q49" s="1782"/>
      <c r="R49" s="1784"/>
    </row>
    <row r="50" spans="1:23" s="26" customFormat="1" ht="14.25" customHeight="1" x14ac:dyDescent="0.25">
      <c r="A50" s="1540"/>
      <c r="B50" s="1508"/>
      <c r="C50" s="314"/>
      <c r="D50" s="1622"/>
      <c r="E50" s="172"/>
      <c r="F50" s="1498"/>
      <c r="G50" s="35"/>
      <c r="H50" s="39"/>
      <c r="I50" s="776"/>
      <c r="J50" s="868"/>
      <c r="K50" s="732"/>
      <c r="L50" s="787"/>
      <c r="M50" s="78"/>
      <c r="N50" s="666"/>
      <c r="O50" s="1788"/>
      <c r="P50" s="1780"/>
      <c r="Q50" s="1782"/>
      <c r="R50" s="1784"/>
    </row>
    <row r="51" spans="1:23" s="23" customFormat="1" x14ac:dyDescent="0.25">
      <c r="A51" s="1507"/>
      <c r="B51" s="1508"/>
      <c r="C51" s="206"/>
      <c r="D51" s="1622" t="s">
        <v>236</v>
      </c>
      <c r="E51" s="1115"/>
      <c r="F51" s="77"/>
      <c r="G51" s="59"/>
      <c r="H51" s="39"/>
      <c r="I51" s="688"/>
      <c r="J51" s="689"/>
      <c r="K51" s="689"/>
      <c r="L51" s="690"/>
      <c r="M51" s="74"/>
      <c r="N51" s="70"/>
      <c r="O51" s="1786"/>
      <c r="P51" s="1780"/>
      <c r="Q51" s="1782"/>
      <c r="R51" s="1784"/>
    </row>
    <row r="52" spans="1:23" s="23" customFormat="1" x14ac:dyDescent="0.25">
      <c r="A52" s="1507"/>
      <c r="B52" s="33"/>
      <c r="C52" s="206"/>
      <c r="D52" s="1622"/>
      <c r="E52" s="1115"/>
      <c r="F52" s="77"/>
      <c r="G52" s="59"/>
      <c r="H52" s="39"/>
      <c r="I52" s="688"/>
      <c r="J52" s="732"/>
      <c r="K52" s="732"/>
      <c r="L52" s="787"/>
      <c r="M52" s="74"/>
      <c r="N52" s="70"/>
      <c r="O52" s="1786"/>
      <c r="P52" s="1780"/>
      <c r="Q52" s="1782"/>
      <c r="R52" s="1784"/>
    </row>
    <row r="53" spans="1:23" s="26" customFormat="1" x14ac:dyDescent="0.25">
      <c r="A53" s="1507"/>
      <c r="B53" s="33"/>
      <c r="C53" s="34"/>
      <c r="D53" s="1622"/>
      <c r="E53" s="172"/>
      <c r="F53" s="1498"/>
      <c r="G53" s="35"/>
      <c r="H53" s="39"/>
      <c r="I53" s="688"/>
      <c r="J53" s="732"/>
      <c r="K53" s="732"/>
      <c r="L53" s="787"/>
      <c r="M53" s="78"/>
      <c r="N53" s="666"/>
      <c r="O53" s="1786"/>
      <c r="P53" s="1780"/>
      <c r="Q53" s="1782"/>
      <c r="R53" s="1784"/>
    </row>
    <row r="54" spans="1:23" s="23" customFormat="1" ht="14.25" customHeight="1" x14ac:dyDescent="0.25">
      <c r="A54" s="1507"/>
      <c r="B54" s="1508"/>
      <c r="C54" s="206"/>
      <c r="D54" s="1622" t="s">
        <v>128</v>
      </c>
      <c r="E54" s="1115"/>
      <c r="F54" s="77"/>
      <c r="G54" s="59"/>
      <c r="H54" s="39"/>
      <c r="I54" s="688"/>
      <c r="J54" s="689"/>
      <c r="K54" s="689"/>
      <c r="L54" s="690"/>
      <c r="M54" s="74"/>
      <c r="N54" s="70"/>
      <c r="O54" s="1778"/>
      <c r="P54" s="1780"/>
      <c r="Q54" s="1782"/>
      <c r="R54" s="1784"/>
    </row>
    <row r="55" spans="1:23" s="23" customFormat="1" ht="14.25" customHeight="1" x14ac:dyDescent="0.25">
      <c r="A55" s="1507"/>
      <c r="B55" s="33"/>
      <c r="C55" s="206"/>
      <c r="D55" s="1622"/>
      <c r="E55" s="1115"/>
      <c r="F55" s="77"/>
      <c r="G55" s="59"/>
      <c r="H55" s="39"/>
      <c r="I55" s="685"/>
      <c r="J55" s="831"/>
      <c r="K55" s="831"/>
      <c r="L55" s="1160"/>
      <c r="M55" s="81"/>
      <c r="N55" s="663"/>
      <c r="O55" s="1778"/>
      <c r="P55" s="1780"/>
      <c r="Q55" s="1782"/>
      <c r="R55" s="1784"/>
    </row>
    <row r="56" spans="1:23" s="23" customFormat="1" ht="13.5" thickBot="1" x14ac:dyDescent="0.3">
      <c r="A56" s="1507"/>
      <c r="B56" s="1508"/>
      <c r="C56" s="1510"/>
      <c r="D56" s="1716"/>
      <c r="E56" s="1119"/>
      <c r="F56" s="77"/>
      <c r="G56" s="82"/>
      <c r="H56" s="833" t="s">
        <v>18</v>
      </c>
      <c r="I56" s="736">
        <f>SUM(I33:I55)</f>
        <v>11483</v>
      </c>
      <c r="J56" s="736">
        <f t="shared" ref="J56:N56" si="3">SUM(J33:J55)</f>
        <v>11443</v>
      </c>
      <c r="K56" s="736">
        <f t="shared" si="3"/>
        <v>6680.7000000000007</v>
      </c>
      <c r="L56" s="736">
        <f t="shared" si="3"/>
        <v>40</v>
      </c>
      <c r="M56" s="736">
        <f>SUM(M33:M55)</f>
        <v>15184.300000000001</v>
      </c>
      <c r="N56" s="736">
        <f t="shared" si="3"/>
        <v>15217.1</v>
      </c>
      <c r="O56" s="1779"/>
      <c r="P56" s="1781"/>
      <c r="Q56" s="1783"/>
      <c r="R56" s="1785"/>
    </row>
    <row r="57" spans="1:23" s="22" customFormat="1" ht="12.75" customHeight="1" x14ac:dyDescent="0.25">
      <c r="A57" s="1772" t="s">
        <v>13</v>
      </c>
      <c r="B57" s="1774" t="s">
        <v>19</v>
      </c>
      <c r="C57" s="1776" t="s">
        <v>19</v>
      </c>
      <c r="D57" s="1629" t="s">
        <v>54</v>
      </c>
      <c r="E57" s="1763"/>
      <c r="F57" s="1767">
        <v>10</v>
      </c>
      <c r="G57" s="1769" t="s">
        <v>26</v>
      </c>
      <c r="H57" s="83" t="s">
        <v>27</v>
      </c>
      <c r="I57" s="764">
        <f>J57+L57</f>
        <v>832.3</v>
      </c>
      <c r="J57" s="765">
        <v>832.3</v>
      </c>
      <c r="K57" s="765"/>
      <c r="L57" s="672"/>
      <c r="M57" s="84">
        <v>850</v>
      </c>
      <c r="N57" s="84">
        <v>850</v>
      </c>
      <c r="O57" s="1771" t="s">
        <v>266</v>
      </c>
      <c r="P57" s="347">
        <v>65</v>
      </c>
      <c r="Q57" s="348">
        <v>70</v>
      </c>
      <c r="R57" s="349">
        <v>70</v>
      </c>
    </row>
    <row r="58" spans="1:23" s="23" customFormat="1" ht="45.75" customHeight="1" thickBot="1" x14ac:dyDescent="0.3">
      <c r="A58" s="1773"/>
      <c r="B58" s="1775"/>
      <c r="C58" s="1777"/>
      <c r="D58" s="1614"/>
      <c r="E58" s="1764"/>
      <c r="F58" s="1768"/>
      <c r="G58" s="1770"/>
      <c r="H58" s="833" t="s">
        <v>18</v>
      </c>
      <c r="I58" s="698">
        <f>J58+L58</f>
        <v>832.3</v>
      </c>
      <c r="J58" s="693">
        <f>J57</f>
        <v>832.3</v>
      </c>
      <c r="K58" s="692"/>
      <c r="L58" s="699"/>
      <c r="M58" s="694">
        <f>SUM(M57)</f>
        <v>850</v>
      </c>
      <c r="N58" s="713">
        <f>SUM(N57)</f>
        <v>850</v>
      </c>
      <c r="O58" s="1750"/>
      <c r="P58" s="1251"/>
      <c r="Q58" s="1252"/>
      <c r="R58" s="1253"/>
    </row>
    <row r="59" spans="1:23" s="22" customFormat="1" ht="76.5" x14ac:dyDescent="0.25">
      <c r="A59" s="1521" t="s">
        <v>13</v>
      </c>
      <c r="B59" s="1523" t="s">
        <v>19</v>
      </c>
      <c r="C59" s="1525" t="s">
        <v>22</v>
      </c>
      <c r="D59" s="522" t="s">
        <v>55</v>
      </c>
      <c r="E59" s="320"/>
      <c r="F59" s="1527">
        <v>10</v>
      </c>
      <c r="G59" s="1520" t="s">
        <v>26</v>
      </c>
      <c r="H59" s="83" t="s">
        <v>27</v>
      </c>
      <c r="I59" s="766">
        <f>J59+L59</f>
        <v>932.2</v>
      </c>
      <c r="J59" s="767">
        <v>932.2</v>
      </c>
      <c r="K59" s="767"/>
      <c r="L59" s="766"/>
      <c r="M59" s="85">
        <v>792.2</v>
      </c>
      <c r="N59" s="86">
        <v>792.2</v>
      </c>
      <c r="O59" s="1519" t="s">
        <v>241</v>
      </c>
      <c r="P59" s="347">
        <v>89</v>
      </c>
      <c r="Q59" s="1579">
        <v>71</v>
      </c>
      <c r="R59" s="351">
        <v>71</v>
      </c>
      <c r="S59" s="1167"/>
      <c r="T59" s="1168"/>
      <c r="U59" s="1169"/>
      <c r="V59" s="1169"/>
      <c r="W59" s="1169"/>
    </row>
    <row r="60" spans="1:23" s="22" customFormat="1" ht="51" customHeight="1" x14ac:dyDescent="0.25">
      <c r="A60" s="87"/>
      <c r="B60" s="88"/>
      <c r="C60" s="34"/>
      <c r="D60" s="896" t="s">
        <v>237</v>
      </c>
      <c r="E60" s="231"/>
      <c r="F60" s="89"/>
      <c r="G60" s="90"/>
      <c r="H60" s="616" t="s">
        <v>42</v>
      </c>
      <c r="I60" s="802">
        <f t="shared" ref="I60" si="4">J60+L60</f>
        <v>206.1</v>
      </c>
      <c r="J60" s="771">
        <v>206.1</v>
      </c>
      <c r="K60" s="771"/>
      <c r="L60" s="770"/>
      <c r="M60" s="135">
        <v>206.1</v>
      </c>
      <c r="N60" s="319">
        <v>206.1</v>
      </c>
      <c r="O60" s="1299" t="s">
        <v>242</v>
      </c>
      <c r="P60" s="1173">
        <v>208</v>
      </c>
      <c r="Q60" s="1174">
        <v>208</v>
      </c>
      <c r="R60" s="1175">
        <v>208</v>
      </c>
      <c r="T60" s="1170"/>
      <c r="U60" s="1169"/>
      <c r="V60" s="1169"/>
      <c r="W60" s="1169"/>
    </row>
    <row r="61" spans="1:23" s="22" customFormat="1" ht="38.25" x14ac:dyDescent="0.25">
      <c r="A61" s="87"/>
      <c r="B61" s="88"/>
      <c r="C61" s="1172"/>
      <c r="D61" s="896" t="s">
        <v>238</v>
      </c>
      <c r="E61" s="231"/>
      <c r="F61" s="89"/>
      <c r="G61" s="90"/>
      <c r="H61" s="892"/>
      <c r="I61" s="893"/>
      <c r="J61" s="811"/>
      <c r="K61" s="811"/>
      <c r="L61" s="893"/>
      <c r="M61" s="10"/>
      <c r="N61" s="11"/>
      <c r="O61" s="894"/>
      <c r="P61" s="897"/>
      <c r="Q61" s="895"/>
      <c r="R61" s="500"/>
      <c r="T61" s="1171"/>
      <c r="U61" s="205"/>
      <c r="V61" s="205"/>
      <c r="W61" s="205"/>
    </row>
    <row r="62" spans="1:23" s="22" customFormat="1" ht="51.75" thickBot="1" x14ac:dyDescent="0.3">
      <c r="A62" s="1522"/>
      <c r="B62" s="1524"/>
      <c r="C62" s="1526"/>
      <c r="D62" s="1463" t="s">
        <v>239</v>
      </c>
      <c r="E62" s="235"/>
      <c r="F62" s="1528"/>
      <c r="G62" s="230"/>
      <c r="H62" s="1464"/>
      <c r="I62" s="1465"/>
      <c r="J62" s="1466"/>
      <c r="K62" s="1466"/>
      <c r="L62" s="1465"/>
      <c r="M62" s="1467"/>
      <c r="N62" s="1468"/>
      <c r="O62" s="49"/>
      <c r="P62" s="1469"/>
      <c r="Q62" s="1501"/>
      <c r="R62" s="1535"/>
      <c r="T62" s="1583"/>
      <c r="U62" s="205"/>
      <c r="V62" s="205"/>
      <c r="W62" s="205"/>
    </row>
    <row r="63" spans="1:23" s="22" customFormat="1" ht="63.75" x14ac:dyDescent="0.25">
      <c r="A63" s="1521"/>
      <c r="B63" s="1523"/>
      <c r="C63" s="1525"/>
      <c r="D63" s="637" t="s">
        <v>240</v>
      </c>
      <c r="E63" s="320"/>
      <c r="F63" s="1527"/>
      <c r="G63" s="1520"/>
      <c r="H63" s="83"/>
      <c r="I63" s="766"/>
      <c r="J63" s="767"/>
      <c r="K63" s="767"/>
      <c r="L63" s="766"/>
      <c r="M63" s="85"/>
      <c r="N63" s="86"/>
      <c r="O63" s="48"/>
      <c r="P63" s="1552"/>
      <c r="Q63" s="1500"/>
      <c r="R63" s="1553"/>
      <c r="T63" s="1583"/>
      <c r="U63" s="205"/>
      <c r="V63" s="205"/>
      <c r="W63" s="205"/>
    </row>
    <row r="64" spans="1:23" s="22" customFormat="1" ht="68.25" customHeight="1" x14ac:dyDescent="0.25">
      <c r="A64" s="87"/>
      <c r="B64" s="88"/>
      <c r="C64" s="34"/>
      <c r="D64" s="1613" t="s">
        <v>194</v>
      </c>
      <c r="E64" s="231"/>
      <c r="F64" s="89"/>
      <c r="G64" s="90"/>
      <c r="H64" s="1129"/>
      <c r="I64" s="1033"/>
      <c r="J64" s="811"/>
      <c r="K64" s="811"/>
      <c r="L64" s="893"/>
      <c r="M64" s="10"/>
      <c r="N64" s="11"/>
      <c r="O64" s="894"/>
      <c r="P64" s="498"/>
      <c r="Q64" s="895"/>
      <c r="R64" s="1176"/>
      <c r="T64" s="1583"/>
      <c r="U64" s="205"/>
      <c r="V64" s="205"/>
      <c r="W64" s="205"/>
    </row>
    <row r="65" spans="1:18" s="23" customFormat="1" ht="13.5" thickBot="1" x14ac:dyDescent="0.3">
      <c r="A65" s="12"/>
      <c r="B65" s="13"/>
      <c r="C65" s="14"/>
      <c r="D65" s="1614"/>
      <c r="E65" s="235"/>
      <c r="F65" s="15"/>
      <c r="G65" s="230"/>
      <c r="H65" s="833" t="s">
        <v>18</v>
      </c>
      <c r="I65" s="698">
        <f>J65+L65</f>
        <v>1138.3</v>
      </c>
      <c r="J65" s="693">
        <f>SUM(J59:J64)</f>
        <v>1138.3</v>
      </c>
      <c r="K65" s="692"/>
      <c r="L65" s="699"/>
      <c r="M65" s="713">
        <f>SUM(M59:M64)</f>
        <v>998.30000000000007</v>
      </c>
      <c r="N65" s="789">
        <f>SUM(N59:N64)</f>
        <v>998.30000000000007</v>
      </c>
      <c r="O65" s="49"/>
      <c r="P65" s="352"/>
      <c r="Q65" s="353"/>
      <c r="R65" s="354"/>
    </row>
    <row r="66" spans="1:18" s="22" customFormat="1" ht="26.25" customHeight="1" x14ac:dyDescent="0.25">
      <c r="A66" s="1757" t="s">
        <v>13</v>
      </c>
      <c r="B66" s="1759" t="s">
        <v>19</v>
      </c>
      <c r="C66" s="1761" t="s">
        <v>24</v>
      </c>
      <c r="D66" s="1687" t="s">
        <v>33</v>
      </c>
      <c r="E66" s="1763"/>
      <c r="F66" s="1765">
        <v>10</v>
      </c>
      <c r="G66" s="1748" t="s">
        <v>26</v>
      </c>
      <c r="H66" s="83" t="s">
        <v>27</v>
      </c>
      <c r="I66" s="764">
        <f>J66+K66+L66</f>
        <v>80</v>
      </c>
      <c r="J66" s="765">
        <v>80</v>
      </c>
      <c r="K66" s="765"/>
      <c r="L66" s="772"/>
      <c r="M66" s="32">
        <v>85</v>
      </c>
      <c r="N66" s="91">
        <v>85</v>
      </c>
      <c r="O66" s="1740" t="s">
        <v>214</v>
      </c>
      <c r="P66" s="1751">
        <v>22</v>
      </c>
      <c r="Q66" s="1753">
        <v>22</v>
      </c>
      <c r="R66" s="1755">
        <v>22</v>
      </c>
    </row>
    <row r="67" spans="1:18" s="22" customFormat="1" ht="13.5" thickBot="1" x14ac:dyDescent="0.3">
      <c r="A67" s="1758"/>
      <c r="B67" s="1760"/>
      <c r="C67" s="1762"/>
      <c r="D67" s="1607"/>
      <c r="E67" s="1764"/>
      <c r="F67" s="1766"/>
      <c r="G67" s="1749"/>
      <c r="H67" s="840" t="s">
        <v>18</v>
      </c>
      <c r="I67" s="773">
        <f t="shared" ref="I67:I74" si="5">J67+L67</f>
        <v>80</v>
      </c>
      <c r="J67" s="774">
        <f>SUM(J66)</f>
        <v>80</v>
      </c>
      <c r="K67" s="774"/>
      <c r="L67" s="775"/>
      <c r="M67" s="743">
        <f>SUM(M66)</f>
        <v>85</v>
      </c>
      <c r="N67" s="742">
        <f>SUM(N66)</f>
        <v>85</v>
      </c>
      <c r="O67" s="1750"/>
      <c r="P67" s="1752"/>
      <c r="Q67" s="1754"/>
      <c r="R67" s="1756"/>
    </row>
    <row r="68" spans="1:18" s="22" customFormat="1" ht="12.75" customHeight="1" x14ac:dyDescent="0.25">
      <c r="A68" s="1736" t="s">
        <v>13</v>
      </c>
      <c r="B68" s="1737" t="s">
        <v>19</v>
      </c>
      <c r="C68" s="1055" t="s">
        <v>28</v>
      </c>
      <c r="D68" s="1745" t="s">
        <v>34</v>
      </c>
      <c r="E68" s="238"/>
      <c r="F68" s="1069">
        <v>10</v>
      </c>
      <c r="G68" s="92" t="s">
        <v>35</v>
      </c>
      <c r="H68" s="93" t="s">
        <v>27</v>
      </c>
      <c r="I68" s="855">
        <f t="shared" si="5"/>
        <v>100</v>
      </c>
      <c r="J68" s="856">
        <v>70</v>
      </c>
      <c r="K68" s="856"/>
      <c r="L68" s="857">
        <v>30</v>
      </c>
      <c r="M68" s="20">
        <v>100</v>
      </c>
      <c r="N68" s="20">
        <v>100</v>
      </c>
      <c r="O68" s="1740" t="s">
        <v>58</v>
      </c>
      <c r="P68" s="347">
        <v>14</v>
      </c>
      <c r="Q68" s="348">
        <v>14</v>
      </c>
      <c r="R68" s="351">
        <v>14</v>
      </c>
    </row>
    <row r="69" spans="1:18" s="22" customFormat="1" x14ac:dyDescent="0.25">
      <c r="A69" s="1679"/>
      <c r="B69" s="1682"/>
      <c r="C69" s="1056"/>
      <c r="D69" s="1746"/>
      <c r="E69" s="240"/>
      <c r="F69" s="94"/>
      <c r="G69" s="95"/>
      <c r="H69" s="96" t="s">
        <v>21</v>
      </c>
      <c r="I69" s="776">
        <f t="shared" si="5"/>
        <v>400</v>
      </c>
      <c r="J69" s="777">
        <v>280</v>
      </c>
      <c r="K69" s="777"/>
      <c r="L69" s="677">
        <v>120</v>
      </c>
      <c r="M69" s="531">
        <v>400</v>
      </c>
      <c r="N69" s="531">
        <v>400</v>
      </c>
      <c r="O69" s="1741"/>
      <c r="P69" s="355"/>
      <c r="Q69" s="356"/>
      <c r="R69" s="357"/>
    </row>
    <row r="70" spans="1:18" s="22" customFormat="1" ht="13.5" thickBot="1" x14ac:dyDescent="0.3">
      <c r="A70" s="1053"/>
      <c r="B70" s="1054"/>
      <c r="C70" s="1056"/>
      <c r="D70" s="1747"/>
      <c r="E70" s="240"/>
      <c r="F70" s="94"/>
      <c r="G70" s="95"/>
      <c r="H70" s="840" t="s">
        <v>18</v>
      </c>
      <c r="I70" s="773">
        <f t="shared" si="5"/>
        <v>500</v>
      </c>
      <c r="J70" s="774">
        <f>SUM(J68:J69)</f>
        <v>350</v>
      </c>
      <c r="K70" s="774"/>
      <c r="L70" s="775">
        <f>SUM(L68:L69)</f>
        <v>150</v>
      </c>
      <c r="M70" s="743">
        <f>SUM(M68:M69)</f>
        <v>500</v>
      </c>
      <c r="N70" s="742">
        <f>SUM(N68:N69)</f>
        <v>500</v>
      </c>
      <c r="O70" s="383"/>
      <c r="P70" s="355"/>
      <c r="Q70" s="356"/>
      <c r="R70" s="357"/>
    </row>
    <row r="71" spans="1:18" s="22" customFormat="1" ht="12.75" customHeight="1" x14ac:dyDescent="0.25">
      <c r="A71" s="1736" t="s">
        <v>13</v>
      </c>
      <c r="B71" s="1737" t="s">
        <v>19</v>
      </c>
      <c r="C71" s="1055" t="s">
        <v>36</v>
      </c>
      <c r="D71" s="1629" t="s">
        <v>37</v>
      </c>
      <c r="E71" s="238"/>
      <c r="F71" s="1069">
        <v>10</v>
      </c>
      <c r="G71" s="1066" t="s">
        <v>26</v>
      </c>
      <c r="H71" s="99" t="s">
        <v>27</v>
      </c>
      <c r="I71" s="779">
        <f t="shared" si="5"/>
        <v>69.2</v>
      </c>
      <c r="J71" s="780">
        <v>69.2</v>
      </c>
      <c r="K71" s="780"/>
      <c r="L71" s="781"/>
      <c r="M71" s="41">
        <v>69.2</v>
      </c>
      <c r="N71" s="100">
        <v>69.2</v>
      </c>
      <c r="O71" s="1740" t="s">
        <v>83</v>
      </c>
      <c r="P71" s="347">
        <v>20</v>
      </c>
      <c r="Q71" s="348">
        <v>20</v>
      </c>
      <c r="R71" s="351">
        <v>20</v>
      </c>
    </row>
    <row r="72" spans="1:18" s="22" customFormat="1" x14ac:dyDescent="0.2">
      <c r="A72" s="1679"/>
      <c r="B72" s="1682"/>
      <c r="C72" s="1056"/>
      <c r="D72" s="1613"/>
      <c r="E72" s="241"/>
      <c r="F72" s="101"/>
      <c r="G72" s="102"/>
      <c r="H72" s="39" t="s">
        <v>21</v>
      </c>
      <c r="I72" s="782">
        <f t="shared" si="5"/>
        <v>692</v>
      </c>
      <c r="J72" s="783">
        <v>692</v>
      </c>
      <c r="K72" s="783"/>
      <c r="L72" s="784"/>
      <c r="M72" s="38">
        <v>692</v>
      </c>
      <c r="N72" s="103">
        <v>692</v>
      </c>
      <c r="O72" s="1741"/>
      <c r="P72" s="355"/>
      <c r="Q72" s="356"/>
      <c r="R72" s="357"/>
    </row>
    <row r="73" spans="1:18" s="22" customFormat="1" x14ac:dyDescent="0.2">
      <c r="A73" s="1053"/>
      <c r="B73" s="1054"/>
      <c r="C73" s="1056"/>
      <c r="D73" s="1613"/>
      <c r="E73" s="241"/>
      <c r="F73" s="101"/>
      <c r="G73" s="102"/>
      <c r="H73" s="36" t="s">
        <v>21</v>
      </c>
      <c r="I73" s="782">
        <f t="shared" si="5"/>
        <v>38.1</v>
      </c>
      <c r="J73" s="783">
        <v>38.1</v>
      </c>
      <c r="K73" s="783"/>
      <c r="L73" s="784"/>
      <c r="M73" s="97">
        <v>38.1</v>
      </c>
      <c r="N73" s="98">
        <v>38.1</v>
      </c>
      <c r="O73" s="383"/>
      <c r="P73" s="355"/>
      <c r="Q73" s="356"/>
      <c r="R73" s="357"/>
    </row>
    <row r="74" spans="1:18" s="22" customFormat="1" ht="13.5" thickBot="1" x14ac:dyDescent="0.25">
      <c r="A74" s="1077"/>
      <c r="B74" s="1078"/>
      <c r="C74" s="1057"/>
      <c r="D74" s="1614"/>
      <c r="E74" s="245"/>
      <c r="F74" s="105"/>
      <c r="G74" s="246"/>
      <c r="H74" s="858" t="s">
        <v>18</v>
      </c>
      <c r="I74" s="773">
        <f t="shared" si="5"/>
        <v>799.30000000000007</v>
      </c>
      <c r="J74" s="774">
        <f>SUM(J71:J73)</f>
        <v>799.30000000000007</v>
      </c>
      <c r="K74" s="774"/>
      <c r="L74" s="775"/>
      <c r="M74" s="743">
        <f>SUM(M71:M73)</f>
        <v>799.30000000000007</v>
      </c>
      <c r="N74" s="742">
        <f>SUM(N71:N73)</f>
        <v>799.30000000000007</v>
      </c>
      <c r="O74" s="384"/>
      <c r="P74" s="358"/>
      <c r="Q74" s="359"/>
      <c r="R74" s="360"/>
    </row>
    <row r="75" spans="1:18" s="22" customFormat="1" ht="12.75" customHeight="1" x14ac:dyDescent="0.25">
      <c r="A75" s="1736" t="s">
        <v>13</v>
      </c>
      <c r="B75" s="1737" t="s">
        <v>19</v>
      </c>
      <c r="C75" s="1055" t="s">
        <v>38</v>
      </c>
      <c r="D75" s="1630" t="s">
        <v>105</v>
      </c>
      <c r="E75" s="238"/>
      <c r="F75" s="1069">
        <v>10</v>
      </c>
      <c r="G75" s="19" t="s">
        <v>72</v>
      </c>
      <c r="H75" s="83" t="s">
        <v>21</v>
      </c>
      <c r="I75" s="764">
        <f t="shared" ref="I75" si="6">J75+L75</f>
        <v>500</v>
      </c>
      <c r="J75" s="765">
        <v>200</v>
      </c>
      <c r="K75" s="765"/>
      <c r="L75" s="672">
        <v>300</v>
      </c>
      <c r="M75" s="32">
        <v>500</v>
      </c>
      <c r="N75" s="91">
        <v>500</v>
      </c>
      <c r="O75" s="1740" t="s">
        <v>83</v>
      </c>
      <c r="P75" s="347"/>
      <c r="Q75" s="348"/>
      <c r="R75" s="351"/>
    </row>
    <row r="76" spans="1:18" s="22" customFormat="1" x14ac:dyDescent="0.2">
      <c r="A76" s="1679"/>
      <c r="B76" s="1682"/>
      <c r="C76" s="1056"/>
      <c r="D76" s="1738"/>
      <c r="E76" s="241"/>
      <c r="F76" s="101"/>
      <c r="G76" s="104">
        <v>3</v>
      </c>
      <c r="H76" s="39"/>
      <c r="I76" s="776"/>
      <c r="J76" s="777"/>
      <c r="K76" s="777"/>
      <c r="L76" s="778"/>
      <c r="M76" s="41"/>
      <c r="N76" s="100"/>
      <c r="O76" s="1741"/>
      <c r="P76" s="355"/>
      <c r="Q76" s="356"/>
      <c r="R76" s="357"/>
    </row>
    <row r="77" spans="1:18" s="22" customFormat="1" ht="13.5" thickBot="1" x14ac:dyDescent="0.25">
      <c r="A77" s="1053"/>
      <c r="B77" s="1054"/>
      <c r="C77" s="1057"/>
      <c r="D77" s="1739"/>
      <c r="E77" s="241"/>
      <c r="F77" s="105"/>
      <c r="G77" s="247">
        <v>6</v>
      </c>
      <c r="H77" s="858" t="s">
        <v>18</v>
      </c>
      <c r="I77" s="785">
        <f>J77+L77</f>
        <v>500</v>
      </c>
      <c r="J77" s="774">
        <f>SUM(J75:J76)</f>
        <v>200</v>
      </c>
      <c r="K77" s="786"/>
      <c r="L77" s="775">
        <f>L75</f>
        <v>300</v>
      </c>
      <c r="M77" s="743">
        <f>SUM(M75:M76)</f>
        <v>500</v>
      </c>
      <c r="N77" s="742">
        <f>SUM(N75:N76)</f>
        <v>500</v>
      </c>
      <c r="O77" s="383"/>
      <c r="P77" s="355"/>
      <c r="Q77" s="356"/>
      <c r="R77" s="357"/>
    </row>
    <row r="78" spans="1:18" s="22" customFormat="1" ht="12.75" customHeight="1" x14ac:dyDescent="0.25">
      <c r="A78" s="1736" t="s">
        <v>13</v>
      </c>
      <c r="B78" s="1737" t="s">
        <v>19</v>
      </c>
      <c r="C78" s="1509" t="s">
        <v>71</v>
      </c>
      <c r="D78" s="1629" t="s">
        <v>187</v>
      </c>
      <c r="E78" s="1470"/>
      <c r="F78" s="1512" t="s">
        <v>16</v>
      </c>
      <c r="G78" s="1475" t="s">
        <v>26</v>
      </c>
      <c r="H78" s="30" t="s">
        <v>17</v>
      </c>
      <c r="I78" s="681">
        <v>60.8</v>
      </c>
      <c r="J78" s="682">
        <v>60.8</v>
      </c>
      <c r="K78" s="682"/>
      <c r="L78" s="683"/>
      <c r="M78" s="106"/>
      <c r="N78" s="107"/>
      <c r="O78" s="1726" t="s">
        <v>178</v>
      </c>
      <c r="P78" s="378">
        <v>8</v>
      </c>
      <c r="Q78" s="379"/>
      <c r="R78" s="380"/>
    </row>
    <row r="79" spans="1:18" s="22" customFormat="1" ht="27" customHeight="1" x14ac:dyDescent="0.25">
      <c r="A79" s="1679"/>
      <c r="B79" s="1682"/>
      <c r="C79" s="1510"/>
      <c r="D79" s="1613"/>
      <c r="E79" s="1471"/>
      <c r="F79" s="1498"/>
      <c r="G79" s="1473"/>
      <c r="H79" s="305" t="s">
        <v>41</v>
      </c>
      <c r="I79" s="870">
        <v>484.5</v>
      </c>
      <c r="J79" s="686">
        <v>484.5</v>
      </c>
      <c r="K79" s="686"/>
      <c r="L79" s="787"/>
      <c r="M79" s="306">
        <v>337.5</v>
      </c>
      <c r="N79" s="78"/>
      <c r="O79" s="1727"/>
      <c r="P79" s="453">
        <v>50</v>
      </c>
      <c r="Q79" s="1506">
        <v>50</v>
      </c>
      <c r="R79" s="1504"/>
    </row>
    <row r="80" spans="1:18" s="22" customFormat="1" ht="64.5" thickBot="1" x14ac:dyDescent="0.3">
      <c r="A80" s="1532"/>
      <c r="B80" s="1533"/>
      <c r="C80" s="1511"/>
      <c r="D80" s="1614"/>
      <c r="E80" s="1472"/>
      <c r="F80" s="1499"/>
      <c r="G80" s="1474"/>
      <c r="H80" s="1476" t="s">
        <v>17</v>
      </c>
      <c r="I80" s="1477">
        <f>121.7+190.9</f>
        <v>312.60000000000002</v>
      </c>
      <c r="J80" s="1425">
        <f>121.7+190.9</f>
        <v>312.60000000000002</v>
      </c>
      <c r="K80" s="1478">
        <f>92.9+135.6</f>
        <v>228.5</v>
      </c>
      <c r="L80" s="1479"/>
      <c r="M80" s="1480">
        <v>364.8</v>
      </c>
      <c r="N80" s="1481"/>
      <c r="O80" s="1482" t="s">
        <v>261</v>
      </c>
      <c r="P80" s="1430">
        <v>25</v>
      </c>
      <c r="Q80" s="1545">
        <v>25</v>
      </c>
      <c r="R80" s="1516"/>
    </row>
    <row r="81" spans="1:19" s="22" customFormat="1" x14ac:dyDescent="0.25">
      <c r="A81" s="1517"/>
      <c r="B81" s="1518"/>
      <c r="C81" s="1509"/>
      <c r="D81" s="1554"/>
      <c r="E81" s="1470"/>
      <c r="F81" s="1512"/>
      <c r="G81" s="1555"/>
      <c r="H81" s="45" t="s">
        <v>17</v>
      </c>
      <c r="I81" s="695">
        <v>243.2</v>
      </c>
      <c r="J81" s="682">
        <v>243.2</v>
      </c>
      <c r="K81" s="682">
        <v>185.7</v>
      </c>
      <c r="L81" s="683"/>
      <c r="M81" s="42">
        <v>364.8</v>
      </c>
      <c r="N81" s="1556"/>
      <c r="O81" s="1728" t="s">
        <v>262</v>
      </c>
      <c r="P81" s="1541">
        <v>17</v>
      </c>
      <c r="Q81" s="1500">
        <v>25</v>
      </c>
      <c r="R81" s="1534"/>
      <c r="S81" s="9"/>
    </row>
    <row r="82" spans="1:19" s="22" customFormat="1" ht="51.75" customHeight="1" thickBot="1" x14ac:dyDescent="0.3">
      <c r="A82" s="1507"/>
      <c r="B82" s="1508"/>
      <c r="C82" s="1511"/>
      <c r="D82" s="1463"/>
      <c r="E82" s="1472"/>
      <c r="F82" s="1499"/>
      <c r="G82" s="1474"/>
      <c r="H82" s="833" t="s">
        <v>18</v>
      </c>
      <c r="I82" s="691">
        <f>L82+J82</f>
        <v>1101.0999999999999</v>
      </c>
      <c r="J82" s="694">
        <f>SUM(J78:J81)</f>
        <v>1101.0999999999999</v>
      </c>
      <c r="K82" s="694">
        <f>SUM(K78:K81)</f>
        <v>414.2</v>
      </c>
      <c r="L82" s="789"/>
      <c r="M82" s="692">
        <f>SUM(M78:M81)</f>
        <v>1067.0999999999999</v>
      </c>
      <c r="N82" s="713">
        <f>SUM(N78:N79)</f>
        <v>0</v>
      </c>
      <c r="O82" s="1631"/>
      <c r="P82" s="1372"/>
      <c r="Q82" s="1374"/>
      <c r="R82" s="1376"/>
    </row>
    <row r="83" spans="1:19" s="22" customFormat="1" ht="26.25" customHeight="1" x14ac:dyDescent="0.25">
      <c r="A83" s="1517" t="s">
        <v>13</v>
      </c>
      <c r="B83" s="1518" t="s">
        <v>19</v>
      </c>
      <c r="C83" s="1509" t="s">
        <v>85</v>
      </c>
      <c r="D83" s="1634" t="s">
        <v>193</v>
      </c>
      <c r="E83" s="1730"/>
      <c r="F83" s="1692" t="s">
        <v>16</v>
      </c>
      <c r="G83" s="1733" t="s">
        <v>26</v>
      </c>
      <c r="H83" s="30" t="s">
        <v>41</v>
      </c>
      <c r="I83" s="855">
        <f>J83+L83</f>
        <v>2007.9</v>
      </c>
      <c r="J83" s="856">
        <v>51</v>
      </c>
      <c r="K83" s="682">
        <v>13.3</v>
      </c>
      <c r="L83" s="683">
        <v>1956.9</v>
      </c>
      <c r="M83" s="106"/>
      <c r="N83" s="882"/>
      <c r="O83" s="1300" t="s">
        <v>263</v>
      </c>
      <c r="P83" s="879">
        <v>948.45</v>
      </c>
      <c r="Q83" s="880"/>
      <c r="R83" s="881"/>
    </row>
    <row r="84" spans="1:19" s="22" customFormat="1" x14ac:dyDescent="0.25">
      <c r="A84" s="1507"/>
      <c r="B84" s="1508"/>
      <c r="C84" s="1510"/>
      <c r="D84" s="1729"/>
      <c r="E84" s="1731"/>
      <c r="F84" s="1604"/>
      <c r="G84" s="1615"/>
      <c r="H84" s="36" t="s">
        <v>21</v>
      </c>
      <c r="I84" s="776">
        <f>J84+L84</f>
        <v>354.3</v>
      </c>
      <c r="J84" s="868">
        <v>11</v>
      </c>
      <c r="K84" s="732">
        <v>2.4</v>
      </c>
      <c r="L84" s="787">
        <v>343.3</v>
      </c>
      <c r="M84" s="71"/>
      <c r="N84" s="877"/>
      <c r="O84" s="1734" t="s">
        <v>195</v>
      </c>
      <c r="P84" s="1720"/>
      <c r="Q84" s="1722">
        <v>20</v>
      </c>
      <c r="R84" s="1724">
        <v>20</v>
      </c>
    </row>
    <row r="85" spans="1:19" s="22" customFormat="1" ht="13.5" thickBot="1" x14ac:dyDescent="0.3">
      <c r="A85" s="1507"/>
      <c r="B85" s="1508"/>
      <c r="C85" s="1511"/>
      <c r="D85" s="1635"/>
      <c r="E85" s="1732"/>
      <c r="F85" s="1605"/>
      <c r="G85" s="1616"/>
      <c r="H85" s="833" t="s">
        <v>18</v>
      </c>
      <c r="I85" s="790">
        <f>L85+J85</f>
        <v>2362.2000000000003</v>
      </c>
      <c r="J85" s="791">
        <f>SUM(J83:J84)</f>
        <v>62</v>
      </c>
      <c r="K85" s="791">
        <f>SUM(K83:K84)</f>
        <v>15.700000000000001</v>
      </c>
      <c r="L85" s="792">
        <f>SUM(L83:L84)</f>
        <v>2300.2000000000003</v>
      </c>
      <c r="M85" s="793">
        <f>SUM(M83:M83)</f>
        <v>0</v>
      </c>
      <c r="N85" s="878">
        <f>SUM(N83:N83)</f>
        <v>0</v>
      </c>
      <c r="O85" s="1735"/>
      <c r="P85" s="1721"/>
      <c r="Q85" s="1723"/>
      <c r="R85" s="1725"/>
    </row>
    <row r="86" spans="1:19" s="22" customFormat="1" ht="13.5" thickBot="1" x14ac:dyDescent="0.3">
      <c r="A86" s="27" t="s">
        <v>13</v>
      </c>
      <c r="B86" s="28" t="s">
        <v>19</v>
      </c>
      <c r="C86" s="1608" t="s">
        <v>30</v>
      </c>
      <c r="D86" s="1608"/>
      <c r="E86" s="1608"/>
      <c r="F86" s="1608"/>
      <c r="G86" s="1608"/>
      <c r="H86" s="1620"/>
      <c r="I86" s="109">
        <f>I85+I82+I77+I74+I70+I67+I65+I58+I56</f>
        <v>18796.2</v>
      </c>
      <c r="J86" s="1393">
        <f t="shared" ref="J86:N86" si="7">J85+J82+J77+J74+J70+J67+J65+J58+J56</f>
        <v>16006</v>
      </c>
      <c r="K86" s="1392">
        <f t="shared" si="7"/>
        <v>7110.6</v>
      </c>
      <c r="L86" s="1391">
        <f t="shared" si="7"/>
        <v>2790.2000000000003</v>
      </c>
      <c r="M86" s="109">
        <f>M85+M82+M77+M74+M70+M67+M65+M58+M56</f>
        <v>19984</v>
      </c>
      <c r="N86" s="109">
        <f t="shared" si="7"/>
        <v>18949.7</v>
      </c>
      <c r="O86" s="1742"/>
      <c r="P86" s="1743"/>
      <c r="Q86" s="1743"/>
      <c r="R86" s="1744"/>
    </row>
    <row r="87" spans="1:19" s="22" customFormat="1" ht="13.5" thickBot="1" x14ac:dyDescent="0.3">
      <c r="A87" s="110" t="s">
        <v>13</v>
      </c>
      <c r="B87" s="28" t="s">
        <v>22</v>
      </c>
      <c r="C87" s="1717" t="s">
        <v>254</v>
      </c>
      <c r="D87" s="1717"/>
      <c r="E87" s="1718"/>
      <c r="F87" s="1718"/>
      <c r="G87" s="1718"/>
      <c r="H87" s="1718"/>
      <c r="I87" s="1718"/>
      <c r="J87" s="1718"/>
      <c r="K87" s="1718"/>
      <c r="L87" s="1718"/>
      <c r="M87" s="1718"/>
      <c r="N87" s="1718"/>
      <c r="O87" s="1718"/>
      <c r="P87" s="1718"/>
      <c r="Q87" s="1718"/>
      <c r="R87" s="1719"/>
    </row>
    <row r="88" spans="1:19" s="23" customFormat="1" ht="39.75" customHeight="1" x14ac:dyDescent="0.25">
      <c r="A88" s="131" t="s">
        <v>13</v>
      </c>
      <c r="B88" s="132" t="s">
        <v>22</v>
      </c>
      <c r="C88" s="1189" t="s">
        <v>13</v>
      </c>
      <c r="D88" s="18" t="s">
        <v>40</v>
      </c>
      <c r="E88" s="1184" t="s">
        <v>98</v>
      </c>
      <c r="F88" s="1185" t="s">
        <v>16</v>
      </c>
      <c r="G88" s="1186">
        <v>5</v>
      </c>
      <c r="H88" s="111"/>
      <c r="I88" s="1180"/>
      <c r="J88" s="767"/>
      <c r="K88" s="766"/>
      <c r="L88" s="1318"/>
      <c r="M88" s="1179"/>
      <c r="N88" s="1178"/>
      <c r="O88" s="1513"/>
      <c r="P88" s="361"/>
      <c r="Q88" s="339"/>
      <c r="R88" s="362"/>
    </row>
    <row r="89" spans="1:19" s="23" customFormat="1" ht="15.75" customHeight="1" x14ac:dyDescent="0.25">
      <c r="A89" s="129"/>
      <c r="B89" s="130"/>
      <c r="C89" s="1190"/>
      <c r="D89" s="1621" t="s">
        <v>243</v>
      </c>
      <c r="E89" s="907"/>
      <c r="F89" s="112"/>
      <c r="G89" s="908"/>
      <c r="H89" s="113" t="s">
        <v>52</v>
      </c>
      <c r="I89" s="794">
        <f t="shared" ref="I89:I92" si="8">J89+L89</f>
        <v>274.5</v>
      </c>
      <c r="J89" s="769"/>
      <c r="K89" s="769"/>
      <c r="L89" s="795">
        <v>274.5</v>
      </c>
      <c r="M89" s="114">
        <v>75.3</v>
      </c>
      <c r="N89" s="115"/>
      <c r="O89" s="1691" t="s">
        <v>207</v>
      </c>
      <c r="P89" s="363">
        <v>79</v>
      </c>
      <c r="Q89" s="1538">
        <v>100</v>
      </c>
      <c r="R89" s="364"/>
    </row>
    <row r="90" spans="1:19" s="23" customFormat="1" ht="15.75" customHeight="1" x14ac:dyDescent="0.25">
      <c r="A90" s="129"/>
      <c r="B90" s="130"/>
      <c r="C90" s="1190"/>
      <c r="D90" s="1622"/>
      <c r="E90" s="907"/>
      <c r="F90" s="112"/>
      <c r="G90" s="908"/>
      <c r="H90" s="113" t="s">
        <v>27</v>
      </c>
      <c r="I90" s="794">
        <f t="shared" si="8"/>
        <v>2</v>
      </c>
      <c r="J90" s="1028">
        <v>2</v>
      </c>
      <c r="K90" s="1028">
        <v>1.4</v>
      </c>
      <c r="L90" s="795"/>
      <c r="M90" s="10">
        <v>1</v>
      </c>
      <c r="N90" s="11"/>
      <c r="O90" s="1658"/>
      <c r="P90" s="365"/>
      <c r="Q90" s="1502"/>
      <c r="R90" s="366"/>
    </row>
    <row r="91" spans="1:19" s="23" customFormat="1" ht="15.75" customHeight="1" x14ac:dyDescent="0.25">
      <c r="A91" s="129"/>
      <c r="B91" s="130"/>
      <c r="C91" s="1190"/>
      <c r="D91" s="1622"/>
      <c r="E91" s="907"/>
      <c r="F91" s="112"/>
      <c r="G91" s="908"/>
      <c r="H91" s="119" t="s">
        <v>41</v>
      </c>
      <c r="I91" s="796">
        <f t="shared" si="8"/>
        <v>1601.7</v>
      </c>
      <c r="J91" s="797">
        <v>9.8000000000000007</v>
      </c>
      <c r="K91" s="797">
        <v>7.5</v>
      </c>
      <c r="L91" s="798">
        <v>1591.9</v>
      </c>
      <c r="M91" s="114">
        <v>434.9</v>
      </c>
      <c r="N91" s="115"/>
      <c r="O91" s="1658"/>
      <c r="P91" s="365"/>
      <c r="Q91" s="1502"/>
      <c r="R91" s="366"/>
    </row>
    <row r="92" spans="1:19" s="23" customFormat="1" ht="15.75" customHeight="1" x14ac:dyDescent="0.25">
      <c r="A92" s="129"/>
      <c r="B92" s="130"/>
      <c r="C92" s="1190"/>
      <c r="D92" s="1656"/>
      <c r="E92" s="907"/>
      <c r="F92" s="112"/>
      <c r="G92" s="908"/>
      <c r="H92" s="1319" t="s">
        <v>18</v>
      </c>
      <c r="I92" s="1320">
        <f t="shared" si="8"/>
        <v>1878.2</v>
      </c>
      <c r="J92" s="1321">
        <f>SUM(J89:J91)</f>
        <v>11.8</v>
      </c>
      <c r="K92" s="1321">
        <f>SUM(K89:K91)</f>
        <v>8.9</v>
      </c>
      <c r="L92" s="1322">
        <f>SUM(L89:L91)</f>
        <v>1866.4</v>
      </c>
      <c r="M92" s="817">
        <f>SUM(M89:M91)</f>
        <v>511.2</v>
      </c>
      <c r="N92" s="818"/>
      <c r="O92" s="1659"/>
      <c r="P92" s="367"/>
      <c r="Q92" s="368"/>
      <c r="R92" s="369"/>
    </row>
    <row r="93" spans="1:19" s="23" customFormat="1" ht="15.75" customHeight="1" x14ac:dyDescent="0.25">
      <c r="A93" s="129"/>
      <c r="B93" s="130"/>
      <c r="C93" s="1190"/>
      <c r="D93" s="1621" t="s">
        <v>244</v>
      </c>
      <c r="E93" s="914"/>
      <c r="F93" s="77"/>
      <c r="G93" s="118"/>
      <c r="H93" s="117" t="s">
        <v>52</v>
      </c>
      <c r="I93" s="802">
        <f>J93+L93</f>
        <v>189</v>
      </c>
      <c r="J93" s="803"/>
      <c r="K93" s="803"/>
      <c r="L93" s="804">
        <v>189</v>
      </c>
      <c r="M93" s="114">
        <v>88.3</v>
      </c>
      <c r="N93" s="115"/>
      <c r="O93" s="1691" t="s">
        <v>209</v>
      </c>
      <c r="P93" s="363">
        <v>78</v>
      </c>
      <c r="Q93" s="1538">
        <v>100</v>
      </c>
      <c r="R93" s="364"/>
    </row>
    <row r="94" spans="1:19" s="23" customFormat="1" ht="15.75" customHeight="1" x14ac:dyDescent="0.25">
      <c r="A94" s="129"/>
      <c r="B94" s="130"/>
      <c r="C94" s="1190"/>
      <c r="D94" s="1622"/>
      <c r="E94" s="914"/>
      <c r="F94" s="77"/>
      <c r="G94" s="118"/>
      <c r="H94" s="113" t="s">
        <v>27</v>
      </c>
      <c r="I94" s="1030">
        <f t="shared" ref="I94:I100" si="9">J94+L94</f>
        <v>1.9</v>
      </c>
      <c r="J94" s="1028">
        <v>1.9</v>
      </c>
      <c r="K94" s="1028">
        <v>1.3</v>
      </c>
      <c r="L94" s="795"/>
      <c r="M94" s="10">
        <v>0.9</v>
      </c>
      <c r="N94" s="11"/>
      <c r="O94" s="1658"/>
      <c r="P94" s="365"/>
      <c r="Q94" s="1502"/>
      <c r="R94" s="366"/>
    </row>
    <row r="95" spans="1:19" s="23" customFormat="1" ht="15.75" customHeight="1" x14ac:dyDescent="0.25">
      <c r="A95" s="129"/>
      <c r="B95" s="130"/>
      <c r="C95" s="1190"/>
      <c r="D95" s="1622"/>
      <c r="E95" s="914"/>
      <c r="F95" s="77"/>
      <c r="G95" s="118"/>
      <c r="H95" s="120" t="s">
        <v>41</v>
      </c>
      <c r="I95" s="1031">
        <f t="shared" si="9"/>
        <v>1068.8</v>
      </c>
      <c r="J95" s="1032">
        <v>9.3000000000000007</v>
      </c>
      <c r="K95" s="1032">
        <v>7.1</v>
      </c>
      <c r="L95" s="805">
        <v>1059.5</v>
      </c>
      <c r="M95" s="114">
        <v>540</v>
      </c>
      <c r="N95" s="115"/>
      <c r="O95" s="1658"/>
      <c r="P95" s="365"/>
      <c r="Q95" s="1502"/>
      <c r="R95" s="366"/>
    </row>
    <row r="96" spans="1:19" s="23" customFormat="1" ht="15.75" customHeight="1" x14ac:dyDescent="0.25">
      <c r="A96" s="129"/>
      <c r="B96" s="130"/>
      <c r="C96" s="1451"/>
      <c r="D96" s="1622"/>
      <c r="E96" s="914"/>
      <c r="F96" s="77"/>
      <c r="G96" s="118"/>
      <c r="H96" s="1268" t="s">
        <v>18</v>
      </c>
      <c r="I96" s="1187">
        <f t="shared" si="9"/>
        <v>1259.7</v>
      </c>
      <c r="J96" s="1199">
        <f>SUM(J93:J95)</f>
        <v>11.200000000000001</v>
      </c>
      <c r="K96" s="1199">
        <f>SUM(K93:K95)</f>
        <v>8.4</v>
      </c>
      <c r="L96" s="1188">
        <f>SUM(L93:L95)</f>
        <v>1248.5</v>
      </c>
      <c r="M96" s="815">
        <f>SUM(M93:M95)</f>
        <v>629.20000000000005</v>
      </c>
      <c r="N96" s="816">
        <f>SUM(N93:N95)</f>
        <v>0</v>
      </c>
      <c r="O96" s="1658"/>
      <c r="P96" s="365"/>
      <c r="Q96" s="1502"/>
      <c r="R96" s="366"/>
    </row>
    <row r="97" spans="1:24" s="23" customFormat="1" ht="14.25" customHeight="1" x14ac:dyDescent="0.25">
      <c r="A97" s="129"/>
      <c r="B97" s="130"/>
      <c r="C97" s="1190"/>
      <c r="D97" s="1621" t="s">
        <v>245</v>
      </c>
      <c r="E97" s="914"/>
      <c r="F97" s="77"/>
      <c r="G97" s="118"/>
      <c r="H97" s="117" t="s">
        <v>52</v>
      </c>
      <c r="I97" s="802">
        <f t="shared" si="9"/>
        <v>259.89999999999998</v>
      </c>
      <c r="J97" s="803"/>
      <c r="K97" s="803"/>
      <c r="L97" s="804">
        <v>259.89999999999998</v>
      </c>
      <c r="M97" s="114"/>
      <c r="N97" s="115"/>
      <c r="O97" s="1691" t="s">
        <v>134</v>
      </c>
      <c r="P97" s="363">
        <v>100</v>
      </c>
      <c r="Q97" s="1538"/>
      <c r="R97" s="364"/>
    </row>
    <row r="98" spans="1:24" s="23" customFormat="1" ht="14.25" customHeight="1" x14ac:dyDescent="0.25">
      <c r="A98" s="129"/>
      <c r="B98" s="130"/>
      <c r="C98" s="1190"/>
      <c r="D98" s="1622"/>
      <c r="E98" s="914"/>
      <c r="F98" s="77"/>
      <c r="G98" s="118"/>
      <c r="H98" s="113" t="s">
        <v>27</v>
      </c>
      <c r="I98" s="1030">
        <f t="shared" si="9"/>
        <v>7</v>
      </c>
      <c r="J98" s="1028">
        <v>7</v>
      </c>
      <c r="K98" s="1028">
        <v>1.4</v>
      </c>
      <c r="L98" s="795"/>
      <c r="M98" s="10"/>
      <c r="N98" s="11"/>
      <c r="O98" s="1658"/>
      <c r="P98" s="365"/>
      <c r="Q98" s="1502"/>
      <c r="R98" s="366"/>
    </row>
    <row r="99" spans="1:24" s="23" customFormat="1" ht="14.25" customHeight="1" x14ac:dyDescent="0.25">
      <c r="A99" s="129"/>
      <c r="B99" s="130"/>
      <c r="C99" s="1190"/>
      <c r="D99" s="1622"/>
      <c r="E99" s="914"/>
      <c r="F99" s="77"/>
      <c r="G99" s="118"/>
      <c r="H99" s="113" t="s">
        <v>41</v>
      </c>
      <c r="I99" s="1030">
        <f t="shared" si="9"/>
        <v>1455.3</v>
      </c>
      <c r="J99" s="1028">
        <v>39.700000000000003</v>
      </c>
      <c r="K99" s="1028">
        <v>7.7</v>
      </c>
      <c r="L99" s="795">
        <v>1415.6</v>
      </c>
      <c r="M99" s="114"/>
      <c r="N99" s="115"/>
      <c r="O99" s="1658"/>
      <c r="P99" s="370"/>
      <c r="Q99" s="1502"/>
      <c r="R99" s="366"/>
    </row>
    <row r="100" spans="1:24" s="23" customFormat="1" ht="14.25" customHeight="1" x14ac:dyDescent="0.25">
      <c r="A100" s="129"/>
      <c r="B100" s="130"/>
      <c r="C100" s="1190"/>
      <c r="D100" s="1622"/>
      <c r="E100" s="915"/>
      <c r="F100" s="578"/>
      <c r="G100" s="916"/>
      <c r="H100" s="862" t="s">
        <v>18</v>
      </c>
      <c r="I100" s="806">
        <f t="shared" si="9"/>
        <v>1722.2</v>
      </c>
      <c r="J100" s="807">
        <f>SUM(J97:J99)</f>
        <v>46.7</v>
      </c>
      <c r="K100" s="807">
        <f>SUM(K97:K99)</f>
        <v>9.1</v>
      </c>
      <c r="L100" s="808">
        <f>SUM(L97:L99)</f>
        <v>1675.5</v>
      </c>
      <c r="M100" s="817">
        <f>SUM(M97:M99)</f>
        <v>0</v>
      </c>
      <c r="N100" s="818">
        <f>SUM(N97:N99)</f>
        <v>0</v>
      </c>
      <c r="O100" s="1658"/>
      <c r="P100" s="1452"/>
      <c r="Q100" s="1502"/>
      <c r="R100" s="366"/>
    </row>
    <row r="101" spans="1:24" s="23" customFormat="1" ht="14.25" customHeight="1" thickBot="1" x14ac:dyDescent="0.3">
      <c r="A101" s="129"/>
      <c r="B101" s="130"/>
      <c r="C101" s="1190"/>
      <c r="D101" s="1716"/>
      <c r="E101" s="1713" t="s">
        <v>281</v>
      </c>
      <c r="F101" s="1714"/>
      <c r="G101" s="1714"/>
      <c r="H101" s="1715"/>
      <c r="I101" s="1187">
        <f>I100+I96+I92</f>
        <v>4860.1000000000004</v>
      </c>
      <c r="J101" s="1549">
        <f t="shared" ref="J101:N101" si="10">J100+J96+J92</f>
        <v>69.7</v>
      </c>
      <c r="K101" s="1549">
        <f t="shared" si="10"/>
        <v>26.4</v>
      </c>
      <c r="L101" s="1548">
        <f t="shared" si="10"/>
        <v>4790.3999999999996</v>
      </c>
      <c r="M101" s="1187">
        <f>M100+M96+M92</f>
        <v>1140.4000000000001</v>
      </c>
      <c r="N101" s="1187">
        <f t="shared" si="10"/>
        <v>0</v>
      </c>
      <c r="O101" s="1514"/>
      <c r="P101" s="1387"/>
      <c r="Q101" s="1388"/>
      <c r="R101" s="1389"/>
    </row>
    <row r="102" spans="1:24" s="23" customFormat="1" ht="41.25" customHeight="1" thickBot="1" x14ac:dyDescent="0.3">
      <c r="A102" s="1483" t="s">
        <v>13</v>
      </c>
      <c r="B102" s="1484" t="s">
        <v>22</v>
      </c>
      <c r="C102" s="1546" t="s">
        <v>19</v>
      </c>
      <c r="D102" s="1272" t="s">
        <v>43</v>
      </c>
      <c r="E102" s="1254"/>
      <c r="F102" s="1485"/>
      <c r="G102" s="1486"/>
      <c r="H102" s="1487"/>
      <c r="I102" s="1488"/>
      <c r="J102" s="1489"/>
      <c r="K102" s="1490"/>
      <c r="L102" s="1491"/>
      <c r="M102" s="1492"/>
      <c r="N102" s="1492"/>
      <c r="O102" s="1493" t="s">
        <v>246</v>
      </c>
      <c r="P102" s="1494">
        <v>2</v>
      </c>
      <c r="Q102" s="1495"/>
      <c r="R102" s="1496"/>
      <c r="T102" s="1584"/>
      <c r="U102" s="1146"/>
      <c r="V102" s="1146"/>
      <c r="W102" s="1146"/>
    </row>
    <row r="103" spans="1:24" s="23" customFormat="1" ht="26.25" customHeight="1" x14ac:dyDescent="0.25">
      <c r="A103" s="131"/>
      <c r="B103" s="132"/>
      <c r="C103" s="1189"/>
      <c r="D103" s="1655" t="s">
        <v>255</v>
      </c>
      <c r="E103" s="1184" t="s">
        <v>59</v>
      </c>
      <c r="F103" s="888" t="s">
        <v>16</v>
      </c>
      <c r="G103" s="1186">
        <v>5</v>
      </c>
      <c r="H103" s="1557" t="s">
        <v>27</v>
      </c>
      <c r="I103" s="1558">
        <f>J103+L103</f>
        <v>1002.6</v>
      </c>
      <c r="J103" s="1183"/>
      <c r="K103" s="1183"/>
      <c r="L103" s="1559">
        <v>1002.6</v>
      </c>
      <c r="M103" s="1560">
        <v>214.5</v>
      </c>
      <c r="N103" s="1561"/>
      <c r="O103" s="1657" t="s">
        <v>279</v>
      </c>
      <c r="P103" s="1660">
        <v>95</v>
      </c>
      <c r="Q103" s="1662">
        <v>100</v>
      </c>
      <c r="R103" s="1664"/>
      <c r="T103" s="1584"/>
      <c r="U103" s="1146"/>
      <c r="V103" s="1146"/>
      <c r="W103" s="1146"/>
    </row>
    <row r="104" spans="1:24" s="23" customFormat="1" ht="26.25" customHeight="1" x14ac:dyDescent="0.25">
      <c r="A104" s="129"/>
      <c r="B104" s="130"/>
      <c r="C104" s="1190"/>
      <c r="D104" s="1622"/>
      <c r="E104" s="253"/>
      <c r="F104" s="258"/>
      <c r="G104" s="255"/>
      <c r="H104" s="113"/>
      <c r="I104" s="794"/>
      <c r="J104" s="769"/>
      <c r="K104" s="769"/>
      <c r="L104" s="1028"/>
      <c r="M104" s="1034"/>
      <c r="N104" s="115"/>
      <c r="O104" s="1658"/>
      <c r="P104" s="1661"/>
      <c r="Q104" s="1663"/>
      <c r="R104" s="1665"/>
      <c r="T104" s="1196"/>
      <c r="U104" s="1146"/>
      <c r="V104" s="1146"/>
      <c r="W104" s="1146"/>
    </row>
    <row r="105" spans="1:24" s="23" customFormat="1" ht="26.25" customHeight="1" x14ac:dyDescent="0.25">
      <c r="A105" s="129"/>
      <c r="B105" s="130"/>
      <c r="C105" s="1190"/>
      <c r="D105" s="1622"/>
      <c r="E105" s="253"/>
      <c r="F105" s="258"/>
      <c r="G105" s="255"/>
      <c r="H105" s="117" t="s">
        <v>41</v>
      </c>
      <c r="I105" s="821">
        <f t="shared" ref="I105:I106" si="11">J105+L105</f>
        <v>511.3</v>
      </c>
      <c r="J105" s="803">
        <v>18.8</v>
      </c>
      <c r="K105" s="803">
        <v>14.4</v>
      </c>
      <c r="L105" s="803">
        <v>492.5</v>
      </c>
      <c r="M105" s="1034">
        <v>60.7</v>
      </c>
      <c r="N105" s="115"/>
      <c r="O105" s="1658"/>
      <c r="P105" s="1661"/>
      <c r="Q105" s="1502"/>
      <c r="R105" s="366"/>
      <c r="U105" s="1197"/>
      <c r="V105" s="1197"/>
      <c r="W105" s="1197"/>
    </row>
    <row r="106" spans="1:24" s="23" customFormat="1" ht="26.25" customHeight="1" x14ac:dyDescent="0.25">
      <c r="A106" s="129"/>
      <c r="B106" s="130"/>
      <c r="C106" s="1190"/>
      <c r="D106" s="1622"/>
      <c r="E106" s="253"/>
      <c r="F106" s="258"/>
      <c r="G106" s="255"/>
      <c r="H106" s="117" t="s">
        <v>21</v>
      </c>
      <c r="I106" s="821">
        <f t="shared" si="11"/>
        <v>90.2</v>
      </c>
      <c r="J106" s="803">
        <v>3.3</v>
      </c>
      <c r="K106" s="803">
        <v>2.5</v>
      </c>
      <c r="L106" s="803">
        <v>86.9</v>
      </c>
      <c r="M106" s="1037">
        <v>10.7</v>
      </c>
      <c r="N106" s="11"/>
      <c r="O106" s="1658"/>
      <c r="P106" s="365"/>
      <c r="Q106" s="1502"/>
      <c r="R106" s="366"/>
      <c r="U106" s="1197"/>
      <c r="V106" s="1197"/>
      <c r="W106" s="1197"/>
    </row>
    <row r="107" spans="1:24" s="23" customFormat="1" ht="24.75" customHeight="1" x14ac:dyDescent="0.2">
      <c r="A107" s="129"/>
      <c r="B107" s="130"/>
      <c r="C107" s="1190"/>
      <c r="D107" s="1656"/>
      <c r="E107" s="253"/>
      <c r="F107" s="258"/>
      <c r="G107" s="255"/>
      <c r="H107" s="1319" t="s">
        <v>18</v>
      </c>
      <c r="I107" s="1320">
        <f>J107+L107</f>
        <v>1604.1</v>
      </c>
      <c r="J107" s="1321">
        <f>SUM(J103:J106)</f>
        <v>22.1</v>
      </c>
      <c r="K107" s="1321">
        <f>SUM(K103:K106)</f>
        <v>16.899999999999999</v>
      </c>
      <c r="L107" s="1321">
        <f>SUM(L103:L106)</f>
        <v>1582</v>
      </c>
      <c r="M107" s="1323">
        <f>SUM(M103:M106)</f>
        <v>285.89999999999998</v>
      </c>
      <c r="N107" s="1324"/>
      <c r="O107" s="1659"/>
      <c r="P107" s="1325"/>
      <c r="Q107" s="1326"/>
      <c r="R107" s="1327"/>
      <c r="T107" s="1171"/>
      <c r="U107" s="1198"/>
      <c r="V107" s="1198"/>
      <c r="W107" s="1198"/>
      <c r="X107" s="21"/>
    </row>
    <row r="108" spans="1:24" s="23" customFormat="1" ht="12.75" customHeight="1" x14ac:dyDescent="0.25">
      <c r="A108" s="129"/>
      <c r="B108" s="130"/>
      <c r="C108" s="1190"/>
      <c r="D108" s="1698" t="s">
        <v>256</v>
      </c>
      <c r="E108" s="253"/>
      <c r="F108" s="258"/>
      <c r="G108" s="255"/>
      <c r="H108" s="1208" t="s">
        <v>27</v>
      </c>
      <c r="I108" s="796">
        <f>J108+L108</f>
        <v>50</v>
      </c>
      <c r="J108" s="811"/>
      <c r="K108" s="811"/>
      <c r="L108" s="797">
        <v>50</v>
      </c>
      <c r="M108" s="10"/>
      <c r="N108" s="11"/>
      <c r="O108" s="1658" t="s">
        <v>205</v>
      </c>
      <c r="P108" s="365">
        <v>1</v>
      </c>
      <c r="Q108" s="1502"/>
      <c r="R108" s="366"/>
    </row>
    <row r="109" spans="1:24" s="23" customFormat="1" ht="14.25" customHeight="1" x14ac:dyDescent="0.25">
      <c r="A109" s="129"/>
      <c r="B109" s="130"/>
      <c r="C109" s="1190"/>
      <c r="D109" s="1699"/>
      <c r="E109" s="277"/>
      <c r="G109" s="278"/>
      <c r="H109" s="1208"/>
      <c r="I109" s="796"/>
      <c r="J109" s="797"/>
      <c r="K109" s="797"/>
      <c r="L109" s="797"/>
      <c r="M109" s="121"/>
      <c r="N109" s="122"/>
      <c r="O109" s="1658"/>
      <c r="P109" s="365"/>
      <c r="Q109" s="1502"/>
      <c r="R109" s="366"/>
    </row>
    <row r="110" spans="1:24" s="23" customFormat="1" ht="12.75" customHeight="1" x14ac:dyDescent="0.25">
      <c r="A110" s="129"/>
      <c r="B110" s="130"/>
      <c r="C110" s="1190"/>
      <c r="D110" s="1700"/>
      <c r="E110" s="277"/>
      <c r="F110" s="258"/>
      <c r="G110" s="278"/>
      <c r="H110" s="1319" t="s">
        <v>18</v>
      </c>
      <c r="I110" s="1320">
        <f>J110+L110</f>
        <v>50</v>
      </c>
      <c r="J110" s="1321"/>
      <c r="K110" s="1321"/>
      <c r="L110" s="1321">
        <f>SUM(L108:L109)</f>
        <v>50</v>
      </c>
      <c r="M110" s="1323">
        <f>SUM(M108:M109)</f>
        <v>0</v>
      </c>
      <c r="N110" s="1324">
        <f>SUM(N108:N109)</f>
        <v>0</v>
      </c>
      <c r="O110" s="1658"/>
      <c r="P110" s="370"/>
      <c r="Q110" s="376"/>
      <c r="R110" s="377"/>
    </row>
    <row r="111" spans="1:24" s="23" customFormat="1" ht="18" customHeight="1" x14ac:dyDescent="0.25">
      <c r="A111" s="129"/>
      <c r="B111" s="130"/>
      <c r="C111" s="1190"/>
      <c r="D111" s="1699" t="s">
        <v>257</v>
      </c>
      <c r="E111" s="253"/>
      <c r="F111" s="77"/>
      <c r="G111" s="1209"/>
      <c r="H111" s="274" t="s">
        <v>42</v>
      </c>
      <c r="I111" s="794">
        <f>J111+L111</f>
        <v>100</v>
      </c>
      <c r="J111" s="769"/>
      <c r="K111" s="769"/>
      <c r="L111" s="1028">
        <v>100</v>
      </c>
      <c r="M111" s="114"/>
      <c r="N111" s="115"/>
      <c r="O111" s="1691" t="s">
        <v>217</v>
      </c>
      <c r="P111" s="363">
        <v>1</v>
      </c>
      <c r="Q111" s="1538"/>
      <c r="R111" s="364"/>
    </row>
    <row r="112" spans="1:24" s="23" customFormat="1" ht="18" customHeight="1" x14ac:dyDescent="0.25">
      <c r="A112" s="129"/>
      <c r="B112" s="130"/>
      <c r="C112" s="1190"/>
      <c r="D112" s="1699"/>
      <c r="E112" s="277"/>
      <c r="G112" s="884"/>
      <c r="H112" s="275" t="s">
        <v>27</v>
      </c>
      <c r="I112" s="821"/>
      <c r="J112" s="803"/>
      <c r="K112" s="803"/>
      <c r="L112" s="803"/>
      <c r="M112" s="114"/>
      <c r="N112" s="115"/>
      <c r="O112" s="1658"/>
      <c r="P112" s="365"/>
      <c r="Q112" s="1502"/>
      <c r="R112" s="366"/>
    </row>
    <row r="113" spans="1:20" s="23" customFormat="1" ht="18" customHeight="1" x14ac:dyDescent="0.25">
      <c r="A113" s="129"/>
      <c r="B113" s="130"/>
      <c r="C113" s="1190"/>
      <c r="D113" s="1699"/>
      <c r="E113" s="1328"/>
      <c r="F113" s="1329"/>
      <c r="G113" s="1330"/>
      <c r="H113" s="865" t="s">
        <v>18</v>
      </c>
      <c r="I113" s="799">
        <f>J113+L113</f>
        <v>100</v>
      </c>
      <c r="J113" s="800"/>
      <c r="K113" s="800"/>
      <c r="L113" s="800">
        <f>SUM(L111:L112)</f>
        <v>100</v>
      </c>
      <c r="M113" s="819">
        <f>SUM(M111:M112)</f>
        <v>0</v>
      </c>
      <c r="N113" s="823">
        <f>SUM(N111:N112)</f>
        <v>0</v>
      </c>
      <c r="O113" s="1659"/>
      <c r="P113" s="1325"/>
      <c r="Q113" s="1326"/>
      <c r="R113" s="1327"/>
    </row>
    <row r="114" spans="1:20" ht="12.75" customHeight="1" x14ac:dyDescent="0.2">
      <c r="A114" s="129"/>
      <c r="B114" s="130"/>
      <c r="C114" s="1190"/>
      <c r="D114" s="1701" t="s">
        <v>258</v>
      </c>
      <c r="E114" s="631"/>
      <c r="F114" s="917" t="s">
        <v>16</v>
      </c>
      <c r="G114" s="1703" t="s">
        <v>35</v>
      </c>
      <c r="H114" s="1204" t="s">
        <v>27</v>
      </c>
      <c r="I114" s="717">
        <f>J114+L114</f>
        <v>37.299999999999997</v>
      </c>
      <c r="J114" s="718">
        <v>37.299999999999997</v>
      </c>
      <c r="K114" s="718"/>
      <c r="L114" s="723"/>
      <c r="M114" s="1205"/>
      <c r="N114" s="1205"/>
      <c r="O114" s="1705"/>
      <c r="P114" s="1668"/>
      <c r="Q114" s="1670"/>
      <c r="R114" s="1666"/>
      <c r="T114" s="124"/>
    </row>
    <row r="115" spans="1:20" ht="28.5" customHeight="1" x14ac:dyDescent="0.2">
      <c r="A115" s="129"/>
      <c r="B115" s="130"/>
      <c r="C115" s="1190"/>
      <c r="D115" s="1702"/>
      <c r="E115" s="281"/>
      <c r="F115" s="919"/>
      <c r="G115" s="1704"/>
      <c r="H115" s="1200"/>
      <c r="I115" s="1201"/>
      <c r="J115" s="1202"/>
      <c r="K115" s="1202"/>
      <c r="L115" s="1335"/>
      <c r="M115" s="1203"/>
      <c r="N115" s="1203"/>
      <c r="O115" s="1705"/>
      <c r="P115" s="1669"/>
      <c r="Q115" s="1671"/>
      <c r="R115" s="1667"/>
      <c r="T115" s="124"/>
    </row>
    <row r="116" spans="1:20" ht="12.75" customHeight="1" x14ac:dyDescent="0.2">
      <c r="A116" s="129"/>
      <c r="B116" s="130"/>
      <c r="C116" s="1190"/>
      <c r="D116" s="1701" t="s">
        <v>170</v>
      </c>
      <c r="E116" s="281"/>
      <c r="F116" s="919"/>
      <c r="G116" s="1537"/>
      <c r="H116" s="1206"/>
      <c r="I116" s="688"/>
      <c r="J116" s="689"/>
      <c r="K116" s="689"/>
      <c r="L116" s="1154"/>
      <c r="M116" s="1207"/>
      <c r="N116" s="1207"/>
      <c r="O116" s="1515"/>
      <c r="P116" s="1298"/>
      <c r="Q116" s="1505"/>
      <c r="R116" s="1503"/>
    </row>
    <row r="117" spans="1:20" ht="15.75" customHeight="1" x14ac:dyDescent="0.2">
      <c r="A117" s="129"/>
      <c r="B117" s="130"/>
      <c r="C117" s="1190"/>
      <c r="D117" s="1709"/>
      <c r="E117" s="281"/>
      <c r="F117" s="919"/>
      <c r="G117" s="1537"/>
      <c r="H117" s="865" t="s">
        <v>18</v>
      </c>
      <c r="I117" s="1332">
        <f>J117+L117</f>
        <v>37.299999999999997</v>
      </c>
      <c r="J117" s="1333">
        <f>SUM(J114:J116)</f>
        <v>37.299999999999997</v>
      </c>
      <c r="K117" s="1333"/>
      <c r="L117" s="1338"/>
      <c r="M117" s="1340"/>
      <c r="N117" s="1340"/>
      <c r="O117" s="1515"/>
      <c r="P117" s="1331"/>
      <c r="Q117" s="1530"/>
      <c r="R117" s="1531"/>
    </row>
    <row r="118" spans="1:20" ht="17.25" customHeight="1" x14ac:dyDescent="0.2">
      <c r="A118" s="129"/>
      <c r="B118" s="130"/>
      <c r="C118" s="1190"/>
      <c r="D118" s="1701" t="s">
        <v>259</v>
      </c>
      <c r="E118" s="631"/>
      <c r="F118" s="1497" t="s">
        <v>16</v>
      </c>
      <c r="G118" s="632" t="s">
        <v>26</v>
      </c>
      <c r="H118" s="1204" t="s">
        <v>27</v>
      </c>
      <c r="I118" s="717"/>
      <c r="J118" s="718"/>
      <c r="K118" s="718"/>
      <c r="L118" s="723"/>
      <c r="M118" s="1339">
        <v>15.5</v>
      </c>
      <c r="N118" s="507">
        <v>9.8000000000000007</v>
      </c>
      <c r="O118" s="1515"/>
      <c r="P118" s="1298"/>
      <c r="Q118" s="1505"/>
      <c r="R118" s="1503"/>
      <c r="S118" s="299"/>
    </row>
    <row r="119" spans="1:20" ht="15" customHeight="1" x14ac:dyDescent="0.2">
      <c r="A119" s="129"/>
      <c r="B119" s="130"/>
      <c r="C119" s="1190"/>
      <c r="D119" s="1613"/>
      <c r="E119" s="281"/>
      <c r="F119" s="1498"/>
      <c r="G119" s="1537"/>
      <c r="H119" s="1191" t="s">
        <v>18</v>
      </c>
      <c r="I119" s="709"/>
      <c r="J119" s="725"/>
      <c r="K119" s="710"/>
      <c r="L119" s="729"/>
      <c r="M119" s="744">
        <f>M118</f>
        <v>15.5</v>
      </c>
      <c r="N119" s="714">
        <f>SUM(N102:N118)</f>
        <v>9.8000000000000007</v>
      </c>
      <c r="O119" s="1536"/>
      <c r="P119" s="1298"/>
      <c r="Q119" s="1505"/>
      <c r="R119" s="1503"/>
    </row>
    <row r="120" spans="1:20" ht="15" customHeight="1" thickBot="1" x14ac:dyDescent="0.25">
      <c r="A120" s="129"/>
      <c r="B120" s="1334"/>
      <c r="C120" s="1547"/>
      <c r="D120" s="1614"/>
      <c r="E120" s="1710" t="s">
        <v>281</v>
      </c>
      <c r="F120" s="1711"/>
      <c r="G120" s="1711"/>
      <c r="H120" s="1712"/>
      <c r="I120" s="698">
        <f>I119+I117+I113+I110+I107</f>
        <v>1791.3999999999999</v>
      </c>
      <c r="J120" s="693">
        <f t="shared" ref="J120:N120" si="12">J119+J117+J113+J110+J107</f>
        <v>59.4</v>
      </c>
      <c r="K120" s="692">
        <f t="shared" si="12"/>
        <v>16.899999999999999</v>
      </c>
      <c r="L120" s="699">
        <f t="shared" si="12"/>
        <v>1732</v>
      </c>
      <c r="M120" s="698">
        <f>M119+M117+M113+M110+M107</f>
        <v>301.39999999999998</v>
      </c>
      <c r="N120" s="698">
        <f t="shared" si="12"/>
        <v>9.8000000000000007</v>
      </c>
      <c r="O120" s="1336"/>
      <c r="P120" s="1337"/>
      <c r="Q120" s="1337"/>
      <c r="R120" s="340"/>
    </row>
    <row r="121" spans="1:20" s="22" customFormat="1" ht="13.5" thickBot="1" x14ac:dyDescent="0.3">
      <c r="A121" s="27" t="s">
        <v>13</v>
      </c>
      <c r="B121" s="127" t="s">
        <v>22</v>
      </c>
      <c r="C121" s="1619" t="s">
        <v>30</v>
      </c>
      <c r="D121" s="1608"/>
      <c r="E121" s="1608"/>
      <c r="F121" s="1608"/>
      <c r="G121" s="1608"/>
      <c r="H121" s="1620"/>
      <c r="I121" s="421">
        <f>I120+I101</f>
        <v>6651.5</v>
      </c>
      <c r="J121" s="140">
        <f t="shared" ref="J121:N121" si="13">J120+J101</f>
        <v>129.1</v>
      </c>
      <c r="K121" s="141">
        <f t="shared" si="13"/>
        <v>43.3</v>
      </c>
      <c r="L121" s="1195">
        <f t="shared" si="13"/>
        <v>6522.4</v>
      </c>
      <c r="M121" s="421">
        <f>M120+M101</f>
        <v>1441.8000000000002</v>
      </c>
      <c r="N121" s="421">
        <f t="shared" si="13"/>
        <v>9.8000000000000007</v>
      </c>
      <c r="O121" s="1609"/>
      <c r="P121" s="1610"/>
      <c r="Q121" s="1610"/>
      <c r="R121" s="1611"/>
    </row>
    <row r="122" spans="1:20" ht="13.5" thickBot="1" x14ac:dyDescent="0.25">
      <c r="A122" s="27" t="s">
        <v>13</v>
      </c>
      <c r="B122" s="127" t="s">
        <v>24</v>
      </c>
      <c r="C122" s="1706" t="s">
        <v>101</v>
      </c>
      <c r="D122" s="1707"/>
      <c r="E122" s="1707"/>
      <c r="F122" s="1707"/>
      <c r="G122" s="1707"/>
      <c r="H122" s="1707"/>
      <c r="I122" s="1707"/>
      <c r="J122" s="1707"/>
      <c r="K122" s="1707"/>
      <c r="L122" s="1707"/>
      <c r="M122" s="1707"/>
      <c r="N122" s="1707"/>
      <c r="O122" s="1707"/>
      <c r="P122" s="1707"/>
      <c r="Q122" s="1707"/>
      <c r="R122" s="1708"/>
    </row>
    <row r="123" spans="1:20" x14ac:dyDescent="0.2">
      <c r="A123" s="1678" t="s">
        <v>13</v>
      </c>
      <c r="B123" s="1681" t="s">
        <v>24</v>
      </c>
      <c r="C123" s="1684" t="s">
        <v>13</v>
      </c>
      <c r="D123" s="1687" t="s">
        <v>179</v>
      </c>
      <c r="E123" s="1688"/>
      <c r="F123" s="1692" t="s">
        <v>36</v>
      </c>
      <c r="G123" s="1693" t="s">
        <v>53</v>
      </c>
      <c r="H123" s="111" t="s">
        <v>27</v>
      </c>
      <c r="I123" s="796"/>
      <c r="J123" s="811"/>
      <c r="K123" s="811"/>
      <c r="L123" s="797"/>
      <c r="M123" s="85"/>
      <c r="N123" s="128"/>
      <c r="O123" s="1696" t="s">
        <v>171</v>
      </c>
      <c r="P123" s="1079">
        <v>12</v>
      </c>
      <c r="Q123" s="1080">
        <v>12</v>
      </c>
      <c r="R123" s="1081">
        <v>12</v>
      </c>
    </row>
    <row r="124" spans="1:20" x14ac:dyDescent="0.2">
      <c r="A124" s="1679"/>
      <c r="B124" s="1682"/>
      <c r="C124" s="1685"/>
      <c r="D124" s="1606"/>
      <c r="E124" s="1689"/>
      <c r="F124" s="1604"/>
      <c r="G124" s="1694"/>
      <c r="H124" s="1124" t="s">
        <v>27</v>
      </c>
      <c r="I124" s="794">
        <f>J124+L124</f>
        <v>300</v>
      </c>
      <c r="J124" s="768"/>
      <c r="K124" s="769"/>
      <c r="L124" s="768">
        <v>300</v>
      </c>
      <c r="M124" s="114">
        <v>300</v>
      </c>
      <c r="N124" s="115">
        <v>300</v>
      </c>
      <c r="O124" s="1658"/>
      <c r="P124" s="540"/>
      <c r="Q124" s="1061"/>
      <c r="R124" s="340"/>
    </row>
    <row r="125" spans="1:20" x14ac:dyDescent="0.2">
      <c r="A125" s="1679"/>
      <c r="B125" s="1682"/>
      <c r="C125" s="1685"/>
      <c r="D125" s="1606"/>
      <c r="E125" s="1689"/>
      <c r="F125" s="1604"/>
      <c r="G125" s="1694"/>
      <c r="H125" s="113" t="s">
        <v>174</v>
      </c>
      <c r="I125" s="794"/>
      <c r="J125" s="768"/>
      <c r="K125" s="769"/>
      <c r="L125" s="768"/>
      <c r="M125" s="114"/>
      <c r="N125" s="115"/>
      <c r="O125" s="1658"/>
      <c r="P125" s="540"/>
      <c r="Q125" s="1061"/>
      <c r="R125" s="340"/>
    </row>
    <row r="126" spans="1:20" x14ac:dyDescent="0.2">
      <c r="A126" s="1679"/>
      <c r="B126" s="1682"/>
      <c r="C126" s="1685"/>
      <c r="D126" s="1606"/>
      <c r="E126" s="1689"/>
      <c r="F126" s="1604"/>
      <c r="G126" s="1694"/>
      <c r="H126" s="113" t="s">
        <v>21</v>
      </c>
      <c r="I126" s="794">
        <f>J126+L126</f>
        <v>1300</v>
      </c>
      <c r="J126" s="768"/>
      <c r="K126" s="769"/>
      <c r="L126" s="768">
        <v>1300</v>
      </c>
      <c r="M126" s="114">
        <v>1300</v>
      </c>
      <c r="N126" s="115">
        <v>1300</v>
      </c>
      <c r="O126" s="1658"/>
      <c r="P126" s="541"/>
      <c r="Q126" s="542"/>
      <c r="R126" s="543"/>
    </row>
    <row r="127" spans="1:20" ht="13.5" thickBot="1" x14ac:dyDescent="0.25">
      <c r="A127" s="1680"/>
      <c r="B127" s="1683"/>
      <c r="C127" s="1686"/>
      <c r="D127" s="1607"/>
      <c r="E127" s="1690"/>
      <c r="F127" s="1605"/>
      <c r="G127" s="1695"/>
      <c r="H127" s="867" t="s">
        <v>18</v>
      </c>
      <c r="I127" s="678">
        <f>SUM(I123:I126)</f>
        <v>1600</v>
      </c>
      <c r="J127" s="724"/>
      <c r="K127" s="679"/>
      <c r="L127" s="724">
        <f>SUM(L123:L126)</f>
        <v>1600</v>
      </c>
      <c r="M127" s="712">
        <f>SUM(M123:M126)</f>
        <v>1600</v>
      </c>
      <c r="N127" s="716">
        <f>SUM(N123:N126)</f>
        <v>1600</v>
      </c>
      <c r="O127" s="1697"/>
      <c r="P127" s="544"/>
      <c r="Q127" s="545"/>
      <c r="R127" s="546"/>
    </row>
    <row r="128" spans="1:20" ht="51" x14ac:dyDescent="0.2">
      <c r="A128" s="131" t="s">
        <v>13</v>
      </c>
      <c r="B128" s="132" t="s">
        <v>24</v>
      </c>
      <c r="C128" s="1058" t="s">
        <v>19</v>
      </c>
      <c r="D128" s="587" t="s">
        <v>102</v>
      </c>
      <c r="E128" s="1222"/>
      <c r="F128" s="284"/>
      <c r="G128" s="1059" t="s">
        <v>26</v>
      </c>
      <c r="H128" s="30" t="s">
        <v>32</v>
      </c>
      <c r="I128" s="1217">
        <f>J128+L128</f>
        <v>2500</v>
      </c>
      <c r="J128" s="670">
        <v>2500</v>
      </c>
      <c r="K128" s="670"/>
      <c r="L128" s="1218"/>
      <c r="M128" s="1219">
        <v>2500</v>
      </c>
      <c r="N128" s="1220">
        <v>2500</v>
      </c>
      <c r="O128" s="1221"/>
      <c r="P128" s="1079"/>
      <c r="Q128" s="1080"/>
      <c r="R128" s="1081"/>
    </row>
    <row r="129" spans="1:20" ht="30" customHeight="1" x14ac:dyDescent="0.2">
      <c r="A129" s="129"/>
      <c r="B129" s="130"/>
      <c r="C129" s="1049"/>
      <c r="D129" s="1051" t="s">
        <v>247</v>
      </c>
      <c r="E129" s="1223"/>
      <c r="F129" s="1047" t="s">
        <v>13</v>
      </c>
      <c r="G129" s="1063"/>
      <c r="H129" s="39" t="s">
        <v>21</v>
      </c>
      <c r="I129" s="732">
        <f t="shared" ref="I129" si="14">J129+L129</f>
        <v>19</v>
      </c>
      <c r="J129" s="732">
        <v>19</v>
      </c>
      <c r="K129" s="732"/>
      <c r="L129" s="1215"/>
      <c r="M129" s="441">
        <v>19</v>
      </c>
      <c r="N129" s="441">
        <v>19</v>
      </c>
      <c r="O129" s="1301" t="s">
        <v>271</v>
      </c>
      <c r="P129" s="1060">
        <v>40</v>
      </c>
      <c r="Q129" s="1061">
        <v>30</v>
      </c>
      <c r="R129" s="1062">
        <v>30</v>
      </c>
      <c r="S129" s="299"/>
      <c r="T129" s="124"/>
    </row>
    <row r="130" spans="1:20" ht="38.25" x14ac:dyDescent="0.2">
      <c r="A130" s="129"/>
      <c r="B130" s="130"/>
      <c r="C130" s="1049"/>
      <c r="D130" s="1210" t="s">
        <v>248</v>
      </c>
      <c r="E130" s="1223"/>
      <c r="F130" s="920" t="s">
        <v>36</v>
      </c>
      <c r="G130" s="1063"/>
      <c r="H130" s="80"/>
      <c r="I130" s="831"/>
      <c r="J130" s="1211"/>
      <c r="K130" s="1211"/>
      <c r="L130" s="1212"/>
      <c r="M130" s="81"/>
      <c r="N130" s="81"/>
      <c r="O130" s="1302" t="s">
        <v>252</v>
      </c>
      <c r="P130" s="1216">
        <v>40</v>
      </c>
      <c r="Q130" s="1072">
        <v>30</v>
      </c>
      <c r="R130" s="1074">
        <v>30</v>
      </c>
      <c r="S130" s="299"/>
    </row>
    <row r="131" spans="1:20" ht="51" x14ac:dyDescent="0.2">
      <c r="A131" s="129"/>
      <c r="B131" s="130"/>
      <c r="C131" s="1049"/>
      <c r="D131" s="1050" t="s">
        <v>249</v>
      </c>
      <c r="E131" s="1223"/>
      <c r="F131" s="1052"/>
      <c r="G131" s="1063"/>
      <c r="H131" s="39"/>
      <c r="I131" s="732"/>
      <c r="J131" s="732"/>
      <c r="K131" s="732"/>
      <c r="L131" s="1215"/>
      <c r="M131" s="441"/>
      <c r="N131" s="441"/>
      <c r="O131" s="1303" t="s">
        <v>218</v>
      </c>
      <c r="P131" s="453">
        <v>95</v>
      </c>
      <c r="Q131" s="1071">
        <v>100</v>
      </c>
      <c r="R131" s="1073">
        <v>100</v>
      </c>
    </row>
    <row r="132" spans="1:20" ht="38.25" x14ac:dyDescent="0.2">
      <c r="A132" s="129"/>
      <c r="B132" s="130"/>
      <c r="C132" s="1049"/>
      <c r="D132" s="1051" t="s">
        <v>250</v>
      </c>
      <c r="E132" s="1223"/>
      <c r="F132" s="1047"/>
      <c r="G132" s="1063"/>
      <c r="H132" s="39"/>
      <c r="I132" s="732"/>
      <c r="J132" s="1213"/>
      <c r="K132" s="1213"/>
      <c r="L132" s="1214"/>
      <c r="M132" s="74"/>
      <c r="N132" s="74"/>
      <c r="O132" s="450" t="s">
        <v>264</v>
      </c>
      <c r="P132" s="1060">
        <v>60</v>
      </c>
      <c r="Q132" s="1061">
        <v>60</v>
      </c>
      <c r="R132" s="1062">
        <v>60</v>
      </c>
    </row>
    <row r="133" spans="1:20" ht="27" customHeight="1" x14ac:dyDescent="0.2">
      <c r="A133" s="129"/>
      <c r="B133" s="130"/>
      <c r="C133" s="1612"/>
      <c r="D133" s="1051" t="s">
        <v>251</v>
      </c>
      <c r="E133" s="1223"/>
      <c r="F133" s="1047"/>
      <c r="G133" s="1063"/>
      <c r="H133" s="39"/>
      <c r="I133" s="732"/>
      <c r="J133" s="1213"/>
      <c r="K133" s="1213"/>
      <c r="L133" s="1214"/>
      <c r="M133" s="74"/>
      <c r="N133" s="74"/>
      <c r="O133" s="1304" t="s">
        <v>136</v>
      </c>
      <c r="P133" s="1060">
        <v>84</v>
      </c>
      <c r="Q133" s="1061">
        <v>85</v>
      </c>
      <c r="R133" s="1062">
        <v>85</v>
      </c>
      <c r="T133" s="124"/>
    </row>
    <row r="134" spans="1:20" ht="19.5" customHeight="1" x14ac:dyDescent="0.2">
      <c r="A134" s="129"/>
      <c r="B134" s="130"/>
      <c r="C134" s="1612"/>
      <c r="D134" s="1613" t="s">
        <v>79</v>
      </c>
      <c r="E134" s="1223"/>
      <c r="F134" s="1604"/>
      <c r="G134" s="1615"/>
      <c r="H134" s="39"/>
      <c r="I134" s="732"/>
      <c r="J134" s="689"/>
      <c r="K134" s="689"/>
      <c r="L134" s="1154"/>
      <c r="M134" s="441"/>
      <c r="N134" s="441"/>
      <c r="O134" s="1617" t="s">
        <v>265</v>
      </c>
      <c r="P134" s="1060">
        <v>12</v>
      </c>
      <c r="Q134" s="1061">
        <v>12</v>
      </c>
      <c r="R134" s="1062">
        <v>12</v>
      </c>
    </row>
    <row r="135" spans="1:20" ht="20.25" customHeight="1" thickBot="1" x14ac:dyDescent="0.25">
      <c r="A135" s="1076"/>
      <c r="B135" s="1054"/>
      <c r="C135" s="1612"/>
      <c r="D135" s="1614"/>
      <c r="E135" s="1224"/>
      <c r="F135" s="1605"/>
      <c r="G135" s="1616"/>
      <c r="H135" s="833" t="s">
        <v>18</v>
      </c>
      <c r="I135" s="694">
        <f>J135+L135</f>
        <v>2519</v>
      </c>
      <c r="J135" s="694">
        <f>SUM(J128:J134)</f>
        <v>2519</v>
      </c>
      <c r="K135" s="694"/>
      <c r="L135" s="692"/>
      <c r="M135" s="713">
        <f>SUM(M128:M134)</f>
        <v>2519</v>
      </c>
      <c r="N135" s="789">
        <f>SUM(N128:N134)</f>
        <v>2519</v>
      </c>
      <c r="O135" s="1618"/>
      <c r="P135" s="553"/>
      <c r="Q135" s="554"/>
      <c r="R135" s="555"/>
    </row>
    <row r="136" spans="1:20" ht="40.5" customHeight="1" thickBot="1" x14ac:dyDescent="0.25">
      <c r="A136" s="1483" t="s">
        <v>13</v>
      </c>
      <c r="B136" s="1484" t="s">
        <v>24</v>
      </c>
      <c r="C136" s="1565" t="s">
        <v>22</v>
      </c>
      <c r="D136" s="1566" t="s">
        <v>81</v>
      </c>
      <c r="E136" s="1567"/>
      <c r="F136" s="1568" t="s">
        <v>36</v>
      </c>
      <c r="G136" s="1569"/>
      <c r="H136" s="1570"/>
      <c r="I136" s="1571"/>
      <c r="J136" s="1572"/>
      <c r="K136" s="1572"/>
      <c r="L136" s="1573"/>
      <c r="M136" s="1574"/>
      <c r="N136" s="1574"/>
      <c r="O136" s="1575"/>
      <c r="P136" s="1576"/>
      <c r="Q136" s="1577"/>
      <c r="R136" s="1578"/>
    </row>
    <row r="137" spans="1:20" ht="78.75" customHeight="1" x14ac:dyDescent="0.2">
      <c r="A137" s="129"/>
      <c r="B137" s="130"/>
      <c r="C137" s="1562"/>
      <c r="D137" s="1564" t="s">
        <v>260</v>
      </c>
      <c r="E137" s="292"/>
      <c r="F137" s="1604" t="s">
        <v>36</v>
      </c>
      <c r="G137" s="16" t="s">
        <v>99</v>
      </c>
      <c r="H137" s="39" t="s">
        <v>27</v>
      </c>
      <c r="I137" s="685"/>
      <c r="J137" s="689"/>
      <c r="K137" s="689"/>
      <c r="L137" s="690"/>
      <c r="M137" s="306">
        <v>87.1</v>
      </c>
      <c r="N137" s="306"/>
      <c r="O137" s="577" t="s">
        <v>205</v>
      </c>
      <c r="P137" s="1216"/>
      <c r="Q137" s="1505">
        <v>1</v>
      </c>
      <c r="R137" s="1503"/>
    </row>
    <row r="138" spans="1:20" ht="17.25" customHeight="1" x14ac:dyDescent="0.2">
      <c r="A138" s="322"/>
      <c r="B138" s="130"/>
      <c r="C138" s="1562"/>
      <c r="D138" s="1606" t="s">
        <v>82</v>
      </c>
      <c r="E138" s="292"/>
      <c r="F138" s="1604"/>
      <c r="G138" s="617" t="s">
        <v>53</v>
      </c>
      <c r="H138" s="108" t="s">
        <v>21</v>
      </c>
      <c r="I138" s="717">
        <f>J138+L138</f>
        <v>619</v>
      </c>
      <c r="J138" s="739">
        <v>19</v>
      </c>
      <c r="K138" s="739"/>
      <c r="L138" s="829">
        <v>600</v>
      </c>
      <c r="M138" s="441"/>
      <c r="N138" s="441"/>
      <c r="O138" s="1120" t="s">
        <v>220</v>
      </c>
      <c r="P138" s="1125">
        <v>3</v>
      </c>
      <c r="Q138" s="1126">
        <v>3</v>
      </c>
      <c r="R138" s="1127">
        <v>3</v>
      </c>
    </row>
    <row r="139" spans="1:20" ht="14.25" customHeight="1" thickBot="1" x14ac:dyDescent="0.25">
      <c r="A139" s="659"/>
      <c r="B139" s="1349"/>
      <c r="C139" s="1563"/>
      <c r="D139" s="1607"/>
      <c r="E139" s="1390"/>
      <c r="F139" s="1605"/>
      <c r="G139" s="420"/>
      <c r="H139" s="833" t="s">
        <v>18</v>
      </c>
      <c r="I139" s="691">
        <f t="shared" ref="I139:N139" si="15">SUM(I137:I138)</f>
        <v>619</v>
      </c>
      <c r="J139" s="692">
        <f t="shared" si="15"/>
        <v>19</v>
      </c>
      <c r="K139" s="693">
        <f t="shared" si="15"/>
        <v>0</v>
      </c>
      <c r="L139" s="694">
        <f t="shared" si="15"/>
        <v>600</v>
      </c>
      <c r="M139" s="691">
        <f>SUM(M137:M138)</f>
        <v>87.1</v>
      </c>
      <c r="N139" s="691">
        <f t="shared" si="15"/>
        <v>0</v>
      </c>
      <c r="O139" s="49"/>
      <c r="P139" s="553"/>
      <c r="Q139" s="554"/>
      <c r="R139" s="555"/>
    </row>
    <row r="140" spans="1:20" s="22" customFormat="1" ht="13.5" thickBot="1" x14ac:dyDescent="0.3">
      <c r="A140" s="27" t="s">
        <v>13</v>
      </c>
      <c r="B140" s="28" t="s">
        <v>24</v>
      </c>
      <c r="C140" s="1608" t="s">
        <v>30</v>
      </c>
      <c r="D140" s="1608"/>
      <c r="E140" s="1608"/>
      <c r="F140" s="1608"/>
      <c r="G140" s="1608"/>
      <c r="H140" s="1608"/>
      <c r="I140" s="139">
        <f t="shared" ref="I140:N140" si="16">I135+I127+I139</f>
        <v>4738</v>
      </c>
      <c r="J140" s="141">
        <f t="shared" si="16"/>
        <v>2538</v>
      </c>
      <c r="K140" s="140">
        <f t="shared" si="16"/>
        <v>0</v>
      </c>
      <c r="L140" s="141">
        <f t="shared" si="16"/>
        <v>2200</v>
      </c>
      <c r="M140" s="421">
        <f t="shared" si="16"/>
        <v>4206.1000000000004</v>
      </c>
      <c r="N140" s="421">
        <f t="shared" si="16"/>
        <v>4119</v>
      </c>
      <c r="O140" s="1609"/>
      <c r="P140" s="1610"/>
      <c r="Q140" s="1610"/>
      <c r="R140" s="1611"/>
    </row>
    <row r="141" spans="1:20" ht="14.25" customHeight="1" thickBot="1" x14ac:dyDescent="0.25">
      <c r="A141" s="1077" t="s">
        <v>13</v>
      </c>
      <c r="B141" s="142"/>
      <c r="C141" s="1595" t="s">
        <v>44</v>
      </c>
      <c r="D141" s="1595"/>
      <c r="E141" s="1595"/>
      <c r="F141" s="1595"/>
      <c r="G141" s="1595"/>
      <c r="H141" s="1595"/>
      <c r="I141" s="143">
        <f>J141+L141</f>
        <v>105300.70000000001</v>
      </c>
      <c r="J141" s="146">
        <f>J140+J121+J86+J31</f>
        <v>93788.1</v>
      </c>
      <c r="K141" s="144">
        <f>K140+K121+K86+K31</f>
        <v>8591.1</v>
      </c>
      <c r="L141" s="569">
        <f>L140+L121+L86+L31</f>
        <v>11512.6</v>
      </c>
      <c r="M141" s="146">
        <f>M140+M121+M86+M31</f>
        <v>107985.4</v>
      </c>
      <c r="N141" s="147">
        <f>N140+N121+N86+N31</f>
        <v>105432</v>
      </c>
      <c r="O141" s="1596"/>
      <c r="P141" s="1597"/>
      <c r="Q141" s="1597"/>
      <c r="R141" s="1598"/>
    </row>
    <row r="142" spans="1:20" s="22" customFormat="1" ht="13.5" customHeight="1" thickBot="1" x14ac:dyDescent="0.3">
      <c r="A142" s="148" t="s">
        <v>45</v>
      </c>
      <c r="B142" s="1599" t="s">
        <v>46</v>
      </c>
      <c r="C142" s="1600"/>
      <c r="D142" s="1600"/>
      <c r="E142" s="1600"/>
      <c r="F142" s="1600"/>
      <c r="G142" s="1600"/>
      <c r="H142" s="1600"/>
      <c r="I142" s="149">
        <f>J142+L142</f>
        <v>105300.70000000001</v>
      </c>
      <c r="J142" s="152">
        <f>J141</f>
        <v>93788.1</v>
      </c>
      <c r="K142" s="150">
        <f>K141</f>
        <v>8591.1</v>
      </c>
      <c r="L142" s="570">
        <f>L141</f>
        <v>11512.6</v>
      </c>
      <c r="M142" s="152">
        <f>M141</f>
        <v>107985.4</v>
      </c>
      <c r="N142" s="153">
        <f>N141</f>
        <v>105432</v>
      </c>
      <c r="O142" s="1601"/>
      <c r="P142" s="1602"/>
      <c r="Q142" s="1602"/>
      <c r="R142" s="1603"/>
      <c r="S142" s="9"/>
    </row>
    <row r="143" spans="1:20" s="124" customFormat="1" ht="24" customHeight="1" thickBot="1" x14ac:dyDescent="0.25">
      <c r="B143" s="155"/>
      <c r="C143" s="155"/>
      <c r="D143" s="1650" t="s">
        <v>47</v>
      </c>
      <c r="E143" s="1650"/>
      <c r="F143" s="1650"/>
      <c r="G143" s="1650"/>
      <c r="H143" s="1650"/>
      <c r="I143" s="1650"/>
      <c r="J143" s="1650"/>
      <c r="K143" s="1650"/>
      <c r="L143" s="1650"/>
      <c r="M143" s="1650"/>
      <c r="N143" s="1650"/>
      <c r="O143" s="381"/>
      <c r="P143" s="381"/>
      <c r="Q143" s="381"/>
      <c r="R143" s="381"/>
    </row>
    <row r="144" spans="1:20" s="22" customFormat="1" ht="32.25" customHeight="1" thickBot="1" x14ac:dyDescent="0.3">
      <c r="A144" s="1591" t="s">
        <v>48</v>
      </c>
      <c r="B144" s="1592"/>
      <c r="C144" s="1592"/>
      <c r="D144" s="1592"/>
      <c r="E144" s="1592"/>
      <c r="F144" s="1592"/>
      <c r="G144" s="1592"/>
      <c r="H144" s="1593"/>
      <c r="I144" s="1592" t="s">
        <v>141</v>
      </c>
      <c r="J144" s="1592"/>
      <c r="K144" s="1592"/>
      <c r="L144" s="1593"/>
      <c r="M144" s="1225" t="s">
        <v>288</v>
      </c>
      <c r="N144" s="1225" t="s">
        <v>289</v>
      </c>
      <c r="O144" s="1045"/>
      <c r="P144" s="1594"/>
      <c r="Q144" s="1594"/>
      <c r="R144" s="1594"/>
    </row>
    <row r="145" spans="1:18" s="22" customFormat="1" ht="13.5" customHeight="1" thickBot="1" x14ac:dyDescent="0.3">
      <c r="A145" s="1580" t="s">
        <v>49</v>
      </c>
      <c r="B145" s="1581"/>
      <c r="C145" s="1581"/>
      <c r="D145" s="1581"/>
      <c r="E145" s="1581"/>
      <c r="F145" s="1581"/>
      <c r="G145" s="1581"/>
      <c r="H145" s="1582"/>
      <c r="I145" s="1646">
        <f>SUM(I146:L149)</f>
        <v>50571.8</v>
      </c>
      <c r="J145" s="1646"/>
      <c r="K145" s="1646"/>
      <c r="L145" s="1647"/>
      <c r="M145" s="1043">
        <f>SUM(M146:M149)</f>
        <v>59930.3</v>
      </c>
      <c r="N145" s="158">
        <f>SUM(N146:N149)</f>
        <v>58760.700000000004</v>
      </c>
      <c r="O145" s="1040"/>
      <c r="P145" s="1638"/>
      <c r="Q145" s="1638"/>
      <c r="R145" s="1638"/>
    </row>
    <row r="146" spans="1:18" s="22" customFormat="1" ht="12.75" customHeight="1" x14ac:dyDescent="0.25">
      <c r="A146" s="1588" t="s">
        <v>106</v>
      </c>
      <c r="B146" s="1589"/>
      <c r="C146" s="1589"/>
      <c r="D146" s="1589"/>
      <c r="E146" s="1589"/>
      <c r="F146" s="1589"/>
      <c r="G146" s="1589"/>
      <c r="H146" s="1590"/>
      <c r="I146" s="1648">
        <f>SUMIF(H12:H140,"SB",I12:I140)</f>
        <v>28751.5</v>
      </c>
      <c r="J146" s="1648"/>
      <c r="K146" s="1648"/>
      <c r="L146" s="1649"/>
      <c r="M146" s="1044">
        <f>SUMIF(H12:H138,H27,M12:M138)</f>
        <v>30686.100000000002</v>
      </c>
      <c r="N146" s="324">
        <f>SUMIF(H12:H138,"sb",N12:N138)</f>
        <v>30409.7</v>
      </c>
      <c r="O146" s="1042"/>
      <c r="P146" s="1641"/>
      <c r="Q146" s="1641"/>
      <c r="R146" s="1641"/>
    </row>
    <row r="147" spans="1:18" s="22" customFormat="1" ht="12.75" customHeight="1" x14ac:dyDescent="0.25">
      <c r="A147" s="1585" t="s">
        <v>107</v>
      </c>
      <c r="B147" s="1586"/>
      <c r="C147" s="1586"/>
      <c r="D147" s="1586"/>
      <c r="E147" s="1586"/>
      <c r="F147" s="1586"/>
      <c r="G147" s="1586"/>
      <c r="H147" s="1587"/>
      <c r="I147" s="1645">
        <f>SUMIF(H12:H140,"SB(sP)",I12:I140)</f>
        <v>4001.2</v>
      </c>
      <c r="J147" s="1627"/>
      <c r="K147" s="1627"/>
      <c r="L147" s="1628"/>
      <c r="M147" s="161">
        <f>SUMIF(H12:H135,"sb(sp)",M12:M135)</f>
        <v>4333.1000000000004</v>
      </c>
      <c r="N147" s="161">
        <f>SUMIF(H12:H138,"sb(sp)",N12:N138)</f>
        <v>4333.1000000000004</v>
      </c>
      <c r="O147" s="1042"/>
      <c r="P147" s="1641"/>
      <c r="Q147" s="1641"/>
      <c r="R147" s="1641"/>
    </row>
    <row r="148" spans="1:18" s="22" customFormat="1" ht="15" customHeight="1" x14ac:dyDescent="0.25">
      <c r="A148" s="1585" t="s">
        <v>108</v>
      </c>
      <c r="B148" s="1586"/>
      <c r="C148" s="1586"/>
      <c r="D148" s="1586"/>
      <c r="E148" s="1586"/>
      <c r="F148" s="1586"/>
      <c r="G148" s="1586"/>
      <c r="H148" s="1587"/>
      <c r="I148" s="1627">
        <f>SUMIF(H12:H140,"sb(vb)",I12:I140)</f>
        <v>17095.7</v>
      </c>
      <c r="J148" s="1627"/>
      <c r="K148" s="1627"/>
      <c r="L148" s="1628"/>
      <c r="M148" s="1041">
        <f>SUMIF(H12:H138,"sb(vb)",M12:M138)</f>
        <v>24747.5</v>
      </c>
      <c r="N148" s="161">
        <f>SUMIF(H12:H138,H12,N12:N138)</f>
        <v>24017.9</v>
      </c>
      <c r="O148" s="1042"/>
      <c r="P148" s="1641"/>
      <c r="Q148" s="1641"/>
      <c r="R148" s="1641"/>
    </row>
    <row r="149" spans="1:18" s="22" customFormat="1" ht="12.75" customHeight="1" thickBot="1" x14ac:dyDescent="0.3">
      <c r="A149" s="1642" t="s">
        <v>109</v>
      </c>
      <c r="B149" s="1643"/>
      <c r="C149" s="1643"/>
      <c r="D149" s="1643"/>
      <c r="E149" s="1643"/>
      <c r="F149" s="1643"/>
      <c r="G149" s="1643"/>
      <c r="H149" s="1644"/>
      <c r="I149" s="1639">
        <f>SUMIF(H12:H140,"sb(p)",I12:I140)</f>
        <v>723.4</v>
      </c>
      <c r="J149" s="1639"/>
      <c r="K149" s="1639"/>
      <c r="L149" s="1640"/>
      <c r="M149" s="162">
        <f>SUMIF(H12:H135,"sb(p)",M12:M135)</f>
        <v>163.6</v>
      </c>
      <c r="N149" s="163">
        <f>SUMIF(H12:H138,#REF!,N12:N138)</f>
        <v>0</v>
      </c>
      <c r="O149" s="1042"/>
      <c r="P149" s="1641"/>
      <c r="Q149" s="1641"/>
      <c r="R149" s="1641"/>
    </row>
    <row r="150" spans="1:18" s="22" customFormat="1" ht="13.5" customHeight="1" thickBot="1" x14ac:dyDescent="0.3">
      <c r="A150" s="1580" t="s">
        <v>50</v>
      </c>
      <c r="B150" s="1581"/>
      <c r="C150" s="1581"/>
      <c r="D150" s="1581"/>
      <c r="E150" s="1581"/>
      <c r="F150" s="1581"/>
      <c r="G150" s="1581"/>
      <c r="H150" s="1582"/>
      <c r="I150" s="1646">
        <f>SUM(I151:L153)</f>
        <v>54728.899999999994</v>
      </c>
      <c r="J150" s="1646"/>
      <c r="K150" s="1646"/>
      <c r="L150" s="1647"/>
      <c r="M150" s="1043">
        <f>SUM(M151:M153)</f>
        <v>48055.099999999991</v>
      </c>
      <c r="N150" s="158">
        <f>N151+N152+N153</f>
        <v>46671.299999999996</v>
      </c>
      <c r="O150" s="1040"/>
      <c r="P150" s="1638"/>
      <c r="Q150" s="1638"/>
      <c r="R150" s="1638"/>
    </row>
    <row r="151" spans="1:18" s="22" customFormat="1" ht="12.75" customHeight="1" x14ac:dyDescent="0.25">
      <c r="A151" s="1672" t="s">
        <v>110</v>
      </c>
      <c r="B151" s="1673"/>
      <c r="C151" s="1673"/>
      <c r="D151" s="1673"/>
      <c r="E151" s="1673"/>
      <c r="F151" s="1673"/>
      <c r="G151" s="1673"/>
      <c r="H151" s="1674"/>
      <c r="I151" s="1653">
        <f>SUMIF(H32:H140,"es",I32:I140)</f>
        <v>7129.5000000000009</v>
      </c>
      <c r="J151" s="1653"/>
      <c r="K151" s="1653"/>
      <c r="L151" s="1654"/>
      <c r="M151" s="159">
        <f>SUMIF(H12:H135,"es",M12:M135)</f>
        <v>1373.1000000000001</v>
      </c>
      <c r="N151" s="160">
        <f>SUMIF(H12:H135,"es",N12:N135)</f>
        <v>0</v>
      </c>
      <c r="O151" s="1042"/>
      <c r="P151" s="1641"/>
      <c r="Q151" s="1641"/>
      <c r="R151" s="1641"/>
    </row>
    <row r="152" spans="1:18" s="22" customFormat="1" ht="12.75" customHeight="1" x14ac:dyDescent="0.25">
      <c r="A152" s="1585" t="s">
        <v>111</v>
      </c>
      <c r="B152" s="1586"/>
      <c r="C152" s="1586"/>
      <c r="D152" s="1586"/>
      <c r="E152" s="1586"/>
      <c r="F152" s="1586"/>
      <c r="G152" s="1586"/>
      <c r="H152" s="1587"/>
      <c r="I152" s="1627">
        <f>SUMIF(H12:H140,"lrvb",I12:I140)</f>
        <v>47289.7</v>
      </c>
      <c r="J152" s="1627"/>
      <c r="K152" s="1627"/>
      <c r="L152" s="1628"/>
      <c r="M152" s="1041">
        <f>SUMIF(H12:H135,"lrvb",M12:M135)</f>
        <v>46472.299999999996</v>
      </c>
      <c r="N152" s="161">
        <f>SUMIF(H12:H135,H126,N12:N135)</f>
        <v>46461.599999999999</v>
      </c>
      <c r="O152" s="64"/>
      <c r="P152" s="1641"/>
      <c r="Q152" s="1641"/>
      <c r="R152" s="1641"/>
    </row>
    <row r="153" spans="1:18" s="22" customFormat="1" ht="13.5" customHeight="1" thickBot="1" x14ac:dyDescent="0.3">
      <c r="A153" s="1675" t="s">
        <v>137</v>
      </c>
      <c r="B153" s="1676"/>
      <c r="C153" s="1676"/>
      <c r="D153" s="1676"/>
      <c r="E153" s="1676"/>
      <c r="F153" s="1676"/>
      <c r="G153" s="1676"/>
      <c r="H153" s="1677"/>
      <c r="I153" s="1651">
        <f>SUMIF(H32:H140,"kt",I32:I140)</f>
        <v>309.7</v>
      </c>
      <c r="J153" s="1651"/>
      <c r="K153" s="1651"/>
      <c r="L153" s="1652"/>
      <c r="M153" s="159">
        <f>SUMIF(H12:H135,"kt",M12:M135)</f>
        <v>209.7</v>
      </c>
      <c r="N153" s="160">
        <f>SUMIF(H12:H135,"kt",N12:N135)</f>
        <v>209.7</v>
      </c>
      <c r="O153" s="64"/>
      <c r="P153" s="1641"/>
      <c r="Q153" s="1641"/>
      <c r="R153" s="1641"/>
    </row>
    <row r="154" spans="1:18" s="22" customFormat="1" ht="13.5" customHeight="1" thickBot="1" x14ac:dyDescent="0.3">
      <c r="A154" s="1624" t="s">
        <v>51</v>
      </c>
      <c r="B154" s="1625"/>
      <c r="C154" s="1625"/>
      <c r="D154" s="1625"/>
      <c r="E154" s="1625"/>
      <c r="F154" s="1625"/>
      <c r="G154" s="1625"/>
      <c r="H154" s="1626"/>
      <c r="I154" s="1636">
        <f>I150+I145</f>
        <v>105300.7</v>
      </c>
      <c r="J154" s="1636"/>
      <c r="K154" s="1636"/>
      <c r="L154" s="1637"/>
      <c r="M154" s="1039">
        <f>M145+M150</f>
        <v>107985.4</v>
      </c>
      <c r="N154" s="830">
        <f>N145+N150</f>
        <v>105432</v>
      </c>
      <c r="O154" s="386"/>
      <c r="P154" s="1638"/>
      <c r="Q154" s="1638"/>
      <c r="R154" s="1638"/>
    </row>
    <row r="155" spans="1:18" x14ac:dyDescent="0.2">
      <c r="B155" s="164"/>
      <c r="C155" s="164"/>
      <c r="D155" s="164"/>
      <c r="E155" s="164"/>
      <c r="F155" s="164"/>
      <c r="J155" s="1623"/>
      <c r="K155" s="1623"/>
      <c r="M155" s="299"/>
      <c r="N155" s="299"/>
    </row>
    <row r="156" spans="1:18" x14ac:dyDescent="0.2">
      <c r="I156" s="299"/>
      <c r="J156" s="669"/>
      <c r="K156" s="299"/>
      <c r="M156" s="299"/>
      <c r="N156" s="299"/>
    </row>
    <row r="158" spans="1:18" x14ac:dyDescent="0.2">
      <c r="J158" s="299"/>
    </row>
    <row r="160" spans="1:18" x14ac:dyDescent="0.2">
      <c r="E160" s="21"/>
      <c r="F160" s="21"/>
      <c r="G160" s="165"/>
      <c r="O160" s="166"/>
      <c r="P160" s="166"/>
      <c r="Q160" s="166"/>
      <c r="R160" s="166"/>
    </row>
  </sheetData>
  <mergeCells count="225">
    <mergeCell ref="R15:R16"/>
    <mergeCell ref="O13:O14"/>
    <mergeCell ref="O15:O16"/>
    <mergeCell ref="P15:P16"/>
    <mergeCell ref="Q15:Q16"/>
    <mergeCell ref="O6:O7"/>
    <mergeCell ref="P6:R6"/>
    <mergeCell ref="A8:R8"/>
    <mergeCell ref="A9:R9"/>
    <mergeCell ref="B10:R10"/>
    <mergeCell ref="C11:R11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D21:D22"/>
    <mergeCell ref="O21:O22"/>
    <mergeCell ref="P21:P22"/>
    <mergeCell ref="Q21:Q22"/>
    <mergeCell ref="R21:R22"/>
    <mergeCell ref="D19:D20"/>
    <mergeCell ref="O19:O20"/>
    <mergeCell ref="P19:P20"/>
    <mergeCell ref="Q19:Q20"/>
    <mergeCell ref="R19:R20"/>
    <mergeCell ref="G23:G24"/>
    <mergeCell ref="D25:D26"/>
    <mergeCell ref="O25:O26"/>
    <mergeCell ref="P25:P26"/>
    <mergeCell ref="A23:A24"/>
    <mergeCell ref="B23:B24"/>
    <mergeCell ref="C23:C24"/>
    <mergeCell ref="D23:D24"/>
    <mergeCell ref="E23:E24"/>
    <mergeCell ref="F23:F24"/>
    <mergeCell ref="C32:R32"/>
    <mergeCell ref="A29:A30"/>
    <mergeCell ref="B29:B30"/>
    <mergeCell ref="D29:D30"/>
    <mergeCell ref="C31:H31"/>
    <mergeCell ref="O31:R31"/>
    <mergeCell ref="Q25:Q26"/>
    <mergeCell ref="R25:R26"/>
    <mergeCell ref="A27:A28"/>
    <mergeCell ref="B27:B28"/>
    <mergeCell ref="C27:C28"/>
    <mergeCell ref="O27:O28"/>
    <mergeCell ref="P27:P28"/>
    <mergeCell ref="Q27:Q28"/>
    <mergeCell ref="R27:R28"/>
    <mergeCell ref="D48:D50"/>
    <mergeCell ref="O48:O50"/>
    <mergeCell ref="P48:P50"/>
    <mergeCell ref="Q48:Q50"/>
    <mergeCell ref="R48:R50"/>
    <mergeCell ref="D44:D45"/>
    <mergeCell ref="D46:D47"/>
    <mergeCell ref="D42:D43"/>
    <mergeCell ref="D39:D40"/>
    <mergeCell ref="O54:O56"/>
    <mergeCell ref="P54:P56"/>
    <mergeCell ref="Q54:Q56"/>
    <mergeCell ref="R54:R56"/>
    <mergeCell ref="D54:D56"/>
    <mergeCell ref="D51:D53"/>
    <mergeCell ref="O51:O53"/>
    <mergeCell ref="P51:P53"/>
    <mergeCell ref="Q51:Q53"/>
    <mergeCell ref="R51:R53"/>
    <mergeCell ref="F57:F58"/>
    <mergeCell ref="G57:G58"/>
    <mergeCell ref="O57:O58"/>
    <mergeCell ref="D64:D65"/>
    <mergeCell ref="A57:A58"/>
    <mergeCell ref="B57:B58"/>
    <mergeCell ref="C57:C58"/>
    <mergeCell ref="D57:D58"/>
    <mergeCell ref="E57:E58"/>
    <mergeCell ref="P66:P67"/>
    <mergeCell ref="Q66:Q67"/>
    <mergeCell ref="R66:R67"/>
    <mergeCell ref="A66:A67"/>
    <mergeCell ref="B66:B67"/>
    <mergeCell ref="C66:C67"/>
    <mergeCell ref="D66:D67"/>
    <mergeCell ref="E66:E67"/>
    <mergeCell ref="F66:F67"/>
    <mergeCell ref="A68:A69"/>
    <mergeCell ref="B68:B69"/>
    <mergeCell ref="D68:D70"/>
    <mergeCell ref="O68:O69"/>
    <mergeCell ref="A71:A72"/>
    <mergeCell ref="B71:B72"/>
    <mergeCell ref="D71:D74"/>
    <mergeCell ref="O71:O72"/>
    <mergeCell ref="G66:G67"/>
    <mergeCell ref="O66:O67"/>
    <mergeCell ref="A75:A76"/>
    <mergeCell ref="B75:B76"/>
    <mergeCell ref="D75:D77"/>
    <mergeCell ref="O75:O76"/>
    <mergeCell ref="A78:A79"/>
    <mergeCell ref="B78:B79"/>
    <mergeCell ref="D78:D80"/>
    <mergeCell ref="C86:H86"/>
    <mergeCell ref="O86:R86"/>
    <mergeCell ref="C87:R87"/>
    <mergeCell ref="D89:D92"/>
    <mergeCell ref="O89:O92"/>
    <mergeCell ref="P84:P85"/>
    <mergeCell ref="Q84:Q85"/>
    <mergeCell ref="R84:R85"/>
    <mergeCell ref="O78:O79"/>
    <mergeCell ref="O81:O82"/>
    <mergeCell ref="D83:D85"/>
    <mergeCell ref="E83:E85"/>
    <mergeCell ref="F83:F85"/>
    <mergeCell ref="G83:G85"/>
    <mergeCell ref="O84:O85"/>
    <mergeCell ref="O93:O96"/>
    <mergeCell ref="O97:O100"/>
    <mergeCell ref="F123:F127"/>
    <mergeCell ref="G123:G127"/>
    <mergeCell ref="O123:O127"/>
    <mergeCell ref="D108:D110"/>
    <mergeCell ref="O108:O110"/>
    <mergeCell ref="D111:D113"/>
    <mergeCell ref="O111:O113"/>
    <mergeCell ref="D114:D115"/>
    <mergeCell ref="G114:G115"/>
    <mergeCell ref="O114:O115"/>
    <mergeCell ref="O121:R121"/>
    <mergeCell ref="C122:R122"/>
    <mergeCell ref="D116:D117"/>
    <mergeCell ref="E120:H120"/>
    <mergeCell ref="D118:D120"/>
    <mergeCell ref="E101:H101"/>
    <mergeCell ref="D97:D101"/>
    <mergeCell ref="P152:R152"/>
    <mergeCell ref="I153:L153"/>
    <mergeCell ref="P153:R153"/>
    <mergeCell ref="I150:L150"/>
    <mergeCell ref="P150:R150"/>
    <mergeCell ref="I151:L151"/>
    <mergeCell ref="P151:R151"/>
    <mergeCell ref="D103:D107"/>
    <mergeCell ref="O103:O107"/>
    <mergeCell ref="P103:P105"/>
    <mergeCell ref="Q103:Q104"/>
    <mergeCell ref="R103:R104"/>
    <mergeCell ref="R114:R115"/>
    <mergeCell ref="P114:P115"/>
    <mergeCell ref="Q114:Q115"/>
    <mergeCell ref="A151:H151"/>
    <mergeCell ref="A152:H152"/>
    <mergeCell ref="A153:H153"/>
    <mergeCell ref="A123:A127"/>
    <mergeCell ref="B123:B127"/>
    <mergeCell ref="C123:C127"/>
    <mergeCell ref="D123:D127"/>
    <mergeCell ref="E123:E127"/>
    <mergeCell ref="I144:L144"/>
    <mergeCell ref="J155:K155"/>
    <mergeCell ref="A154:H154"/>
    <mergeCell ref="I152:L152"/>
    <mergeCell ref="D17:D18"/>
    <mergeCell ref="O17:O18"/>
    <mergeCell ref="Q17:Q18"/>
    <mergeCell ref="D27:D28"/>
    <mergeCell ref="D12:D16"/>
    <mergeCell ref="T35:T36"/>
    <mergeCell ref="D36:D37"/>
    <mergeCell ref="I154:L154"/>
    <mergeCell ref="P154:R154"/>
    <mergeCell ref="I149:L149"/>
    <mergeCell ref="P149:R149"/>
    <mergeCell ref="A149:H149"/>
    <mergeCell ref="P147:R147"/>
    <mergeCell ref="I148:L148"/>
    <mergeCell ref="P148:R148"/>
    <mergeCell ref="I147:L147"/>
    <mergeCell ref="I145:L145"/>
    <mergeCell ref="P145:R145"/>
    <mergeCell ref="I146:L146"/>
    <mergeCell ref="P146:R146"/>
    <mergeCell ref="D143:N143"/>
    <mergeCell ref="A150:H150"/>
    <mergeCell ref="T62:T64"/>
    <mergeCell ref="T102:T103"/>
    <mergeCell ref="A148:H148"/>
    <mergeCell ref="A147:H147"/>
    <mergeCell ref="A146:H146"/>
    <mergeCell ref="A144:H144"/>
    <mergeCell ref="P144:R144"/>
    <mergeCell ref="C141:H141"/>
    <mergeCell ref="O141:R141"/>
    <mergeCell ref="B142:H142"/>
    <mergeCell ref="O142:R142"/>
    <mergeCell ref="F137:F139"/>
    <mergeCell ref="D138:D139"/>
    <mergeCell ref="C140:H140"/>
    <mergeCell ref="O140:R140"/>
    <mergeCell ref="C133:C135"/>
    <mergeCell ref="D134:D135"/>
    <mergeCell ref="F134:F135"/>
    <mergeCell ref="G134:G135"/>
    <mergeCell ref="O134:O135"/>
    <mergeCell ref="C121:H121"/>
    <mergeCell ref="A145:H145"/>
    <mergeCell ref="D93:D96"/>
  </mergeCells>
  <printOptions horizontalCentered="1"/>
  <pageMargins left="0" right="0" top="0.39370078740157483" bottom="0.19685039370078741" header="0.31496062992125984" footer="0.31496062992125984"/>
  <pageSetup paperSize="9" orientation="landscape" r:id="rId1"/>
  <rowBreaks count="5" manualBreakCount="5">
    <brk id="26" max="17" man="1"/>
    <brk id="47" max="17" man="1"/>
    <brk id="62" max="17" man="1"/>
    <brk id="102" max="17" man="1"/>
    <brk id="12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23"/>
  <sheetViews>
    <sheetView zoomScale="120" zoomScaleNormal="120" zoomScaleSheetLayoutView="70" workbookViewId="0">
      <selection sqref="A1:AB1"/>
    </sheetView>
  </sheetViews>
  <sheetFormatPr defaultRowHeight="12.75" x14ac:dyDescent="0.2"/>
  <cols>
    <col min="1" max="2" width="2.7109375" style="21" customWidth="1"/>
    <col min="3" max="4" width="2.85546875" style="21" customWidth="1"/>
    <col min="5" max="5" width="29.7109375" style="21" customWidth="1"/>
    <col min="6" max="6" width="3.7109375" style="165" customWidth="1"/>
    <col min="7" max="7" width="2.85546875" style="165" customWidth="1"/>
    <col min="8" max="8" width="2.7109375" style="168" customWidth="1"/>
    <col min="9" max="9" width="11.5703125" style="303" customWidth="1"/>
    <col min="10" max="10" width="7.5703125" style="21" customWidth="1"/>
    <col min="11" max="11" width="7.85546875" style="21" customWidth="1"/>
    <col min="12" max="12" width="7.42578125" style="21" customWidth="1"/>
    <col min="13" max="13" width="6.7109375" style="21" customWidth="1"/>
    <col min="14" max="14" width="6.5703125" style="21" customWidth="1"/>
    <col min="15" max="16" width="8.28515625" style="21" customWidth="1"/>
    <col min="17" max="17" width="7" style="21" customWidth="1"/>
    <col min="18" max="18" width="7.42578125" style="21" customWidth="1"/>
    <col min="19" max="20" width="8" style="21" customWidth="1"/>
    <col min="21" max="22" width="6.140625" style="21" customWidth="1"/>
    <col min="23" max="23" width="8.42578125" style="21" customWidth="1"/>
    <col min="24" max="24" width="8.140625" style="21" customWidth="1"/>
    <col min="25" max="25" width="23.85546875" style="387" customWidth="1"/>
    <col min="26" max="26" width="5.7109375" style="167" customWidth="1"/>
    <col min="27" max="27" width="5.28515625" style="167" customWidth="1"/>
    <col min="28" max="28" width="5.28515625" style="382" customWidth="1"/>
    <col min="29" max="16384" width="9.140625" style="21"/>
  </cols>
  <sheetData>
    <row r="1" spans="1:28" ht="15.75" x14ac:dyDescent="0.25">
      <c r="A1" s="1824" t="s">
        <v>138</v>
      </c>
      <c r="B1" s="1824"/>
      <c r="C1" s="1824"/>
      <c r="D1" s="1824"/>
      <c r="E1" s="1824"/>
      <c r="F1" s="1824"/>
      <c r="G1" s="1824"/>
      <c r="H1" s="1824"/>
      <c r="I1" s="1824"/>
      <c r="J1" s="1824"/>
      <c r="K1" s="1824"/>
      <c r="L1" s="1824"/>
      <c r="M1" s="1824"/>
      <c r="N1" s="1824"/>
      <c r="O1" s="1824"/>
      <c r="P1" s="1824"/>
      <c r="Q1" s="1824"/>
      <c r="R1" s="1824"/>
      <c r="S1" s="1824"/>
      <c r="T1" s="1824"/>
      <c r="U1" s="1824"/>
      <c r="V1" s="1824"/>
      <c r="W1" s="1824"/>
      <c r="X1" s="1824"/>
      <c r="Y1" s="1824"/>
      <c r="Z1" s="1824"/>
      <c r="AA1" s="1824"/>
      <c r="AB1" s="1824"/>
    </row>
    <row r="2" spans="1:28" s="22" customFormat="1" x14ac:dyDescent="0.25">
      <c r="A2" s="1825" t="s">
        <v>84</v>
      </c>
      <c r="B2" s="1825"/>
      <c r="C2" s="1825"/>
      <c r="D2" s="1825"/>
      <c r="E2" s="1825"/>
      <c r="F2" s="1825"/>
      <c r="G2" s="1825"/>
      <c r="H2" s="1825"/>
      <c r="I2" s="1825"/>
      <c r="J2" s="1825"/>
      <c r="K2" s="1825"/>
      <c r="L2" s="1825"/>
      <c r="M2" s="1825"/>
      <c r="N2" s="1825"/>
      <c r="O2" s="1825"/>
      <c r="P2" s="1825"/>
      <c r="Q2" s="1825"/>
      <c r="R2" s="1825"/>
      <c r="S2" s="1825"/>
      <c r="T2" s="1825"/>
      <c r="U2" s="1825"/>
      <c r="V2" s="1825"/>
      <c r="W2" s="1825"/>
      <c r="X2" s="1825"/>
      <c r="Y2" s="1825"/>
      <c r="Z2" s="1825"/>
      <c r="AA2" s="1825"/>
      <c r="AB2" s="1825"/>
    </row>
    <row r="3" spans="1:28" s="22" customFormat="1" x14ac:dyDescent="0.25">
      <c r="A3" s="1826" t="s">
        <v>284</v>
      </c>
      <c r="B3" s="1826"/>
      <c r="C3" s="1826"/>
      <c r="D3" s="1826"/>
      <c r="E3" s="1826"/>
      <c r="F3" s="1826"/>
      <c r="G3" s="1826"/>
      <c r="H3" s="1826"/>
      <c r="I3" s="1826"/>
      <c r="J3" s="1826"/>
      <c r="K3" s="1826"/>
      <c r="L3" s="1826"/>
      <c r="M3" s="1826"/>
      <c r="N3" s="1826"/>
      <c r="O3" s="1826"/>
      <c r="P3" s="1826"/>
      <c r="Q3" s="1826"/>
      <c r="R3" s="1826"/>
      <c r="S3" s="1826"/>
      <c r="T3" s="1826"/>
      <c r="U3" s="1826"/>
      <c r="V3" s="1826"/>
      <c r="W3" s="1826"/>
      <c r="X3" s="1826"/>
      <c r="Y3" s="1826"/>
      <c r="Z3" s="1826"/>
      <c r="AA3" s="1826"/>
      <c r="AB3" s="1826"/>
    </row>
    <row r="4" spans="1:28" s="22" customFormat="1" ht="13.5" thickBot="1" x14ac:dyDescent="0.3">
      <c r="A4" s="1827" t="s">
        <v>0</v>
      </c>
      <c r="B4" s="1827"/>
      <c r="C4" s="1827"/>
      <c r="D4" s="1827"/>
      <c r="E4" s="1827"/>
      <c r="F4" s="1827"/>
      <c r="G4" s="1827"/>
      <c r="H4" s="1827"/>
      <c r="I4" s="1827"/>
      <c r="J4" s="1827"/>
      <c r="K4" s="1827"/>
      <c r="L4" s="1827"/>
      <c r="M4" s="1827"/>
      <c r="N4" s="1827"/>
      <c r="O4" s="1827"/>
      <c r="P4" s="1827"/>
      <c r="Q4" s="1827"/>
      <c r="R4" s="1827"/>
      <c r="S4" s="1827"/>
      <c r="T4" s="1827"/>
      <c r="U4" s="1827"/>
      <c r="V4" s="1827"/>
      <c r="W4" s="1827"/>
      <c r="X4" s="1827"/>
      <c r="Y4" s="1827"/>
      <c r="Z4" s="1827"/>
      <c r="AA4" s="1827"/>
      <c r="AB4" s="1827"/>
    </row>
    <row r="5" spans="1:28" s="23" customFormat="1" ht="27" customHeight="1" thickBot="1" x14ac:dyDescent="0.3">
      <c r="A5" s="1828" t="s">
        <v>1</v>
      </c>
      <c r="B5" s="1831" t="s">
        <v>2</v>
      </c>
      <c r="C5" s="1834" t="s">
        <v>3</v>
      </c>
      <c r="D5" s="957"/>
      <c r="E5" s="1837" t="s">
        <v>4</v>
      </c>
      <c r="F5" s="1840" t="s">
        <v>5</v>
      </c>
      <c r="G5" s="1831" t="s">
        <v>104</v>
      </c>
      <c r="H5" s="1851" t="s">
        <v>6</v>
      </c>
      <c r="I5" s="2056" t="s">
        <v>191</v>
      </c>
      <c r="J5" s="1854" t="s">
        <v>7</v>
      </c>
      <c r="K5" s="1857" t="s">
        <v>139</v>
      </c>
      <c r="L5" s="1858"/>
      <c r="M5" s="1858"/>
      <c r="N5" s="1859"/>
      <c r="O5" s="1857" t="s">
        <v>140</v>
      </c>
      <c r="P5" s="1858"/>
      <c r="Q5" s="1858"/>
      <c r="R5" s="1859"/>
      <c r="S5" s="1857" t="s">
        <v>141</v>
      </c>
      <c r="T5" s="1858"/>
      <c r="U5" s="1858"/>
      <c r="V5" s="1859"/>
      <c r="W5" s="1843" t="s">
        <v>60</v>
      </c>
      <c r="X5" s="1843" t="s">
        <v>142</v>
      </c>
      <c r="Y5" s="1846" t="s">
        <v>285</v>
      </c>
      <c r="Z5" s="1847"/>
      <c r="AA5" s="1847"/>
      <c r="AB5" s="1848"/>
    </row>
    <row r="6" spans="1:28" s="23" customFormat="1" x14ac:dyDescent="0.25">
      <c r="A6" s="1829"/>
      <c r="B6" s="1832"/>
      <c r="C6" s="1835"/>
      <c r="D6" s="958"/>
      <c r="E6" s="1838"/>
      <c r="F6" s="1841"/>
      <c r="G6" s="1832"/>
      <c r="H6" s="1852"/>
      <c r="I6" s="2057"/>
      <c r="J6" s="1855"/>
      <c r="K6" s="1849" t="s">
        <v>8</v>
      </c>
      <c r="L6" s="1860" t="s">
        <v>9</v>
      </c>
      <c r="M6" s="1861"/>
      <c r="N6" s="1862" t="s">
        <v>10</v>
      </c>
      <c r="O6" s="1849" t="s">
        <v>8</v>
      </c>
      <c r="P6" s="1860" t="s">
        <v>9</v>
      </c>
      <c r="Q6" s="1861"/>
      <c r="R6" s="1862" t="s">
        <v>10</v>
      </c>
      <c r="S6" s="1849" t="s">
        <v>8</v>
      </c>
      <c r="T6" s="1860" t="s">
        <v>9</v>
      </c>
      <c r="U6" s="1861"/>
      <c r="V6" s="1862" t="s">
        <v>10</v>
      </c>
      <c r="W6" s="1844"/>
      <c r="X6" s="1844"/>
      <c r="Y6" s="1872" t="s">
        <v>57</v>
      </c>
      <c r="Z6" s="1874" t="s">
        <v>61</v>
      </c>
      <c r="AA6" s="1875"/>
      <c r="AB6" s="1876"/>
    </row>
    <row r="7" spans="1:28" s="23" customFormat="1" ht="103.5" customHeight="1" thickBot="1" x14ac:dyDescent="0.3">
      <c r="A7" s="1830"/>
      <c r="B7" s="1833"/>
      <c r="C7" s="1836"/>
      <c r="D7" s="959"/>
      <c r="E7" s="1839"/>
      <c r="F7" s="1842"/>
      <c r="G7" s="1833"/>
      <c r="H7" s="1853"/>
      <c r="I7" s="2058"/>
      <c r="J7" s="1856"/>
      <c r="K7" s="1850"/>
      <c r="L7" s="24" t="s">
        <v>8</v>
      </c>
      <c r="M7" s="24" t="s">
        <v>11</v>
      </c>
      <c r="N7" s="1863"/>
      <c r="O7" s="1850"/>
      <c r="P7" s="24" t="s">
        <v>8</v>
      </c>
      <c r="Q7" s="24" t="s">
        <v>11</v>
      </c>
      <c r="R7" s="1863"/>
      <c r="S7" s="1850"/>
      <c r="T7" s="24" t="s">
        <v>8</v>
      </c>
      <c r="U7" s="24" t="s">
        <v>11</v>
      </c>
      <c r="V7" s="1863"/>
      <c r="W7" s="1845"/>
      <c r="X7" s="1845"/>
      <c r="Y7" s="1873"/>
      <c r="Z7" s="332" t="s">
        <v>62</v>
      </c>
      <c r="AA7" s="332" t="s">
        <v>63</v>
      </c>
      <c r="AB7" s="333" t="s">
        <v>143</v>
      </c>
    </row>
    <row r="8" spans="1:28" s="22" customFormat="1" x14ac:dyDescent="0.25">
      <c r="A8" s="1877" t="s">
        <v>253</v>
      </c>
      <c r="B8" s="1878"/>
      <c r="C8" s="1878"/>
      <c r="D8" s="1878"/>
      <c r="E8" s="1878"/>
      <c r="F8" s="1878"/>
      <c r="G8" s="1878"/>
      <c r="H8" s="1878"/>
      <c r="I8" s="1878"/>
      <c r="J8" s="1878"/>
      <c r="K8" s="1878"/>
      <c r="L8" s="1878"/>
      <c r="M8" s="1878"/>
      <c r="N8" s="1878"/>
      <c r="O8" s="1878"/>
      <c r="P8" s="1878"/>
      <c r="Q8" s="1878"/>
      <c r="R8" s="1878"/>
      <c r="S8" s="1878"/>
      <c r="T8" s="1878"/>
      <c r="U8" s="1878"/>
      <c r="V8" s="1878"/>
      <c r="W8" s="1878"/>
      <c r="X8" s="1878"/>
      <c r="Y8" s="1878"/>
      <c r="Z8" s="1878"/>
      <c r="AA8" s="1878"/>
      <c r="AB8" s="1879"/>
    </row>
    <row r="9" spans="1:28" s="22" customFormat="1" ht="13.5" thickBot="1" x14ac:dyDescent="0.3">
      <c r="A9" s="1880" t="s">
        <v>12</v>
      </c>
      <c r="B9" s="1881"/>
      <c r="C9" s="1881"/>
      <c r="D9" s="1881"/>
      <c r="E9" s="1881"/>
      <c r="F9" s="1881"/>
      <c r="G9" s="1881"/>
      <c r="H9" s="1881"/>
      <c r="I9" s="1881"/>
      <c r="J9" s="1881"/>
      <c r="K9" s="1881"/>
      <c r="L9" s="1881"/>
      <c r="M9" s="1881"/>
      <c r="N9" s="1881"/>
      <c r="O9" s="1881"/>
      <c r="P9" s="1881"/>
      <c r="Q9" s="1881"/>
      <c r="R9" s="1881"/>
      <c r="S9" s="1881"/>
      <c r="T9" s="1881"/>
      <c r="U9" s="1881"/>
      <c r="V9" s="1881"/>
      <c r="W9" s="1881"/>
      <c r="X9" s="1881"/>
      <c r="Y9" s="1881"/>
      <c r="Z9" s="1881"/>
      <c r="AA9" s="1881"/>
      <c r="AB9" s="1882"/>
    </row>
    <row r="10" spans="1:28" s="26" customFormat="1" ht="15" customHeight="1" thickBot="1" x14ac:dyDescent="0.3">
      <c r="A10" s="25" t="s">
        <v>13</v>
      </c>
      <c r="B10" s="1883" t="s">
        <v>14</v>
      </c>
      <c r="C10" s="1883"/>
      <c r="D10" s="1883"/>
      <c r="E10" s="1883"/>
      <c r="F10" s="1883"/>
      <c r="G10" s="1883"/>
      <c r="H10" s="1883"/>
      <c r="I10" s="1883"/>
      <c r="J10" s="1883"/>
      <c r="K10" s="1883"/>
      <c r="L10" s="1883"/>
      <c r="M10" s="1883"/>
      <c r="N10" s="1883"/>
      <c r="O10" s="1883"/>
      <c r="P10" s="1883"/>
      <c r="Q10" s="1883"/>
      <c r="R10" s="1883"/>
      <c r="S10" s="1883"/>
      <c r="T10" s="1883"/>
      <c r="U10" s="1883"/>
      <c r="V10" s="1883"/>
      <c r="W10" s="1883"/>
      <c r="X10" s="1883"/>
      <c r="Y10" s="1883"/>
      <c r="Z10" s="1883"/>
      <c r="AA10" s="1883"/>
      <c r="AB10" s="1884"/>
    </row>
    <row r="11" spans="1:28" s="26" customFormat="1" ht="13.5" thickBot="1" x14ac:dyDescent="0.3">
      <c r="A11" s="27" t="s">
        <v>13</v>
      </c>
      <c r="B11" s="28" t="s">
        <v>13</v>
      </c>
      <c r="C11" s="1885" t="s">
        <v>15</v>
      </c>
      <c r="D11" s="1885"/>
      <c r="E11" s="1885"/>
      <c r="F11" s="1885"/>
      <c r="G11" s="1885"/>
      <c r="H11" s="1885"/>
      <c r="I11" s="1886"/>
      <c r="J11" s="1886"/>
      <c r="K11" s="1886"/>
      <c r="L11" s="1886"/>
      <c r="M11" s="1886"/>
      <c r="N11" s="1886"/>
      <c r="O11" s="1886"/>
      <c r="P11" s="1886"/>
      <c r="Q11" s="1886"/>
      <c r="R11" s="1886"/>
      <c r="S11" s="1886"/>
      <c r="T11" s="1886"/>
      <c r="U11" s="1886"/>
      <c r="V11" s="1886"/>
      <c r="W11" s="1886"/>
      <c r="X11" s="1886"/>
      <c r="Y11" s="1886"/>
      <c r="Z11" s="1886"/>
      <c r="AA11" s="1886"/>
      <c r="AB11" s="1887"/>
    </row>
    <row r="12" spans="1:28" s="26" customFormat="1" ht="25.5" x14ac:dyDescent="0.25">
      <c r="A12" s="970" t="s">
        <v>13</v>
      </c>
      <c r="B12" s="29" t="s">
        <v>13</v>
      </c>
      <c r="C12" s="974" t="s">
        <v>13</v>
      </c>
      <c r="D12" s="1009"/>
      <c r="E12" s="1629" t="s">
        <v>64</v>
      </c>
      <c r="F12" s="169"/>
      <c r="G12" s="976" t="s">
        <v>16</v>
      </c>
      <c r="H12" s="968" t="s">
        <v>26</v>
      </c>
      <c r="I12" s="2043" t="s">
        <v>196</v>
      </c>
      <c r="J12" s="30" t="s">
        <v>17</v>
      </c>
      <c r="K12" s="624">
        <f t="shared" ref="K12" si="0">L12+N12</f>
        <v>6247.6</v>
      </c>
      <c r="L12" s="625">
        <v>6247.6</v>
      </c>
      <c r="M12" s="170"/>
      <c r="N12" s="171"/>
      <c r="O12" s="428">
        <f>P12+R12</f>
        <v>10903.6</v>
      </c>
      <c r="P12" s="170">
        <v>10903.6</v>
      </c>
      <c r="Q12" s="170"/>
      <c r="R12" s="31"/>
      <c r="S12" s="764">
        <f>T12+V12</f>
        <v>5061.3999999999996</v>
      </c>
      <c r="T12" s="765">
        <v>5061.3999999999996</v>
      </c>
      <c r="U12" s="671"/>
      <c r="V12" s="672"/>
      <c r="W12" s="31">
        <v>11000</v>
      </c>
      <c r="X12" s="32">
        <v>11000</v>
      </c>
      <c r="Y12" s="629" t="s">
        <v>144</v>
      </c>
      <c r="Z12" s="429">
        <v>21455</v>
      </c>
      <c r="AA12" s="966">
        <v>21500</v>
      </c>
      <c r="AB12" s="430">
        <v>21500</v>
      </c>
    </row>
    <row r="13" spans="1:28" s="26" customFormat="1" ht="12.75" customHeight="1" x14ac:dyDescent="0.25">
      <c r="A13" s="978"/>
      <c r="B13" s="33"/>
      <c r="C13" s="34"/>
      <c r="D13" s="1010"/>
      <c r="E13" s="1613"/>
      <c r="F13" s="172"/>
      <c r="G13" s="997"/>
      <c r="H13" s="35"/>
      <c r="I13" s="2047"/>
      <c r="J13" s="36" t="s">
        <v>17</v>
      </c>
      <c r="K13" s="626">
        <f>L13+N13</f>
        <v>14100</v>
      </c>
      <c r="L13" s="627">
        <v>14100</v>
      </c>
      <c r="M13" s="173"/>
      <c r="N13" s="174"/>
      <c r="O13" s="431"/>
      <c r="P13" s="173"/>
      <c r="Q13" s="173"/>
      <c r="R13" s="37"/>
      <c r="S13" s="673"/>
      <c r="T13" s="674"/>
      <c r="U13" s="675"/>
      <c r="V13" s="676"/>
      <c r="W13" s="37"/>
      <c r="X13" s="38"/>
      <c r="Y13" s="2054" t="s">
        <v>145</v>
      </c>
      <c r="Z13" s="1090">
        <v>5966</v>
      </c>
      <c r="AA13" s="1071">
        <v>5900</v>
      </c>
      <c r="AB13" s="1086">
        <v>5500</v>
      </c>
    </row>
    <row r="14" spans="1:28" s="26" customFormat="1" x14ac:dyDescent="0.25">
      <c r="A14" s="978"/>
      <c r="B14" s="33"/>
      <c r="C14" s="34"/>
      <c r="D14" s="1010"/>
      <c r="E14" s="1613"/>
      <c r="F14" s="172"/>
      <c r="G14" s="997"/>
      <c r="H14" s="35"/>
      <c r="I14" s="2047"/>
      <c r="J14" s="36" t="s">
        <v>27</v>
      </c>
      <c r="K14" s="431"/>
      <c r="L14" s="173"/>
      <c r="M14" s="173"/>
      <c r="N14" s="174"/>
      <c r="O14" s="495">
        <f>P14</f>
        <v>16753</v>
      </c>
      <c r="P14" s="563">
        <v>16753</v>
      </c>
      <c r="Q14" s="173"/>
      <c r="R14" s="37"/>
      <c r="S14" s="869">
        <v>16606.7</v>
      </c>
      <c r="T14" s="674">
        <v>16606.7</v>
      </c>
      <c r="U14" s="675"/>
      <c r="V14" s="676"/>
      <c r="W14" s="37">
        <v>17271</v>
      </c>
      <c r="X14" s="38">
        <v>17271</v>
      </c>
      <c r="Y14" s="1867"/>
      <c r="Z14" s="226"/>
      <c r="AA14" s="628"/>
      <c r="AB14" s="630"/>
    </row>
    <row r="15" spans="1:28" s="26" customFormat="1" ht="12.75" customHeight="1" x14ac:dyDescent="0.25">
      <c r="A15" s="978"/>
      <c r="B15" s="33"/>
      <c r="C15" s="34"/>
      <c r="D15" s="1010"/>
      <c r="E15" s="1613"/>
      <c r="F15" s="172"/>
      <c r="G15" s="997"/>
      <c r="H15" s="35"/>
      <c r="I15" s="2047"/>
      <c r="J15" s="39" t="s">
        <v>17</v>
      </c>
      <c r="K15" s="416">
        <f t="shared" ref="K15:K27" si="1">L15+N15</f>
        <v>2146.6</v>
      </c>
      <c r="L15" s="417">
        <v>2146.6</v>
      </c>
      <c r="M15" s="417"/>
      <c r="N15" s="418"/>
      <c r="O15" s="416">
        <f>P15+R15</f>
        <v>2287</v>
      </c>
      <c r="P15" s="417">
        <v>2287</v>
      </c>
      <c r="Q15" s="417"/>
      <c r="R15" s="40"/>
      <c r="S15" s="673">
        <f>T15</f>
        <v>2146.6</v>
      </c>
      <c r="T15" s="674">
        <v>2146.6</v>
      </c>
      <c r="U15" s="675"/>
      <c r="V15" s="677"/>
      <c r="W15" s="40">
        <v>2287</v>
      </c>
      <c r="X15" s="41">
        <v>2287</v>
      </c>
      <c r="Y15" s="2055" t="s">
        <v>222</v>
      </c>
      <c r="Z15" s="1870">
        <v>183</v>
      </c>
      <c r="AA15" s="1671">
        <v>183</v>
      </c>
      <c r="AB15" s="1864">
        <v>183</v>
      </c>
    </row>
    <row r="16" spans="1:28" s="26" customFormat="1" ht="13.5" thickBot="1" x14ac:dyDescent="0.3">
      <c r="A16" s="978"/>
      <c r="B16" s="33"/>
      <c r="C16" s="34"/>
      <c r="D16" s="1010"/>
      <c r="E16" s="962"/>
      <c r="F16" s="172"/>
      <c r="G16" s="997"/>
      <c r="H16" s="35"/>
      <c r="I16" s="2044"/>
      <c r="J16" s="833" t="s">
        <v>18</v>
      </c>
      <c r="K16" s="678">
        <f t="shared" si="1"/>
        <v>22494.199999999997</v>
      </c>
      <c r="L16" s="679">
        <f>SUM(L12:L15)</f>
        <v>22494.199999999997</v>
      </c>
      <c r="M16" s="679"/>
      <c r="N16" s="680"/>
      <c r="O16" s="678">
        <f>SUM(O12:O15)</f>
        <v>29943.599999999999</v>
      </c>
      <c r="P16" s="679">
        <f>SUM(P12:P15)</f>
        <v>29943.599999999999</v>
      </c>
      <c r="Q16" s="679"/>
      <c r="R16" s="711"/>
      <c r="S16" s="678">
        <f>T16+V16</f>
        <v>23814.699999999997</v>
      </c>
      <c r="T16" s="679">
        <f>SUM(T12:T15)</f>
        <v>23814.699999999997</v>
      </c>
      <c r="U16" s="679"/>
      <c r="V16" s="680"/>
      <c r="W16" s="711">
        <f>SUM(W12:W15)</f>
        <v>30558</v>
      </c>
      <c r="X16" s="712">
        <f>SUM(X12:X15)</f>
        <v>30558</v>
      </c>
      <c r="Y16" s="1869"/>
      <c r="Z16" s="1871"/>
      <c r="AA16" s="1783"/>
      <c r="AB16" s="1865"/>
    </row>
    <row r="17" spans="1:28" s="26" customFormat="1" ht="50.25" customHeight="1" x14ac:dyDescent="0.25">
      <c r="A17" s="970" t="s">
        <v>13</v>
      </c>
      <c r="B17" s="29" t="s">
        <v>13</v>
      </c>
      <c r="C17" s="974" t="s">
        <v>19</v>
      </c>
      <c r="D17" s="1009"/>
      <c r="E17" s="1629" t="s">
        <v>65</v>
      </c>
      <c r="F17" s="169"/>
      <c r="G17" s="976" t="s">
        <v>16</v>
      </c>
      <c r="H17" s="968" t="s">
        <v>26</v>
      </c>
      <c r="I17" s="2043" t="s">
        <v>197</v>
      </c>
      <c r="J17" s="8" t="s">
        <v>17</v>
      </c>
      <c r="K17" s="304">
        <f t="shared" si="1"/>
        <v>1524.7</v>
      </c>
      <c r="L17" s="175">
        <v>1524.7</v>
      </c>
      <c r="M17" s="175"/>
      <c r="N17" s="176"/>
      <c r="O17" s="603">
        <f>P17</f>
        <v>2789.5</v>
      </c>
      <c r="P17" s="604">
        <f>2764.4+25.1</f>
        <v>2789.5</v>
      </c>
      <c r="Q17" s="605"/>
      <c r="R17" s="178"/>
      <c r="S17" s="681">
        <f>T17</f>
        <v>2205.6999999999998</v>
      </c>
      <c r="T17" s="682">
        <f>2266.5-60.8</f>
        <v>2205.6999999999998</v>
      </c>
      <c r="U17" s="682"/>
      <c r="V17" s="683"/>
      <c r="W17" s="42">
        <v>2900</v>
      </c>
      <c r="X17" s="434">
        <v>2900</v>
      </c>
      <c r="Y17" s="435" t="s">
        <v>66</v>
      </c>
      <c r="Z17" s="436">
        <v>269</v>
      </c>
      <c r="AA17" s="1084">
        <v>269</v>
      </c>
      <c r="AB17" s="1085">
        <v>269</v>
      </c>
    </row>
    <row r="18" spans="1:28" s="26" customFormat="1" ht="48" customHeight="1" x14ac:dyDescent="0.25">
      <c r="A18" s="978"/>
      <c r="B18" s="33"/>
      <c r="C18" s="34"/>
      <c r="D18" s="1010"/>
      <c r="E18" s="1613"/>
      <c r="F18" s="172"/>
      <c r="G18" s="997"/>
      <c r="H18" s="35"/>
      <c r="I18" s="2047"/>
      <c r="J18" s="8" t="s">
        <v>17</v>
      </c>
      <c r="K18" s="179">
        <f t="shared" si="1"/>
        <v>640.20000000000005</v>
      </c>
      <c r="L18" s="1004">
        <v>640.20000000000005</v>
      </c>
      <c r="M18" s="180"/>
      <c r="N18" s="181"/>
      <c r="O18" s="1004">
        <f>P18+R18</f>
        <v>757.5</v>
      </c>
      <c r="P18" s="1004">
        <v>757.5</v>
      </c>
      <c r="Q18" s="180">
        <v>538.29999999999995</v>
      </c>
      <c r="R18" s="182"/>
      <c r="S18" s="673">
        <f>T18+V18</f>
        <v>757.5</v>
      </c>
      <c r="T18" s="731">
        <v>757.5</v>
      </c>
      <c r="U18" s="674">
        <v>538.29999999999995</v>
      </c>
      <c r="V18" s="684"/>
      <c r="W18" s="308">
        <v>757.5</v>
      </c>
      <c r="X18" s="398">
        <v>757.5</v>
      </c>
      <c r="Y18" s="331" t="s">
        <v>272</v>
      </c>
      <c r="Z18" s="334">
        <v>58</v>
      </c>
      <c r="AA18" s="1088">
        <v>63</v>
      </c>
      <c r="AB18" s="335">
        <v>63</v>
      </c>
    </row>
    <row r="19" spans="1:28" s="26" customFormat="1" ht="36" x14ac:dyDescent="0.25">
      <c r="A19" s="978"/>
      <c r="B19" s="33"/>
      <c r="C19" s="34"/>
      <c r="D19" s="1010"/>
      <c r="E19" s="1613"/>
      <c r="F19" s="172"/>
      <c r="G19" s="997"/>
      <c r="H19" s="35"/>
      <c r="I19" s="2047"/>
      <c r="J19" s="8" t="s">
        <v>17</v>
      </c>
      <c r="K19" s="433">
        <f t="shared" si="1"/>
        <v>336.9</v>
      </c>
      <c r="L19" s="437">
        <v>336.9</v>
      </c>
      <c r="M19" s="177"/>
      <c r="N19" s="183"/>
      <c r="O19" s="437">
        <f>P19+R19</f>
        <v>351.4</v>
      </c>
      <c r="P19" s="437">
        <v>351.4</v>
      </c>
      <c r="Q19" s="177">
        <v>255.6</v>
      </c>
      <c r="R19" s="184"/>
      <c r="S19" s="685">
        <f>T19+V19</f>
        <v>351.4</v>
      </c>
      <c r="T19" s="831">
        <v>351.4</v>
      </c>
      <c r="U19" s="686">
        <v>255.6</v>
      </c>
      <c r="V19" s="687"/>
      <c r="W19" s="306">
        <v>351.4</v>
      </c>
      <c r="X19" s="434">
        <v>351.4</v>
      </c>
      <c r="Y19" s="331" t="s">
        <v>112</v>
      </c>
      <c r="Z19" s="438">
        <v>30</v>
      </c>
      <c r="AA19" s="1088">
        <v>30</v>
      </c>
      <c r="AB19" s="335">
        <v>30</v>
      </c>
    </row>
    <row r="20" spans="1:28" s="26" customFormat="1" ht="27" customHeight="1" x14ac:dyDescent="0.25">
      <c r="A20" s="978"/>
      <c r="B20" s="33"/>
      <c r="C20" s="34"/>
      <c r="D20" s="1010"/>
      <c r="E20" s="962"/>
      <c r="F20" s="172"/>
      <c r="G20" s="997"/>
      <c r="H20" s="35"/>
      <c r="I20" s="2047"/>
      <c r="J20" s="8" t="s">
        <v>17</v>
      </c>
      <c r="K20" s="439">
        <f t="shared" si="1"/>
        <v>314.5</v>
      </c>
      <c r="L20" s="185">
        <v>314.5</v>
      </c>
      <c r="M20" s="440"/>
      <c r="N20" s="186"/>
      <c r="O20" s="185">
        <f>P20+R20</f>
        <v>314.5</v>
      </c>
      <c r="P20" s="185">
        <v>314.5</v>
      </c>
      <c r="Q20" s="440">
        <v>238.9</v>
      </c>
      <c r="R20" s="187"/>
      <c r="S20" s="688">
        <f>T20+V20</f>
        <v>314.5</v>
      </c>
      <c r="T20" s="732">
        <v>314.5</v>
      </c>
      <c r="U20" s="689">
        <v>238.9</v>
      </c>
      <c r="V20" s="690"/>
      <c r="W20" s="441">
        <v>314.5</v>
      </c>
      <c r="X20" s="399">
        <v>314.5</v>
      </c>
      <c r="Y20" s="1939" t="s">
        <v>113</v>
      </c>
      <c r="Z20" s="2048">
        <v>28</v>
      </c>
      <c r="AA20" s="2050">
        <v>28</v>
      </c>
      <c r="AB20" s="2052">
        <v>30</v>
      </c>
    </row>
    <row r="21" spans="1:28" s="26" customFormat="1" ht="25.5" customHeight="1" thickBot="1" x14ac:dyDescent="0.3">
      <c r="A21" s="978"/>
      <c r="B21" s="33"/>
      <c r="C21" s="34"/>
      <c r="D21" s="1010"/>
      <c r="E21" s="962"/>
      <c r="F21" s="172"/>
      <c r="G21" s="997"/>
      <c r="H21" s="35"/>
      <c r="I21" s="2044"/>
      <c r="J21" s="834" t="s">
        <v>18</v>
      </c>
      <c r="K21" s="691">
        <f t="shared" si="1"/>
        <v>2816.3</v>
      </c>
      <c r="L21" s="692">
        <f>SUM(L17:L20)</f>
        <v>2816.3</v>
      </c>
      <c r="M21" s="693">
        <f>SUM(M17:M20)</f>
        <v>0</v>
      </c>
      <c r="N21" s="789"/>
      <c r="O21" s="698">
        <f>R21+P21</f>
        <v>4212.8999999999996</v>
      </c>
      <c r="P21" s="693">
        <f>SUM(P17:P20)</f>
        <v>4212.8999999999996</v>
      </c>
      <c r="Q21" s="692">
        <f>SUM(Q17:Q20)</f>
        <v>1032.8</v>
      </c>
      <c r="R21" s="835"/>
      <c r="S21" s="691">
        <f>V21+T21</f>
        <v>3629.1</v>
      </c>
      <c r="T21" s="692">
        <f>SUM(T17:T20)</f>
        <v>3629.1</v>
      </c>
      <c r="U21" s="693">
        <f>SUM(U17:U20)</f>
        <v>1032.8</v>
      </c>
      <c r="V21" s="789">
        <f>SUM(V17:V20)</f>
        <v>0</v>
      </c>
      <c r="W21" s="713">
        <f>SUM(W17:W20)</f>
        <v>4323.3999999999996</v>
      </c>
      <c r="X21" s="694">
        <f>SUM(X17:X20)</f>
        <v>4323.3999999999996</v>
      </c>
      <c r="Y21" s="1618"/>
      <c r="Z21" s="2049"/>
      <c r="AA21" s="2051"/>
      <c r="AB21" s="2053"/>
    </row>
    <row r="22" spans="1:28" s="26" customFormat="1" ht="27" customHeight="1" x14ac:dyDescent="0.25">
      <c r="A22" s="970" t="s">
        <v>13</v>
      </c>
      <c r="B22" s="29" t="s">
        <v>13</v>
      </c>
      <c r="C22" s="974" t="s">
        <v>22</v>
      </c>
      <c r="D22" s="1009"/>
      <c r="E22" s="1629" t="s">
        <v>67</v>
      </c>
      <c r="F22" s="169"/>
      <c r="G22" s="976" t="s">
        <v>16</v>
      </c>
      <c r="H22" s="968" t="s">
        <v>26</v>
      </c>
      <c r="I22" s="2043" t="s">
        <v>196</v>
      </c>
      <c r="J22" s="45" t="s">
        <v>17</v>
      </c>
      <c r="K22" s="442">
        <f t="shared" si="1"/>
        <v>436.2</v>
      </c>
      <c r="L22" s="175">
        <v>436.2</v>
      </c>
      <c r="M22" s="188">
        <v>333</v>
      </c>
      <c r="N22" s="176"/>
      <c r="O22" s="606">
        <f t="shared" ref="O22:O31" si="2">P22+R22</f>
        <v>521</v>
      </c>
      <c r="P22" s="605">
        <v>521</v>
      </c>
      <c r="Q22" s="607">
        <v>397.8</v>
      </c>
      <c r="R22" s="836"/>
      <c r="S22" s="695">
        <v>529.70000000000005</v>
      </c>
      <c r="T22" s="682">
        <v>529.70000000000005</v>
      </c>
      <c r="U22" s="696">
        <v>404.4</v>
      </c>
      <c r="V22" s="697"/>
      <c r="W22" s="42">
        <v>546.1</v>
      </c>
      <c r="X22" s="42">
        <v>546.1</v>
      </c>
      <c r="Y22" s="1728" t="s">
        <v>68</v>
      </c>
      <c r="Z22" s="1820">
        <v>17</v>
      </c>
      <c r="AA22" s="1632">
        <v>17</v>
      </c>
      <c r="AB22" s="1822">
        <v>17</v>
      </c>
    </row>
    <row r="23" spans="1:28" s="26" customFormat="1" ht="13.5" thickBot="1" x14ac:dyDescent="0.3">
      <c r="A23" s="971"/>
      <c r="B23" s="44"/>
      <c r="C23" s="975"/>
      <c r="D23" s="1011"/>
      <c r="E23" s="1614"/>
      <c r="F23" s="189"/>
      <c r="G23" s="977"/>
      <c r="H23" s="969"/>
      <c r="I23" s="2044"/>
      <c r="J23" s="833" t="s">
        <v>18</v>
      </c>
      <c r="K23" s="698">
        <f t="shared" si="1"/>
        <v>436.2</v>
      </c>
      <c r="L23" s="693">
        <f>+L22</f>
        <v>436.2</v>
      </c>
      <c r="M23" s="692">
        <f>+M22</f>
        <v>333</v>
      </c>
      <c r="N23" s="699"/>
      <c r="O23" s="698">
        <f>P23+R23</f>
        <v>521</v>
      </c>
      <c r="P23" s="693">
        <f>+P22</f>
        <v>521</v>
      </c>
      <c r="Q23" s="692">
        <f>+Q22</f>
        <v>397.8</v>
      </c>
      <c r="R23" s="835"/>
      <c r="S23" s="698">
        <f>T23+V23</f>
        <v>529.70000000000005</v>
      </c>
      <c r="T23" s="693">
        <f>+T22</f>
        <v>529.70000000000005</v>
      </c>
      <c r="U23" s="692">
        <f>+U22</f>
        <v>404.4</v>
      </c>
      <c r="V23" s="699">
        <f>+V22</f>
        <v>0</v>
      </c>
      <c r="W23" s="691">
        <f>+W22</f>
        <v>546.1</v>
      </c>
      <c r="X23" s="691">
        <f>+X22</f>
        <v>546.1</v>
      </c>
      <c r="Y23" s="1631"/>
      <c r="Z23" s="1821"/>
      <c r="AA23" s="1633"/>
      <c r="AB23" s="1823"/>
    </row>
    <row r="24" spans="1:28" s="26" customFormat="1" ht="25.5" customHeight="1" x14ac:dyDescent="0.25">
      <c r="A24" s="970" t="s">
        <v>13</v>
      </c>
      <c r="B24" s="29" t="s">
        <v>13</v>
      </c>
      <c r="C24" s="974" t="s">
        <v>24</v>
      </c>
      <c r="D24" s="1009"/>
      <c r="E24" s="1634" t="s">
        <v>69</v>
      </c>
      <c r="F24" s="169"/>
      <c r="G24" s="976" t="s">
        <v>16</v>
      </c>
      <c r="H24" s="968" t="s">
        <v>26</v>
      </c>
      <c r="I24" s="2043" t="s">
        <v>196</v>
      </c>
      <c r="J24" s="45" t="s">
        <v>17</v>
      </c>
      <c r="K24" s="599">
        <f t="shared" si="1"/>
        <v>3440.6</v>
      </c>
      <c r="L24" s="443">
        <v>3440.6</v>
      </c>
      <c r="M24" s="188"/>
      <c r="N24" s="176"/>
      <c r="O24" s="442">
        <f t="shared" si="2"/>
        <v>2990.8</v>
      </c>
      <c r="P24" s="175">
        <v>2990.8</v>
      </c>
      <c r="Q24" s="188"/>
      <c r="R24" s="837"/>
      <c r="S24" s="681">
        <f>T24</f>
        <v>3219.4000000000005</v>
      </c>
      <c r="T24" s="682">
        <f>436.8+2467.8+314.8</f>
        <v>3219.4000000000005</v>
      </c>
      <c r="U24" s="701"/>
      <c r="V24" s="697"/>
      <c r="W24" s="42">
        <v>2990</v>
      </c>
      <c r="X24" s="42">
        <v>2990</v>
      </c>
      <c r="Y24" s="1728" t="s">
        <v>114</v>
      </c>
      <c r="Z24" s="1807">
        <v>3500</v>
      </c>
      <c r="AA24" s="1790">
        <v>3500</v>
      </c>
      <c r="AB24" s="1791">
        <v>3500</v>
      </c>
    </row>
    <row r="25" spans="1:28" s="26" customFormat="1" ht="13.5" thickBot="1" x14ac:dyDescent="0.3">
      <c r="A25" s="971"/>
      <c r="B25" s="44"/>
      <c r="C25" s="975"/>
      <c r="D25" s="1011"/>
      <c r="E25" s="1635"/>
      <c r="F25" s="189"/>
      <c r="G25" s="977"/>
      <c r="H25" s="969"/>
      <c r="I25" s="2044"/>
      <c r="J25" s="833" t="s">
        <v>18</v>
      </c>
      <c r="K25" s="698">
        <f t="shared" si="1"/>
        <v>3440.6</v>
      </c>
      <c r="L25" s="693">
        <f>+L24</f>
        <v>3440.6</v>
      </c>
      <c r="M25" s="692"/>
      <c r="N25" s="699"/>
      <c r="O25" s="698">
        <f t="shared" si="2"/>
        <v>2990.8</v>
      </c>
      <c r="P25" s="693">
        <f>+P24</f>
        <v>2990.8</v>
      </c>
      <c r="Q25" s="692"/>
      <c r="R25" s="835"/>
      <c r="S25" s="698">
        <f>T25+V25</f>
        <v>3219.4000000000005</v>
      </c>
      <c r="T25" s="693">
        <f>+T24</f>
        <v>3219.4000000000005</v>
      </c>
      <c r="U25" s="692">
        <f>+U24</f>
        <v>0</v>
      </c>
      <c r="V25" s="699">
        <f>+V24</f>
        <v>0</v>
      </c>
      <c r="W25" s="691">
        <f>+W24</f>
        <v>2990</v>
      </c>
      <c r="X25" s="691">
        <f>+X24</f>
        <v>2990</v>
      </c>
      <c r="Y25" s="1631"/>
      <c r="Z25" s="1808"/>
      <c r="AA25" s="1809"/>
      <c r="AB25" s="1819"/>
    </row>
    <row r="26" spans="1:28" s="26" customFormat="1" ht="42.75" customHeight="1" x14ac:dyDescent="0.25">
      <c r="A26" s="1736" t="s">
        <v>13</v>
      </c>
      <c r="B26" s="1737" t="s">
        <v>13</v>
      </c>
      <c r="C26" s="1761" t="s">
        <v>28</v>
      </c>
      <c r="D26" s="1009"/>
      <c r="E26" s="1634" t="s">
        <v>20</v>
      </c>
      <c r="F26" s="1817"/>
      <c r="G26" s="1692" t="s">
        <v>16</v>
      </c>
      <c r="H26" s="1811" t="s">
        <v>26</v>
      </c>
      <c r="I26" s="2043" t="s">
        <v>197</v>
      </c>
      <c r="J26" s="30" t="s">
        <v>21</v>
      </c>
      <c r="K26" s="573">
        <f t="shared" si="1"/>
        <v>30396.45</v>
      </c>
      <c r="L26" s="571">
        <v>30396.45</v>
      </c>
      <c r="M26" s="91"/>
      <c r="N26" s="171"/>
      <c r="O26" s="444">
        <f t="shared" si="2"/>
        <v>33873</v>
      </c>
      <c r="P26" s="190">
        <v>33873</v>
      </c>
      <c r="Q26" s="190"/>
      <c r="R26" s="838"/>
      <c r="S26" s="832">
        <f>T26+V26</f>
        <v>33873</v>
      </c>
      <c r="T26" s="670">
        <v>33873</v>
      </c>
      <c r="U26" s="702"/>
      <c r="V26" s="703"/>
      <c r="W26" s="46">
        <v>33873</v>
      </c>
      <c r="X26" s="47">
        <v>33873</v>
      </c>
      <c r="Y26" s="48" t="s">
        <v>70</v>
      </c>
      <c r="Z26" s="445">
        <v>6081</v>
      </c>
      <c r="AA26" s="446">
        <v>6081</v>
      </c>
      <c r="AB26" s="447">
        <v>6081</v>
      </c>
    </row>
    <row r="27" spans="1:28" s="26" customFormat="1" ht="13.5" thickBot="1" x14ac:dyDescent="0.3">
      <c r="A27" s="1794"/>
      <c r="B27" s="1795"/>
      <c r="C27" s="1762"/>
      <c r="D27" s="1011"/>
      <c r="E27" s="1635"/>
      <c r="F27" s="1818"/>
      <c r="G27" s="1605"/>
      <c r="H27" s="1812"/>
      <c r="I27" s="2044"/>
      <c r="J27" s="833" t="s">
        <v>18</v>
      </c>
      <c r="K27" s="698">
        <f t="shared" si="1"/>
        <v>30396.45</v>
      </c>
      <c r="L27" s="693">
        <f>+L26</f>
        <v>30396.45</v>
      </c>
      <c r="M27" s="692"/>
      <c r="N27" s="699"/>
      <c r="O27" s="698">
        <f t="shared" si="2"/>
        <v>33873</v>
      </c>
      <c r="P27" s="835">
        <f>+P26</f>
        <v>33873</v>
      </c>
      <c r="Q27" s="693"/>
      <c r="R27" s="692"/>
      <c r="S27" s="698">
        <f>T27+V27</f>
        <v>33873</v>
      </c>
      <c r="T27" s="693">
        <f>+T26</f>
        <v>33873</v>
      </c>
      <c r="U27" s="692">
        <f>+U26</f>
        <v>0</v>
      </c>
      <c r="V27" s="699"/>
      <c r="W27" s="691">
        <f>+W26</f>
        <v>33873</v>
      </c>
      <c r="X27" s="713">
        <f>+X26</f>
        <v>33873</v>
      </c>
      <c r="Y27" s="49"/>
      <c r="Z27" s="336"/>
      <c r="AA27" s="68"/>
      <c r="AB27" s="337"/>
    </row>
    <row r="28" spans="1:28" s="26" customFormat="1" ht="18" customHeight="1" x14ac:dyDescent="0.25">
      <c r="A28" s="978" t="s">
        <v>13</v>
      </c>
      <c r="B28" s="33" t="s">
        <v>13</v>
      </c>
      <c r="C28" s="34" t="s">
        <v>36</v>
      </c>
      <c r="D28" s="1010"/>
      <c r="E28" s="1634" t="s">
        <v>23</v>
      </c>
      <c r="F28" s="191"/>
      <c r="G28" s="997" t="s">
        <v>16</v>
      </c>
      <c r="H28" s="1010" t="s">
        <v>26</v>
      </c>
      <c r="I28" s="2043" t="s">
        <v>197</v>
      </c>
      <c r="J28" s="50" t="s">
        <v>21</v>
      </c>
      <c r="K28" s="599">
        <f>L28</f>
        <v>10511.7</v>
      </c>
      <c r="L28" s="572">
        <v>10511.7</v>
      </c>
      <c r="M28" s="193"/>
      <c r="N28" s="194"/>
      <c r="O28" s="195">
        <f t="shared" si="2"/>
        <v>9018</v>
      </c>
      <c r="P28" s="196">
        <v>9018</v>
      </c>
      <c r="Q28" s="175"/>
      <c r="R28" s="839"/>
      <c r="S28" s="704">
        <f>T28</f>
        <v>9017.6</v>
      </c>
      <c r="T28" s="700">
        <v>9017.6</v>
      </c>
      <c r="U28" s="705"/>
      <c r="V28" s="697"/>
      <c r="W28" s="42">
        <v>9018</v>
      </c>
      <c r="X28" s="43">
        <v>9018</v>
      </c>
      <c r="Y28" s="2046" t="s">
        <v>70</v>
      </c>
      <c r="Z28" s="1815">
        <v>4062</v>
      </c>
      <c r="AA28" s="1802">
        <v>4062</v>
      </c>
      <c r="AB28" s="1804">
        <v>4062</v>
      </c>
    </row>
    <row r="29" spans="1:28" s="26" customFormat="1" ht="13.5" thickBot="1" x14ac:dyDescent="0.3">
      <c r="A29" s="978"/>
      <c r="B29" s="33"/>
      <c r="C29" s="34"/>
      <c r="D29" s="1010"/>
      <c r="E29" s="1635"/>
      <c r="F29" s="172"/>
      <c r="G29" s="997"/>
      <c r="H29" s="35"/>
      <c r="I29" s="2044"/>
      <c r="J29" s="833" t="s">
        <v>18</v>
      </c>
      <c r="K29" s="698">
        <f>L29+N29</f>
        <v>10511.7</v>
      </c>
      <c r="L29" s="693">
        <f>+L28</f>
        <v>10511.7</v>
      </c>
      <c r="M29" s="692"/>
      <c r="N29" s="699"/>
      <c r="O29" s="698">
        <f t="shared" si="2"/>
        <v>9018</v>
      </c>
      <c r="P29" s="835">
        <f>+P28</f>
        <v>9018</v>
      </c>
      <c r="Q29" s="693"/>
      <c r="R29" s="692"/>
      <c r="S29" s="698">
        <f t="shared" ref="S29:X29" si="3">+S28</f>
        <v>9017.6</v>
      </c>
      <c r="T29" s="693">
        <f t="shared" si="3"/>
        <v>9017.6</v>
      </c>
      <c r="U29" s="692">
        <f t="shared" si="3"/>
        <v>0</v>
      </c>
      <c r="V29" s="699"/>
      <c r="W29" s="691">
        <f t="shared" si="3"/>
        <v>9018</v>
      </c>
      <c r="X29" s="691">
        <f t="shared" si="3"/>
        <v>9018</v>
      </c>
      <c r="Y29" s="1814"/>
      <c r="Z29" s="1816"/>
      <c r="AA29" s="1803"/>
      <c r="AB29" s="1805"/>
    </row>
    <row r="30" spans="1:28" s="22" customFormat="1" ht="27.75" customHeight="1" x14ac:dyDescent="0.25">
      <c r="A30" s="1736" t="s">
        <v>13</v>
      </c>
      <c r="B30" s="1737" t="s">
        <v>13</v>
      </c>
      <c r="C30" s="1684" t="s">
        <v>38</v>
      </c>
      <c r="D30" s="197"/>
      <c r="E30" s="637" t="s">
        <v>25</v>
      </c>
      <c r="F30" s="198"/>
      <c r="G30" s="990">
        <v>10</v>
      </c>
      <c r="H30" s="991" t="s">
        <v>26</v>
      </c>
      <c r="I30" s="2043" t="s">
        <v>197</v>
      </c>
      <c r="J30" s="51" t="s">
        <v>27</v>
      </c>
      <c r="K30" s="600">
        <f>L30+N30</f>
        <v>393.5</v>
      </c>
      <c r="L30" s="199">
        <v>393.5</v>
      </c>
      <c r="M30" s="199"/>
      <c r="N30" s="200"/>
      <c r="O30" s="195">
        <f t="shared" si="2"/>
        <v>406.5</v>
      </c>
      <c r="P30" s="196">
        <v>406.5</v>
      </c>
      <c r="Q30" s="201"/>
      <c r="R30" s="839"/>
      <c r="S30" s="704">
        <f>T30+V30</f>
        <v>393</v>
      </c>
      <c r="T30" s="700">
        <v>393</v>
      </c>
      <c r="U30" s="706"/>
      <c r="V30" s="707"/>
      <c r="W30" s="52">
        <v>406.5</v>
      </c>
      <c r="X30" s="448">
        <v>406.5</v>
      </c>
      <c r="Y30" s="2045" t="s">
        <v>115</v>
      </c>
      <c r="Z30" s="1807">
        <v>2203</v>
      </c>
      <c r="AA30" s="1790">
        <v>2203</v>
      </c>
      <c r="AB30" s="1791">
        <v>2203</v>
      </c>
    </row>
    <row r="31" spans="1:28" s="26" customFormat="1" ht="13.5" thickBot="1" x14ac:dyDescent="0.3">
      <c r="A31" s="1679"/>
      <c r="B31" s="1682"/>
      <c r="C31" s="1685"/>
      <c r="D31" s="1013"/>
      <c r="E31" s="638"/>
      <c r="F31" s="172"/>
      <c r="G31" s="997"/>
      <c r="H31" s="35"/>
      <c r="I31" s="2044"/>
      <c r="J31" s="833" t="s">
        <v>18</v>
      </c>
      <c r="K31" s="698">
        <f>+K30</f>
        <v>393.5</v>
      </c>
      <c r="L31" s="693">
        <f>+L30</f>
        <v>393.5</v>
      </c>
      <c r="M31" s="692"/>
      <c r="N31" s="699"/>
      <c r="O31" s="698">
        <f t="shared" si="2"/>
        <v>406.5</v>
      </c>
      <c r="P31" s="835">
        <f>+P30</f>
        <v>406.5</v>
      </c>
      <c r="Q31" s="693"/>
      <c r="R31" s="692"/>
      <c r="S31" s="708">
        <f t="shared" ref="S31:X31" si="4">+S30</f>
        <v>393</v>
      </c>
      <c r="T31" s="693">
        <f t="shared" si="4"/>
        <v>393</v>
      </c>
      <c r="U31" s="692">
        <f t="shared" si="4"/>
        <v>0</v>
      </c>
      <c r="V31" s="699"/>
      <c r="W31" s="691">
        <f t="shared" si="4"/>
        <v>406.5</v>
      </c>
      <c r="X31" s="691">
        <f t="shared" si="4"/>
        <v>406.5</v>
      </c>
      <c r="Y31" s="1735"/>
      <c r="Z31" s="1808"/>
      <c r="AA31" s="1809"/>
      <c r="AB31" s="1810"/>
    </row>
    <row r="32" spans="1:28" s="23" customFormat="1" ht="24" customHeight="1" x14ac:dyDescent="0.25">
      <c r="A32" s="1736" t="s">
        <v>13</v>
      </c>
      <c r="B32" s="1737" t="s">
        <v>13</v>
      </c>
      <c r="C32" s="53" t="s">
        <v>71</v>
      </c>
      <c r="D32" s="202"/>
      <c r="E32" s="1634" t="s">
        <v>29</v>
      </c>
      <c r="F32" s="203"/>
      <c r="G32" s="54" t="s">
        <v>16</v>
      </c>
      <c r="H32" s="55">
        <v>3</v>
      </c>
      <c r="I32" s="2043" t="s">
        <v>197</v>
      </c>
      <c r="J32" s="56" t="s">
        <v>27</v>
      </c>
      <c r="K32" s="428">
        <f>L32+N32</f>
        <v>735.3</v>
      </c>
      <c r="L32" s="170">
        <v>735.3</v>
      </c>
      <c r="M32" s="170"/>
      <c r="N32" s="171"/>
      <c r="O32" s="195">
        <f>P32+R32</f>
        <v>638.5</v>
      </c>
      <c r="P32" s="196">
        <v>638.5</v>
      </c>
      <c r="Q32" s="201"/>
      <c r="R32" s="839"/>
      <c r="S32" s="704">
        <f>T32+V32</f>
        <v>638.5</v>
      </c>
      <c r="T32" s="700">
        <v>638.5</v>
      </c>
      <c r="U32" s="706"/>
      <c r="V32" s="707"/>
      <c r="W32" s="42">
        <v>638.5</v>
      </c>
      <c r="X32" s="43">
        <v>638.5</v>
      </c>
      <c r="Y32" s="449" t="s">
        <v>116</v>
      </c>
      <c r="Z32" s="378">
        <v>3500</v>
      </c>
      <c r="AA32" s="379">
        <v>3500</v>
      </c>
      <c r="AB32" s="380">
        <v>3500</v>
      </c>
    </row>
    <row r="33" spans="1:29" s="23" customFormat="1" ht="24.75" thickBot="1" x14ac:dyDescent="0.3">
      <c r="A33" s="1794"/>
      <c r="B33" s="1795"/>
      <c r="C33" s="57"/>
      <c r="D33" s="204"/>
      <c r="E33" s="1635"/>
      <c r="F33" s="205"/>
      <c r="G33" s="58"/>
      <c r="H33" s="59"/>
      <c r="I33" s="2044"/>
      <c r="J33" s="840" t="s">
        <v>18</v>
      </c>
      <c r="K33" s="773">
        <f>L33+N33</f>
        <v>735.3</v>
      </c>
      <c r="L33" s="774">
        <f>SUM(L32)</f>
        <v>735.3</v>
      </c>
      <c r="M33" s="774"/>
      <c r="N33" s="841"/>
      <c r="O33" s="709">
        <f>P33+R33</f>
        <v>638.5</v>
      </c>
      <c r="P33" s="729">
        <f>+P32</f>
        <v>638.5</v>
      </c>
      <c r="Q33" s="725"/>
      <c r="R33" s="710"/>
      <c r="S33" s="698">
        <f t="shared" ref="S33:X33" si="5">+S32</f>
        <v>638.5</v>
      </c>
      <c r="T33" s="693">
        <f t="shared" si="5"/>
        <v>638.5</v>
      </c>
      <c r="U33" s="692">
        <f t="shared" si="5"/>
        <v>0</v>
      </c>
      <c r="V33" s="699"/>
      <c r="W33" s="714">
        <f t="shared" si="5"/>
        <v>638.5</v>
      </c>
      <c r="X33" s="714">
        <f t="shared" si="5"/>
        <v>638.5</v>
      </c>
      <c r="Y33" s="450" t="s">
        <v>273</v>
      </c>
      <c r="Z33" s="451">
        <v>2800</v>
      </c>
      <c r="AA33" s="68">
        <v>2800</v>
      </c>
      <c r="AB33" s="337">
        <v>2800</v>
      </c>
    </row>
    <row r="34" spans="1:29" s="22" customFormat="1" ht="13.5" thickBot="1" x14ac:dyDescent="0.3">
      <c r="A34" s="27" t="s">
        <v>13</v>
      </c>
      <c r="B34" s="28" t="s">
        <v>13</v>
      </c>
      <c r="C34" s="1796" t="s">
        <v>30</v>
      </c>
      <c r="D34" s="1796"/>
      <c r="E34" s="1797"/>
      <c r="F34" s="1797"/>
      <c r="G34" s="1797"/>
      <c r="H34" s="1797"/>
      <c r="I34" s="1798"/>
      <c r="J34" s="1798"/>
      <c r="K34" s="60">
        <f>L34+N34</f>
        <v>71224.25</v>
      </c>
      <c r="L34" s="61">
        <f>L33+L31+L29+L27+L25+L23+L21+L16</f>
        <v>71224.25</v>
      </c>
      <c r="M34" s="62">
        <f>M33+M31+M29+M27+M25+M23+M21+M16</f>
        <v>333</v>
      </c>
      <c r="N34" s="61"/>
      <c r="O34" s="60">
        <f>P34+R34</f>
        <v>81604.3</v>
      </c>
      <c r="P34" s="61">
        <f>P33+P31+P29+P27+P25+P23+P21+P16</f>
        <v>81604.3</v>
      </c>
      <c r="Q34" s="62">
        <f>Q33+Q31+Q29+Q27+Q25+Q23+Q21+Q16</f>
        <v>1430.6</v>
      </c>
      <c r="R34" s="61"/>
      <c r="S34" s="60">
        <f>T34+V34</f>
        <v>75115</v>
      </c>
      <c r="T34" s="61">
        <f>T33+T31+T29+T27+T25+T23+T21+T16</f>
        <v>75115</v>
      </c>
      <c r="U34" s="62">
        <f>U33+U31+U29+U27+U25+U23+U21+U16</f>
        <v>1437.1999999999998</v>
      </c>
      <c r="V34" s="61"/>
      <c r="W34" s="63">
        <f>W33+W31+W29+W27+W25+W23+W21+W16</f>
        <v>82353.5</v>
      </c>
      <c r="X34" s="61">
        <f>X33+X31+X29+X27+X25+X23+X21+X16</f>
        <v>82353.5</v>
      </c>
      <c r="Y34" s="1799"/>
      <c r="Z34" s="1800"/>
      <c r="AA34" s="1800"/>
      <c r="AB34" s="1801"/>
    </row>
    <row r="35" spans="1:29" s="22" customFormat="1" ht="13.5" thickBot="1" x14ac:dyDescent="0.3">
      <c r="A35" s="658" t="s">
        <v>13</v>
      </c>
      <c r="B35" s="972" t="s">
        <v>19</v>
      </c>
      <c r="C35" s="1792" t="s">
        <v>31</v>
      </c>
      <c r="D35" s="1792"/>
      <c r="E35" s="1792"/>
      <c r="F35" s="1792"/>
      <c r="G35" s="1792"/>
      <c r="H35" s="1792"/>
      <c r="I35" s="1792"/>
      <c r="J35" s="1792"/>
      <c r="K35" s="1792"/>
      <c r="L35" s="1792"/>
      <c r="M35" s="1792"/>
      <c r="N35" s="1792"/>
      <c r="O35" s="1792"/>
      <c r="P35" s="1792"/>
      <c r="Q35" s="1792"/>
      <c r="R35" s="1792"/>
      <c r="S35" s="1792"/>
      <c r="T35" s="1792"/>
      <c r="U35" s="1792"/>
      <c r="V35" s="1792"/>
      <c r="W35" s="1792"/>
      <c r="X35" s="1792"/>
      <c r="Y35" s="1792"/>
      <c r="Z35" s="1792"/>
      <c r="AA35" s="1792"/>
      <c r="AB35" s="1793"/>
    </row>
    <row r="36" spans="1:29" s="23" customFormat="1" ht="26.25" thickBot="1" x14ac:dyDescent="0.3">
      <c r="A36" s="27" t="s">
        <v>13</v>
      </c>
      <c r="B36" s="28" t="s">
        <v>19</v>
      </c>
      <c r="C36" s="1270" t="s">
        <v>13</v>
      </c>
      <c r="D36" s="1271"/>
      <c r="E36" s="1272" t="s">
        <v>56</v>
      </c>
      <c r="F36" s="1254"/>
      <c r="G36" s="1273" t="s">
        <v>16</v>
      </c>
      <c r="H36" s="1274">
        <v>3</v>
      </c>
      <c r="I36" s="1275" t="s">
        <v>196</v>
      </c>
      <c r="J36" s="1276"/>
      <c r="K36" s="1277"/>
      <c r="L36" s="1277"/>
      <c r="M36" s="1277"/>
      <c r="N36" s="1278"/>
      <c r="O36" s="1279"/>
      <c r="P36" s="1277"/>
      <c r="Q36" s="1277"/>
      <c r="R36" s="1280"/>
      <c r="S36" s="1281"/>
      <c r="T36" s="1144"/>
      <c r="U36" s="1282"/>
      <c r="V36" s="1145"/>
      <c r="W36" s="1309">
        <f>W37+W39+W40+W43+W44+W46+W50+W53+W58+W65+W71+W76+W83+W87+W79+W91</f>
        <v>9854.6999999999971</v>
      </c>
      <c r="X36" s="1316">
        <f>X37+X39+X40+X43+X44+X46+X50+X53+X58+X65+X71+X76+X83+X87+X79+X91</f>
        <v>9887.5</v>
      </c>
      <c r="Y36" s="1283"/>
      <c r="Z36" s="1284"/>
      <c r="AA36" s="1285"/>
      <c r="AB36" s="1286"/>
    </row>
    <row r="37" spans="1:29" s="23" customFormat="1" ht="25.5" x14ac:dyDescent="0.25">
      <c r="A37" s="1346"/>
      <c r="B37" s="1348"/>
      <c r="C37" s="1360"/>
      <c r="D37" s="2041" t="s">
        <v>13</v>
      </c>
      <c r="E37" s="1287" t="s">
        <v>117</v>
      </c>
      <c r="F37" s="640"/>
      <c r="G37" s="888"/>
      <c r="H37" s="1288"/>
      <c r="I37" s="1381"/>
      <c r="J37" s="309" t="s">
        <v>27</v>
      </c>
      <c r="K37" s="454">
        <f>L37+N37</f>
        <v>0</v>
      </c>
      <c r="L37" s="455"/>
      <c r="M37" s="455"/>
      <c r="N37" s="456"/>
      <c r="O37" s="304">
        <f>P37</f>
        <v>889.1</v>
      </c>
      <c r="P37" s="175">
        <v>889.1</v>
      </c>
      <c r="Q37" s="175">
        <v>665.1</v>
      </c>
      <c r="R37" s="176"/>
      <c r="S37" s="681">
        <f>T37</f>
        <v>889.1</v>
      </c>
      <c r="T37" s="682">
        <v>889.1</v>
      </c>
      <c r="U37" s="682">
        <v>665.1</v>
      </c>
      <c r="V37" s="683"/>
      <c r="W37" s="106">
        <v>941.1</v>
      </c>
      <c r="X37" s="107">
        <v>1004.8</v>
      </c>
      <c r="Y37" s="458" t="s">
        <v>118</v>
      </c>
      <c r="Z37" s="459">
        <v>82</v>
      </c>
      <c r="AA37" s="460">
        <v>82</v>
      </c>
      <c r="AB37" s="461">
        <v>82</v>
      </c>
    </row>
    <row r="38" spans="1:29" s="23" customFormat="1" x14ac:dyDescent="0.25">
      <c r="A38" s="1355"/>
      <c r="B38" s="1356"/>
      <c r="C38" s="206"/>
      <c r="D38" s="2035"/>
      <c r="E38" s="210"/>
      <c r="F38" s="217"/>
      <c r="G38" s="77"/>
      <c r="H38" s="59"/>
      <c r="I38" s="1382"/>
      <c r="J38" s="310"/>
      <c r="K38" s="462"/>
      <c r="L38" s="212"/>
      <c r="M38" s="212"/>
      <c r="N38" s="218"/>
      <c r="O38" s="463"/>
      <c r="P38" s="180"/>
      <c r="Q38" s="180"/>
      <c r="R38" s="181"/>
      <c r="S38" s="673"/>
      <c r="T38" s="674"/>
      <c r="U38" s="674"/>
      <c r="V38" s="684"/>
      <c r="W38" s="1310"/>
      <c r="X38" s="125"/>
      <c r="Y38" s="464" t="s">
        <v>119</v>
      </c>
      <c r="Z38" s="334">
        <v>59.5</v>
      </c>
      <c r="AA38" s="465">
        <v>59.5</v>
      </c>
      <c r="AB38" s="466">
        <v>59.5</v>
      </c>
    </row>
    <row r="39" spans="1:29" s="23" customFormat="1" ht="24" x14ac:dyDescent="0.25">
      <c r="A39" s="1355"/>
      <c r="B39" s="1356"/>
      <c r="C39" s="206"/>
      <c r="D39" s="2035"/>
      <c r="E39" s="210"/>
      <c r="F39" s="217"/>
      <c r="G39" s="77"/>
      <c r="H39" s="59"/>
      <c r="I39" s="1382"/>
      <c r="J39" s="305" t="s">
        <v>27</v>
      </c>
      <c r="K39" s="462"/>
      <c r="L39" s="218"/>
      <c r="M39" s="212"/>
      <c r="N39" s="218"/>
      <c r="O39" s="463"/>
      <c r="P39" s="180"/>
      <c r="Q39" s="180"/>
      <c r="R39" s="181"/>
      <c r="S39" s="673"/>
      <c r="T39" s="674"/>
      <c r="U39" s="674"/>
      <c r="V39" s="684"/>
      <c r="W39" s="1310">
        <v>44</v>
      </c>
      <c r="X39" s="125"/>
      <c r="Y39" s="464" t="s">
        <v>192</v>
      </c>
      <c r="Z39" s="334"/>
      <c r="AA39" s="467">
        <v>1</v>
      </c>
      <c r="AB39" s="468"/>
      <c r="AC39" s="9"/>
    </row>
    <row r="40" spans="1:29" s="23" customFormat="1" x14ac:dyDescent="0.25">
      <c r="A40" s="1355"/>
      <c r="B40" s="1356"/>
      <c r="C40" s="206"/>
      <c r="D40" s="2035"/>
      <c r="E40" s="210"/>
      <c r="F40" s="217"/>
      <c r="G40" s="77"/>
      <c r="H40" s="59"/>
      <c r="I40" s="1382"/>
      <c r="J40" s="305" t="s">
        <v>27</v>
      </c>
      <c r="K40" s="462"/>
      <c r="L40" s="218"/>
      <c r="M40" s="212"/>
      <c r="N40" s="218"/>
      <c r="O40" s="463"/>
      <c r="P40" s="180"/>
      <c r="Q40" s="180"/>
      <c r="R40" s="181"/>
      <c r="S40" s="673"/>
      <c r="T40" s="674"/>
      <c r="U40" s="674"/>
      <c r="V40" s="684"/>
      <c r="W40" s="1310">
        <v>2.2000000000000002</v>
      </c>
      <c r="X40" s="125"/>
      <c r="Y40" s="2037" t="s">
        <v>274</v>
      </c>
      <c r="Z40" s="1371"/>
      <c r="AA40" s="470">
        <v>1</v>
      </c>
      <c r="AB40" s="471"/>
    </row>
    <row r="41" spans="1:29" s="23" customFormat="1" x14ac:dyDescent="0.25">
      <c r="A41" s="1355"/>
      <c r="B41" s="1356"/>
      <c r="C41" s="206"/>
      <c r="D41" s="2035"/>
      <c r="E41" s="210"/>
      <c r="F41" s="217"/>
      <c r="G41" s="77"/>
      <c r="H41" s="118"/>
      <c r="I41" s="1382"/>
      <c r="J41" s="67" t="s">
        <v>32</v>
      </c>
      <c r="K41" s="472">
        <f>L41</f>
        <v>0</v>
      </c>
      <c r="L41" s="473"/>
      <c r="M41" s="474"/>
      <c r="N41" s="473"/>
      <c r="O41" s="439">
        <f>P41</f>
        <v>848.90000000000009</v>
      </c>
      <c r="P41" s="440">
        <f>843.2+5.7</f>
        <v>848.90000000000009</v>
      </c>
      <c r="Q41" s="440">
        <v>110.5</v>
      </c>
      <c r="R41" s="186"/>
      <c r="S41" s="688">
        <f>T41</f>
        <v>848.90000000000009</v>
      </c>
      <c r="T41" s="689">
        <f>5.7+843.2</f>
        <v>848.90000000000009</v>
      </c>
      <c r="U41" s="689">
        <v>110.5</v>
      </c>
      <c r="V41" s="690"/>
      <c r="W41" s="71">
        <v>856.6</v>
      </c>
      <c r="X41" s="74">
        <v>856.6</v>
      </c>
      <c r="Y41" s="2040"/>
      <c r="Z41" s="451"/>
      <c r="AA41" s="336"/>
      <c r="AB41" s="69"/>
    </row>
    <row r="42" spans="1:29" s="23" customFormat="1" ht="13.5" thickBot="1" x14ac:dyDescent="0.3">
      <c r="A42" s="1355"/>
      <c r="B42" s="1356"/>
      <c r="C42" s="307"/>
      <c r="D42" s="2035"/>
      <c r="E42" s="210"/>
      <c r="F42" s="400"/>
      <c r="G42" s="601"/>
      <c r="H42" s="59"/>
      <c r="I42" s="1370"/>
      <c r="J42" s="840" t="s">
        <v>18</v>
      </c>
      <c r="K42" s="715">
        <f>SUM(K37:K41)</f>
        <v>0</v>
      </c>
      <c r="L42" s="715">
        <f t="shared" ref="L42:R42" si="6">SUM(L37:L41)</f>
        <v>0</v>
      </c>
      <c r="M42" s="741">
        <f>SUM(M37:M41)</f>
        <v>0</v>
      </c>
      <c r="N42" s="786">
        <f t="shared" si="6"/>
        <v>0</v>
      </c>
      <c r="O42" s="773">
        <f>SUM(O37:O41)</f>
        <v>1738</v>
      </c>
      <c r="P42" s="741">
        <f>SUM(P37:P41)</f>
        <v>1738</v>
      </c>
      <c r="Q42" s="741">
        <f>SUM(Q37:Q41)</f>
        <v>775.6</v>
      </c>
      <c r="R42" s="742">
        <f t="shared" si="6"/>
        <v>0</v>
      </c>
      <c r="S42" s="678">
        <f>SUM(S37:S41)</f>
        <v>1738</v>
      </c>
      <c r="T42" s="715">
        <f>SUM(T37:T41)</f>
        <v>1738</v>
      </c>
      <c r="U42" s="715">
        <f>SUM(U37:U41)</f>
        <v>775.6</v>
      </c>
      <c r="V42" s="716"/>
      <c r="W42" s="786">
        <f>SUM(W37:W41)</f>
        <v>1843.9</v>
      </c>
      <c r="X42" s="743">
        <f>SUM(X37:X41)</f>
        <v>1861.4</v>
      </c>
      <c r="Y42" s="891"/>
      <c r="Z42" s="1372"/>
      <c r="AA42" s="1374"/>
      <c r="AB42" s="1376"/>
    </row>
    <row r="43" spans="1:29" s="23" customFormat="1" ht="60" x14ac:dyDescent="0.25">
      <c r="A43" s="1355"/>
      <c r="B43" s="1356"/>
      <c r="C43" s="206"/>
      <c r="D43" s="1247" t="s">
        <v>19</v>
      </c>
      <c r="E43" s="1621" t="s">
        <v>167</v>
      </c>
      <c r="F43" s="217"/>
      <c r="G43" s="77"/>
      <c r="H43" s="59"/>
      <c r="I43" s="2042"/>
      <c r="J43" s="309" t="s">
        <v>27</v>
      </c>
      <c r="K43" s="476">
        <f>L43</f>
        <v>0</v>
      </c>
      <c r="L43" s="476"/>
      <c r="M43" s="455"/>
      <c r="N43" s="456"/>
      <c r="O43" s="454">
        <f>P43</f>
        <v>1572.7</v>
      </c>
      <c r="P43" s="455">
        <v>1572.7</v>
      </c>
      <c r="Q43" s="455">
        <v>1024.0999999999999</v>
      </c>
      <c r="R43" s="934"/>
      <c r="S43" s="681">
        <f>T43</f>
        <v>1572.7</v>
      </c>
      <c r="T43" s="682">
        <v>1572.7</v>
      </c>
      <c r="U43" s="682">
        <v>1024.0999999999999</v>
      </c>
      <c r="V43" s="683"/>
      <c r="W43" s="1311">
        <v>1900</v>
      </c>
      <c r="X43" s="477">
        <v>1900</v>
      </c>
      <c r="Y43" s="478" t="s">
        <v>275</v>
      </c>
      <c r="Z43" s="459">
        <v>196</v>
      </c>
      <c r="AA43" s="460">
        <v>196</v>
      </c>
      <c r="AB43" s="461">
        <v>196</v>
      </c>
    </row>
    <row r="44" spans="1:29" s="23" customFormat="1" ht="24" x14ac:dyDescent="0.25">
      <c r="A44" s="1355"/>
      <c r="B44" s="1356"/>
      <c r="C44" s="206"/>
      <c r="D44" s="1369"/>
      <c r="E44" s="1622"/>
      <c r="F44" s="217"/>
      <c r="G44" s="77"/>
      <c r="H44" s="59"/>
      <c r="I44" s="2042"/>
      <c r="J44" s="305" t="s">
        <v>27</v>
      </c>
      <c r="K44" s="479"/>
      <c r="L44" s="479"/>
      <c r="M44" s="480"/>
      <c r="N44" s="481"/>
      <c r="O44" s="482">
        <v>9</v>
      </c>
      <c r="P44" s="480"/>
      <c r="Q44" s="480"/>
      <c r="R44" s="935">
        <v>9</v>
      </c>
      <c r="S44" s="685"/>
      <c r="T44" s="686"/>
      <c r="U44" s="686"/>
      <c r="V44" s="687"/>
      <c r="W44" s="1312">
        <v>9</v>
      </c>
      <c r="X44" s="483">
        <v>9</v>
      </c>
      <c r="Y44" s="484" t="s">
        <v>212</v>
      </c>
      <c r="Z44" s="344">
        <v>2</v>
      </c>
      <c r="AA44" s="345"/>
      <c r="AB44" s="346"/>
    </row>
    <row r="45" spans="1:29" s="23" customFormat="1" ht="24" x14ac:dyDescent="0.25">
      <c r="A45" s="1355"/>
      <c r="B45" s="1356"/>
      <c r="C45" s="206"/>
      <c r="D45" s="1369"/>
      <c r="E45" s="1622"/>
      <c r="F45" s="217"/>
      <c r="G45" s="77"/>
      <c r="H45" s="59"/>
      <c r="I45" s="2042"/>
      <c r="J45" s="305" t="s">
        <v>27</v>
      </c>
      <c r="K45" s="479"/>
      <c r="L45" s="479"/>
      <c r="M45" s="480"/>
      <c r="N45" s="481"/>
      <c r="O45" s="485">
        <f>P45+R45</f>
        <v>2.2999999999999998</v>
      </c>
      <c r="P45" s="212"/>
      <c r="Q45" s="212"/>
      <c r="R45" s="486">
        <v>2.2999999999999998</v>
      </c>
      <c r="S45" s="673"/>
      <c r="T45" s="674"/>
      <c r="U45" s="674"/>
      <c r="V45" s="684"/>
      <c r="W45" s="1310"/>
      <c r="X45" s="487"/>
      <c r="Y45" s="488" t="s">
        <v>148</v>
      </c>
      <c r="Z45" s="334">
        <v>1</v>
      </c>
      <c r="AA45" s="612"/>
      <c r="AB45" s="466"/>
    </row>
    <row r="46" spans="1:29" s="23" customFormat="1" x14ac:dyDescent="0.25">
      <c r="A46" s="1355"/>
      <c r="B46" s="1356"/>
      <c r="C46" s="206"/>
      <c r="D46" s="1369"/>
      <c r="E46" s="1622"/>
      <c r="F46" s="217"/>
      <c r="G46" s="77"/>
      <c r="H46" s="59"/>
      <c r="I46" s="2042"/>
      <c r="J46" s="311" t="s">
        <v>27</v>
      </c>
      <c r="K46" s="479"/>
      <c r="L46" s="479"/>
      <c r="M46" s="480"/>
      <c r="N46" s="481"/>
      <c r="O46" s="489"/>
      <c r="P46" s="474"/>
      <c r="Q46" s="474"/>
      <c r="R46" s="490"/>
      <c r="S46" s="688"/>
      <c r="T46" s="689"/>
      <c r="U46" s="689"/>
      <c r="V46" s="690"/>
      <c r="W46" s="1313">
        <v>15.1</v>
      </c>
      <c r="X46" s="491">
        <v>30.4</v>
      </c>
      <c r="Y46" s="492" t="s">
        <v>180</v>
      </c>
      <c r="Z46" s="451"/>
      <c r="AA46" s="68">
        <v>1</v>
      </c>
      <c r="AB46" s="337">
        <v>2</v>
      </c>
    </row>
    <row r="47" spans="1:29" s="23" customFormat="1" ht="85.5" customHeight="1" x14ac:dyDescent="0.25">
      <c r="A47" s="1355"/>
      <c r="B47" s="1356"/>
      <c r="C47" s="206"/>
      <c r="D47" s="1369"/>
      <c r="E47" s="1622"/>
      <c r="F47" s="217"/>
      <c r="G47" s="77"/>
      <c r="H47" s="59"/>
      <c r="I47" s="2042"/>
      <c r="J47" s="305" t="s">
        <v>32</v>
      </c>
      <c r="K47" s="280">
        <f>L47+N47</f>
        <v>0</v>
      </c>
      <c r="L47" s="212"/>
      <c r="M47" s="212"/>
      <c r="N47" s="218"/>
      <c r="O47" s="493">
        <v>167.3</v>
      </c>
      <c r="P47" s="207">
        <v>167.3</v>
      </c>
      <c r="Q47" s="207">
        <v>71.2</v>
      </c>
      <c r="R47" s="208"/>
      <c r="S47" s="717">
        <f>T47</f>
        <v>167.3</v>
      </c>
      <c r="T47" s="718">
        <v>167.3</v>
      </c>
      <c r="U47" s="718">
        <v>71.2</v>
      </c>
      <c r="V47" s="719"/>
      <c r="W47" s="1314">
        <v>171</v>
      </c>
      <c r="X47" s="321">
        <v>171</v>
      </c>
      <c r="Y47" s="494" t="s">
        <v>211</v>
      </c>
      <c r="Z47" s="1371">
        <v>40</v>
      </c>
      <c r="AA47" s="1373">
        <v>40</v>
      </c>
      <c r="AB47" s="1375">
        <v>40</v>
      </c>
    </row>
    <row r="48" spans="1:29" s="23" customFormat="1" ht="24" x14ac:dyDescent="0.25">
      <c r="A48" s="1355"/>
      <c r="B48" s="1356"/>
      <c r="C48" s="206"/>
      <c r="D48" s="1369"/>
      <c r="E48" s="1622"/>
      <c r="F48" s="217"/>
      <c r="G48" s="77"/>
      <c r="H48" s="59"/>
      <c r="I48" s="2042"/>
      <c r="J48" s="305" t="s">
        <v>42</v>
      </c>
      <c r="K48" s="280"/>
      <c r="L48" s="212"/>
      <c r="M48" s="212"/>
      <c r="N48" s="218"/>
      <c r="O48" s="495">
        <v>3.6</v>
      </c>
      <c r="P48" s="180">
        <v>3.6</v>
      </c>
      <c r="Q48" s="180"/>
      <c r="R48" s="181"/>
      <c r="S48" s="673">
        <v>3.6</v>
      </c>
      <c r="T48" s="674">
        <v>3.6</v>
      </c>
      <c r="U48" s="674"/>
      <c r="V48" s="684"/>
      <c r="W48" s="1315">
        <v>3.6</v>
      </c>
      <c r="X48" s="487">
        <v>3.6</v>
      </c>
      <c r="Y48" s="464" t="s">
        <v>149</v>
      </c>
      <c r="Z48" s="334">
        <v>400</v>
      </c>
      <c r="AA48" s="465">
        <v>400</v>
      </c>
      <c r="AB48" s="466">
        <v>400</v>
      </c>
    </row>
    <row r="49" spans="1:29" s="23" customFormat="1" ht="24" x14ac:dyDescent="0.25">
      <c r="A49" s="1355"/>
      <c r="B49" s="1356"/>
      <c r="C49" s="206"/>
      <c r="D49" s="1369"/>
      <c r="E49" s="1656"/>
      <c r="F49" s="217"/>
      <c r="G49" s="77"/>
      <c r="H49" s="118"/>
      <c r="I49" s="2042"/>
      <c r="J49" s="50" t="s">
        <v>21</v>
      </c>
      <c r="K49" s="496"/>
      <c r="L49" s="474"/>
      <c r="M49" s="474"/>
      <c r="N49" s="473"/>
      <c r="O49" s="497">
        <f>P49+R49</f>
        <v>120</v>
      </c>
      <c r="P49" s="440">
        <v>85</v>
      </c>
      <c r="Q49" s="440"/>
      <c r="R49" s="936">
        <v>35</v>
      </c>
      <c r="S49" s="688">
        <f>T49+V49</f>
        <v>120</v>
      </c>
      <c r="T49" s="689">
        <v>85</v>
      </c>
      <c r="U49" s="689"/>
      <c r="V49" s="690">
        <v>35</v>
      </c>
      <c r="W49" s="1313">
        <v>130</v>
      </c>
      <c r="X49" s="491">
        <v>130</v>
      </c>
      <c r="Y49" s="66" t="s">
        <v>150</v>
      </c>
      <c r="Z49" s="498" t="s">
        <v>151</v>
      </c>
      <c r="AA49" s="499" t="s">
        <v>151</v>
      </c>
      <c r="AB49" s="500" t="s">
        <v>151</v>
      </c>
    </row>
    <row r="50" spans="1:29" s="23" customFormat="1" ht="20.25" customHeight="1" x14ac:dyDescent="0.25">
      <c r="A50" s="1355"/>
      <c r="B50" s="1356"/>
      <c r="C50" s="206"/>
      <c r="D50" s="1369"/>
      <c r="E50" s="1622" t="s">
        <v>168</v>
      </c>
      <c r="F50" s="217"/>
      <c r="G50" s="77"/>
      <c r="H50" s="59"/>
      <c r="I50" s="1370"/>
      <c r="J50" s="501" t="s">
        <v>27</v>
      </c>
      <c r="K50" s="502"/>
      <c r="L50" s="209"/>
      <c r="M50" s="209"/>
      <c r="N50" s="503"/>
      <c r="O50" s="392">
        <f>P50+R50</f>
        <v>44.1</v>
      </c>
      <c r="P50" s="393">
        <v>44.1</v>
      </c>
      <c r="Q50" s="393">
        <v>31.4</v>
      </c>
      <c r="R50" s="208"/>
      <c r="S50" s="717">
        <f>T50</f>
        <v>79.8</v>
      </c>
      <c r="T50" s="718">
        <v>79.8</v>
      </c>
      <c r="U50" s="718">
        <v>58.6</v>
      </c>
      <c r="V50" s="719"/>
      <c r="W50" s="1314">
        <v>246.9</v>
      </c>
      <c r="X50" s="321">
        <v>246.9</v>
      </c>
      <c r="Y50" s="469" t="s">
        <v>127</v>
      </c>
      <c r="Z50" s="1341">
        <v>25</v>
      </c>
      <c r="AA50" s="504">
        <v>55</v>
      </c>
      <c r="AB50" s="505">
        <v>55</v>
      </c>
    </row>
    <row r="51" spans="1:29" s="23" customFormat="1" ht="20.25" customHeight="1" x14ac:dyDescent="0.25">
      <c r="A51" s="1355"/>
      <c r="B51" s="1356"/>
      <c r="C51" s="206"/>
      <c r="D51" s="2035"/>
      <c r="E51" s="1622"/>
      <c r="F51" s="217"/>
      <c r="G51" s="77"/>
      <c r="H51" s="59"/>
      <c r="I51" s="1370"/>
      <c r="J51" s="50"/>
      <c r="K51" s="496"/>
      <c r="L51" s="474"/>
      <c r="M51" s="474"/>
      <c r="N51" s="473"/>
      <c r="O51" s="439"/>
      <c r="P51" s="440"/>
      <c r="Q51" s="440"/>
      <c r="R51" s="186"/>
      <c r="S51" s="688"/>
      <c r="T51" s="689"/>
      <c r="U51" s="689"/>
      <c r="V51" s="690"/>
      <c r="W51" s="1313"/>
      <c r="X51" s="491"/>
      <c r="Y51" s="469" t="s">
        <v>169</v>
      </c>
      <c r="Z51" s="1341">
        <v>5</v>
      </c>
      <c r="AA51" s="504">
        <v>11</v>
      </c>
      <c r="AB51" s="505">
        <v>11</v>
      </c>
    </row>
    <row r="52" spans="1:29" s="23" customFormat="1" ht="13.5" thickBot="1" x14ac:dyDescent="0.3">
      <c r="A52" s="1355"/>
      <c r="B52" s="1356"/>
      <c r="C52" s="307"/>
      <c r="D52" s="2036"/>
      <c r="E52" s="1656"/>
      <c r="F52" s="400"/>
      <c r="G52" s="601"/>
      <c r="H52" s="59"/>
      <c r="I52" s="1370"/>
      <c r="J52" s="840" t="s">
        <v>18</v>
      </c>
      <c r="K52" s="715">
        <f>SUM(K43:K51)</f>
        <v>0</v>
      </c>
      <c r="L52" s="715">
        <f t="shared" ref="L52:N52" si="7">SUM(L43:L51)</f>
        <v>0</v>
      </c>
      <c r="M52" s="741">
        <f>SUM(M43:M51)</f>
        <v>0</v>
      </c>
      <c r="N52" s="786">
        <f t="shared" si="7"/>
        <v>0</v>
      </c>
      <c r="O52" s="773">
        <f>P52+R52</f>
        <v>1918.9999999999998</v>
      </c>
      <c r="P52" s="741">
        <f t="shared" ref="P52:V52" si="8">SUM(P43:P51)</f>
        <v>1872.6999999999998</v>
      </c>
      <c r="Q52" s="741">
        <f t="shared" si="8"/>
        <v>1126.7</v>
      </c>
      <c r="R52" s="742">
        <f t="shared" si="8"/>
        <v>46.3</v>
      </c>
      <c r="S52" s="678">
        <f t="shared" si="8"/>
        <v>1943.3999999999999</v>
      </c>
      <c r="T52" s="715">
        <f t="shared" si="8"/>
        <v>1908.3999999999999</v>
      </c>
      <c r="U52" s="715">
        <f t="shared" si="8"/>
        <v>1153.8999999999999</v>
      </c>
      <c r="V52" s="716">
        <f t="shared" si="8"/>
        <v>35</v>
      </c>
      <c r="W52" s="786">
        <f>SUM(W43:W51)</f>
        <v>2475.6</v>
      </c>
      <c r="X52" s="743">
        <f>SUM(X43:X51)</f>
        <v>2490.9</v>
      </c>
      <c r="Y52" s="475"/>
      <c r="Z52" s="1372"/>
      <c r="AA52" s="1374"/>
      <c r="AB52" s="1376"/>
      <c r="AC52" s="9"/>
    </row>
    <row r="53" spans="1:29" s="23" customFormat="1" ht="48" x14ac:dyDescent="0.25">
      <c r="A53" s="1355"/>
      <c r="B53" s="1356"/>
      <c r="C53" s="206"/>
      <c r="D53" s="1075" t="s">
        <v>22</v>
      </c>
      <c r="E53" s="133" t="s">
        <v>120</v>
      </c>
      <c r="F53" s="217"/>
      <c r="G53" s="77"/>
      <c r="H53" s="59"/>
      <c r="I53" s="1370"/>
      <c r="J53" s="309" t="s">
        <v>27</v>
      </c>
      <c r="K53" s="454">
        <f>L53+N53</f>
        <v>0</v>
      </c>
      <c r="L53" s="455"/>
      <c r="M53" s="455"/>
      <c r="N53" s="456"/>
      <c r="O53" s="304">
        <v>513.70000000000005</v>
      </c>
      <c r="P53" s="175">
        <v>513.70000000000005</v>
      </c>
      <c r="Q53" s="175">
        <v>370.5</v>
      </c>
      <c r="R53" s="176"/>
      <c r="S53" s="681">
        <f>T53</f>
        <v>513.70000000000005</v>
      </c>
      <c r="T53" s="682">
        <v>513.70000000000005</v>
      </c>
      <c r="U53" s="682">
        <v>370.5</v>
      </c>
      <c r="V53" s="683"/>
      <c r="W53" s="457">
        <v>537.1</v>
      </c>
      <c r="X53" s="107">
        <v>537.1</v>
      </c>
      <c r="Y53" s="458" t="s">
        <v>213</v>
      </c>
      <c r="Z53" s="613">
        <f>SUM(Z54:Z56)</f>
        <v>112</v>
      </c>
      <c r="AA53" s="614">
        <f t="shared" ref="AA53:AB53" si="9">SUM(AA54:AA56)</f>
        <v>97</v>
      </c>
      <c r="AB53" s="615">
        <f t="shared" si="9"/>
        <v>97</v>
      </c>
    </row>
    <row r="54" spans="1:29" s="23" customFormat="1" ht="24" x14ac:dyDescent="0.25">
      <c r="A54" s="1355"/>
      <c r="B54" s="1356"/>
      <c r="C54" s="206"/>
      <c r="D54" s="1075"/>
      <c r="E54" s="210"/>
      <c r="F54" s="217"/>
      <c r="G54" s="77"/>
      <c r="H54" s="59"/>
      <c r="I54" s="1370"/>
      <c r="J54" s="305" t="s">
        <v>32</v>
      </c>
      <c r="K54" s="462">
        <f>L54+N54</f>
        <v>0</v>
      </c>
      <c r="L54" s="212"/>
      <c r="M54" s="212"/>
      <c r="N54" s="218"/>
      <c r="O54" s="463">
        <f>107+88.8</f>
        <v>195.8</v>
      </c>
      <c r="P54" s="180">
        <f>107+88.8</f>
        <v>195.8</v>
      </c>
      <c r="Q54" s="180">
        <f>42.6</f>
        <v>42.6</v>
      </c>
      <c r="R54" s="181"/>
      <c r="S54" s="673">
        <f>T54</f>
        <v>195.8</v>
      </c>
      <c r="T54" s="674">
        <f>88.8+107</f>
        <v>195.8</v>
      </c>
      <c r="U54" s="674">
        <v>42.6</v>
      </c>
      <c r="V54" s="684"/>
      <c r="W54" s="65">
        <v>221.6</v>
      </c>
      <c r="X54" s="125">
        <v>221.6</v>
      </c>
      <c r="Y54" s="464" t="s">
        <v>152</v>
      </c>
      <c r="Z54" s="334">
        <v>45</v>
      </c>
      <c r="AA54" s="465">
        <v>30</v>
      </c>
      <c r="AB54" s="466">
        <v>30</v>
      </c>
    </row>
    <row r="55" spans="1:29" s="23" customFormat="1" ht="24" x14ac:dyDescent="0.25">
      <c r="A55" s="1355"/>
      <c r="B55" s="1356"/>
      <c r="C55" s="206"/>
      <c r="D55" s="1075"/>
      <c r="E55" s="210"/>
      <c r="F55" s="217"/>
      <c r="G55" s="77"/>
      <c r="H55" s="59"/>
      <c r="I55" s="1370"/>
      <c r="J55" s="305"/>
      <c r="K55" s="462"/>
      <c r="L55" s="212"/>
      <c r="M55" s="212"/>
      <c r="N55" s="218"/>
      <c r="O55" s="463"/>
      <c r="P55" s="180"/>
      <c r="Q55" s="180"/>
      <c r="R55" s="181"/>
      <c r="S55" s="673"/>
      <c r="T55" s="674"/>
      <c r="U55" s="674"/>
      <c r="V55" s="684"/>
      <c r="W55" s="65"/>
      <c r="X55" s="125"/>
      <c r="Y55" s="464" t="s">
        <v>153</v>
      </c>
      <c r="Z55" s="334">
        <v>30</v>
      </c>
      <c r="AA55" s="465">
        <v>30</v>
      </c>
      <c r="AB55" s="466">
        <v>30</v>
      </c>
    </row>
    <row r="56" spans="1:29" s="23" customFormat="1" x14ac:dyDescent="0.25">
      <c r="A56" s="1355"/>
      <c r="B56" s="1356"/>
      <c r="C56" s="206"/>
      <c r="D56" s="1075"/>
      <c r="E56" s="210"/>
      <c r="F56" s="217"/>
      <c r="G56" s="77"/>
      <c r="H56" s="59"/>
      <c r="I56" s="1370"/>
      <c r="J56" s="401"/>
      <c r="K56" s="506"/>
      <c r="L56" s="209"/>
      <c r="M56" s="209"/>
      <c r="N56" s="503"/>
      <c r="O56" s="493"/>
      <c r="P56" s="207"/>
      <c r="Q56" s="207"/>
      <c r="R56" s="208"/>
      <c r="S56" s="717"/>
      <c r="T56" s="718"/>
      <c r="U56" s="718"/>
      <c r="V56" s="719"/>
      <c r="W56" s="565"/>
      <c r="X56" s="507"/>
      <c r="Y56" s="2037" t="s">
        <v>154</v>
      </c>
      <c r="Z56" s="1371">
        <v>37</v>
      </c>
      <c r="AA56" s="1373">
        <v>37</v>
      </c>
      <c r="AB56" s="1375">
        <v>37</v>
      </c>
    </row>
    <row r="57" spans="1:29" s="23" customFormat="1" ht="13.5" thickBot="1" x14ac:dyDescent="0.3">
      <c r="A57" s="1355"/>
      <c r="B57" s="1356"/>
      <c r="C57" s="307"/>
      <c r="D57" s="1075"/>
      <c r="E57" s="210"/>
      <c r="F57" s="400"/>
      <c r="G57" s="601"/>
      <c r="H57" s="59"/>
      <c r="I57" s="1370"/>
      <c r="J57" s="840" t="s">
        <v>18</v>
      </c>
      <c r="K57" s="715">
        <f>SUM(K53:K56)</f>
        <v>0</v>
      </c>
      <c r="L57" s="715">
        <f t="shared" ref="L57:R57" si="10">SUM(L53:L56)</f>
        <v>0</v>
      </c>
      <c r="M57" s="741">
        <f>SUM(M53:M56)</f>
        <v>0</v>
      </c>
      <c r="N57" s="786">
        <f t="shared" si="10"/>
        <v>0</v>
      </c>
      <c r="O57" s="773">
        <f>SUM(O53:O56)</f>
        <v>709.5</v>
      </c>
      <c r="P57" s="741">
        <f>SUM(P53:P56)</f>
        <v>709.5</v>
      </c>
      <c r="Q57" s="741">
        <f>SUM(Q53:Q56)</f>
        <v>413.1</v>
      </c>
      <c r="R57" s="742">
        <f t="shared" si="10"/>
        <v>0</v>
      </c>
      <c r="S57" s="678">
        <f>SUM(S53:S56)</f>
        <v>709.5</v>
      </c>
      <c r="T57" s="715">
        <f>SUM(T53:T56)</f>
        <v>709.5</v>
      </c>
      <c r="U57" s="715">
        <f>SUM(U53:U56)</f>
        <v>413.1</v>
      </c>
      <c r="V57" s="716"/>
      <c r="W57" s="741">
        <f>SUM(W53:W56)</f>
        <v>758.7</v>
      </c>
      <c r="X57" s="742">
        <f>SUM(X53:X56)</f>
        <v>758.7</v>
      </c>
      <c r="Y57" s="2038"/>
      <c r="Z57" s="1372"/>
      <c r="AA57" s="1374"/>
      <c r="AB57" s="1376"/>
    </row>
    <row r="58" spans="1:29" s="23" customFormat="1" ht="48" x14ac:dyDescent="0.25">
      <c r="A58" s="1355"/>
      <c r="B58" s="1356"/>
      <c r="C58" s="206"/>
      <c r="D58" s="1377" t="s">
        <v>24</v>
      </c>
      <c r="E58" s="133" t="s">
        <v>121</v>
      </c>
      <c r="F58" s="214"/>
      <c r="G58" s="77"/>
      <c r="H58" s="59"/>
      <c r="I58" s="1414"/>
      <c r="J58" s="309" t="s">
        <v>27</v>
      </c>
      <c r="K58" s="454">
        <f>L58</f>
        <v>0</v>
      </c>
      <c r="L58" s="476"/>
      <c r="M58" s="476"/>
      <c r="N58" s="508"/>
      <c r="O58" s="442">
        <f>P58</f>
        <v>1686.6</v>
      </c>
      <c r="P58" s="175">
        <v>1686.6</v>
      </c>
      <c r="Q58" s="188">
        <v>994.9</v>
      </c>
      <c r="R58" s="662"/>
      <c r="S58" s="681">
        <f>T58</f>
        <v>1650.8</v>
      </c>
      <c r="T58" s="682">
        <v>1650.8</v>
      </c>
      <c r="U58" s="682">
        <v>994.9</v>
      </c>
      <c r="V58" s="720"/>
      <c r="W58" s="42">
        <f>X58</f>
        <v>1680.3</v>
      </c>
      <c r="X58" s="662">
        <v>1680.3</v>
      </c>
      <c r="Y58" s="458" t="s">
        <v>155</v>
      </c>
      <c r="Z58" s="509">
        <v>3</v>
      </c>
      <c r="AA58" s="510">
        <v>3</v>
      </c>
      <c r="AB58" s="461">
        <v>3</v>
      </c>
    </row>
    <row r="59" spans="1:29" s="23" customFormat="1" x14ac:dyDescent="0.25">
      <c r="A59" s="1355"/>
      <c r="B59" s="1356"/>
      <c r="C59" s="206"/>
      <c r="D59" s="1378"/>
      <c r="E59" s="210"/>
      <c r="F59" s="214"/>
      <c r="G59" s="77"/>
      <c r="H59" s="59"/>
      <c r="I59" s="1414"/>
      <c r="J59" s="311" t="s">
        <v>32</v>
      </c>
      <c r="K59" s="462"/>
      <c r="L59" s="212"/>
      <c r="M59" s="280"/>
      <c r="N59" s="511"/>
      <c r="O59" s="179">
        <v>2</v>
      </c>
      <c r="P59" s="1383">
        <v>2</v>
      </c>
      <c r="Q59" s="1383"/>
      <c r="R59" s="664"/>
      <c r="S59" s="673">
        <f>T59+V59</f>
        <v>2</v>
      </c>
      <c r="T59" s="674">
        <v>2</v>
      </c>
      <c r="U59" s="674"/>
      <c r="V59" s="721"/>
      <c r="W59" s="125"/>
      <c r="X59" s="65"/>
      <c r="Y59" s="464" t="s">
        <v>276</v>
      </c>
      <c r="Z59" s="512">
        <v>15700</v>
      </c>
      <c r="AA59" s="513">
        <v>15700</v>
      </c>
      <c r="AB59" s="346">
        <v>15700</v>
      </c>
    </row>
    <row r="60" spans="1:29" s="23" customFormat="1" ht="36" x14ac:dyDescent="0.25">
      <c r="A60" s="1355"/>
      <c r="B60" s="1356"/>
      <c r="C60" s="206"/>
      <c r="D60" s="1378"/>
      <c r="E60" s="210"/>
      <c r="F60" s="214"/>
      <c r="G60" s="77"/>
      <c r="H60" s="59"/>
      <c r="I60" s="1414"/>
      <c r="J60" s="311"/>
      <c r="K60" s="462"/>
      <c r="L60" s="212"/>
      <c r="M60" s="280"/>
      <c r="N60" s="511"/>
      <c r="O60" s="514"/>
      <c r="P60" s="480"/>
      <c r="Q60" s="479"/>
      <c r="R60" s="899"/>
      <c r="S60" s="685"/>
      <c r="T60" s="686"/>
      <c r="U60" s="686"/>
      <c r="V60" s="722"/>
      <c r="W60" s="81"/>
      <c r="X60" s="663"/>
      <c r="Y60" s="464" t="s">
        <v>156</v>
      </c>
      <c r="Z60" s="334">
        <v>16</v>
      </c>
      <c r="AA60" s="465">
        <v>16</v>
      </c>
      <c r="AB60" s="466">
        <v>16</v>
      </c>
    </row>
    <row r="61" spans="1:29" s="23" customFormat="1" ht="24" x14ac:dyDescent="0.25">
      <c r="A61" s="1355"/>
      <c r="B61" s="1356"/>
      <c r="C61" s="206"/>
      <c r="D61" s="1378"/>
      <c r="E61" s="210"/>
      <c r="F61" s="214"/>
      <c r="G61" s="77"/>
      <c r="H61" s="59"/>
      <c r="I61" s="1414"/>
      <c r="J61" s="311"/>
      <c r="K61" s="462"/>
      <c r="L61" s="212"/>
      <c r="M61" s="280"/>
      <c r="N61" s="511"/>
      <c r="O61" s="462"/>
      <c r="P61" s="212"/>
      <c r="Q61" s="280"/>
      <c r="R61" s="664"/>
      <c r="S61" s="673"/>
      <c r="T61" s="674"/>
      <c r="U61" s="674"/>
      <c r="V61" s="721"/>
      <c r="W61" s="125"/>
      <c r="X61" s="65"/>
      <c r="Y61" s="464" t="s">
        <v>157</v>
      </c>
      <c r="Z61" s="334">
        <v>8</v>
      </c>
      <c r="AA61" s="465">
        <v>8</v>
      </c>
      <c r="AB61" s="466">
        <v>8</v>
      </c>
    </row>
    <row r="62" spans="1:29" s="23" customFormat="1" ht="60.75" thickBot="1" x14ac:dyDescent="0.3">
      <c r="A62" s="1347"/>
      <c r="B62" s="1349"/>
      <c r="C62" s="1361"/>
      <c r="D62" s="1415"/>
      <c r="E62" s="889"/>
      <c r="F62" s="1416"/>
      <c r="G62" s="1386"/>
      <c r="H62" s="890"/>
      <c r="I62" s="1417"/>
      <c r="J62" s="1418"/>
      <c r="K62" s="1419"/>
      <c r="L62" s="1420"/>
      <c r="M62" s="1421"/>
      <c r="N62" s="1422"/>
      <c r="O62" s="1419"/>
      <c r="P62" s="1420"/>
      <c r="Q62" s="1421"/>
      <c r="R62" s="1423"/>
      <c r="S62" s="1424"/>
      <c r="T62" s="1425"/>
      <c r="U62" s="1425"/>
      <c r="V62" s="1426"/>
      <c r="W62" s="1427"/>
      <c r="X62" s="1428"/>
      <c r="Y62" s="1429" t="s">
        <v>181</v>
      </c>
      <c r="Z62" s="1430">
        <v>40</v>
      </c>
      <c r="AA62" s="1431">
        <v>40</v>
      </c>
      <c r="AB62" s="1432">
        <v>40</v>
      </c>
    </row>
    <row r="63" spans="1:29" s="23" customFormat="1" x14ac:dyDescent="0.25">
      <c r="A63" s="1346"/>
      <c r="B63" s="1348"/>
      <c r="C63" s="1360"/>
      <c r="D63" s="1368"/>
      <c r="E63" s="1287"/>
      <c r="F63" s="1289"/>
      <c r="G63" s="888"/>
      <c r="H63" s="1433"/>
      <c r="I63" s="1434"/>
      <c r="J63" s="1435"/>
      <c r="K63" s="1436"/>
      <c r="L63" s="1437"/>
      <c r="M63" s="1437"/>
      <c r="N63" s="1438"/>
      <c r="O63" s="1293"/>
      <c r="P63" s="1439"/>
      <c r="Q63" s="1439"/>
      <c r="R63" s="1440"/>
      <c r="S63" s="1441"/>
      <c r="T63" s="670"/>
      <c r="U63" s="670"/>
      <c r="V63" s="1218"/>
      <c r="W63" s="1219"/>
      <c r="X63" s="1220"/>
      <c r="Y63" s="2039" t="s">
        <v>158</v>
      </c>
      <c r="Z63" s="2029">
        <v>16</v>
      </c>
      <c r="AA63" s="2031">
        <v>16</v>
      </c>
      <c r="AB63" s="2033">
        <v>16</v>
      </c>
    </row>
    <row r="64" spans="1:29" s="23" customFormat="1" ht="50.25" customHeight="1" x14ac:dyDescent="0.25">
      <c r="A64" s="1355"/>
      <c r="B64" s="1356"/>
      <c r="C64" s="307"/>
      <c r="D64" s="1075"/>
      <c r="E64" s="210"/>
      <c r="F64" s="400"/>
      <c r="G64" s="601"/>
      <c r="H64" s="59"/>
      <c r="I64" s="1370"/>
      <c r="J64" s="860" t="s">
        <v>18</v>
      </c>
      <c r="K64" s="1255">
        <f>SUM(K58:K63)</f>
        <v>0</v>
      </c>
      <c r="L64" s="1255">
        <f t="shared" ref="L64:R64" si="11">SUM(L58:L63)</f>
        <v>0</v>
      </c>
      <c r="M64" s="1255">
        <f>SUM(M58:M63)</f>
        <v>0</v>
      </c>
      <c r="N64" s="728">
        <f t="shared" si="11"/>
        <v>0</v>
      </c>
      <c r="O64" s="1256">
        <f t="shared" si="11"/>
        <v>1688.6</v>
      </c>
      <c r="P64" s="1257">
        <f>SUM(P58:P63)</f>
        <v>1688.6</v>
      </c>
      <c r="Q64" s="1257">
        <f>SUM(Q58:Q63)</f>
        <v>994.9</v>
      </c>
      <c r="R64" s="747">
        <f t="shared" si="11"/>
        <v>0</v>
      </c>
      <c r="S64" s="1258">
        <f>SUM(S58:S63)</f>
        <v>1652.8</v>
      </c>
      <c r="T64" s="1255">
        <f>SUM(T58:T63)</f>
        <v>1652.8</v>
      </c>
      <c r="U64" s="1255">
        <f>SUM(U58:U63)</f>
        <v>994.9</v>
      </c>
      <c r="V64" s="728"/>
      <c r="W64" s="746">
        <f>SUM(W58:W63)</f>
        <v>1680.3</v>
      </c>
      <c r="X64" s="747">
        <f>SUM(X58:X63)</f>
        <v>1680.3</v>
      </c>
      <c r="Y64" s="2040"/>
      <c r="Z64" s="2030"/>
      <c r="AA64" s="2032"/>
      <c r="AB64" s="2034"/>
      <c r="AC64" s="9"/>
    </row>
    <row r="65" spans="1:29" s="23" customFormat="1" ht="60" x14ac:dyDescent="0.25">
      <c r="A65" s="1355"/>
      <c r="B65" s="1356"/>
      <c r="C65" s="206"/>
      <c r="D65" s="1377" t="s">
        <v>28</v>
      </c>
      <c r="E65" s="133" t="s">
        <v>122</v>
      </c>
      <c r="F65" s="214"/>
      <c r="G65" s="77"/>
      <c r="H65" s="59"/>
      <c r="I65" s="1370"/>
      <c r="J65" s="305" t="s">
        <v>27</v>
      </c>
      <c r="K65" s="485">
        <f>L65+N65</f>
        <v>0</v>
      </c>
      <c r="L65" s="280"/>
      <c r="M65" s="280"/>
      <c r="N65" s="511"/>
      <c r="O65" s="463">
        <f>P65</f>
        <v>1091.5999999999999</v>
      </c>
      <c r="P65" s="182">
        <v>1091.5999999999999</v>
      </c>
      <c r="Q65" s="180">
        <v>734.4</v>
      </c>
      <c r="R65" s="181"/>
      <c r="S65" s="673">
        <f>T65</f>
        <v>1091.5999999999999</v>
      </c>
      <c r="T65" s="1395">
        <v>1091.5999999999999</v>
      </c>
      <c r="U65" s="674">
        <v>734.4</v>
      </c>
      <c r="V65" s="721"/>
      <c r="W65" s="487">
        <v>1057.0999999999999</v>
      </c>
      <c r="X65" s="1396">
        <v>1057.0999999999999</v>
      </c>
      <c r="Y65" s="1397" t="s">
        <v>277</v>
      </c>
      <c r="Z65" s="438" t="s">
        <v>159</v>
      </c>
      <c r="AA65" s="1367" t="s">
        <v>160</v>
      </c>
      <c r="AB65" s="335" t="s">
        <v>160</v>
      </c>
    </row>
    <row r="66" spans="1:29" s="23" customFormat="1" ht="24" x14ac:dyDescent="0.25">
      <c r="A66" s="1355"/>
      <c r="B66" s="1356"/>
      <c r="C66" s="206"/>
      <c r="D66" s="1378"/>
      <c r="E66" s="210"/>
      <c r="F66" s="214"/>
      <c r="G66" s="77"/>
      <c r="H66" s="59"/>
      <c r="I66" s="1370"/>
      <c r="J66" s="305" t="s">
        <v>32</v>
      </c>
      <c r="K66" s="482">
        <f>L66+N66</f>
        <v>0</v>
      </c>
      <c r="L66" s="479"/>
      <c r="M66" s="479"/>
      <c r="N66" s="515"/>
      <c r="O66" s="433">
        <f>P66+R66</f>
        <v>9</v>
      </c>
      <c r="P66" s="1365">
        <v>6</v>
      </c>
      <c r="Q66" s="1365"/>
      <c r="R66" s="899">
        <v>3</v>
      </c>
      <c r="S66" s="685">
        <f>T66+V66</f>
        <v>9</v>
      </c>
      <c r="T66" s="686">
        <v>6</v>
      </c>
      <c r="U66" s="686"/>
      <c r="V66" s="722">
        <v>3</v>
      </c>
      <c r="W66" s="483">
        <v>25</v>
      </c>
      <c r="X66" s="564">
        <v>25</v>
      </c>
      <c r="Y66" s="516" t="s">
        <v>161</v>
      </c>
      <c r="Z66" s="344">
        <v>1</v>
      </c>
      <c r="AA66" s="345">
        <v>1</v>
      </c>
      <c r="AB66" s="346">
        <v>1</v>
      </c>
    </row>
    <row r="67" spans="1:29" s="23" customFormat="1" ht="24" x14ac:dyDescent="0.25">
      <c r="A67" s="1355"/>
      <c r="B67" s="1356"/>
      <c r="C67" s="307"/>
      <c r="D67" s="1379"/>
      <c r="E67" s="1394"/>
      <c r="F67" s="400"/>
      <c r="G67" s="601"/>
      <c r="H67" s="59"/>
      <c r="I67" s="1370"/>
      <c r="J67" s="1319" t="s">
        <v>18</v>
      </c>
      <c r="K67" s="1398">
        <f t="shared" ref="K67:V67" si="12">SUM(K65:K66)</f>
        <v>0</v>
      </c>
      <c r="L67" s="1398">
        <f t="shared" si="12"/>
        <v>0</v>
      </c>
      <c r="M67" s="1398">
        <f t="shared" si="12"/>
        <v>0</v>
      </c>
      <c r="N67" s="1399">
        <f t="shared" si="12"/>
        <v>0</v>
      </c>
      <c r="O67" s="1400">
        <f>SUM(O65:O66)</f>
        <v>1100.5999999999999</v>
      </c>
      <c r="P67" s="1401">
        <f>SUM(P65:P66)</f>
        <v>1097.5999999999999</v>
      </c>
      <c r="Q67" s="1401">
        <f>SUM(Q65:Q66)</f>
        <v>734.4</v>
      </c>
      <c r="R67" s="1402">
        <f t="shared" si="12"/>
        <v>3</v>
      </c>
      <c r="S67" s="763">
        <f t="shared" si="12"/>
        <v>1100.5999999999999</v>
      </c>
      <c r="T67" s="1398">
        <f t="shared" si="12"/>
        <v>1097.5999999999999</v>
      </c>
      <c r="U67" s="1398">
        <f t="shared" si="12"/>
        <v>734.4</v>
      </c>
      <c r="V67" s="1399">
        <f t="shared" si="12"/>
        <v>3</v>
      </c>
      <c r="W67" s="1403">
        <f>SUM(W65:W66)</f>
        <v>1082.0999999999999</v>
      </c>
      <c r="X67" s="1401">
        <f>SUM(X65:X66)</f>
        <v>1082.0999999999999</v>
      </c>
      <c r="Y67" s="1404" t="s">
        <v>182</v>
      </c>
      <c r="Z67" s="334">
        <v>1</v>
      </c>
      <c r="AA67" s="513"/>
      <c r="AB67" s="346"/>
      <c r="AC67" s="9"/>
    </row>
    <row r="68" spans="1:29" s="23" customFormat="1" x14ac:dyDescent="0.25">
      <c r="A68" s="1355"/>
      <c r="B68" s="1356"/>
      <c r="C68" s="76"/>
      <c r="D68" s="2020" t="s">
        <v>36</v>
      </c>
      <c r="E68" s="1621" t="s">
        <v>123</v>
      </c>
      <c r="F68" s="1115"/>
      <c r="G68" s="112"/>
      <c r="H68" s="59"/>
      <c r="I68" s="1370"/>
      <c r="J68" s="36" t="s">
        <v>21</v>
      </c>
      <c r="K68" s="392"/>
      <c r="L68" s="563"/>
      <c r="M68" s="563"/>
      <c r="N68" s="218"/>
      <c r="O68" s="179">
        <f>P68</f>
        <v>224.6</v>
      </c>
      <c r="P68" s="180">
        <v>224.6</v>
      </c>
      <c r="Q68" s="180"/>
      <c r="R68" s="181"/>
      <c r="S68" s="673">
        <f>T68+V68</f>
        <v>224.6</v>
      </c>
      <c r="T68" s="674">
        <v>224.6</v>
      </c>
      <c r="U68" s="674"/>
      <c r="V68" s="684"/>
      <c r="W68" s="308">
        <f>X68</f>
        <v>224.6</v>
      </c>
      <c r="X68" s="664">
        <v>224.6</v>
      </c>
      <c r="Y68" s="1259" t="s">
        <v>146</v>
      </c>
      <c r="Z68" s="1260">
        <v>50</v>
      </c>
      <c r="AA68" s="1261">
        <v>50</v>
      </c>
      <c r="AB68" s="1262">
        <v>50</v>
      </c>
    </row>
    <row r="69" spans="1:29" s="23" customFormat="1" x14ac:dyDescent="0.25">
      <c r="A69" s="1355"/>
      <c r="B69" s="1356"/>
      <c r="C69" s="76"/>
      <c r="D69" s="2021"/>
      <c r="E69" s="1622"/>
      <c r="F69" s="1115"/>
      <c r="G69" s="112"/>
      <c r="H69" s="59"/>
      <c r="I69" s="1370"/>
      <c r="J69" s="36" t="s">
        <v>32</v>
      </c>
      <c r="K69" s="495">
        <f>L69+N69</f>
        <v>0</v>
      </c>
      <c r="L69" s="563"/>
      <c r="M69" s="563"/>
      <c r="N69" s="218"/>
      <c r="O69" s="179">
        <f>P69</f>
        <v>26.7</v>
      </c>
      <c r="P69" s="180">
        <f>20.7+6</f>
        <v>26.7</v>
      </c>
      <c r="Q69" s="180"/>
      <c r="R69" s="181"/>
      <c r="S69" s="673">
        <v>26.7</v>
      </c>
      <c r="T69" s="674">
        <v>26.7</v>
      </c>
      <c r="U69" s="674"/>
      <c r="V69" s="684"/>
      <c r="W69" s="308">
        <f>X69</f>
        <v>26.7</v>
      </c>
      <c r="X69" s="664">
        <f>20.7+6</f>
        <v>26.7</v>
      </c>
      <c r="Y69" s="2018" t="s">
        <v>147</v>
      </c>
      <c r="Z69" s="1371">
        <v>76</v>
      </c>
      <c r="AA69" s="1373">
        <v>76</v>
      </c>
      <c r="AB69" s="1375">
        <v>76</v>
      </c>
      <c r="AC69" s="9"/>
    </row>
    <row r="70" spans="1:29" s="23" customFormat="1" x14ac:dyDescent="0.25">
      <c r="A70" s="1355"/>
      <c r="B70" s="1356"/>
      <c r="C70" s="76"/>
      <c r="D70" s="2021"/>
      <c r="E70" s="2026"/>
      <c r="F70" s="1115"/>
      <c r="G70" s="112"/>
      <c r="H70" s="59"/>
      <c r="I70" s="1370"/>
      <c r="J70" s="108" t="s">
        <v>17</v>
      </c>
      <c r="K70" s="574"/>
      <c r="L70" s="393"/>
      <c r="M70" s="393"/>
      <c r="N70" s="218"/>
      <c r="O70" s="937">
        <f>P70</f>
        <v>468</v>
      </c>
      <c r="P70" s="634">
        <v>468</v>
      </c>
      <c r="Q70" s="634">
        <v>324.39999999999998</v>
      </c>
      <c r="R70" s="938"/>
      <c r="S70" s="1091">
        <f>T70</f>
        <v>463</v>
      </c>
      <c r="T70" s="1092">
        <f>468-5</f>
        <v>463</v>
      </c>
      <c r="U70" s="1092">
        <v>324.39999999999998</v>
      </c>
      <c r="V70" s="684"/>
      <c r="W70" s="308">
        <f>X70</f>
        <v>468</v>
      </c>
      <c r="X70" s="664">
        <f>468</f>
        <v>468</v>
      </c>
      <c r="Y70" s="2019"/>
      <c r="Z70" s="451"/>
      <c r="AA70" s="68"/>
      <c r="AB70" s="337"/>
    </row>
    <row r="71" spans="1:29" s="23" customFormat="1" x14ac:dyDescent="0.25">
      <c r="A71" s="1355"/>
      <c r="B71" s="1356"/>
      <c r="C71" s="76"/>
      <c r="D71" s="2021"/>
      <c r="E71" s="2026"/>
      <c r="F71" s="1115"/>
      <c r="G71" s="112"/>
      <c r="H71" s="59"/>
      <c r="I71" s="1370"/>
      <c r="J71" s="108" t="s">
        <v>27</v>
      </c>
      <c r="K71" s="575">
        <f>L71</f>
        <v>0</v>
      </c>
      <c r="L71" s="393"/>
      <c r="M71" s="393"/>
      <c r="N71" s="503"/>
      <c r="O71" s="939">
        <f>P71</f>
        <v>917.2</v>
      </c>
      <c r="P71" s="635">
        <v>917.2</v>
      </c>
      <c r="Q71" s="636">
        <v>649.29999999999995</v>
      </c>
      <c r="R71" s="940"/>
      <c r="S71" s="1093">
        <f>T71</f>
        <v>866.8</v>
      </c>
      <c r="T71" s="1094">
        <v>866.8</v>
      </c>
      <c r="U71" s="1094">
        <v>649.29999999999995</v>
      </c>
      <c r="V71" s="690"/>
      <c r="W71" s="518">
        <f>X71</f>
        <v>934.4</v>
      </c>
      <c r="X71" s="549">
        <f>934.4</f>
        <v>934.4</v>
      </c>
      <c r="Y71" s="2019"/>
      <c r="Z71" s="451"/>
      <c r="AA71" s="68"/>
      <c r="AB71" s="337"/>
    </row>
    <row r="72" spans="1:29" s="23" customFormat="1" x14ac:dyDescent="0.25">
      <c r="A72" s="1355"/>
      <c r="B72" s="1356"/>
      <c r="C72" s="76"/>
      <c r="D72" s="2022"/>
      <c r="E72" s="2027"/>
      <c r="F72" s="1115"/>
      <c r="G72" s="112"/>
      <c r="H72" s="59"/>
      <c r="I72" s="1370"/>
      <c r="J72" s="853" t="s">
        <v>18</v>
      </c>
      <c r="K72" s="1263">
        <f>L72+N72</f>
        <v>0</v>
      </c>
      <c r="L72" s="844">
        <f>SUM(L68:L71)</f>
        <v>0</v>
      </c>
      <c r="M72" s="844">
        <f>SUM(M68:M71)</f>
        <v>0</v>
      </c>
      <c r="N72" s="845"/>
      <c r="O72" s="850">
        <f>P72+R72</f>
        <v>1636.5</v>
      </c>
      <c r="P72" s="844">
        <f>SUM(P68:P71)</f>
        <v>1636.5</v>
      </c>
      <c r="Q72" s="844">
        <f>SUM(Q68:Q71)</f>
        <v>973.69999999999993</v>
      </c>
      <c r="R72" s="851"/>
      <c r="S72" s="944">
        <f>SUM(S68:S71)</f>
        <v>1581.1</v>
      </c>
      <c r="T72" s="852">
        <f>SUM(T68:T71)</f>
        <v>1581.1</v>
      </c>
      <c r="U72" s="852">
        <f>SUM(U68:U71)</f>
        <v>973.69999999999993</v>
      </c>
      <c r="V72" s="1264"/>
      <c r="W72" s="824">
        <f>SUM(W68:W71)</f>
        <v>1653.6999999999998</v>
      </c>
      <c r="X72" s="1264">
        <f t="shared" ref="X72" si="13">SUM(X68:X71)</f>
        <v>1653.6999999999998</v>
      </c>
      <c r="Y72" s="2028"/>
      <c r="Z72" s="1265"/>
      <c r="AA72" s="1266"/>
      <c r="AB72" s="1267"/>
    </row>
    <row r="73" spans="1:29" s="23" customFormat="1" x14ac:dyDescent="0.25">
      <c r="A73" s="1355"/>
      <c r="B73" s="1356"/>
      <c r="C73" s="1357"/>
      <c r="D73" s="2021" t="s">
        <v>38</v>
      </c>
      <c r="E73" s="1622" t="s">
        <v>124</v>
      </c>
      <c r="F73" s="1116"/>
      <c r="G73" s="1362"/>
      <c r="H73" s="7"/>
      <c r="I73" s="660"/>
      <c r="J73" s="36" t="s">
        <v>21</v>
      </c>
      <c r="K73" s="485"/>
      <c r="L73" s="212"/>
      <c r="M73" s="212"/>
      <c r="N73" s="218"/>
      <c r="O73" s="485">
        <v>41.9</v>
      </c>
      <c r="P73" s="212">
        <v>41.9</v>
      </c>
      <c r="Q73" s="212"/>
      <c r="R73" s="486"/>
      <c r="S73" s="1096">
        <f>T73+V73</f>
        <v>41.9</v>
      </c>
      <c r="T73" s="1092">
        <v>41.9</v>
      </c>
      <c r="U73" s="1092"/>
      <c r="V73" s="684"/>
      <c r="W73" s="519">
        <v>41.9</v>
      </c>
      <c r="X73" s="665">
        <v>41.9</v>
      </c>
      <c r="Y73" s="520" t="s">
        <v>146</v>
      </c>
      <c r="Z73" s="1371">
        <v>26</v>
      </c>
      <c r="AA73" s="1373">
        <v>26</v>
      </c>
      <c r="AB73" s="1375">
        <v>26</v>
      </c>
    </row>
    <row r="74" spans="1:29" s="23" customFormat="1" x14ac:dyDescent="0.25">
      <c r="A74" s="1355"/>
      <c r="B74" s="1356"/>
      <c r="C74" s="1357"/>
      <c r="D74" s="2021"/>
      <c r="E74" s="1622"/>
      <c r="F74" s="1116"/>
      <c r="G74" s="1362"/>
      <c r="H74" s="7"/>
      <c r="I74" s="660"/>
      <c r="J74" s="305" t="s">
        <v>32</v>
      </c>
      <c r="K74" s="506"/>
      <c r="L74" s="209"/>
      <c r="M74" s="209"/>
      <c r="N74" s="503"/>
      <c r="O74" s="493"/>
      <c r="P74" s="207"/>
      <c r="Q74" s="207"/>
      <c r="R74" s="208"/>
      <c r="S74" s="1097"/>
      <c r="T74" s="1098"/>
      <c r="U74" s="1098"/>
      <c r="V74" s="719"/>
      <c r="W74" s="507"/>
      <c r="X74" s="565"/>
      <c r="Y74" s="2018" t="s">
        <v>147</v>
      </c>
      <c r="Z74" s="1371">
        <v>71</v>
      </c>
      <c r="AA74" s="1373">
        <v>71</v>
      </c>
      <c r="AB74" s="1375">
        <v>71</v>
      </c>
      <c r="AC74" s="9"/>
    </row>
    <row r="75" spans="1:29" s="23" customFormat="1" x14ac:dyDescent="0.25">
      <c r="A75" s="1355"/>
      <c r="B75" s="1356"/>
      <c r="C75" s="1357"/>
      <c r="D75" s="2021"/>
      <c r="E75" s="1622"/>
      <c r="F75" s="1116"/>
      <c r="G75" s="1362"/>
      <c r="H75" s="7"/>
      <c r="I75" s="660"/>
      <c r="J75" s="80" t="s">
        <v>17</v>
      </c>
      <c r="K75" s="485"/>
      <c r="L75" s="212"/>
      <c r="M75" s="212"/>
      <c r="N75" s="218"/>
      <c r="O75" s="463">
        <v>612</v>
      </c>
      <c r="P75" s="180">
        <v>612</v>
      </c>
      <c r="Q75" s="180">
        <v>349.4</v>
      </c>
      <c r="R75" s="181"/>
      <c r="S75" s="1091">
        <f>T75</f>
        <v>606.9</v>
      </c>
      <c r="T75" s="1092">
        <f>612-5.1</f>
        <v>606.9</v>
      </c>
      <c r="U75" s="1092">
        <v>349.4</v>
      </c>
      <c r="V75" s="684"/>
      <c r="W75" s="125">
        <v>602.1</v>
      </c>
      <c r="X75" s="65">
        <v>602.1</v>
      </c>
      <c r="Y75" s="2019"/>
      <c r="Z75" s="451"/>
      <c r="AA75" s="68"/>
      <c r="AB75" s="337"/>
    </row>
    <row r="76" spans="1:29" s="23" customFormat="1" x14ac:dyDescent="0.25">
      <c r="A76" s="1355"/>
      <c r="B76" s="1356"/>
      <c r="C76" s="1357"/>
      <c r="D76" s="2021"/>
      <c r="E76" s="1622"/>
      <c r="F76" s="1116"/>
      <c r="G76" s="1362"/>
      <c r="H76" s="7"/>
      <c r="I76" s="660"/>
      <c r="J76" s="311" t="s">
        <v>27</v>
      </c>
      <c r="K76" s="586">
        <f>L76+N76</f>
        <v>0</v>
      </c>
      <c r="L76" s="474"/>
      <c r="M76" s="474"/>
      <c r="N76" s="473"/>
      <c r="O76" s="941">
        <v>319.2</v>
      </c>
      <c r="P76" s="440">
        <v>319.2</v>
      </c>
      <c r="Q76" s="440">
        <v>186.7</v>
      </c>
      <c r="R76" s="186"/>
      <c r="S76" s="1093">
        <f>T76</f>
        <v>316.8</v>
      </c>
      <c r="T76" s="1094">
        <v>316.8</v>
      </c>
      <c r="U76" s="1094">
        <v>184.9</v>
      </c>
      <c r="V76" s="690"/>
      <c r="W76" s="74">
        <v>377.8</v>
      </c>
      <c r="X76" s="70">
        <v>377.8</v>
      </c>
      <c r="Y76" s="2019"/>
      <c r="Z76" s="451"/>
      <c r="AA76" s="68"/>
      <c r="AB76" s="337"/>
    </row>
    <row r="77" spans="1:29" s="23" customFormat="1" x14ac:dyDescent="0.25">
      <c r="A77" s="1355"/>
      <c r="B77" s="1356"/>
      <c r="C77" s="1357"/>
      <c r="D77" s="2021"/>
      <c r="E77" s="1622"/>
      <c r="F77" s="1116"/>
      <c r="G77" s="1362"/>
      <c r="H77" s="7"/>
      <c r="I77" s="660"/>
      <c r="J77" s="846" t="s">
        <v>18</v>
      </c>
      <c r="K77" s="726">
        <f>L77+N77</f>
        <v>0</v>
      </c>
      <c r="L77" s="727">
        <f>SUM(L73:L76)</f>
        <v>0</v>
      </c>
      <c r="M77" s="728">
        <f>SUM(M73:M76)</f>
        <v>0</v>
      </c>
      <c r="N77" s="922"/>
      <c r="O77" s="942">
        <f>P77+R77</f>
        <v>973.09999999999991</v>
      </c>
      <c r="P77" s="848">
        <f>SUM(P73:P76)</f>
        <v>973.09999999999991</v>
      </c>
      <c r="Q77" s="848">
        <f>SUM(Q73:Q76)</f>
        <v>536.09999999999991</v>
      </c>
      <c r="R77" s="943"/>
      <c r="S77" s="942">
        <f>T77+V77</f>
        <v>965.59999999999991</v>
      </c>
      <c r="T77" s="848">
        <f>SUM(T73:T76)</f>
        <v>965.59999999999991</v>
      </c>
      <c r="U77" s="1099">
        <f>SUM(U73:U76)</f>
        <v>534.29999999999995</v>
      </c>
      <c r="V77" s="847"/>
      <c r="W77" s="746">
        <f>SUM(W73:W76)</f>
        <v>1021.8</v>
      </c>
      <c r="X77" s="747">
        <f>SUM(X73:X76)</f>
        <v>1021.8</v>
      </c>
      <c r="Y77" s="2019"/>
      <c r="Z77" s="341"/>
      <c r="AA77" s="342"/>
      <c r="AB77" s="343"/>
    </row>
    <row r="78" spans="1:29" s="75" customFormat="1" x14ac:dyDescent="0.25">
      <c r="A78" s="1355"/>
      <c r="B78" s="1356"/>
      <c r="C78" s="215"/>
      <c r="D78" s="1104" t="s">
        <v>71</v>
      </c>
      <c r="E78" s="1621" t="s">
        <v>125</v>
      </c>
      <c r="F78" s="1117"/>
      <c r="G78" s="73"/>
      <c r="H78" s="59"/>
      <c r="I78" s="1370"/>
      <c r="J78" s="36" t="s">
        <v>21</v>
      </c>
      <c r="K78" s="462"/>
      <c r="L78" s="212"/>
      <c r="M78" s="212"/>
      <c r="N78" s="218"/>
      <c r="O78" s="463">
        <v>225</v>
      </c>
      <c r="P78" s="180">
        <v>225</v>
      </c>
      <c r="Q78" s="180"/>
      <c r="R78" s="181"/>
      <c r="S78" s="1091"/>
      <c r="T78" s="1092"/>
      <c r="U78" s="1092"/>
      <c r="V78" s="684"/>
      <c r="W78" s="125">
        <v>225</v>
      </c>
      <c r="X78" s="65">
        <v>225</v>
      </c>
      <c r="Y78" s="520" t="s">
        <v>146</v>
      </c>
      <c r="Z78" s="334">
        <v>66</v>
      </c>
      <c r="AA78" s="465">
        <v>66</v>
      </c>
      <c r="AB78" s="466">
        <v>66</v>
      </c>
    </row>
    <row r="79" spans="1:29" s="75" customFormat="1" ht="36" x14ac:dyDescent="0.25">
      <c r="A79" s="1355"/>
      <c r="B79" s="1356"/>
      <c r="C79" s="215"/>
      <c r="D79" s="1105"/>
      <c r="E79" s="1622"/>
      <c r="F79" s="1117"/>
      <c r="G79" s="73"/>
      <c r="H79" s="59"/>
      <c r="I79" s="1370"/>
      <c r="J79" s="311" t="s">
        <v>27</v>
      </c>
      <c r="K79" s="514">
        <f>L79+N79</f>
        <v>0</v>
      </c>
      <c r="L79" s="480"/>
      <c r="M79" s="480"/>
      <c r="N79" s="481"/>
      <c r="O79" s="216">
        <f>P79</f>
        <v>668.3</v>
      </c>
      <c r="P79" s="177">
        <v>668.3</v>
      </c>
      <c r="Q79" s="177">
        <v>456.8</v>
      </c>
      <c r="R79" s="183"/>
      <c r="S79" s="1100">
        <f>T79</f>
        <v>668.3</v>
      </c>
      <c r="T79" s="1101">
        <v>668.3</v>
      </c>
      <c r="U79" s="1101">
        <v>456.8</v>
      </c>
      <c r="V79" s="687"/>
      <c r="W79" s="81">
        <v>662</v>
      </c>
      <c r="X79" s="663">
        <v>662</v>
      </c>
      <c r="Y79" s="521" t="s">
        <v>278</v>
      </c>
      <c r="Z79" s="344">
        <v>1</v>
      </c>
      <c r="AA79" s="345">
        <v>1</v>
      </c>
      <c r="AB79" s="346">
        <v>1</v>
      </c>
    </row>
    <row r="80" spans="1:29" s="75" customFormat="1" x14ac:dyDescent="0.25">
      <c r="A80" s="1355"/>
      <c r="B80" s="1356"/>
      <c r="C80" s="215"/>
      <c r="D80" s="1105"/>
      <c r="E80" s="2026"/>
      <c r="F80" s="1117"/>
      <c r="G80" s="73"/>
      <c r="H80" s="59"/>
      <c r="I80" s="1370"/>
      <c r="J80" s="517" t="s">
        <v>32</v>
      </c>
      <c r="K80" s="462">
        <f>L80+N80</f>
        <v>0</v>
      </c>
      <c r="L80" s="212"/>
      <c r="M80" s="212"/>
      <c r="N80" s="218"/>
      <c r="O80" s="463">
        <v>251.5</v>
      </c>
      <c r="P80" s="180">
        <v>251.5</v>
      </c>
      <c r="Q80" s="180">
        <v>192</v>
      </c>
      <c r="R80" s="181"/>
      <c r="S80" s="1096">
        <f>T80</f>
        <v>251.5</v>
      </c>
      <c r="T80" s="1092">
        <v>251.5</v>
      </c>
      <c r="U80" s="1092">
        <v>192</v>
      </c>
      <c r="V80" s="684"/>
      <c r="W80" s="125">
        <v>251.5</v>
      </c>
      <c r="X80" s="65">
        <v>251.5</v>
      </c>
      <c r="Y80" s="2018" t="s">
        <v>147</v>
      </c>
      <c r="Z80" s="1371">
        <v>80</v>
      </c>
      <c r="AA80" s="1373">
        <v>81</v>
      </c>
      <c r="AB80" s="1375">
        <v>81</v>
      </c>
      <c r="AC80" s="312"/>
    </row>
    <row r="81" spans="1:29" s="75" customFormat="1" x14ac:dyDescent="0.25">
      <c r="A81" s="1355"/>
      <c r="B81" s="1356"/>
      <c r="C81" s="215"/>
      <c r="D81" s="1105"/>
      <c r="E81" s="2026"/>
      <c r="F81" s="1117"/>
      <c r="G81" s="73"/>
      <c r="H81" s="59"/>
      <c r="I81" s="1370"/>
      <c r="J81" s="36" t="s">
        <v>17</v>
      </c>
      <c r="K81" s="462"/>
      <c r="L81" s="212"/>
      <c r="M81" s="212"/>
      <c r="N81" s="218"/>
      <c r="O81" s="463">
        <v>828</v>
      </c>
      <c r="P81" s="180">
        <v>828</v>
      </c>
      <c r="Q81" s="180">
        <v>452</v>
      </c>
      <c r="R81" s="181"/>
      <c r="S81" s="1102">
        <f>T81</f>
        <v>823</v>
      </c>
      <c r="T81" s="1092">
        <f>828-5</f>
        <v>823</v>
      </c>
      <c r="U81" s="1092">
        <v>452</v>
      </c>
      <c r="V81" s="684"/>
      <c r="W81" s="125">
        <v>828</v>
      </c>
      <c r="X81" s="65">
        <v>828</v>
      </c>
      <c r="Y81" s="2019"/>
      <c r="Z81" s="451"/>
      <c r="AA81" s="68"/>
      <c r="AB81" s="337"/>
      <c r="AC81" s="312"/>
    </row>
    <row r="82" spans="1:29" s="75" customFormat="1" ht="24" customHeight="1" x14ac:dyDescent="0.25">
      <c r="A82" s="1355"/>
      <c r="B82" s="1356"/>
      <c r="C82" s="215"/>
      <c r="D82" s="1106"/>
      <c r="E82" s="2027"/>
      <c r="F82" s="1117"/>
      <c r="G82" s="73"/>
      <c r="H82" s="59"/>
      <c r="I82" s="1370"/>
      <c r="J82" s="849" t="s">
        <v>18</v>
      </c>
      <c r="K82" s="850">
        <f>L82+N82</f>
        <v>0</v>
      </c>
      <c r="L82" s="844">
        <f>SUM(L78:L81)</f>
        <v>0</v>
      </c>
      <c r="M82" s="844">
        <f>SUM(M78:M81)</f>
        <v>0</v>
      </c>
      <c r="N82" s="845"/>
      <c r="O82" s="944">
        <f>P82+R82</f>
        <v>1972.8</v>
      </c>
      <c r="P82" s="852">
        <f>SUM(P78:P81)</f>
        <v>1972.8</v>
      </c>
      <c r="Q82" s="852">
        <f>SUM(Q78:Q81)</f>
        <v>1100.8</v>
      </c>
      <c r="R82" s="945"/>
      <c r="S82" s="1103">
        <f>T82+V82</f>
        <v>1742.8</v>
      </c>
      <c r="T82" s="1095">
        <f>SUM(T78:T81)</f>
        <v>1742.8</v>
      </c>
      <c r="U82" s="1095">
        <f>SUM(U78:U81)</f>
        <v>1100.8</v>
      </c>
      <c r="V82" s="843"/>
      <c r="W82" s="748">
        <f>SUM(W78:W81)</f>
        <v>1966.5</v>
      </c>
      <c r="X82" s="749">
        <f>SUM(X78:X81)</f>
        <v>1966.5</v>
      </c>
      <c r="Y82" s="2028"/>
      <c r="Z82" s="344"/>
      <c r="AA82" s="345"/>
      <c r="AB82" s="346"/>
    </row>
    <row r="83" spans="1:29" s="23" customFormat="1" x14ac:dyDescent="0.25">
      <c r="A83" s="1355"/>
      <c r="B83" s="1356"/>
      <c r="C83" s="206"/>
      <c r="D83" s="1377" t="s">
        <v>85</v>
      </c>
      <c r="E83" s="1621" t="s">
        <v>73</v>
      </c>
      <c r="F83" s="1115"/>
      <c r="G83" s="77"/>
      <c r="H83" s="59"/>
      <c r="I83" s="123"/>
      <c r="J83" s="36" t="s">
        <v>27</v>
      </c>
      <c r="K83" s="221"/>
      <c r="L83" s="222"/>
      <c r="M83" s="222"/>
      <c r="N83" s="923"/>
      <c r="O83" s="221">
        <f>P83+R83</f>
        <v>82.5</v>
      </c>
      <c r="P83" s="222">
        <v>80.5</v>
      </c>
      <c r="Q83" s="180">
        <v>25.4</v>
      </c>
      <c r="R83" s="181">
        <v>2</v>
      </c>
      <c r="S83" s="673">
        <f>T83+V83</f>
        <v>49.2</v>
      </c>
      <c r="T83" s="674">
        <v>47.2</v>
      </c>
      <c r="U83" s="674"/>
      <c r="V83" s="684">
        <v>2</v>
      </c>
      <c r="W83" s="125">
        <v>235.9</v>
      </c>
      <c r="X83" s="65">
        <v>235.9</v>
      </c>
      <c r="Y83" s="2023" t="s">
        <v>127</v>
      </c>
      <c r="Z83" s="2016" t="s">
        <v>166</v>
      </c>
      <c r="AA83" s="1671">
        <v>40</v>
      </c>
      <c r="AB83" s="1667">
        <v>40</v>
      </c>
    </row>
    <row r="84" spans="1:29" s="23" customFormat="1" x14ac:dyDescent="0.25">
      <c r="A84" s="1355"/>
      <c r="B84" s="33"/>
      <c r="C84" s="206"/>
      <c r="D84" s="315"/>
      <c r="E84" s="1622"/>
      <c r="F84" s="1115"/>
      <c r="G84" s="77"/>
      <c r="H84" s="59"/>
      <c r="I84" s="1370"/>
      <c r="J84" s="36" t="s">
        <v>32</v>
      </c>
      <c r="K84" s="221"/>
      <c r="L84" s="222"/>
      <c r="M84" s="222"/>
      <c r="N84" s="923"/>
      <c r="O84" s="221"/>
      <c r="P84" s="223"/>
      <c r="Q84" s="1383"/>
      <c r="R84" s="664"/>
      <c r="S84" s="673"/>
      <c r="T84" s="730"/>
      <c r="U84" s="731"/>
      <c r="V84" s="788"/>
      <c r="W84" s="125">
        <v>59.4</v>
      </c>
      <c r="X84" s="65">
        <v>59.4</v>
      </c>
      <c r="Y84" s="1788"/>
      <c r="Z84" s="1780"/>
      <c r="AA84" s="1782"/>
      <c r="AB84" s="1784"/>
    </row>
    <row r="85" spans="1:29" s="26" customFormat="1" x14ac:dyDescent="0.25">
      <c r="A85" s="2025"/>
      <c r="B85" s="1682"/>
      <c r="C85" s="314"/>
      <c r="D85" s="316"/>
      <c r="E85" s="1622"/>
      <c r="F85" s="172"/>
      <c r="G85" s="1362"/>
      <c r="H85" s="35"/>
      <c r="I85" s="654"/>
      <c r="J85" s="108" t="s">
        <v>17</v>
      </c>
      <c r="K85" s="224"/>
      <c r="L85" s="225"/>
      <c r="M85" s="225"/>
      <c r="N85" s="924"/>
      <c r="O85" s="224">
        <f>P85+R85</f>
        <v>81.5</v>
      </c>
      <c r="P85" s="126">
        <v>81.5</v>
      </c>
      <c r="Q85" s="185">
        <v>62.2</v>
      </c>
      <c r="R85" s="643"/>
      <c r="S85" s="776"/>
      <c r="T85" s="868"/>
      <c r="U85" s="732"/>
      <c r="V85" s="787"/>
      <c r="W85" s="78">
        <v>524</v>
      </c>
      <c r="X85" s="666">
        <v>524</v>
      </c>
      <c r="Y85" s="1788"/>
      <c r="Z85" s="1780"/>
      <c r="AA85" s="1782"/>
      <c r="AB85" s="1784"/>
      <c r="AC85" s="226"/>
    </row>
    <row r="86" spans="1:29" s="23" customFormat="1" x14ac:dyDescent="0.25">
      <c r="A86" s="2025"/>
      <c r="B86" s="1682"/>
      <c r="C86" s="1357"/>
      <c r="D86" s="330"/>
      <c r="E86" s="577"/>
      <c r="F86" s="1118"/>
      <c r="G86" s="578"/>
      <c r="H86" s="579"/>
      <c r="I86" s="580"/>
      <c r="J86" s="853" t="s">
        <v>18</v>
      </c>
      <c r="K86" s="733">
        <f t="shared" ref="K86:V86" si="14">SUM(K83:K85)</f>
        <v>0</v>
      </c>
      <c r="L86" s="734">
        <f t="shared" si="14"/>
        <v>0</v>
      </c>
      <c r="M86" s="734">
        <f t="shared" si="14"/>
        <v>0</v>
      </c>
      <c r="N86" s="735">
        <f t="shared" si="14"/>
        <v>0</v>
      </c>
      <c r="O86" s="733">
        <f>SUM(O83:O85)</f>
        <v>164</v>
      </c>
      <c r="P86" s="734">
        <f>SUM(P83:P85)</f>
        <v>162</v>
      </c>
      <c r="Q86" s="734">
        <f>SUM(Q83:Q85)</f>
        <v>87.6</v>
      </c>
      <c r="R86" s="751">
        <f t="shared" si="14"/>
        <v>2</v>
      </c>
      <c r="S86" s="733">
        <f t="shared" si="14"/>
        <v>49.2</v>
      </c>
      <c r="T86" s="734">
        <f t="shared" si="14"/>
        <v>47.2</v>
      </c>
      <c r="U86" s="734">
        <f t="shared" si="14"/>
        <v>0</v>
      </c>
      <c r="V86" s="751">
        <f t="shared" si="14"/>
        <v>2</v>
      </c>
      <c r="W86" s="750">
        <f>SUM(W83:W85)</f>
        <v>819.3</v>
      </c>
      <c r="X86" s="751">
        <f>SUM(X83:X85)</f>
        <v>819.3</v>
      </c>
      <c r="Y86" s="2024"/>
      <c r="Z86" s="2017"/>
      <c r="AA86" s="1670"/>
      <c r="AB86" s="1666"/>
    </row>
    <row r="87" spans="1:29" s="23" customFormat="1" x14ac:dyDescent="0.25">
      <c r="A87" s="1355"/>
      <c r="B87" s="1356"/>
      <c r="C87" s="206"/>
      <c r="D87" s="2020" t="s">
        <v>16</v>
      </c>
      <c r="E87" s="1621" t="s">
        <v>126</v>
      </c>
      <c r="F87" s="1115"/>
      <c r="G87" s="77"/>
      <c r="H87" s="59"/>
      <c r="I87" s="1370"/>
      <c r="J87" s="80" t="s">
        <v>27</v>
      </c>
      <c r="K87" s="219"/>
      <c r="L87" s="220"/>
      <c r="M87" s="220"/>
      <c r="N87" s="925"/>
      <c r="O87" s="219"/>
      <c r="P87" s="220"/>
      <c r="Q87" s="177"/>
      <c r="R87" s="183"/>
      <c r="S87" s="685"/>
      <c r="T87" s="686"/>
      <c r="U87" s="686"/>
      <c r="V87" s="687"/>
      <c r="W87" s="81">
        <v>605</v>
      </c>
      <c r="X87" s="663">
        <v>605</v>
      </c>
      <c r="Y87" s="1788" t="s">
        <v>127</v>
      </c>
      <c r="Z87" s="1780"/>
      <c r="AA87" s="1782">
        <v>40</v>
      </c>
      <c r="AB87" s="1784">
        <v>40</v>
      </c>
    </row>
    <row r="88" spans="1:29" s="23" customFormat="1" x14ac:dyDescent="0.25">
      <c r="A88" s="1355"/>
      <c r="B88" s="33"/>
      <c r="C88" s="206"/>
      <c r="D88" s="2021"/>
      <c r="E88" s="1622"/>
      <c r="F88" s="1115"/>
      <c r="G88" s="77"/>
      <c r="H88" s="59"/>
      <c r="I88" s="1370"/>
      <c r="J88" s="108" t="s">
        <v>32</v>
      </c>
      <c r="K88" s="221"/>
      <c r="L88" s="222"/>
      <c r="M88" s="222"/>
      <c r="N88" s="923"/>
      <c r="O88" s="221"/>
      <c r="P88" s="223"/>
      <c r="Q88" s="1383"/>
      <c r="R88" s="664"/>
      <c r="S88" s="673"/>
      <c r="T88" s="731"/>
      <c r="U88" s="731"/>
      <c r="V88" s="788"/>
      <c r="W88" s="125">
        <v>110</v>
      </c>
      <c r="X88" s="65">
        <v>110</v>
      </c>
      <c r="Y88" s="1788"/>
      <c r="Z88" s="1780"/>
      <c r="AA88" s="1782"/>
      <c r="AB88" s="1784"/>
    </row>
    <row r="89" spans="1:29" s="26" customFormat="1" x14ac:dyDescent="0.25">
      <c r="A89" s="1355"/>
      <c r="B89" s="33"/>
      <c r="C89" s="34"/>
      <c r="D89" s="2021"/>
      <c r="E89" s="1622"/>
      <c r="F89" s="172"/>
      <c r="G89" s="1362"/>
      <c r="H89" s="35"/>
      <c r="I89" s="654"/>
      <c r="J89" s="108" t="s">
        <v>17</v>
      </c>
      <c r="K89" s="224"/>
      <c r="L89" s="225"/>
      <c r="M89" s="225"/>
      <c r="N89" s="924"/>
      <c r="O89" s="224"/>
      <c r="P89" s="126"/>
      <c r="Q89" s="185"/>
      <c r="R89" s="643"/>
      <c r="S89" s="688"/>
      <c r="T89" s="732"/>
      <c r="U89" s="732"/>
      <c r="V89" s="787"/>
      <c r="W89" s="78">
        <v>224</v>
      </c>
      <c r="X89" s="666">
        <v>224</v>
      </c>
      <c r="Y89" s="1788"/>
      <c r="Z89" s="1780"/>
      <c r="AA89" s="1782"/>
      <c r="AB89" s="1784"/>
    </row>
    <row r="90" spans="1:29" s="23" customFormat="1" x14ac:dyDescent="0.25">
      <c r="A90" s="1355"/>
      <c r="B90" s="1356"/>
      <c r="C90" s="1357"/>
      <c r="D90" s="2022"/>
      <c r="E90" s="1120"/>
      <c r="F90" s="1119"/>
      <c r="G90" s="77"/>
      <c r="H90" s="82"/>
      <c r="I90" s="317"/>
      <c r="J90" s="842" t="s">
        <v>18</v>
      </c>
      <c r="K90" s="736">
        <f t="shared" ref="K90:V90" si="15">SUM(K87:K89)</f>
        <v>0</v>
      </c>
      <c r="L90" s="737">
        <f t="shared" si="15"/>
        <v>0</v>
      </c>
      <c r="M90" s="737">
        <f t="shared" si="15"/>
        <v>0</v>
      </c>
      <c r="N90" s="738">
        <f t="shared" si="15"/>
        <v>0</v>
      </c>
      <c r="O90" s="736">
        <f t="shared" si="15"/>
        <v>0</v>
      </c>
      <c r="P90" s="737">
        <f t="shared" si="15"/>
        <v>0</v>
      </c>
      <c r="Q90" s="737">
        <f t="shared" si="15"/>
        <v>0</v>
      </c>
      <c r="R90" s="753">
        <f t="shared" si="15"/>
        <v>0</v>
      </c>
      <c r="S90" s="733">
        <f t="shared" si="15"/>
        <v>0</v>
      </c>
      <c r="T90" s="734">
        <f t="shared" si="15"/>
        <v>0</v>
      </c>
      <c r="U90" s="734">
        <f t="shared" si="15"/>
        <v>0</v>
      </c>
      <c r="V90" s="751">
        <f t="shared" si="15"/>
        <v>0</v>
      </c>
      <c r="W90" s="752">
        <f>SUM(W87:W89)</f>
        <v>939</v>
      </c>
      <c r="X90" s="753">
        <f>SUM(X87:X89)</f>
        <v>939</v>
      </c>
      <c r="Y90" s="1788"/>
      <c r="Z90" s="1780"/>
      <c r="AA90" s="1782"/>
      <c r="AB90" s="1784"/>
    </row>
    <row r="91" spans="1:29" s="23" customFormat="1" x14ac:dyDescent="0.25">
      <c r="A91" s="1355"/>
      <c r="B91" s="1356"/>
      <c r="C91" s="206"/>
      <c r="D91" s="1113">
        <v>11</v>
      </c>
      <c r="E91" s="1621" t="s">
        <v>128</v>
      </c>
      <c r="F91" s="1115"/>
      <c r="G91" s="77"/>
      <c r="H91" s="59"/>
      <c r="I91" s="1370"/>
      <c r="J91" s="36" t="s">
        <v>27</v>
      </c>
      <c r="K91" s="221"/>
      <c r="L91" s="222"/>
      <c r="M91" s="222"/>
      <c r="N91" s="923"/>
      <c r="O91" s="221"/>
      <c r="P91" s="222"/>
      <c r="Q91" s="180"/>
      <c r="R91" s="181"/>
      <c r="S91" s="685"/>
      <c r="T91" s="686"/>
      <c r="U91" s="686"/>
      <c r="V91" s="687"/>
      <c r="W91" s="125">
        <v>606.79999999999995</v>
      </c>
      <c r="X91" s="65">
        <v>606.79999999999995</v>
      </c>
      <c r="Y91" s="2015" t="s">
        <v>127</v>
      </c>
      <c r="Z91" s="2016"/>
      <c r="AA91" s="1671">
        <v>40</v>
      </c>
      <c r="AB91" s="1667">
        <v>40</v>
      </c>
    </row>
    <row r="92" spans="1:29" s="23" customFormat="1" x14ac:dyDescent="0.25">
      <c r="A92" s="1355"/>
      <c r="B92" s="33"/>
      <c r="C92" s="206"/>
      <c r="D92" s="1075"/>
      <c r="E92" s="1622"/>
      <c r="F92" s="1115"/>
      <c r="G92" s="77"/>
      <c r="H92" s="59"/>
      <c r="I92" s="1370"/>
      <c r="J92" s="108" t="s">
        <v>32</v>
      </c>
      <c r="K92" s="221"/>
      <c r="L92" s="222"/>
      <c r="M92" s="222"/>
      <c r="N92" s="923"/>
      <c r="O92" s="221"/>
      <c r="P92" s="223"/>
      <c r="Q92" s="1383"/>
      <c r="R92" s="664"/>
      <c r="S92" s="673"/>
      <c r="T92" s="731"/>
      <c r="U92" s="731"/>
      <c r="V92" s="788"/>
      <c r="W92" s="125">
        <v>111.3</v>
      </c>
      <c r="X92" s="65">
        <v>111.3</v>
      </c>
      <c r="Y92" s="1778"/>
      <c r="Z92" s="1780"/>
      <c r="AA92" s="1782"/>
      <c r="AB92" s="1784"/>
    </row>
    <row r="93" spans="1:29" s="26" customFormat="1" x14ac:dyDescent="0.25">
      <c r="A93" s="1355"/>
      <c r="B93" s="33"/>
      <c r="C93" s="34"/>
      <c r="D93" s="1114"/>
      <c r="E93" s="1622"/>
      <c r="F93" s="172"/>
      <c r="G93" s="1362"/>
      <c r="H93" s="35"/>
      <c r="I93" s="654"/>
      <c r="J93" s="36" t="s">
        <v>17</v>
      </c>
      <c r="K93" s="224"/>
      <c r="L93" s="225"/>
      <c r="M93" s="225"/>
      <c r="N93" s="924"/>
      <c r="O93" s="224"/>
      <c r="P93" s="126"/>
      <c r="Q93" s="185"/>
      <c r="R93" s="643"/>
      <c r="S93" s="688"/>
      <c r="T93" s="732"/>
      <c r="U93" s="732"/>
      <c r="V93" s="787"/>
      <c r="W93" s="78">
        <v>225.3</v>
      </c>
      <c r="X93" s="666">
        <v>225.3</v>
      </c>
      <c r="Y93" s="1778"/>
      <c r="Z93" s="1780"/>
      <c r="AA93" s="1782"/>
      <c r="AB93" s="1784"/>
    </row>
    <row r="94" spans="1:29" s="23" customFormat="1" x14ac:dyDescent="0.25">
      <c r="A94" s="1355"/>
      <c r="B94" s="1356"/>
      <c r="C94" s="1357"/>
      <c r="D94" s="1075"/>
      <c r="E94" s="1120"/>
      <c r="F94" s="1119"/>
      <c r="G94" s="77"/>
      <c r="H94" s="82"/>
      <c r="I94" s="317"/>
      <c r="J94" s="854" t="s">
        <v>18</v>
      </c>
      <c r="K94" s="733">
        <f t="shared" ref="K94:V94" si="16">SUM(K91:K93)</f>
        <v>0</v>
      </c>
      <c r="L94" s="734">
        <f t="shared" si="16"/>
        <v>0</v>
      </c>
      <c r="M94" s="734">
        <f t="shared" si="16"/>
        <v>0</v>
      </c>
      <c r="N94" s="735">
        <f t="shared" si="16"/>
        <v>0</v>
      </c>
      <c r="O94" s="733">
        <f t="shared" si="16"/>
        <v>0</v>
      </c>
      <c r="P94" s="734">
        <f t="shared" si="16"/>
        <v>0</v>
      </c>
      <c r="Q94" s="734">
        <f t="shared" si="16"/>
        <v>0</v>
      </c>
      <c r="R94" s="751">
        <f t="shared" si="16"/>
        <v>0</v>
      </c>
      <c r="S94" s="736">
        <f t="shared" si="16"/>
        <v>0</v>
      </c>
      <c r="T94" s="737">
        <f t="shared" si="16"/>
        <v>0</v>
      </c>
      <c r="U94" s="737">
        <f t="shared" si="16"/>
        <v>0</v>
      </c>
      <c r="V94" s="753">
        <f t="shared" si="16"/>
        <v>0</v>
      </c>
      <c r="W94" s="750">
        <f>SUM(W91:W93)</f>
        <v>943.39999999999986</v>
      </c>
      <c r="X94" s="751">
        <f>SUM(X91:X93)</f>
        <v>943.39999999999986</v>
      </c>
      <c r="Y94" s="1779"/>
      <c r="Z94" s="2017"/>
      <c r="AA94" s="1670"/>
      <c r="AB94" s="1666"/>
    </row>
    <row r="95" spans="1:29" s="23" customFormat="1" x14ac:dyDescent="0.25">
      <c r="A95" s="1355"/>
      <c r="B95" s="1356"/>
      <c r="C95" s="1357"/>
      <c r="D95" s="1104"/>
      <c r="E95" s="1121"/>
      <c r="F95" s="1107"/>
      <c r="G95" s="1110"/>
      <c r="H95" s="1107"/>
      <c r="I95" s="1121"/>
      <c r="J95" s="602" t="s">
        <v>27</v>
      </c>
      <c r="K95" s="495">
        <f>L95+N95</f>
        <v>6979.6</v>
      </c>
      <c r="L95" s="589">
        <v>6979.6</v>
      </c>
      <c r="M95" s="589">
        <v>4567.2</v>
      </c>
      <c r="N95" s="926"/>
      <c r="O95" s="485"/>
      <c r="P95" s="212"/>
      <c r="Q95" s="212"/>
      <c r="R95" s="486"/>
      <c r="S95" s="673"/>
      <c r="T95" s="674"/>
      <c r="U95" s="674"/>
      <c r="V95" s="684"/>
      <c r="W95" s="519"/>
      <c r="X95" s="665"/>
      <c r="Y95" s="520"/>
      <c r="Z95" s="1371"/>
      <c r="AA95" s="1373"/>
      <c r="AB95" s="1375"/>
    </row>
    <row r="96" spans="1:29" s="23" customFormat="1" x14ac:dyDescent="0.25">
      <c r="A96" s="1355"/>
      <c r="B96" s="1356"/>
      <c r="C96" s="1357"/>
      <c r="D96" s="1105"/>
      <c r="E96" s="1122"/>
      <c r="F96" s="1108"/>
      <c r="G96" s="1111"/>
      <c r="H96" s="1108"/>
      <c r="I96" s="1122"/>
      <c r="J96" s="602" t="s">
        <v>32</v>
      </c>
      <c r="K96" s="495">
        <f>L96+N96</f>
        <v>1576.4</v>
      </c>
      <c r="L96" s="589">
        <v>1573.4</v>
      </c>
      <c r="M96" s="589">
        <v>585.4</v>
      </c>
      <c r="N96" s="926">
        <v>3</v>
      </c>
      <c r="O96" s="493"/>
      <c r="P96" s="207"/>
      <c r="Q96" s="207"/>
      <c r="R96" s="208"/>
      <c r="S96" s="717"/>
      <c r="T96" s="739"/>
      <c r="U96" s="739"/>
      <c r="V96" s="829"/>
      <c r="W96" s="507"/>
      <c r="X96" s="565"/>
      <c r="Y96" s="2018"/>
      <c r="Z96" s="1371"/>
      <c r="AA96" s="1373"/>
      <c r="AB96" s="1375"/>
      <c r="AC96" s="9"/>
    </row>
    <row r="97" spans="1:28" s="23" customFormat="1" x14ac:dyDescent="0.25">
      <c r="A97" s="1355"/>
      <c r="B97" s="1356"/>
      <c r="C97" s="1357"/>
      <c r="D97" s="1105"/>
      <c r="E97" s="1122"/>
      <c r="F97" s="1108"/>
      <c r="G97" s="1111"/>
      <c r="H97" s="1108"/>
      <c r="I97" s="1122"/>
      <c r="J97" s="36" t="s">
        <v>21</v>
      </c>
      <c r="K97" s="495">
        <f>L97+N97</f>
        <v>376.7</v>
      </c>
      <c r="L97" s="563">
        <v>376.7</v>
      </c>
      <c r="M97" s="563"/>
      <c r="N97" s="927"/>
      <c r="O97" s="463"/>
      <c r="P97" s="180"/>
      <c r="Q97" s="180"/>
      <c r="R97" s="181"/>
      <c r="S97" s="673"/>
      <c r="T97" s="674"/>
      <c r="U97" s="674"/>
      <c r="V97" s="684"/>
      <c r="W97" s="125"/>
      <c r="X97" s="65"/>
      <c r="Y97" s="2019"/>
      <c r="Z97" s="451"/>
      <c r="AA97" s="68"/>
      <c r="AB97" s="337"/>
    </row>
    <row r="98" spans="1:28" s="23" customFormat="1" x14ac:dyDescent="0.25">
      <c r="A98" s="1355"/>
      <c r="B98" s="1356"/>
      <c r="C98" s="1357"/>
      <c r="D98" s="1106"/>
      <c r="E98" s="1123"/>
      <c r="F98" s="1109"/>
      <c r="G98" s="1112"/>
      <c r="H98" s="1109"/>
      <c r="I98" s="1123"/>
      <c r="J98" s="108" t="s">
        <v>17</v>
      </c>
      <c r="K98" s="392">
        <f>L98+N98</f>
        <v>2611</v>
      </c>
      <c r="L98" s="393">
        <v>2611</v>
      </c>
      <c r="M98" s="393">
        <v>1383.5</v>
      </c>
      <c r="N98" s="928"/>
      <c r="O98" s="941"/>
      <c r="P98" s="440"/>
      <c r="Q98" s="440"/>
      <c r="R98" s="186"/>
      <c r="S98" s="688"/>
      <c r="T98" s="689"/>
      <c r="U98" s="689"/>
      <c r="V98" s="690"/>
      <c r="W98" s="74"/>
      <c r="X98" s="70"/>
      <c r="Y98" s="2019"/>
      <c r="Z98" s="451"/>
      <c r="AA98" s="68"/>
      <c r="AB98" s="337"/>
    </row>
    <row r="99" spans="1:28" s="23" customFormat="1" ht="15" customHeight="1" x14ac:dyDescent="0.25">
      <c r="A99" s="1380"/>
      <c r="B99" s="1356"/>
      <c r="C99" s="6"/>
      <c r="D99" s="2003" t="s">
        <v>18</v>
      </c>
      <c r="E99" s="2004"/>
      <c r="F99" s="2004"/>
      <c r="G99" s="2004"/>
      <c r="H99" s="2004"/>
      <c r="I99" s="2004"/>
      <c r="J99" s="2005"/>
      <c r="K99" s="590">
        <f>L99+N99</f>
        <v>11543.7</v>
      </c>
      <c r="L99" s="591">
        <f>SUM(L95:L98)</f>
        <v>11540.7</v>
      </c>
      <c r="M99" s="592">
        <f>SUM(M95:M98)</f>
        <v>6536.0999999999995</v>
      </c>
      <c r="N99" s="929">
        <f>SUM(N95:N98)</f>
        <v>3</v>
      </c>
      <c r="O99" s="946">
        <f>P99+R99</f>
        <v>11902.099999999999</v>
      </c>
      <c r="P99" s="402">
        <f>P86+P94+P90+P82+P77+P72+P67+P64+P57+P52+P42</f>
        <v>11850.8</v>
      </c>
      <c r="Q99" s="402">
        <f t="shared" ref="Q99:X99" si="17">Q86+Q94+Q90+Q82+Q77+Q72+Q67+Q64+Q57+Q52+Q42</f>
        <v>6742.9000000000005</v>
      </c>
      <c r="R99" s="947">
        <f t="shared" si="17"/>
        <v>51.3</v>
      </c>
      <c r="S99" s="661">
        <f>S94+S90+S86+S82+S77+S72+S67+S64+S57+S52+S42</f>
        <v>11483</v>
      </c>
      <c r="T99" s="402">
        <f t="shared" ref="T99" si="18">T94+T90+T86+T82+T77+T72+T67+T64+T57+T52+T42</f>
        <v>11443</v>
      </c>
      <c r="U99" s="402">
        <f>U94+U90+U86+U82+U77+U72+U67+U64+U57+U52+U42</f>
        <v>6680.7</v>
      </c>
      <c r="V99" s="667">
        <f>V94+V90+V86+V82+V77+V72+V67+V64+V57+V52+V42</f>
        <v>40</v>
      </c>
      <c r="W99" s="414">
        <f>W86+W94+W90+W82+W77+W72+W67+W64+W57+W52+W42</f>
        <v>15184.3</v>
      </c>
      <c r="X99" s="667">
        <f t="shared" si="17"/>
        <v>15217.099999999999</v>
      </c>
      <c r="Y99" s="1888"/>
      <c r="Z99" s="1889"/>
      <c r="AA99" s="1889"/>
      <c r="AB99" s="1890"/>
    </row>
    <row r="100" spans="1:28" s="23" customFormat="1" ht="15.75" customHeight="1" thickBot="1" x14ac:dyDescent="0.3">
      <c r="A100" s="1380"/>
      <c r="B100" s="1356"/>
      <c r="C100" s="1357"/>
      <c r="D100" s="2006" t="s">
        <v>183</v>
      </c>
      <c r="E100" s="2007"/>
      <c r="F100" s="2007"/>
      <c r="G100" s="2007"/>
      <c r="H100" s="2007"/>
      <c r="I100" s="2007"/>
      <c r="J100" s="2008"/>
      <c r="K100" s="409"/>
      <c r="L100" s="410"/>
      <c r="M100" s="410"/>
      <c r="N100" s="930"/>
      <c r="O100" s="948">
        <f>O103+O105</f>
        <v>226.70000000000002</v>
      </c>
      <c r="P100" s="412">
        <f>P103+P105</f>
        <v>226.70000000000002</v>
      </c>
      <c r="Q100" s="412">
        <f>Q103+Q105</f>
        <v>173.1</v>
      </c>
      <c r="R100" s="949">
        <f>R103+R105</f>
        <v>0</v>
      </c>
      <c r="S100" s="409"/>
      <c r="T100" s="410"/>
      <c r="U100" s="410"/>
      <c r="V100" s="411"/>
      <c r="W100" s="415"/>
      <c r="X100" s="668"/>
      <c r="Y100" s="1891"/>
      <c r="Z100" s="1892"/>
      <c r="AA100" s="1892"/>
      <c r="AB100" s="1893"/>
    </row>
    <row r="101" spans="1:28" s="23" customFormat="1" x14ac:dyDescent="0.25">
      <c r="A101" s="1380"/>
      <c r="B101" s="1356"/>
      <c r="C101" s="1357"/>
      <c r="D101" s="406"/>
      <c r="E101" s="1406"/>
      <c r="F101" s="1407"/>
      <c r="G101" s="1407"/>
      <c r="H101" s="1407"/>
      <c r="I101" s="1408"/>
      <c r="J101" s="648" t="s">
        <v>184</v>
      </c>
      <c r="K101" s="405"/>
      <c r="L101" s="403"/>
      <c r="M101" s="403"/>
      <c r="N101" s="931"/>
      <c r="O101" s="950">
        <f>P101+R101</f>
        <v>7796.3000000000011</v>
      </c>
      <c r="P101" s="407">
        <f>SUMIF(J37:J85,J39,P37:P85)</f>
        <v>7783.0000000000009</v>
      </c>
      <c r="Q101" s="408">
        <f>SUMIF(J37:J85,J39,Q37:Q85)</f>
        <v>5138.5999999999995</v>
      </c>
      <c r="R101" s="951">
        <f>SUMIF(J37:J85,J37,R37:R85)</f>
        <v>13.3</v>
      </c>
      <c r="S101" s="754"/>
      <c r="T101" s="755"/>
      <c r="U101" s="755"/>
      <c r="V101" s="756"/>
      <c r="W101" s="556"/>
      <c r="X101" s="559"/>
      <c r="Y101" s="1358"/>
      <c r="Z101" s="388"/>
      <c r="AA101" s="1359"/>
      <c r="AB101" s="340"/>
    </row>
    <row r="102" spans="1:28" s="23" customFormat="1" ht="13.5" thickBot="1" x14ac:dyDescent="0.3">
      <c r="A102" s="1380"/>
      <c r="B102" s="1356"/>
      <c r="C102" s="1357"/>
      <c r="D102" s="406"/>
      <c r="E102" s="1409"/>
      <c r="F102" s="389"/>
      <c r="G102" s="389"/>
      <c r="H102" s="389"/>
      <c r="I102" s="404"/>
      <c r="J102" s="653" t="s">
        <v>27</v>
      </c>
      <c r="K102" s="405"/>
      <c r="L102" s="403"/>
      <c r="M102" s="403"/>
      <c r="N102" s="931"/>
      <c r="O102" s="950"/>
      <c r="P102" s="407"/>
      <c r="Q102" s="408"/>
      <c r="R102" s="951"/>
      <c r="S102" s="754"/>
      <c r="T102" s="755"/>
      <c r="U102" s="755"/>
      <c r="V102" s="756"/>
      <c r="W102" s="651"/>
      <c r="X102" s="652"/>
      <c r="Y102" s="1358"/>
      <c r="Z102" s="388"/>
      <c r="AA102" s="1359"/>
      <c r="AB102" s="340"/>
    </row>
    <row r="103" spans="1:28" s="23" customFormat="1" ht="13.5" thickTop="1" x14ac:dyDescent="0.25">
      <c r="A103" s="1380"/>
      <c r="B103" s="1356"/>
      <c r="C103" s="1357"/>
      <c r="D103" s="404"/>
      <c r="E103" s="2009" t="s">
        <v>183</v>
      </c>
      <c r="F103" s="2010"/>
      <c r="G103" s="2010"/>
      <c r="H103" s="2010"/>
      <c r="I103" s="2010"/>
      <c r="J103" s="2011"/>
      <c r="K103" s="394"/>
      <c r="L103" s="390"/>
      <c r="M103" s="390"/>
      <c r="N103" s="932"/>
      <c r="O103" s="952">
        <f>P103</f>
        <v>200.4</v>
      </c>
      <c r="P103" s="397">
        <f>47.4+Q103</f>
        <v>200.4</v>
      </c>
      <c r="Q103" s="397">
        <f>173.1-20.1</f>
        <v>153</v>
      </c>
      <c r="R103" s="953"/>
      <c r="S103" s="757"/>
      <c r="T103" s="758"/>
      <c r="U103" s="758"/>
      <c r="V103" s="759"/>
      <c r="W103" s="557"/>
      <c r="X103" s="560"/>
      <c r="Y103" s="1358"/>
      <c r="Z103" s="388"/>
      <c r="AA103" s="1359"/>
      <c r="AB103" s="340"/>
    </row>
    <row r="104" spans="1:28" s="23" customFormat="1" x14ac:dyDescent="0.25">
      <c r="A104" s="1380"/>
      <c r="B104" s="1356"/>
      <c r="C104" s="1357"/>
      <c r="D104" s="404"/>
      <c r="E104" s="1410"/>
      <c r="F104" s="646"/>
      <c r="G104" s="646"/>
      <c r="H104" s="646"/>
      <c r="I104" s="647"/>
      <c r="J104" s="649" t="s">
        <v>185</v>
      </c>
      <c r="K104" s="394"/>
      <c r="L104" s="390"/>
      <c r="M104" s="390"/>
      <c r="N104" s="932"/>
      <c r="O104" s="954">
        <f>P104+R104</f>
        <v>1989.5</v>
      </c>
      <c r="P104" s="391">
        <f>SUMIF(J39:J94,J75,P39:P94)</f>
        <v>1989.5</v>
      </c>
      <c r="Q104" s="391">
        <f>SUMIF(J37:J94,J75,Q37:Q94)</f>
        <v>1188</v>
      </c>
      <c r="R104" s="953">
        <f>SUMIF(J39:J94,J70,R39:R94)</f>
        <v>0</v>
      </c>
      <c r="S104" s="757"/>
      <c r="T104" s="758"/>
      <c r="U104" s="758"/>
      <c r="V104" s="759"/>
      <c r="W104" s="557"/>
      <c r="X104" s="560"/>
      <c r="Y104" s="1358"/>
      <c r="Z104" s="388"/>
      <c r="AA104" s="1359"/>
      <c r="AB104" s="340"/>
    </row>
    <row r="105" spans="1:28" s="23" customFormat="1" x14ac:dyDescent="0.25">
      <c r="A105" s="1380"/>
      <c r="B105" s="1356"/>
      <c r="C105" s="1357"/>
      <c r="D105" s="1405"/>
      <c r="E105" s="2009" t="s">
        <v>183</v>
      </c>
      <c r="F105" s="2010"/>
      <c r="G105" s="2010"/>
      <c r="H105" s="2010"/>
      <c r="I105" s="2010"/>
      <c r="J105" s="2012"/>
      <c r="K105" s="395"/>
      <c r="L105" s="396"/>
      <c r="M105" s="396"/>
      <c r="N105" s="933"/>
      <c r="O105" s="955">
        <f>P105</f>
        <v>26.3</v>
      </c>
      <c r="P105" s="413">
        <f>6.2+20.1</f>
        <v>26.3</v>
      </c>
      <c r="Q105" s="413">
        <v>20.100000000000001</v>
      </c>
      <c r="R105" s="956"/>
      <c r="S105" s="760"/>
      <c r="T105" s="761"/>
      <c r="U105" s="761"/>
      <c r="V105" s="762"/>
      <c r="W105" s="644"/>
      <c r="X105" s="645"/>
      <c r="Y105" s="1358"/>
      <c r="Z105" s="388"/>
      <c r="AA105" s="1359"/>
      <c r="AB105" s="340"/>
    </row>
    <row r="106" spans="1:28" s="23" customFormat="1" ht="13.5" thickBot="1" x14ac:dyDescent="0.3">
      <c r="A106" s="659"/>
      <c r="B106" s="1349"/>
      <c r="C106" s="1366"/>
      <c r="D106" s="1442"/>
      <c r="E106" s="1411"/>
      <c r="F106" s="1412"/>
      <c r="G106" s="1412"/>
      <c r="H106" s="1412"/>
      <c r="I106" s="1413"/>
      <c r="J106" s="650" t="s">
        <v>32</v>
      </c>
      <c r="K106" s="1443"/>
      <c r="L106" s="1444"/>
      <c r="M106" s="1444"/>
      <c r="N106" s="1445"/>
      <c r="O106" s="1446"/>
      <c r="P106" s="1447"/>
      <c r="Q106" s="1447"/>
      <c r="R106" s="1448"/>
      <c r="S106" s="678"/>
      <c r="T106" s="679"/>
      <c r="U106" s="679"/>
      <c r="V106" s="680"/>
      <c r="W106" s="558"/>
      <c r="X106" s="561"/>
      <c r="Y106" s="1449"/>
      <c r="Z106" s="1450"/>
      <c r="AA106" s="1343"/>
      <c r="AB106" s="1342"/>
    </row>
    <row r="107" spans="1:28" s="22" customFormat="1" ht="26.25" customHeight="1" x14ac:dyDescent="0.25">
      <c r="A107" s="1772" t="s">
        <v>13</v>
      </c>
      <c r="B107" s="1774" t="s">
        <v>19</v>
      </c>
      <c r="C107" s="1776" t="s">
        <v>19</v>
      </c>
      <c r="D107" s="656"/>
      <c r="E107" s="1629" t="s">
        <v>54</v>
      </c>
      <c r="F107" s="1763"/>
      <c r="G107" s="1767">
        <v>10</v>
      </c>
      <c r="H107" s="1769" t="s">
        <v>26</v>
      </c>
      <c r="I107" s="2013" t="s">
        <v>196</v>
      </c>
      <c r="J107" s="83" t="s">
        <v>27</v>
      </c>
      <c r="K107" s="452">
        <f>L107+N107</f>
        <v>852</v>
      </c>
      <c r="L107" s="170">
        <v>852</v>
      </c>
      <c r="M107" s="170"/>
      <c r="N107" s="31"/>
      <c r="O107" s="428">
        <f>P107+R107</f>
        <v>832.3</v>
      </c>
      <c r="P107" s="170">
        <v>832.3</v>
      </c>
      <c r="Q107" s="170"/>
      <c r="R107" s="171"/>
      <c r="S107" s="764">
        <f>T107+V107</f>
        <v>832.3</v>
      </c>
      <c r="T107" s="765">
        <v>832.3</v>
      </c>
      <c r="U107" s="765"/>
      <c r="V107" s="672"/>
      <c r="W107" s="84">
        <v>850</v>
      </c>
      <c r="X107" s="84">
        <v>850</v>
      </c>
      <c r="Y107" s="1999" t="s">
        <v>162</v>
      </c>
      <c r="Z107" s="347">
        <v>65</v>
      </c>
      <c r="AA107" s="348">
        <v>70</v>
      </c>
      <c r="AB107" s="349">
        <v>70</v>
      </c>
    </row>
    <row r="108" spans="1:28" s="23" customFormat="1" ht="13.5" thickBot="1" x14ac:dyDescent="0.3">
      <c r="A108" s="1773"/>
      <c r="B108" s="1775"/>
      <c r="C108" s="1777"/>
      <c r="D108" s="657"/>
      <c r="E108" s="1614"/>
      <c r="F108" s="1764"/>
      <c r="G108" s="1768"/>
      <c r="H108" s="1770"/>
      <c r="I108" s="2014"/>
      <c r="J108" s="833" t="s">
        <v>18</v>
      </c>
      <c r="K108" s="698">
        <f>L108+N108</f>
        <v>852</v>
      </c>
      <c r="L108" s="693">
        <f>SUM(L107)</f>
        <v>852</v>
      </c>
      <c r="M108" s="692"/>
      <c r="N108" s="835"/>
      <c r="O108" s="698">
        <f>P108+R108</f>
        <v>832.3</v>
      </c>
      <c r="P108" s="693">
        <f>SUM(P107)</f>
        <v>832.3</v>
      </c>
      <c r="Q108" s="692"/>
      <c r="R108" s="699"/>
      <c r="S108" s="698">
        <f>T108+V108</f>
        <v>832.3</v>
      </c>
      <c r="T108" s="693">
        <f>T107</f>
        <v>832.3</v>
      </c>
      <c r="U108" s="692"/>
      <c r="V108" s="699"/>
      <c r="W108" s="694">
        <f>SUM(W107)</f>
        <v>850</v>
      </c>
      <c r="X108" s="713">
        <f>SUM(X107)</f>
        <v>850</v>
      </c>
      <c r="Y108" s="1750"/>
      <c r="Z108" s="1251"/>
      <c r="AA108" s="1252"/>
      <c r="AB108" s="1253"/>
    </row>
    <row r="109" spans="1:28" s="22" customFormat="1" ht="76.5" x14ac:dyDescent="0.25">
      <c r="A109" s="993" t="s">
        <v>13</v>
      </c>
      <c r="B109" s="994" t="s">
        <v>19</v>
      </c>
      <c r="C109" s="974" t="s">
        <v>22</v>
      </c>
      <c r="D109" s="227"/>
      <c r="E109" s="522" t="s">
        <v>55</v>
      </c>
      <c r="F109" s="320"/>
      <c r="G109" s="995">
        <v>10</v>
      </c>
      <c r="H109" s="996" t="s">
        <v>26</v>
      </c>
      <c r="I109" s="1998" t="s">
        <v>198</v>
      </c>
      <c r="J109" s="83"/>
      <c r="K109" s="5"/>
      <c r="L109" s="4"/>
      <c r="M109" s="4"/>
      <c r="N109" s="86"/>
      <c r="O109" s="5"/>
      <c r="P109" s="4"/>
      <c r="Q109" s="4"/>
      <c r="R109" s="86"/>
      <c r="S109" s="766"/>
      <c r="T109" s="767"/>
      <c r="U109" s="767"/>
      <c r="V109" s="766"/>
      <c r="W109" s="85"/>
      <c r="X109" s="86"/>
      <c r="Y109" s="992"/>
      <c r="Z109" s="350"/>
      <c r="AA109" s="348"/>
      <c r="AB109" s="351"/>
    </row>
    <row r="110" spans="1:28" s="22" customFormat="1" ht="51" x14ac:dyDescent="0.25">
      <c r="A110" s="87"/>
      <c r="B110" s="88"/>
      <c r="C110" s="34"/>
      <c r="D110" s="228" t="s">
        <v>13</v>
      </c>
      <c r="E110" s="523" t="s">
        <v>129</v>
      </c>
      <c r="F110" s="231"/>
      <c r="G110" s="89"/>
      <c r="H110" s="90"/>
      <c r="I110" s="1981"/>
      <c r="J110" s="229" t="s">
        <v>27</v>
      </c>
      <c r="K110" s="136">
        <f t="shared" ref="K110:K117" si="19">L110+N110</f>
        <v>290</v>
      </c>
      <c r="L110" s="427">
        <v>290</v>
      </c>
      <c r="M110" s="427"/>
      <c r="N110" s="115"/>
      <c r="O110" s="136">
        <f t="shared" ref="O110:O125" si="20">P110+R110</f>
        <v>290</v>
      </c>
      <c r="P110" s="427">
        <v>290</v>
      </c>
      <c r="Q110" s="427"/>
      <c r="R110" s="115"/>
      <c r="S110" s="768">
        <f t="shared" ref="S110:S111" si="21">T110+V110</f>
        <v>290</v>
      </c>
      <c r="T110" s="769">
        <v>290</v>
      </c>
      <c r="U110" s="769"/>
      <c r="V110" s="768"/>
      <c r="W110" s="114">
        <v>150</v>
      </c>
      <c r="X110" s="115">
        <v>150</v>
      </c>
      <c r="Y110" s="524" t="s">
        <v>130</v>
      </c>
      <c r="Z110" s="525">
        <v>35</v>
      </c>
      <c r="AA110" s="526">
        <v>17</v>
      </c>
      <c r="AB110" s="527">
        <v>17</v>
      </c>
    </row>
    <row r="111" spans="1:28" s="22" customFormat="1" ht="48" x14ac:dyDescent="0.25">
      <c r="A111" s="87"/>
      <c r="B111" s="88"/>
      <c r="C111" s="34"/>
      <c r="D111" s="228" t="s">
        <v>19</v>
      </c>
      <c r="E111" s="1290" t="s">
        <v>131</v>
      </c>
      <c r="F111" s="231"/>
      <c r="G111" s="89"/>
      <c r="H111" s="90"/>
      <c r="I111" s="1246"/>
      <c r="J111" s="96" t="s">
        <v>27</v>
      </c>
      <c r="K111" s="134">
        <f t="shared" si="19"/>
        <v>187.8</v>
      </c>
      <c r="L111" s="318">
        <v>187.8</v>
      </c>
      <c r="M111" s="318"/>
      <c r="N111" s="319"/>
      <c r="O111" s="134">
        <f t="shared" si="20"/>
        <v>230</v>
      </c>
      <c r="P111" s="318">
        <v>230</v>
      </c>
      <c r="Q111" s="318"/>
      <c r="R111" s="319"/>
      <c r="S111" s="770">
        <f t="shared" si="21"/>
        <v>230</v>
      </c>
      <c r="T111" s="771">
        <v>230</v>
      </c>
      <c r="U111" s="771"/>
      <c r="V111" s="770"/>
      <c r="W111" s="135">
        <v>230</v>
      </c>
      <c r="X111" s="319">
        <v>230</v>
      </c>
      <c r="Y111" s="528" t="s">
        <v>132</v>
      </c>
      <c r="Z111" s="1292">
        <v>20</v>
      </c>
      <c r="AA111" s="529">
        <v>20</v>
      </c>
      <c r="AB111" s="505">
        <v>20</v>
      </c>
    </row>
    <row r="112" spans="1:28" s="22" customFormat="1" ht="48" x14ac:dyDescent="0.25">
      <c r="A112" s="87"/>
      <c r="B112" s="88"/>
      <c r="C112" s="34"/>
      <c r="D112" s="1291" t="s">
        <v>22</v>
      </c>
      <c r="E112" s="523" t="s">
        <v>133</v>
      </c>
      <c r="F112" s="231"/>
      <c r="G112" s="89"/>
      <c r="H112" s="232"/>
      <c r="I112" s="961"/>
      <c r="J112" s="229" t="s">
        <v>27</v>
      </c>
      <c r="K112" s="136">
        <f>L112+N112</f>
        <v>231.8</v>
      </c>
      <c r="L112" s="427">
        <v>231.8</v>
      </c>
      <c r="M112" s="427"/>
      <c r="N112" s="115"/>
      <c r="O112" s="136">
        <f t="shared" si="20"/>
        <v>272.2</v>
      </c>
      <c r="P112" s="427">
        <v>272.2</v>
      </c>
      <c r="Q112" s="427"/>
      <c r="R112" s="115"/>
      <c r="S112" s="768">
        <f>T112+V112</f>
        <v>272.2</v>
      </c>
      <c r="T112" s="769">
        <v>272.2</v>
      </c>
      <c r="U112" s="769"/>
      <c r="V112" s="768"/>
      <c r="W112" s="114">
        <v>272.2</v>
      </c>
      <c r="X112" s="115">
        <v>272.2</v>
      </c>
      <c r="Y112" s="1025" t="s">
        <v>163</v>
      </c>
      <c r="Z112" s="438">
        <v>34</v>
      </c>
      <c r="AA112" s="1249">
        <v>34</v>
      </c>
      <c r="AB112" s="335">
        <v>34</v>
      </c>
    </row>
    <row r="113" spans="1:28" s="22" customFormat="1" ht="54" customHeight="1" x14ac:dyDescent="0.25">
      <c r="A113" s="87"/>
      <c r="B113" s="88"/>
      <c r="C113" s="34"/>
      <c r="D113" s="228" t="s">
        <v>24</v>
      </c>
      <c r="E113" s="638" t="s">
        <v>103</v>
      </c>
      <c r="F113" s="231"/>
      <c r="G113" s="89"/>
      <c r="H113" s="90"/>
      <c r="I113" s="961"/>
      <c r="J113" s="96" t="s">
        <v>27</v>
      </c>
      <c r="K113" s="134"/>
      <c r="L113" s="318"/>
      <c r="M113" s="318"/>
      <c r="N113" s="319"/>
      <c r="O113" s="134">
        <f t="shared" si="20"/>
        <v>140</v>
      </c>
      <c r="P113" s="318">
        <v>140</v>
      </c>
      <c r="Q113" s="318"/>
      <c r="R113" s="319"/>
      <c r="S113" s="770">
        <f>T113+V113</f>
        <v>140</v>
      </c>
      <c r="T113" s="771">
        <v>140</v>
      </c>
      <c r="U113" s="771"/>
      <c r="V113" s="770"/>
      <c r="W113" s="135">
        <v>140</v>
      </c>
      <c r="X113" s="319">
        <v>140</v>
      </c>
      <c r="Y113" s="528" t="s">
        <v>164</v>
      </c>
      <c r="Z113" s="530">
        <v>200</v>
      </c>
      <c r="AA113" s="529">
        <v>200</v>
      </c>
      <c r="AB113" s="963">
        <v>200</v>
      </c>
    </row>
    <row r="114" spans="1:28" s="22" customFormat="1" ht="63.75" customHeight="1" x14ac:dyDescent="0.25">
      <c r="A114" s="87"/>
      <c r="B114" s="88"/>
      <c r="C114" s="34"/>
      <c r="D114" s="228" t="s">
        <v>28</v>
      </c>
      <c r="E114" s="1701" t="s">
        <v>194</v>
      </c>
      <c r="F114" s="231"/>
      <c r="G114" s="89"/>
      <c r="H114" s="90"/>
      <c r="I114" s="961"/>
      <c r="J114" s="616" t="s">
        <v>42</v>
      </c>
      <c r="K114" s="134"/>
      <c r="L114" s="318"/>
      <c r="M114" s="318"/>
      <c r="N114" s="319"/>
      <c r="O114" s="134">
        <f t="shared" si="20"/>
        <v>206.1</v>
      </c>
      <c r="P114" s="318">
        <v>206.1</v>
      </c>
      <c r="Q114" s="318"/>
      <c r="R114" s="319"/>
      <c r="S114" s="802">
        <f t="shared" ref="S114" si="22">T114+V114</f>
        <v>206.1</v>
      </c>
      <c r="T114" s="771">
        <v>206.1</v>
      </c>
      <c r="U114" s="771"/>
      <c r="V114" s="770"/>
      <c r="W114" s="135">
        <v>206.1</v>
      </c>
      <c r="X114" s="319">
        <v>206.1</v>
      </c>
      <c r="Y114" s="528" t="s">
        <v>165</v>
      </c>
      <c r="Z114" s="530">
        <v>8</v>
      </c>
      <c r="AA114" s="529">
        <v>8</v>
      </c>
      <c r="AB114" s="963">
        <v>8</v>
      </c>
    </row>
    <row r="115" spans="1:28" s="23" customFormat="1" ht="13.5" thickBot="1" x14ac:dyDescent="0.3">
      <c r="A115" s="12"/>
      <c r="B115" s="13"/>
      <c r="C115" s="14"/>
      <c r="D115" s="234"/>
      <c r="E115" s="1614"/>
      <c r="F115" s="235"/>
      <c r="G115" s="15"/>
      <c r="H115" s="230"/>
      <c r="I115" s="961"/>
      <c r="J115" s="833" t="s">
        <v>18</v>
      </c>
      <c r="K115" s="698">
        <f>L115+N115</f>
        <v>709.6</v>
      </c>
      <c r="L115" s="693">
        <f>SUM(L110:L114)</f>
        <v>709.6</v>
      </c>
      <c r="M115" s="692"/>
      <c r="N115" s="699"/>
      <c r="O115" s="698">
        <f t="shared" si="20"/>
        <v>1138.3</v>
      </c>
      <c r="P115" s="693">
        <f>SUM(P110:P114)</f>
        <v>1138.3</v>
      </c>
      <c r="Q115" s="692"/>
      <c r="R115" s="699"/>
      <c r="S115" s="698">
        <f t="shared" ref="S115" si="23">T115+V115</f>
        <v>1138.3</v>
      </c>
      <c r="T115" s="693">
        <f>SUM(T110:T114)</f>
        <v>1138.3</v>
      </c>
      <c r="U115" s="692"/>
      <c r="V115" s="699"/>
      <c r="W115" s="713">
        <f>SUM(W110:W114)</f>
        <v>998.30000000000007</v>
      </c>
      <c r="X115" s="789">
        <f>SUM(X110:X114)</f>
        <v>998.30000000000007</v>
      </c>
      <c r="Y115" s="49"/>
      <c r="Z115" s="352"/>
      <c r="AA115" s="353"/>
      <c r="AB115" s="354"/>
    </row>
    <row r="116" spans="1:28" s="22" customFormat="1" ht="27.75" customHeight="1" x14ac:dyDescent="0.25">
      <c r="A116" s="1757" t="s">
        <v>13</v>
      </c>
      <c r="B116" s="1759" t="s">
        <v>19</v>
      </c>
      <c r="C116" s="1761" t="s">
        <v>24</v>
      </c>
      <c r="D116" s="227"/>
      <c r="E116" s="1687" t="s">
        <v>33</v>
      </c>
      <c r="F116" s="1763"/>
      <c r="G116" s="1765">
        <v>10</v>
      </c>
      <c r="H116" s="1748" t="s">
        <v>26</v>
      </c>
      <c r="I116" s="1998" t="s">
        <v>196</v>
      </c>
      <c r="J116" s="83" t="s">
        <v>27</v>
      </c>
      <c r="K116" s="428">
        <f t="shared" si="19"/>
        <v>80</v>
      </c>
      <c r="L116" s="170">
        <v>80</v>
      </c>
      <c r="M116" s="170"/>
      <c r="N116" s="171"/>
      <c r="O116" s="428">
        <f t="shared" si="20"/>
        <v>80</v>
      </c>
      <c r="P116" s="170">
        <v>80</v>
      </c>
      <c r="Q116" s="170"/>
      <c r="R116" s="171"/>
      <c r="S116" s="764">
        <f>T116+U116+V116</f>
        <v>80</v>
      </c>
      <c r="T116" s="765">
        <v>80</v>
      </c>
      <c r="U116" s="765"/>
      <c r="V116" s="772"/>
      <c r="W116" s="32">
        <v>85</v>
      </c>
      <c r="X116" s="91">
        <v>85</v>
      </c>
      <c r="Y116" s="1999" t="s">
        <v>214</v>
      </c>
      <c r="Z116" s="1751">
        <v>22</v>
      </c>
      <c r="AA116" s="1753">
        <v>22</v>
      </c>
      <c r="AB116" s="1755">
        <v>22</v>
      </c>
    </row>
    <row r="117" spans="1:28" s="22" customFormat="1" ht="13.5" thickBot="1" x14ac:dyDescent="0.3">
      <c r="A117" s="1758"/>
      <c r="B117" s="1760"/>
      <c r="C117" s="1762"/>
      <c r="D117" s="236"/>
      <c r="E117" s="1607"/>
      <c r="F117" s="1764"/>
      <c r="G117" s="1766"/>
      <c r="H117" s="1749"/>
      <c r="I117" s="1943"/>
      <c r="J117" s="840" t="s">
        <v>18</v>
      </c>
      <c r="K117" s="678">
        <f t="shared" si="19"/>
        <v>80</v>
      </c>
      <c r="L117" s="679">
        <f>SUM(L116)</f>
        <v>80</v>
      </c>
      <c r="M117" s="679"/>
      <c r="N117" s="680"/>
      <c r="O117" s="773">
        <f t="shared" si="20"/>
        <v>80</v>
      </c>
      <c r="P117" s="774">
        <f>SUM(P116)</f>
        <v>80</v>
      </c>
      <c r="Q117" s="774"/>
      <c r="R117" s="841"/>
      <c r="S117" s="773">
        <f t="shared" ref="S117:S124" si="24">T117+V117</f>
        <v>80</v>
      </c>
      <c r="T117" s="774">
        <f>SUM(T116)</f>
        <v>80</v>
      </c>
      <c r="U117" s="774"/>
      <c r="V117" s="775"/>
      <c r="W117" s="743">
        <f>SUM(W116)</f>
        <v>85</v>
      </c>
      <c r="X117" s="742">
        <f>SUM(X116)</f>
        <v>85</v>
      </c>
      <c r="Y117" s="1750"/>
      <c r="Z117" s="1752"/>
      <c r="AA117" s="1754"/>
      <c r="AB117" s="1756"/>
    </row>
    <row r="118" spans="1:28" s="22" customFormat="1" x14ac:dyDescent="0.25">
      <c r="A118" s="1736" t="s">
        <v>13</v>
      </c>
      <c r="B118" s="1737" t="s">
        <v>19</v>
      </c>
      <c r="C118" s="980" t="s">
        <v>28</v>
      </c>
      <c r="D118" s="237"/>
      <c r="E118" s="1745" t="s">
        <v>34</v>
      </c>
      <c r="F118" s="238"/>
      <c r="G118" s="990">
        <v>10</v>
      </c>
      <c r="H118" s="92" t="s">
        <v>35</v>
      </c>
      <c r="I118" s="2000" t="s">
        <v>199</v>
      </c>
      <c r="J118" s="93" t="s">
        <v>27</v>
      </c>
      <c r="K118" s="593">
        <f>+L118+N118</f>
        <v>150</v>
      </c>
      <c r="L118" s="594">
        <v>120</v>
      </c>
      <c r="M118" s="594"/>
      <c r="N118" s="595">
        <v>30</v>
      </c>
      <c r="O118" s="618">
        <v>100</v>
      </c>
      <c r="P118" s="619">
        <v>70</v>
      </c>
      <c r="Q118" s="619"/>
      <c r="R118" s="620">
        <v>30</v>
      </c>
      <c r="S118" s="855">
        <f t="shared" si="24"/>
        <v>100</v>
      </c>
      <c r="T118" s="856">
        <v>70</v>
      </c>
      <c r="U118" s="856"/>
      <c r="V118" s="857">
        <v>30</v>
      </c>
      <c r="W118" s="20">
        <v>100</v>
      </c>
      <c r="X118" s="20">
        <v>100</v>
      </c>
      <c r="Y118" s="1999" t="s">
        <v>58</v>
      </c>
      <c r="Z118" s="347">
        <v>14</v>
      </c>
      <c r="AA118" s="348">
        <v>14</v>
      </c>
      <c r="AB118" s="351">
        <v>14</v>
      </c>
    </row>
    <row r="119" spans="1:28" s="22" customFormat="1" x14ac:dyDescent="0.25">
      <c r="A119" s="1679"/>
      <c r="B119" s="1682"/>
      <c r="C119" s="981"/>
      <c r="D119" s="239"/>
      <c r="E119" s="1746"/>
      <c r="F119" s="240"/>
      <c r="G119" s="94"/>
      <c r="H119" s="95"/>
      <c r="I119" s="2001"/>
      <c r="J119" s="96" t="s">
        <v>21</v>
      </c>
      <c r="K119" s="596"/>
      <c r="L119" s="597"/>
      <c r="M119" s="597"/>
      <c r="N119" s="598"/>
      <c r="O119" s="621">
        <f>P119+R119</f>
        <v>400</v>
      </c>
      <c r="P119" s="622">
        <v>280</v>
      </c>
      <c r="Q119" s="622"/>
      <c r="R119" s="623">
        <v>120</v>
      </c>
      <c r="S119" s="776">
        <f t="shared" si="24"/>
        <v>400</v>
      </c>
      <c r="T119" s="777">
        <v>280</v>
      </c>
      <c r="U119" s="777"/>
      <c r="V119" s="677">
        <v>120</v>
      </c>
      <c r="W119" s="531">
        <v>400</v>
      </c>
      <c r="X119" s="531">
        <v>400</v>
      </c>
      <c r="Y119" s="1741"/>
      <c r="Z119" s="355"/>
      <c r="AA119" s="356"/>
      <c r="AB119" s="357"/>
    </row>
    <row r="120" spans="1:28" s="22" customFormat="1" ht="13.5" thickBot="1" x14ac:dyDescent="0.3">
      <c r="A120" s="978"/>
      <c r="B120" s="979"/>
      <c r="C120" s="981"/>
      <c r="D120" s="239"/>
      <c r="E120" s="1747"/>
      <c r="F120" s="240"/>
      <c r="G120" s="94"/>
      <c r="H120" s="95"/>
      <c r="I120" s="2002"/>
      <c r="J120" s="840" t="s">
        <v>18</v>
      </c>
      <c r="K120" s="678">
        <f>+N120+L120</f>
        <v>150</v>
      </c>
      <c r="L120" s="679">
        <f>SUM(L118:L119)</f>
        <v>120</v>
      </c>
      <c r="M120" s="679"/>
      <c r="N120" s="680">
        <f>SUM(N118:N119)</f>
        <v>30</v>
      </c>
      <c r="O120" s="773">
        <f>P120+R120</f>
        <v>500</v>
      </c>
      <c r="P120" s="774">
        <f>SUM(P118:P119)</f>
        <v>350</v>
      </c>
      <c r="Q120" s="774"/>
      <c r="R120" s="841">
        <f>SUM(R118:R119)</f>
        <v>150</v>
      </c>
      <c r="S120" s="773">
        <f t="shared" si="24"/>
        <v>500</v>
      </c>
      <c r="T120" s="774">
        <f>SUM(T118:T119)</f>
        <v>350</v>
      </c>
      <c r="U120" s="774"/>
      <c r="V120" s="775">
        <f>SUM(V118:V119)</f>
        <v>150</v>
      </c>
      <c r="W120" s="743">
        <f>SUM(W118:W119)</f>
        <v>500</v>
      </c>
      <c r="X120" s="742">
        <f>SUM(X118:X119)</f>
        <v>500</v>
      </c>
      <c r="Y120" s="383"/>
      <c r="Z120" s="355"/>
      <c r="AA120" s="356"/>
      <c r="AB120" s="357"/>
    </row>
    <row r="121" spans="1:28" s="22" customFormat="1" x14ac:dyDescent="0.25">
      <c r="A121" s="1736" t="s">
        <v>13</v>
      </c>
      <c r="B121" s="1737" t="s">
        <v>19</v>
      </c>
      <c r="C121" s="980" t="s">
        <v>36</v>
      </c>
      <c r="D121" s="237"/>
      <c r="E121" s="1629" t="s">
        <v>37</v>
      </c>
      <c r="F121" s="238"/>
      <c r="G121" s="990">
        <v>10</v>
      </c>
      <c r="H121" s="996" t="s">
        <v>26</v>
      </c>
      <c r="I121" s="1998" t="s">
        <v>196</v>
      </c>
      <c r="J121" s="99" t="s">
        <v>27</v>
      </c>
      <c r="K121" s="432">
        <f>L121+N121</f>
        <v>55.1</v>
      </c>
      <c r="L121" s="192">
        <v>55.1</v>
      </c>
      <c r="M121" s="192"/>
      <c r="N121" s="194"/>
      <c r="O121" s="432">
        <f t="shared" si="20"/>
        <v>69.2</v>
      </c>
      <c r="P121" s="192">
        <v>69.2</v>
      </c>
      <c r="Q121" s="192"/>
      <c r="R121" s="194"/>
      <c r="S121" s="779">
        <f t="shared" si="24"/>
        <v>69.2</v>
      </c>
      <c r="T121" s="780">
        <v>69.2</v>
      </c>
      <c r="U121" s="780"/>
      <c r="V121" s="781"/>
      <c r="W121" s="41">
        <v>69.2</v>
      </c>
      <c r="X121" s="100">
        <v>69.2</v>
      </c>
      <c r="Y121" s="1999" t="s">
        <v>83</v>
      </c>
      <c r="Z121" s="347">
        <v>20</v>
      </c>
      <c r="AA121" s="348">
        <v>20</v>
      </c>
      <c r="AB121" s="351">
        <v>20</v>
      </c>
    </row>
    <row r="122" spans="1:28" s="22" customFormat="1" x14ac:dyDescent="0.2">
      <c r="A122" s="1679"/>
      <c r="B122" s="1682"/>
      <c r="C122" s="981"/>
      <c r="D122" s="239"/>
      <c r="E122" s="1613"/>
      <c r="F122" s="241"/>
      <c r="G122" s="101"/>
      <c r="H122" s="102"/>
      <c r="I122" s="1981"/>
      <c r="J122" s="39" t="s">
        <v>21</v>
      </c>
      <c r="K122" s="532"/>
      <c r="L122" s="242"/>
      <c r="M122" s="242"/>
      <c r="N122" s="243"/>
      <c r="O122" s="532">
        <f t="shared" si="20"/>
        <v>692</v>
      </c>
      <c r="P122" s="242">
        <v>692</v>
      </c>
      <c r="Q122" s="242"/>
      <c r="R122" s="243"/>
      <c r="S122" s="782">
        <f t="shared" si="24"/>
        <v>692</v>
      </c>
      <c r="T122" s="783">
        <v>692</v>
      </c>
      <c r="U122" s="783"/>
      <c r="V122" s="784"/>
      <c r="W122" s="38">
        <v>692</v>
      </c>
      <c r="X122" s="103">
        <v>692</v>
      </c>
      <c r="Y122" s="1741"/>
      <c r="Z122" s="355"/>
      <c r="AA122" s="356"/>
      <c r="AB122" s="357"/>
    </row>
    <row r="123" spans="1:28" s="22" customFormat="1" x14ac:dyDescent="0.2">
      <c r="A123" s="978"/>
      <c r="B123" s="979"/>
      <c r="C123" s="981"/>
      <c r="D123" s="239"/>
      <c r="E123" s="1613"/>
      <c r="F123" s="241"/>
      <c r="G123" s="101"/>
      <c r="H123" s="102"/>
      <c r="I123" s="1981"/>
      <c r="J123" s="36" t="s">
        <v>21</v>
      </c>
      <c r="K123" s="532"/>
      <c r="L123" s="242"/>
      <c r="M123" s="242"/>
      <c r="N123" s="243"/>
      <c r="O123" s="532">
        <f>P123+R123</f>
        <v>38.1</v>
      </c>
      <c r="P123" s="242">
        <v>38.1</v>
      </c>
      <c r="Q123" s="242"/>
      <c r="R123" s="243"/>
      <c r="S123" s="782">
        <f t="shared" si="24"/>
        <v>38.1</v>
      </c>
      <c r="T123" s="783">
        <v>38.1</v>
      </c>
      <c r="U123" s="783"/>
      <c r="V123" s="784"/>
      <c r="W123" s="97">
        <v>38.1</v>
      </c>
      <c r="X123" s="98">
        <v>38.1</v>
      </c>
      <c r="Y123" s="383"/>
      <c r="Z123" s="355"/>
      <c r="AA123" s="356"/>
      <c r="AB123" s="357"/>
    </row>
    <row r="124" spans="1:28" s="22" customFormat="1" ht="13.5" thickBot="1" x14ac:dyDescent="0.25">
      <c r="A124" s="971"/>
      <c r="B124" s="973"/>
      <c r="C124" s="1005"/>
      <c r="D124" s="244"/>
      <c r="E124" s="1614"/>
      <c r="F124" s="245"/>
      <c r="G124" s="105"/>
      <c r="H124" s="246"/>
      <c r="I124" s="1943"/>
      <c r="J124" s="858" t="s">
        <v>18</v>
      </c>
      <c r="K124" s="678">
        <f>L124+N124</f>
        <v>55.1</v>
      </c>
      <c r="L124" s="679">
        <f>SUM(L121:L122)</f>
        <v>55.1</v>
      </c>
      <c r="M124" s="679"/>
      <c r="N124" s="680"/>
      <c r="O124" s="678">
        <f>P124+R124</f>
        <v>799.30000000000007</v>
      </c>
      <c r="P124" s="679">
        <f>SUM(P121:P123)</f>
        <v>799.30000000000007</v>
      </c>
      <c r="Q124" s="774"/>
      <c r="R124" s="841"/>
      <c r="S124" s="773">
        <f t="shared" si="24"/>
        <v>799.30000000000007</v>
      </c>
      <c r="T124" s="774">
        <f>SUM(T121:T123)</f>
        <v>799.30000000000007</v>
      </c>
      <c r="U124" s="774"/>
      <c r="V124" s="775"/>
      <c r="W124" s="743">
        <f>SUM(W121:W123)</f>
        <v>799.30000000000007</v>
      </c>
      <c r="X124" s="742">
        <f>SUM(X121:X123)</f>
        <v>799.30000000000007</v>
      </c>
      <c r="Y124" s="384"/>
      <c r="Z124" s="358"/>
      <c r="AA124" s="359"/>
      <c r="AB124" s="360"/>
    </row>
    <row r="125" spans="1:28" s="22" customFormat="1" x14ac:dyDescent="0.25">
      <c r="A125" s="1736" t="s">
        <v>13</v>
      </c>
      <c r="B125" s="1737" t="s">
        <v>19</v>
      </c>
      <c r="C125" s="980" t="s">
        <v>38</v>
      </c>
      <c r="D125" s="237"/>
      <c r="E125" s="1630" t="s">
        <v>105</v>
      </c>
      <c r="F125" s="238"/>
      <c r="G125" s="990">
        <v>10</v>
      </c>
      <c r="H125" s="19" t="s">
        <v>72</v>
      </c>
      <c r="I125" s="1998" t="s">
        <v>197</v>
      </c>
      <c r="J125" s="83" t="s">
        <v>21</v>
      </c>
      <c r="K125" s="428">
        <f>L125+N125</f>
        <v>515</v>
      </c>
      <c r="L125" s="170">
        <v>515</v>
      </c>
      <c r="M125" s="170"/>
      <c r="N125" s="171"/>
      <c r="O125" s="428">
        <f t="shared" si="20"/>
        <v>500</v>
      </c>
      <c r="P125" s="170">
        <v>200</v>
      </c>
      <c r="Q125" s="170"/>
      <c r="R125" s="171">
        <v>300</v>
      </c>
      <c r="S125" s="764">
        <f t="shared" ref="S125" si="25">T125+V125</f>
        <v>500</v>
      </c>
      <c r="T125" s="765">
        <v>200</v>
      </c>
      <c r="U125" s="765"/>
      <c r="V125" s="672">
        <v>300</v>
      </c>
      <c r="W125" s="32">
        <v>500</v>
      </c>
      <c r="X125" s="91">
        <v>500</v>
      </c>
      <c r="Y125" s="1999" t="s">
        <v>83</v>
      </c>
      <c r="Z125" s="347"/>
      <c r="AA125" s="348"/>
      <c r="AB125" s="351"/>
    </row>
    <row r="126" spans="1:28" s="22" customFormat="1" x14ac:dyDescent="0.2">
      <c r="A126" s="1679"/>
      <c r="B126" s="1682"/>
      <c r="C126" s="981"/>
      <c r="D126" s="239"/>
      <c r="E126" s="1738"/>
      <c r="F126" s="241"/>
      <c r="G126" s="101"/>
      <c r="H126" s="104">
        <v>3</v>
      </c>
      <c r="I126" s="1981"/>
      <c r="J126" s="39"/>
      <c r="K126" s="416"/>
      <c r="L126" s="417"/>
      <c r="M126" s="417"/>
      <c r="N126" s="418"/>
      <c r="O126" s="416"/>
      <c r="P126" s="417"/>
      <c r="Q126" s="417"/>
      <c r="R126" s="418"/>
      <c r="S126" s="776"/>
      <c r="T126" s="777"/>
      <c r="U126" s="777"/>
      <c r="V126" s="778"/>
      <c r="W126" s="41"/>
      <c r="X126" s="100"/>
      <c r="Y126" s="1741"/>
      <c r="Z126" s="355"/>
      <c r="AA126" s="356"/>
      <c r="AB126" s="357"/>
    </row>
    <row r="127" spans="1:28" s="22" customFormat="1" ht="13.5" thickBot="1" x14ac:dyDescent="0.25">
      <c r="A127" s="978"/>
      <c r="B127" s="979"/>
      <c r="C127" s="1005"/>
      <c r="D127" s="244"/>
      <c r="E127" s="1739"/>
      <c r="F127" s="241"/>
      <c r="G127" s="105"/>
      <c r="H127" s="247">
        <v>6</v>
      </c>
      <c r="I127" s="1943"/>
      <c r="J127" s="858" t="s">
        <v>18</v>
      </c>
      <c r="K127" s="859">
        <f>L127+N127</f>
        <v>515</v>
      </c>
      <c r="L127" s="679">
        <f>SUM(L125:L126)</f>
        <v>515</v>
      </c>
      <c r="M127" s="724"/>
      <c r="N127" s="680">
        <f>SUM(N125:N126)</f>
        <v>0</v>
      </c>
      <c r="O127" s="785">
        <f>P127+R127</f>
        <v>500</v>
      </c>
      <c r="P127" s="774">
        <f>SUM(P125:P126)</f>
        <v>200</v>
      </c>
      <c r="Q127" s="786"/>
      <c r="R127" s="841">
        <f>SUM(R125:R126)</f>
        <v>300</v>
      </c>
      <c r="S127" s="785">
        <f>T127+V127</f>
        <v>500</v>
      </c>
      <c r="T127" s="774">
        <f>SUM(T125:T126)</f>
        <v>200</v>
      </c>
      <c r="U127" s="786"/>
      <c r="V127" s="775">
        <f>V125</f>
        <v>300</v>
      </c>
      <c r="W127" s="743">
        <f>SUM(W125:W126)</f>
        <v>500</v>
      </c>
      <c r="X127" s="742">
        <f>SUM(X125:X126)</f>
        <v>500</v>
      </c>
      <c r="Y127" s="383"/>
      <c r="Z127" s="355"/>
      <c r="AA127" s="356"/>
      <c r="AB127" s="357"/>
    </row>
    <row r="128" spans="1:28" s="22" customFormat="1" x14ac:dyDescent="0.25">
      <c r="A128" s="1736" t="s">
        <v>13</v>
      </c>
      <c r="B128" s="1737" t="s">
        <v>19</v>
      </c>
      <c r="C128" s="1228" t="s">
        <v>71</v>
      </c>
      <c r="D128" s="237"/>
      <c r="E128" s="1996" t="s">
        <v>187</v>
      </c>
      <c r="F128" s="1730"/>
      <c r="G128" s="1692" t="s">
        <v>16</v>
      </c>
      <c r="H128" s="1733" t="s">
        <v>26</v>
      </c>
      <c r="I128" s="1931" t="s">
        <v>200</v>
      </c>
      <c r="J128" s="30" t="s">
        <v>17</v>
      </c>
      <c r="K128" s="1293"/>
      <c r="L128" s="190"/>
      <c r="M128" s="190"/>
      <c r="N128" s="1294"/>
      <c r="O128" s="304">
        <v>60.8</v>
      </c>
      <c r="P128" s="175">
        <v>60.8</v>
      </c>
      <c r="Q128" s="175"/>
      <c r="R128" s="176"/>
      <c r="S128" s="681">
        <v>60.8</v>
      </c>
      <c r="T128" s="682">
        <v>60.8</v>
      </c>
      <c r="U128" s="682"/>
      <c r="V128" s="683"/>
      <c r="W128" s="106"/>
      <c r="X128" s="107"/>
      <c r="Y128" s="1994" t="s">
        <v>178</v>
      </c>
      <c r="Z128" s="378">
        <v>8</v>
      </c>
      <c r="AA128" s="379"/>
      <c r="AB128" s="380"/>
    </row>
    <row r="129" spans="1:29" s="22" customFormat="1" ht="27" customHeight="1" x14ac:dyDescent="0.25">
      <c r="A129" s="1679"/>
      <c r="B129" s="1682"/>
      <c r="C129" s="1229"/>
      <c r="D129" s="239"/>
      <c r="E129" s="1910"/>
      <c r="F129" s="1731"/>
      <c r="G129" s="1604"/>
      <c r="H129" s="1615"/>
      <c r="I129" s="1932"/>
      <c r="J129" s="305" t="s">
        <v>41</v>
      </c>
      <c r="K129" s="495">
        <f>L129+N129</f>
        <v>494.79999999999995</v>
      </c>
      <c r="L129" s="563">
        <v>191.4</v>
      </c>
      <c r="M129" s="563"/>
      <c r="N129" s="576">
        <v>303.39999999999998</v>
      </c>
      <c r="O129" s="216">
        <v>484.5</v>
      </c>
      <c r="P129" s="177">
        <v>484.5</v>
      </c>
      <c r="Q129" s="177"/>
      <c r="R129" s="183"/>
      <c r="S129" s="870">
        <v>484.5</v>
      </c>
      <c r="T129" s="686">
        <v>484.5</v>
      </c>
      <c r="U129" s="686"/>
      <c r="V129" s="787"/>
      <c r="W129" s="306">
        <v>337.5</v>
      </c>
      <c r="X129" s="78"/>
      <c r="Y129" s="1727"/>
      <c r="Z129" s="453">
        <v>50</v>
      </c>
      <c r="AA129" s="1231">
        <v>50</v>
      </c>
      <c r="AB129" s="1232"/>
    </row>
    <row r="130" spans="1:29" s="22" customFormat="1" ht="60" x14ac:dyDescent="0.25">
      <c r="A130" s="1226"/>
      <c r="B130" s="1227"/>
      <c r="C130" s="1229"/>
      <c r="D130" s="239"/>
      <c r="E130" s="1910"/>
      <c r="F130" s="1731"/>
      <c r="G130" s="1604"/>
      <c r="H130" s="1615"/>
      <c r="I130" s="1932"/>
      <c r="J130" s="39" t="s">
        <v>17</v>
      </c>
      <c r="K130" s="216"/>
      <c r="L130" s="177"/>
      <c r="M130" s="177"/>
      <c r="N130" s="184"/>
      <c r="O130" s="216">
        <f>121.7+190.9</f>
        <v>312.60000000000002</v>
      </c>
      <c r="P130" s="180">
        <f>121.7+190.9</f>
        <v>312.60000000000002</v>
      </c>
      <c r="Q130" s="177">
        <f>92.9+135.6</f>
        <v>228.5</v>
      </c>
      <c r="R130" s="181"/>
      <c r="S130" s="870">
        <f>121.7+190.9</f>
        <v>312.60000000000002</v>
      </c>
      <c r="T130" s="674">
        <f>121.7+190.9</f>
        <v>312.60000000000002</v>
      </c>
      <c r="U130" s="686">
        <f>92.9+135.6</f>
        <v>228.5</v>
      </c>
      <c r="V130" s="788"/>
      <c r="W130" s="306">
        <v>364.8</v>
      </c>
      <c r="X130" s="329"/>
      <c r="Y130" s="1239" t="s">
        <v>261</v>
      </c>
      <c r="Z130" s="334">
        <v>25</v>
      </c>
      <c r="AA130" s="1249">
        <v>25</v>
      </c>
      <c r="AB130" s="1235"/>
    </row>
    <row r="131" spans="1:29" s="22" customFormat="1" ht="12.75" customHeight="1" x14ac:dyDescent="0.25">
      <c r="A131" s="1226"/>
      <c r="B131" s="1227"/>
      <c r="C131" s="1229"/>
      <c r="D131" s="239"/>
      <c r="E131" s="1910"/>
      <c r="F131" s="1731"/>
      <c r="G131" s="1604"/>
      <c r="H131" s="1615"/>
      <c r="I131" s="1932"/>
      <c r="J131" s="36" t="s">
        <v>17</v>
      </c>
      <c r="K131" s="216"/>
      <c r="L131" s="177"/>
      <c r="M131" s="177"/>
      <c r="N131" s="184"/>
      <c r="O131" s="216">
        <v>243.2</v>
      </c>
      <c r="P131" s="177">
        <v>243.2</v>
      </c>
      <c r="Q131" s="177">
        <v>185.7</v>
      </c>
      <c r="R131" s="183"/>
      <c r="S131" s="870">
        <v>243.2</v>
      </c>
      <c r="T131" s="686">
        <v>243.2</v>
      </c>
      <c r="U131" s="686">
        <v>185.7</v>
      </c>
      <c r="V131" s="687"/>
      <c r="W131" s="306">
        <v>364.8</v>
      </c>
      <c r="X131" s="78"/>
      <c r="Y131" s="1995" t="s">
        <v>215</v>
      </c>
      <c r="Z131" s="1240">
        <v>17</v>
      </c>
      <c r="AA131" s="529">
        <v>25</v>
      </c>
      <c r="AB131" s="1232"/>
      <c r="AC131" s="9"/>
    </row>
    <row r="132" spans="1:29" s="22" customFormat="1" ht="47.25" customHeight="1" thickBot="1" x14ac:dyDescent="0.3">
      <c r="A132" s="1236"/>
      <c r="B132" s="1237"/>
      <c r="C132" s="1230"/>
      <c r="D132" s="244"/>
      <c r="E132" s="1997"/>
      <c r="F132" s="1732"/>
      <c r="G132" s="1605"/>
      <c r="H132" s="1616"/>
      <c r="I132" s="1933"/>
      <c r="J132" s="833" t="s">
        <v>18</v>
      </c>
      <c r="K132" s="691">
        <f>L132+N132</f>
        <v>494.79999999999995</v>
      </c>
      <c r="L132" s="694">
        <f>SUM(L129:L131)</f>
        <v>191.4</v>
      </c>
      <c r="M132" s="694"/>
      <c r="N132" s="692">
        <f>SUM(N129:N131)</f>
        <v>303.39999999999998</v>
      </c>
      <c r="O132" s="691">
        <f>P132+R132</f>
        <v>1101.0999999999999</v>
      </c>
      <c r="P132" s="694">
        <f>SUM(P128:P131)</f>
        <v>1101.0999999999999</v>
      </c>
      <c r="Q132" s="694">
        <f>SUM(Q128:Q131)</f>
        <v>414.2</v>
      </c>
      <c r="R132" s="789"/>
      <c r="S132" s="691">
        <f>V132+T132</f>
        <v>1101.0999999999999</v>
      </c>
      <c r="T132" s="694">
        <f>SUM(T128:T131)</f>
        <v>1101.0999999999999</v>
      </c>
      <c r="U132" s="694">
        <f>SUM(U128:U131)</f>
        <v>414.2</v>
      </c>
      <c r="V132" s="789"/>
      <c r="W132" s="692">
        <f>SUM(W128:W131)</f>
        <v>1067.0999999999999</v>
      </c>
      <c r="X132" s="713">
        <f>SUM(X128:X129)</f>
        <v>0</v>
      </c>
      <c r="Y132" s="1631"/>
      <c r="Z132" s="1241"/>
      <c r="AA132" s="1242"/>
      <c r="AB132" s="1243"/>
    </row>
    <row r="133" spans="1:29" s="22" customFormat="1" ht="35.25" customHeight="1" x14ac:dyDescent="0.25">
      <c r="A133" s="970" t="s">
        <v>13</v>
      </c>
      <c r="B133" s="972" t="s">
        <v>19</v>
      </c>
      <c r="C133" s="980" t="s">
        <v>85</v>
      </c>
      <c r="D133" s="237"/>
      <c r="E133" s="1634" t="s">
        <v>193</v>
      </c>
      <c r="F133" s="1730"/>
      <c r="G133" s="1692" t="s">
        <v>16</v>
      </c>
      <c r="H133" s="1733" t="s">
        <v>26</v>
      </c>
      <c r="I133" s="1931" t="s">
        <v>221</v>
      </c>
      <c r="J133" s="30" t="s">
        <v>41</v>
      </c>
      <c r="K133" s="534"/>
      <c r="L133" s="535"/>
      <c r="M133" s="535"/>
      <c r="N133" s="536"/>
      <c r="O133" s="534">
        <f>P133+R133</f>
        <v>2007.9</v>
      </c>
      <c r="P133" s="535">
        <v>51</v>
      </c>
      <c r="Q133" s="175">
        <v>13.3</v>
      </c>
      <c r="R133" s="176">
        <v>1956.9</v>
      </c>
      <c r="S133" s="855">
        <f>T133+V133</f>
        <v>2007.9</v>
      </c>
      <c r="T133" s="856">
        <v>51</v>
      </c>
      <c r="U133" s="682">
        <v>13.3</v>
      </c>
      <c r="V133" s="683">
        <v>1956.9</v>
      </c>
      <c r="W133" s="106"/>
      <c r="X133" s="882"/>
      <c r="Y133" s="876" t="s">
        <v>263</v>
      </c>
      <c r="Z133" s="879">
        <v>948.45</v>
      </c>
      <c r="AA133" s="880"/>
      <c r="AB133" s="881"/>
    </row>
    <row r="134" spans="1:29" s="22" customFormat="1" ht="29.25" customHeight="1" x14ac:dyDescent="0.25">
      <c r="A134" s="978"/>
      <c r="B134" s="979"/>
      <c r="C134" s="981"/>
      <c r="D134" s="239"/>
      <c r="E134" s="1729"/>
      <c r="F134" s="1731"/>
      <c r="G134" s="1604"/>
      <c r="H134" s="1615"/>
      <c r="I134" s="1932"/>
      <c r="J134" s="36" t="s">
        <v>21</v>
      </c>
      <c r="K134" s="224"/>
      <c r="L134" s="126"/>
      <c r="M134" s="126"/>
      <c r="N134" s="79"/>
      <c r="O134" s="224">
        <f>P134+R134</f>
        <v>354.3</v>
      </c>
      <c r="P134" s="126">
        <v>11</v>
      </c>
      <c r="Q134" s="185">
        <v>2.4</v>
      </c>
      <c r="R134" s="643">
        <v>343.3</v>
      </c>
      <c r="S134" s="776">
        <f>T134+V134</f>
        <v>354.3</v>
      </c>
      <c r="T134" s="868">
        <v>11</v>
      </c>
      <c r="U134" s="732">
        <v>2.4</v>
      </c>
      <c r="V134" s="787">
        <v>343.3</v>
      </c>
      <c r="W134" s="71"/>
      <c r="X134" s="877"/>
      <c r="Y134" s="1993" t="s">
        <v>195</v>
      </c>
      <c r="Z134" s="1720"/>
      <c r="AA134" s="1722">
        <v>20</v>
      </c>
      <c r="AB134" s="1724">
        <v>20</v>
      </c>
    </row>
    <row r="135" spans="1:29" s="22" customFormat="1" ht="23.25" customHeight="1" thickBot="1" x14ac:dyDescent="0.3">
      <c r="A135" s="978"/>
      <c r="B135" s="979"/>
      <c r="C135" s="1005"/>
      <c r="D135" s="244"/>
      <c r="E135" s="1635"/>
      <c r="F135" s="1732"/>
      <c r="G135" s="1605"/>
      <c r="H135" s="1616"/>
      <c r="I135" s="1933"/>
      <c r="J135" s="833" t="s">
        <v>18</v>
      </c>
      <c r="K135" s="790">
        <f>L135+N135</f>
        <v>0</v>
      </c>
      <c r="L135" s="791">
        <f>SUM(L133)</f>
        <v>0</v>
      </c>
      <c r="M135" s="791"/>
      <c r="N135" s="793"/>
      <c r="O135" s="790">
        <f>P135+R135</f>
        <v>2362.2000000000003</v>
      </c>
      <c r="P135" s="791">
        <f>SUM(P133:P134)</f>
        <v>62</v>
      </c>
      <c r="Q135" s="791">
        <f>SUM(Q133:Q134)</f>
        <v>15.700000000000001</v>
      </c>
      <c r="R135" s="792">
        <f>SUM(R133:R134)</f>
        <v>2300.2000000000003</v>
      </c>
      <c r="S135" s="790">
        <f>V135+T135</f>
        <v>2362.2000000000003</v>
      </c>
      <c r="T135" s="791">
        <f>SUM(T133:T134)</f>
        <v>62</v>
      </c>
      <c r="U135" s="791">
        <f>SUM(U133:U134)</f>
        <v>15.700000000000001</v>
      </c>
      <c r="V135" s="792">
        <f>SUM(V133:V134)</f>
        <v>2300.2000000000003</v>
      </c>
      <c r="W135" s="793">
        <f>SUM(W133:W133)</f>
        <v>0</v>
      </c>
      <c r="X135" s="878">
        <f>SUM(X133:X133)</f>
        <v>0</v>
      </c>
      <c r="Y135" s="1735"/>
      <c r="Z135" s="1721"/>
      <c r="AA135" s="1723"/>
      <c r="AB135" s="1725"/>
    </row>
    <row r="136" spans="1:29" s="22" customFormat="1" x14ac:dyDescent="0.25">
      <c r="A136" s="970" t="s">
        <v>13</v>
      </c>
      <c r="B136" s="972" t="s">
        <v>19</v>
      </c>
      <c r="C136" s="980" t="s">
        <v>16</v>
      </c>
      <c r="D136" s="237"/>
      <c r="E136" s="1629" t="s">
        <v>86</v>
      </c>
      <c r="F136" s="1730"/>
      <c r="G136" s="1692" t="s">
        <v>16</v>
      </c>
      <c r="H136" s="1733" t="s">
        <v>26</v>
      </c>
      <c r="I136" s="533"/>
      <c r="J136" s="30" t="s">
        <v>27</v>
      </c>
      <c r="K136" s="534">
        <f>L136+N136</f>
        <v>15</v>
      </c>
      <c r="L136" s="535">
        <v>15</v>
      </c>
      <c r="M136" s="535"/>
      <c r="N136" s="536"/>
      <c r="O136" s="534"/>
      <c r="P136" s="535"/>
      <c r="Q136" s="175"/>
      <c r="R136" s="176"/>
      <c r="S136" s="681"/>
      <c r="T136" s="682"/>
      <c r="U136" s="682"/>
      <c r="V136" s="683"/>
      <c r="W136" s="106"/>
      <c r="X136" s="882"/>
      <c r="Y136" s="1990"/>
      <c r="Z136" s="1991"/>
      <c r="AA136" s="1782"/>
      <c r="AB136" s="1784"/>
    </row>
    <row r="137" spans="1:29" s="22" customFormat="1" ht="13.5" thickBot="1" x14ac:dyDescent="0.3">
      <c r="A137" s="978"/>
      <c r="B137" s="979"/>
      <c r="C137" s="1005"/>
      <c r="D137" s="244"/>
      <c r="E137" s="1614"/>
      <c r="F137" s="1732"/>
      <c r="G137" s="1605"/>
      <c r="H137" s="1616"/>
      <c r="I137" s="537"/>
      <c r="J137" s="833" t="s">
        <v>18</v>
      </c>
      <c r="K137" s="790">
        <f>L137+N137</f>
        <v>15</v>
      </c>
      <c r="L137" s="791">
        <f>SUM(L136)</f>
        <v>15</v>
      </c>
      <c r="M137" s="791"/>
      <c r="N137" s="793"/>
      <c r="O137" s="790"/>
      <c r="P137" s="791"/>
      <c r="Q137" s="791"/>
      <c r="R137" s="792"/>
      <c r="S137" s="790"/>
      <c r="T137" s="791"/>
      <c r="U137" s="791"/>
      <c r="V137" s="792"/>
      <c r="W137" s="793"/>
      <c r="X137" s="878"/>
      <c r="Y137" s="1735"/>
      <c r="Z137" s="1992"/>
      <c r="AA137" s="1783"/>
      <c r="AB137" s="1785"/>
    </row>
    <row r="138" spans="1:29" s="22" customFormat="1" ht="13.5" thickBot="1" x14ac:dyDescent="0.3">
      <c r="A138" s="27" t="s">
        <v>13</v>
      </c>
      <c r="B138" s="28" t="s">
        <v>19</v>
      </c>
      <c r="C138" s="1608" t="s">
        <v>30</v>
      </c>
      <c r="D138" s="1608"/>
      <c r="E138" s="1608"/>
      <c r="F138" s="1608"/>
      <c r="G138" s="1608"/>
      <c r="H138" s="1608"/>
      <c r="I138" s="1608"/>
      <c r="J138" s="1620"/>
      <c r="K138" s="109">
        <f>L138+N138</f>
        <v>14415.2</v>
      </c>
      <c r="L138" s="109">
        <f>L137+L132+L127+L124+L120+L117+L115+L108+L99</f>
        <v>14078.800000000001</v>
      </c>
      <c r="M138" s="109">
        <f>M137+M132+M127+M124+M120+M117+M115+M108+M99</f>
        <v>6536.0999999999995</v>
      </c>
      <c r="N138" s="109">
        <f>N137+N132+N127+N124+N120+N117+N115+N108+N99</f>
        <v>336.4</v>
      </c>
      <c r="O138" s="109">
        <f>P138+R138</f>
        <v>19215.3</v>
      </c>
      <c r="P138" s="109">
        <f t="shared" ref="P138:V138" si="26">P137+P132+P127+P124+P120+P117+P115+P108+P99+P135</f>
        <v>16413.8</v>
      </c>
      <c r="Q138" s="109">
        <f t="shared" si="26"/>
        <v>7172.8</v>
      </c>
      <c r="R138" s="109">
        <f t="shared" si="26"/>
        <v>2801.5000000000005</v>
      </c>
      <c r="S138" s="109">
        <f t="shared" si="26"/>
        <v>18796.2</v>
      </c>
      <c r="T138" s="109">
        <f t="shared" si="26"/>
        <v>16006</v>
      </c>
      <c r="U138" s="109">
        <f t="shared" si="26"/>
        <v>7110.5999999999995</v>
      </c>
      <c r="V138" s="109">
        <f t="shared" si="26"/>
        <v>2790.2000000000003</v>
      </c>
      <c r="W138" s="109">
        <f t="shared" ref="W138:X138" si="27">W137+W132+W127+W124+W120+W117+W115+W108+W99</f>
        <v>19984</v>
      </c>
      <c r="X138" s="109">
        <f t="shared" si="27"/>
        <v>18949.699999999997</v>
      </c>
      <c r="Y138" s="1742"/>
      <c r="Z138" s="1743"/>
      <c r="AA138" s="1743"/>
      <c r="AB138" s="1744"/>
    </row>
    <row r="139" spans="1:29" s="22" customFormat="1" ht="13.5" thickBot="1" x14ac:dyDescent="0.3">
      <c r="A139" s="110" t="s">
        <v>13</v>
      </c>
      <c r="B139" s="28" t="s">
        <v>22</v>
      </c>
      <c r="C139" s="1717" t="s">
        <v>39</v>
      </c>
      <c r="D139" s="1717"/>
      <c r="E139" s="1717"/>
      <c r="F139" s="1718"/>
      <c r="G139" s="1718"/>
      <c r="H139" s="1718"/>
      <c r="I139" s="1718"/>
      <c r="J139" s="1718"/>
      <c r="K139" s="1718"/>
      <c r="L139" s="1718"/>
      <c r="M139" s="1718"/>
      <c r="N139" s="1718"/>
      <c r="O139" s="1718"/>
      <c r="P139" s="1718"/>
      <c r="Q139" s="1718"/>
      <c r="R139" s="1718"/>
      <c r="S139" s="1718"/>
      <c r="T139" s="1718"/>
      <c r="U139" s="1718"/>
      <c r="V139" s="1718"/>
      <c r="W139" s="1718"/>
      <c r="X139" s="1718"/>
      <c r="Y139" s="1718"/>
      <c r="Z139" s="1718"/>
      <c r="AA139" s="1718"/>
      <c r="AB139" s="1719"/>
    </row>
    <row r="140" spans="1:29" s="23" customFormat="1" ht="38.25" x14ac:dyDescent="0.25">
      <c r="A140" s="131" t="s">
        <v>13</v>
      </c>
      <c r="B140" s="132" t="s">
        <v>22</v>
      </c>
      <c r="C140" s="609" t="s">
        <v>13</v>
      </c>
      <c r="D140" s="327"/>
      <c r="E140" s="325" t="s">
        <v>40</v>
      </c>
      <c r="F140" s="248"/>
      <c r="G140" s="249"/>
      <c r="H140" s="250"/>
      <c r="I140" s="960"/>
      <c r="J140" s="111"/>
      <c r="K140" s="251"/>
      <c r="L140" s="4"/>
      <c r="M140" s="4"/>
      <c r="N140" s="272"/>
      <c r="O140" s="251"/>
      <c r="P140" s="4"/>
      <c r="Q140" s="4"/>
      <c r="R140" s="272"/>
      <c r="S140" s="1180"/>
      <c r="T140" s="1183"/>
      <c r="U140" s="1183"/>
      <c r="V140" s="1182"/>
      <c r="W140" s="1179"/>
      <c r="X140" s="86"/>
      <c r="Y140" s="1012"/>
      <c r="Z140" s="361"/>
      <c r="AA140" s="339"/>
      <c r="AB140" s="362"/>
    </row>
    <row r="141" spans="1:29" s="23" customFormat="1" ht="17.25" customHeight="1" x14ac:dyDescent="0.25">
      <c r="A141" s="129"/>
      <c r="B141" s="130"/>
      <c r="C141" s="610"/>
      <c r="D141" s="983" t="s">
        <v>13</v>
      </c>
      <c r="E141" s="1972" t="s">
        <v>206</v>
      </c>
      <c r="F141" s="904" t="s">
        <v>98</v>
      </c>
      <c r="G141" s="906" t="s">
        <v>16</v>
      </c>
      <c r="H141" s="905">
        <v>5</v>
      </c>
      <c r="I141" s="1988" t="s">
        <v>201</v>
      </c>
      <c r="J141" s="113" t="s">
        <v>52</v>
      </c>
      <c r="K141" s="252">
        <f t="shared" ref="K141:K152" si="28">L141+N141</f>
        <v>310.39999999999998</v>
      </c>
      <c r="L141" s="427"/>
      <c r="M141" s="427"/>
      <c r="N141" s="259">
        <v>310.39999999999998</v>
      </c>
      <c r="O141" s="252">
        <f t="shared" ref="O141:O150" si="29">P141+R141</f>
        <v>274.5</v>
      </c>
      <c r="P141" s="427"/>
      <c r="Q141" s="427"/>
      <c r="R141" s="259">
        <v>274.5</v>
      </c>
      <c r="S141" s="794">
        <f t="shared" ref="S141:S152" si="30">T141+V141</f>
        <v>274.5</v>
      </c>
      <c r="T141" s="769"/>
      <c r="U141" s="769"/>
      <c r="V141" s="795">
        <v>274.5</v>
      </c>
      <c r="W141" s="114">
        <v>75.3</v>
      </c>
      <c r="X141" s="115"/>
      <c r="Y141" s="1691" t="s">
        <v>207</v>
      </c>
      <c r="Z141" s="363">
        <v>79</v>
      </c>
      <c r="AA141" s="1001">
        <v>100</v>
      </c>
      <c r="AB141" s="364"/>
    </row>
    <row r="142" spans="1:29" s="23" customFormat="1" ht="17.25" customHeight="1" x14ac:dyDescent="0.25">
      <c r="A142" s="129"/>
      <c r="B142" s="130"/>
      <c r="C142" s="610"/>
      <c r="D142" s="984"/>
      <c r="E142" s="1973"/>
      <c r="F142" s="907"/>
      <c r="G142" s="112"/>
      <c r="H142" s="908"/>
      <c r="I142" s="1989"/>
      <c r="J142" s="113" t="s">
        <v>27</v>
      </c>
      <c r="K142" s="252">
        <f t="shared" si="28"/>
        <v>1.2</v>
      </c>
      <c r="L142" s="259">
        <v>1.2</v>
      </c>
      <c r="M142" s="259">
        <v>0.9</v>
      </c>
      <c r="N142" s="259"/>
      <c r="O142" s="1026">
        <f t="shared" si="29"/>
        <v>2</v>
      </c>
      <c r="P142" s="1027">
        <v>2</v>
      </c>
      <c r="Q142" s="1027">
        <v>1.4</v>
      </c>
      <c r="R142" s="1027"/>
      <c r="S142" s="794">
        <f t="shared" si="30"/>
        <v>2</v>
      </c>
      <c r="T142" s="1028">
        <v>2</v>
      </c>
      <c r="U142" s="1028">
        <v>1.4</v>
      </c>
      <c r="V142" s="795"/>
      <c r="W142" s="10">
        <v>1</v>
      </c>
      <c r="X142" s="11"/>
      <c r="Y142" s="1658"/>
      <c r="Z142" s="365"/>
      <c r="AA142" s="1002"/>
      <c r="AB142" s="366"/>
    </row>
    <row r="143" spans="1:29" s="23" customFormat="1" ht="17.25" customHeight="1" x14ac:dyDescent="0.25">
      <c r="A143" s="129"/>
      <c r="B143" s="130"/>
      <c r="C143" s="610"/>
      <c r="D143" s="984"/>
      <c r="E143" s="1973"/>
      <c r="F143" s="907"/>
      <c r="G143" s="112"/>
      <c r="H143" s="908"/>
      <c r="I143" s="886"/>
      <c r="J143" s="119" t="s">
        <v>41</v>
      </c>
      <c r="K143" s="562">
        <f t="shared" si="28"/>
        <v>1780.4</v>
      </c>
      <c r="L143" s="581">
        <v>12.4</v>
      </c>
      <c r="M143" s="581">
        <v>10.199999999999999</v>
      </c>
      <c r="N143" s="581">
        <v>1768</v>
      </c>
      <c r="O143" s="562">
        <f t="shared" si="29"/>
        <v>1601.7</v>
      </c>
      <c r="P143" s="581">
        <v>9.8000000000000007</v>
      </c>
      <c r="Q143" s="581">
        <v>7.5</v>
      </c>
      <c r="R143" s="581">
        <v>1591.9</v>
      </c>
      <c r="S143" s="796">
        <f t="shared" si="30"/>
        <v>1601.7</v>
      </c>
      <c r="T143" s="797">
        <v>9.8000000000000007</v>
      </c>
      <c r="U143" s="797">
        <v>7.5</v>
      </c>
      <c r="V143" s="798">
        <v>1591.9</v>
      </c>
      <c r="W143" s="114">
        <v>434.9</v>
      </c>
      <c r="X143" s="115"/>
      <c r="Y143" s="1658"/>
      <c r="Z143" s="365"/>
      <c r="AA143" s="1002"/>
      <c r="AB143" s="366"/>
    </row>
    <row r="144" spans="1:29" s="23" customFormat="1" ht="27" customHeight="1" x14ac:dyDescent="0.25">
      <c r="A144" s="129"/>
      <c r="B144" s="130"/>
      <c r="C144" s="610"/>
      <c r="D144" s="986"/>
      <c r="E144" s="1973"/>
      <c r="F144" s="909"/>
      <c r="G144" s="910"/>
      <c r="H144" s="911"/>
      <c r="I144" s="886"/>
      <c r="J144" s="860" t="s">
        <v>18</v>
      </c>
      <c r="K144" s="861">
        <f t="shared" si="28"/>
        <v>2092</v>
      </c>
      <c r="L144" s="800">
        <f>SUM(L141:L143)</f>
        <v>13.6</v>
      </c>
      <c r="M144" s="800">
        <f>SUM(M141:M143)</f>
        <v>11.1</v>
      </c>
      <c r="N144" s="800">
        <f>SUM(N141:N143)</f>
        <v>2078.4</v>
      </c>
      <c r="O144" s="799">
        <f>P144+R144</f>
        <v>1878.2</v>
      </c>
      <c r="P144" s="800">
        <f>SUM(P141:P143)</f>
        <v>11.8</v>
      </c>
      <c r="Q144" s="800">
        <f>SUM(Q141:Q143)</f>
        <v>8.9</v>
      </c>
      <c r="R144" s="800">
        <f>SUM(R141:R143)</f>
        <v>1866.4</v>
      </c>
      <c r="S144" s="799">
        <f t="shared" si="30"/>
        <v>1878.2</v>
      </c>
      <c r="T144" s="800">
        <f>SUM(T141:T143)</f>
        <v>11.8</v>
      </c>
      <c r="U144" s="800">
        <f>SUM(U141:U143)</f>
        <v>8.9</v>
      </c>
      <c r="V144" s="801">
        <f>SUM(V141:V143)</f>
        <v>1866.4</v>
      </c>
      <c r="W144" s="815">
        <f>SUM(W141:W143)</f>
        <v>511.2</v>
      </c>
      <c r="X144" s="816"/>
      <c r="Y144" s="1659"/>
      <c r="Z144" s="367"/>
      <c r="AA144" s="368"/>
      <c r="AB144" s="369"/>
    </row>
    <row r="145" spans="1:28" s="23" customFormat="1" ht="25.5" x14ac:dyDescent="0.25">
      <c r="A145" s="129"/>
      <c r="B145" s="130"/>
      <c r="C145" s="610"/>
      <c r="D145" s="983" t="s">
        <v>19</v>
      </c>
      <c r="E145" s="1972" t="s">
        <v>208</v>
      </c>
      <c r="F145" s="912" t="s">
        <v>98</v>
      </c>
      <c r="G145" s="116" t="s">
        <v>16</v>
      </c>
      <c r="H145" s="913">
        <v>5</v>
      </c>
      <c r="I145" s="885" t="s">
        <v>201</v>
      </c>
      <c r="J145" s="117" t="s">
        <v>52</v>
      </c>
      <c r="K145" s="134">
        <f>L145+N145</f>
        <v>268.5</v>
      </c>
      <c r="L145" s="256"/>
      <c r="M145" s="256"/>
      <c r="N145" s="256">
        <v>268.5</v>
      </c>
      <c r="O145" s="134">
        <f t="shared" si="29"/>
        <v>189</v>
      </c>
      <c r="P145" s="256"/>
      <c r="Q145" s="256"/>
      <c r="R145" s="256">
        <v>189</v>
      </c>
      <c r="S145" s="802">
        <f>T145+V145</f>
        <v>189</v>
      </c>
      <c r="T145" s="803"/>
      <c r="U145" s="803"/>
      <c r="V145" s="804">
        <v>189</v>
      </c>
      <c r="W145" s="114">
        <v>88.3</v>
      </c>
      <c r="X145" s="115"/>
      <c r="Y145" s="1691" t="s">
        <v>209</v>
      </c>
      <c r="Z145" s="363">
        <v>78</v>
      </c>
      <c r="AA145" s="1001">
        <v>100</v>
      </c>
      <c r="AB145" s="364"/>
    </row>
    <row r="146" spans="1:28" s="23" customFormat="1" x14ac:dyDescent="0.25">
      <c r="A146" s="129"/>
      <c r="B146" s="130"/>
      <c r="C146" s="610"/>
      <c r="D146" s="984"/>
      <c r="E146" s="1973"/>
      <c r="F146" s="914"/>
      <c r="G146" s="77"/>
      <c r="H146" s="118"/>
      <c r="I146" s="886"/>
      <c r="J146" s="113" t="s">
        <v>27</v>
      </c>
      <c r="K146" s="136">
        <f t="shared" si="28"/>
        <v>1.2</v>
      </c>
      <c r="L146" s="259">
        <v>1.2</v>
      </c>
      <c r="M146" s="259">
        <v>0.9</v>
      </c>
      <c r="N146" s="259"/>
      <c r="O146" s="1029">
        <f t="shared" si="29"/>
        <v>1.9</v>
      </c>
      <c r="P146" s="1027">
        <v>1.9</v>
      </c>
      <c r="Q146" s="1027">
        <v>1.3</v>
      </c>
      <c r="R146" s="259"/>
      <c r="S146" s="1030">
        <f t="shared" si="30"/>
        <v>1.9</v>
      </c>
      <c r="T146" s="1028">
        <v>1.9</v>
      </c>
      <c r="U146" s="1028">
        <v>1.3</v>
      </c>
      <c r="V146" s="795"/>
      <c r="W146" s="10">
        <v>0.9</v>
      </c>
      <c r="X146" s="11"/>
      <c r="Y146" s="1658"/>
      <c r="Z146" s="365"/>
      <c r="AA146" s="1002"/>
      <c r="AB146" s="366"/>
    </row>
    <row r="147" spans="1:28" s="23" customFormat="1" x14ac:dyDescent="0.25">
      <c r="A147" s="129"/>
      <c r="B147" s="130"/>
      <c r="C147" s="610"/>
      <c r="D147" s="984"/>
      <c r="E147" s="1973"/>
      <c r="F147" s="914"/>
      <c r="G147" s="77"/>
      <c r="H147" s="118"/>
      <c r="I147" s="886"/>
      <c r="J147" s="120" t="s">
        <v>41</v>
      </c>
      <c r="K147" s="582">
        <f t="shared" si="28"/>
        <v>1539.2</v>
      </c>
      <c r="L147" s="261">
        <v>12</v>
      </c>
      <c r="M147" s="261">
        <v>9.1</v>
      </c>
      <c r="N147" s="261">
        <v>1527.2</v>
      </c>
      <c r="O147" s="582">
        <f t="shared" si="29"/>
        <v>1068.8</v>
      </c>
      <c r="P147" s="261">
        <v>9.3000000000000007</v>
      </c>
      <c r="Q147" s="261">
        <v>7.1</v>
      </c>
      <c r="R147" s="261">
        <v>1059.5</v>
      </c>
      <c r="S147" s="1031">
        <f t="shared" si="30"/>
        <v>1068.8</v>
      </c>
      <c r="T147" s="1032">
        <v>9.3000000000000007</v>
      </c>
      <c r="U147" s="1032">
        <v>7.1</v>
      </c>
      <c r="V147" s="805">
        <v>1059.5</v>
      </c>
      <c r="W147" s="114">
        <v>540</v>
      </c>
      <c r="X147" s="115"/>
      <c r="Y147" s="1658"/>
      <c r="Z147" s="365"/>
      <c r="AA147" s="1002"/>
      <c r="AB147" s="366"/>
    </row>
    <row r="148" spans="1:28" s="23" customFormat="1" x14ac:dyDescent="0.25">
      <c r="A148" s="129"/>
      <c r="B148" s="130"/>
      <c r="C148" s="610"/>
      <c r="D148" s="1244"/>
      <c r="E148" s="1973"/>
      <c r="F148" s="914"/>
      <c r="G148" s="77"/>
      <c r="H148" s="118"/>
      <c r="I148" s="886"/>
      <c r="J148" s="1268" t="s">
        <v>18</v>
      </c>
      <c r="K148" s="1269">
        <f t="shared" si="28"/>
        <v>1808.9</v>
      </c>
      <c r="L148" s="1199">
        <f>SUM(L145:L147)</f>
        <v>13.2</v>
      </c>
      <c r="M148" s="1199">
        <f>SUM(M145:M147)</f>
        <v>10</v>
      </c>
      <c r="N148" s="1199">
        <f>SUM(N145:N147)</f>
        <v>1795.7</v>
      </c>
      <c r="O148" s="1187">
        <f>P148+R148</f>
        <v>1259.7</v>
      </c>
      <c r="P148" s="1199">
        <f>SUM(P145:P147)</f>
        <v>11.200000000000001</v>
      </c>
      <c r="Q148" s="1199">
        <f>SUM(Q145:Q147)</f>
        <v>8.4</v>
      </c>
      <c r="R148" s="800">
        <f>SUM(R145:R147)</f>
        <v>1248.5</v>
      </c>
      <c r="S148" s="1187">
        <f t="shared" si="30"/>
        <v>1259.7</v>
      </c>
      <c r="T148" s="1199">
        <f>SUM(T145:T147)</f>
        <v>11.200000000000001</v>
      </c>
      <c r="U148" s="1199">
        <f>SUM(U145:U147)</f>
        <v>8.4</v>
      </c>
      <c r="V148" s="1188">
        <f>SUM(V145:V147)</f>
        <v>1248.5</v>
      </c>
      <c r="W148" s="815">
        <f>SUM(W145:W147)</f>
        <v>629.20000000000005</v>
      </c>
      <c r="X148" s="816">
        <f>SUM(X145:X147)</f>
        <v>0</v>
      </c>
      <c r="Y148" s="1658"/>
      <c r="Z148" s="365"/>
      <c r="AA148" s="1234"/>
      <c r="AB148" s="366"/>
    </row>
    <row r="149" spans="1:28" s="23" customFormat="1" ht="13.5" customHeight="1" x14ac:dyDescent="0.25">
      <c r="A149" s="129"/>
      <c r="B149" s="130"/>
      <c r="C149" s="610"/>
      <c r="D149" s="1247" t="s">
        <v>22</v>
      </c>
      <c r="E149" s="1972" t="s">
        <v>210</v>
      </c>
      <c r="F149" s="912" t="s">
        <v>98</v>
      </c>
      <c r="G149" s="116" t="s">
        <v>16</v>
      </c>
      <c r="H149" s="913">
        <v>5</v>
      </c>
      <c r="I149" s="1988" t="s">
        <v>201</v>
      </c>
      <c r="J149" s="117" t="s">
        <v>52</v>
      </c>
      <c r="K149" s="134">
        <f t="shared" si="28"/>
        <v>278.39999999999998</v>
      </c>
      <c r="L149" s="256"/>
      <c r="M149" s="256"/>
      <c r="N149" s="256">
        <v>278.39999999999998</v>
      </c>
      <c r="O149" s="134">
        <f t="shared" si="29"/>
        <v>249.9</v>
      </c>
      <c r="P149" s="256"/>
      <c r="Q149" s="256"/>
      <c r="R149" s="1036">
        <v>249.9</v>
      </c>
      <c r="S149" s="802">
        <f t="shared" si="30"/>
        <v>259.89999999999998</v>
      </c>
      <c r="T149" s="803"/>
      <c r="U149" s="803"/>
      <c r="V149" s="804">
        <v>259.89999999999998</v>
      </c>
      <c r="W149" s="114"/>
      <c r="X149" s="115"/>
      <c r="Y149" s="1691" t="s">
        <v>134</v>
      </c>
      <c r="Z149" s="363">
        <v>100</v>
      </c>
      <c r="AA149" s="1233"/>
      <c r="AB149" s="364"/>
    </row>
    <row r="150" spans="1:28" s="23" customFormat="1" ht="13.5" customHeight="1" x14ac:dyDescent="0.25">
      <c r="A150" s="129"/>
      <c r="B150" s="130"/>
      <c r="C150" s="610"/>
      <c r="D150" s="1244"/>
      <c r="E150" s="1973"/>
      <c r="F150" s="914"/>
      <c r="G150" s="77"/>
      <c r="H150" s="118"/>
      <c r="I150" s="1989"/>
      <c r="J150" s="113" t="s">
        <v>27</v>
      </c>
      <c r="K150" s="136">
        <f t="shared" si="28"/>
        <v>0.8</v>
      </c>
      <c r="L150" s="259">
        <v>0.8</v>
      </c>
      <c r="M150" s="259">
        <v>0.6</v>
      </c>
      <c r="N150" s="259"/>
      <c r="O150" s="1029">
        <f t="shared" si="29"/>
        <v>7</v>
      </c>
      <c r="P150" s="1027">
        <v>7</v>
      </c>
      <c r="Q150" s="1027">
        <v>1.4</v>
      </c>
      <c r="R150" s="259"/>
      <c r="S150" s="1030">
        <f t="shared" si="30"/>
        <v>7</v>
      </c>
      <c r="T150" s="1028">
        <v>7</v>
      </c>
      <c r="U150" s="1028">
        <v>1.4</v>
      </c>
      <c r="V150" s="795"/>
      <c r="W150" s="10"/>
      <c r="X150" s="11"/>
      <c r="Y150" s="1658"/>
      <c r="Z150" s="365"/>
      <c r="AA150" s="1234"/>
      <c r="AB150" s="366"/>
    </row>
    <row r="151" spans="1:28" s="23" customFormat="1" ht="13.5" customHeight="1" x14ac:dyDescent="0.25">
      <c r="A151" s="129"/>
      <c r="B151" s="130"/>
      <c r="C151" s="610"/>
      <c r="D151" s="1244"/>
      <c r="E151" s="1973"/>
      <c r="F151" s="914"/>
      <c r="G151" s="77"/>
      <c r="H151" s="118"/>
      <c r="I151" s="886"/>
      <c r="J151" s="113" t="s">
        <v>41</v>
      </c>
      <c r="K151" s="136">
        <f t="shared" si="28"/>
        <v>1618.2</v>
      </c>
      <c r="L151" s="259">
        <v>7.9</v>
      </c>
      <c r="M151" s="259">
        <v>6</v>
      </c>
      <c r="N151" s="259">
        <v>1610.3</v>
      </c>
      <c r="O151" s="136">
        <f>P151+R151</f>
        <v>1455.3</v>
      </c>
      <c r="P151" s="259">
        <v>39.700000000000003</v>
      </c>
      <c r="Q151" s="259">
        <v>7.7</v>
      </c>
      <c r="R151" s="259">
        <v>1415.6</v>
      </c>
      <c r="S151" s="1030">
        <f t="shared" si="30"/>
        <v>1455.3</v>
      </c>
      <c r="T151" s="1028">
        <v>39.700000000000003</v>
      </c>
      <c r="U151" s="1028">
        <v>7.7</v>
      </c>
      <c r="V151" s="795">
        <v>1415.6</v>
      </c>
      <c r="W151" s="114"/>
      <c r="X151" s="115"/>
      <c r="Y151" s="1658"/>
      <c r="Z151" s="370"/>
      <c r="AA151" s="1234"/>
      <c r="AB151" s="366"/>
    </row>
    <row r="152" spans="1:28" s="23" customFormat="1" ht="13.5" customHeight="1" x14ac:dyDescent="0.25">
      <c r="A152" s="129"/>
      <c r="B152" s="130"/>
      <c r="C152" s="610"/>
      <c r="D152" s="1245"/>
      <c r="E152" s="1986"/>
      <c r="F152" s="915"/>
      <c r="G152" s="578"/>
      <c r="H152" s="916"/>
      <c r="I152" s="887"/>
      <c r="J152" s="862" t="s">
        <v>18</v>
      </c>
      <c r="K152" s="863">
        <f t="shared" si="28"/>
        <v>1897.3999999999999</v>
      </c>
      <c r="L152" s="807">
        <f>SUM(L149:L151)</f>
        <v>8.7000000000000011</v>
      </c>
      <c r="M152" s="807">
        <f>SUM(M149:M151)</f>
        <v>6.6</v>
      </c>
      <c r="N152" s="807">
        <f>SUM(N149:N151)</f>
        <v>1888.6999999999998</v>
      </c>
      <c r="O152" s="806">
        <f>P152+R152</f>
        <v>1712.2</v>
      </c>
      <c r="P152" s="807">
        <f>SUM(P149:P151)</f>
        <v>46.7</v>
      </c>
      <c r="Q152" s="807">
        <f>SUM(Q149:Q151)</f>
        <v>9.1</v>
      </c>
      <c r="R152" s="807">
        <f>SUM(R149:R151)</f>
        <v>1665.5</v>
      </c>
      <c r="S152" s="806">
        <f t="shared" si="30"/>
        <v>1722.2</v>
      </c>
      <c r="T152" s="807">
        <f>SUM(T149:T151)</f>
        <v>46.7</v>
      </c>
      <c r="U152" s="807">
        <f>SUM(U149:U151)</f>
        <v>9.1</v>
      </c>
      <c r="V152" s="808">
        <f>SUM(V149:V151)</f>
        <v>1675.5</v>
      </c>
      <c r="W152" s="817">
        <f>SUM(W149:W151)</f>
        <v>0</v>
      </c>
      <c r="X152" s="818">
        <f>SUM(X149:X151)</f>
        <v>0</v>
      </c>
      <c r="Y152" s="1659"/>
      <c r="Z152" s="367"/>
      <c r="AA152" s="368"/>
      <c r="AB152" s="369"/>
    </row>
    <row r="153" spans="1:28" s="23" customFormat="1" x14ac:dyDescent="0.25">
      <c r="A153" s="129"/>
      <c r="B153" s="130"/>
      <c r="C153" s="610"/>
      <c r="D153" s="984" t="s">
        <v>24</v>
      </c>
      <c r="E153" s="1987" t="s">
        <v>135</v>
      </c>
      <c r="F153" s="907" t="s">
        <v>98</v>
      </c>
      <c r="G153" s="112" t="s">
        <v>16</v>
      </c>
      <c r="H153" s="908">
        <v>5</v>
      </c>
      <c r="I153" s="961"/>
      <c r="J153" s="120" t="s">
        <v>52</v>
      </c>
      <c r="K153" s="583">
        <f>L153+N153</f>
        <v>150.9</v>
      </c>
      <c r="L153" s="584"/>
      <c r="M153" s="584"/>
      <c r="N153" s="261">
        <v>150.9</v>
      </c>
      <c r="O153" s="583"/>
      <c r="P153" s="584"/>
      <c r="Q153" s="584"/>
      <c r="R153" s="261"/>
      <c r="S153" s="809"/>
      <c r="T153" s="810"/>
      <c r="U153" s="810"/>
      <c r="V153" s="805"/>
      <c r="W153" s="121"/>
      <c r="X153" s="122"/>
      <c r="Y153" s="1691"/>
      <c r="Z153" s="1661"/>
      <c r="AA153" s="1002"/>
      <c r="AB153" s="366"/>
    </row>
    <row r="154" spans="1:28" s="23" customFormat="1" x14ac:dyDescent="0.25">
      <c r="A154" s="129"/>
      <c r="B154" s="130"/>
      <c r="C154" s="610"/>
      <c r="D154" s="984"/>
      <c r="E154" s="1987"/>
      <c r="F154" s="907"/>
      <c r="G154" s="112"/>
      <c r="H154" s="908"/>
      <c r="I154" s="961"/>
      <c r="J154" s="119" t="s">
        <v>41</v>
      </c>
      <c r="K154" s="252">
        <f>L154+N154</f>
        <v>14.3</v>
      </c>
      <c r="L154" s="233">
        <v>7.7</v>
      </c>
      <c r="M154" s="233"/>
      <c r="N154" s="581">
        <v>6.6</v>
      </c>
      <c r="O154" s="252"/>
      <c r="P154" s="233"/>
      <c r="Q154" s="233"/>
      <c r="R154" s="581"/>
      <c r="S154" s="794"/>
      <c r="T154" s="811"/>
      <c r="U154" s="811"/>
      <c r="V154" s="798"/>
      <c r="W154" s="10"/>
      <c r="X154" s="11"/>
      <c r="Y154" s="1658"/>
      <c r="Z154" s="1661"/>
      <c r="AA154" s="371"/>
      <c r="AB154" s="372"/>
    </row>
    <row r="155" spans="1:28" s="23" customFormat="1" x14ac:dyDescent="0.25">
      <c r="A155" s="129"/>
      <c r="B155" s="130"/>
      <c r="C155" s="610"/>
      <c r="D155" s="984"/>
      <c r="E155" s="1987"/>
      <c r="F155" s="253"/>
      <c r="G155" s="254"/>
      <c r="H155" s="255"/>
      <c r="I155" s="961"/>
      <c r="J155" s="113" t="s">
        <v>27</v>
      </c>
      <c r="K155" s="252">
        <f>L155+N155</f>
        <v>0.4</v>
      </c>
      <c r="L155" s="427">
        <v>0.4</v>
      </c>
      <c r="M155" s="427"/>
      <c r="N155" s="259"/>
      <c r="O155" s="252"/>
      <c r="P155" s="427"/>
      <c r="Q155" s="427"/>
      <c r="R155" s="259"/>
      <c r="S155" s="794"/>
      <c r="T155" s="769"/>
      <c r="U155" s="769"/>
      <c r="V155" s="795"/>
      <c r="W155" s="114"/>
      <c r="X155" s="115"/>
      <c r="Y155" s="1658"/>
      <c r="Z155" s="1661"/>
      <c r="AA155" s="371"/>
      <c r="AB155" s="372"/>
    </row>
    <row r="156" spans="1:28" s="23" customFormat="1" x14ac:dyDescent="0.25">
      <c r="A156" s="129"/>
      <c r="B156" s="130"/>
      <c r="C156" s="610"/>
      <c r="D156" s="984"/>
      <c r="E156" s="1987"/>
      <c r="F156" s="253"/>
      <c r="G156" s="254"/>
      <c r="H156" s="255"/>
      <c r="I156" s="961"/>
      <c r="J156" s="113" t="s">
        <v>42</v>
      </c>
      <c r="K156" s="252">
        <f>L156+N156</f>
        <v>0</v>
      </c>
      <c r="L156" s="427"/>
      <c r="M156" s="427"/>
      <c r="N156" s="259"/>
      <c r="O156" s="252"/>
      <c r="P156" s="427"/>
      <c r="Q156" s="427"/>
      <c r="R156" s="259"/>
      <c r="S156" s="794"/>
      <c r="T156" s="769"/>
      <c r="U156" s="769"/>
      <c r="V156" s="795"/>
      <c r="W156" s="114"/>
      <c r="X156" s="115"/>
      <c r="Y156" s="1658"/>
      <c r="Z156" s="1661"/>
      <c r="AA156" s="1002"/>
      <c r="AB156" s="366"/>
    </row>
    <row r="157" spans="1:28" s="23" customFormat="1" x14ac:dyDescent="0.25">
      <c r="A157" s="129"/>
      <c r="B157" s="130"/>
      <c r="C157" s="610"/>
      <c r="D157" s="984"/>
      <c r="E157" s="1987"/>
      <c r="F157" s="253"/>
      <c r="G157" s="254"/>
      <c r="H157" s="255"/>
      <c r="I157" s="961"/>
      <c r="J157" s="860" t="s">
        <v>18</v>
      </c>
      <c r="K157" s="864">
        <f>L157+N157</f>
        <v>165.6</v>
      </c>
      <c r="L157" s="813">
        <f>SUM(L153:L156)</f>
        <v>8.1</v>
      </c>
      <c r="M157" s="814">
        <f>SUM(M153:M156)</f>
        <v>0</v>
      </c>
      <c r="N157" s="800">
        <f>SUM(N153:N156)</f>
        <v>157.5</v>
      </c>
      <c r="O157" s="812"/>
      <c r="P157" s="800"/>
      <c r="Q157" s="813"/>
      <c r="R157" s="814"/>
      <c r="S157" s="812"/>
      <c r="T157" s="813"/>
      <c r="U157" s="814"/>
      <c r="V157" s="801"/>
      <c r="W157" s="819"/>
      <c r="X157" s="820"/>
      <c r="Y157" s="1659"/>
      <c r="Z157" s="365"/>
      <c r="AA157" s="1002"/>
      <c r="AB157" s="366"/>
    </row>
    <row r="158" spans="1:28" s="75" customFormat="1" ht="13.5" thickBot="1" x14ac:dyDescent="0.3">
      <c r="A158" s="137"/>
      <c r="B158" s="138"/>
      <c r="C158" s="898"/>
      <c r="D158" s="1974"/>
      <c r="E158" s="1975"/>
      <c r="F158" s="313"/>
      <c r="G158" s="313"/>
      <c r="H158" s="326"/>
      <c r="I158" s="302"/>
      <c r="J158" s="263" t="s">
        <v>18</v>
      </c>
      <c r="K158" s="264">
        <f>K157+K152+K148+K144</f>
        <v>5963.9</v>
      </c>
      <c r="L158" s="265">
        <f t="shared" ref="L158:X158" si="31">L157+L152+L148+L144</f>
        <v>43.6</v>
      </c>
      <c r="M158" s="264">
        <f t="shared" si="31"/>
        <v>27.700000000000003</v>
      </c>
      <c r="N158" s="266">
        <f t="shared" si="31"/>
        <v>5920.2999999999993</v>
      </c>
      <c r="O158" s="608">
        <f t="shared" si="31"/>
        <v>4850.1000000000004</v>
      </c>
      <c r="P158" s="264">
        <f t="shared" si="31"/>
        <v>69.7</v>
      </c>
      <c r="Q158" s="265">
        <f t="shared" si="31"/>
        <v>26.4</v>
      </c>
      <c r="R158" s="264">
        <f t="shared" si="31"/>
        <v>4780.3999999999996</v>
      </c>
      <c r="S158" s="641">
        <f>S157+S152+S148+S144</f>
        <v>4860.1000000000004</v>
      </c>
      <c r="T158" s="265">
        <f t="shared" si="31"/>
        <v>69.7</v>
      </c>
      <c r="U158" s="264">
        <f t="shared" si="31"/>
        <v>26.4</v>
      </c>
      <c r="V158" s="642">
        <f t="shared" si="31"/>
        <v>4790.3999999999996</v>
      </c>
      <c r="W158" s="267">
        <f t="shared" si="31"/>
        <v>1140.4000000000001</v>
      </c>
      <c r="X158" s="264">
        <f t="shared" si="31"/>
        <v>0</v>
      </c>
      <c r="Y158" s="1976"/>
      <c r="Z158" s="1977"/>
      <c r="AA158" s="1977"/>
      <c r="AB158" s="1978"/>
    </row>
    <row r="159" spans="1:28" s="23" customFormat="1" ht="51" x14ac:dyDescent="0.25">
      <c r="A159" s="131" t="s">
        <v>13</v>
      </c>
      <c r="B159" s="132" t="s">
        <v>22</v>
      </c>
      <c r="C159" s="609" t="s">
        <v>19</v>
      </c>
      <c r="D159" s="327"/>
      <c r="E159" s="639" t="s">
        <v>43</v>
      </c>
      <c r="F159" s="640"/>
      <c r="G159" s="268"/>
      <c r="H159" s="269"/>
      <c r="I159" s="1238"/>
      <c r="J159" s="270"/>
      <c r="K159" s="271"/>
      <c r="L159" s="4"/>
      <c r="M159" s="4"/>
      <c r="N159" s="272"/>
      <c r="O159" s="251"/>
      <c r="P159" s="4"/>
      <c r="Q159" s="4"/>
      <c r="R159" s="272"/>
      <c r="S159" s="1180"/>
      <c r="T159" s="1183"/>
      <c r="U159" s="766"/>
      <c r="V159" s="1181"/>
      <c r="W159" s="1177"/>
      <c r="X159" s="1177"/>
      <c r="Y159" s="385"/>
      <c r="Z159" s="373"/>
      <c r="AA159" s="374"/>
      <c r="AB159" s="375"/>
    </row>
    <row r="160" spans="1:28" s="23" customFormat="1" ht="29.25" customHeight="1" x14ac:dyDescent="0.25">
      <c r="A160" s="129"/>
      <c r="B160" s="130"/>
      <c r="C160" s="610"/>
      <c r="D160" s="1247" t="s">
        <v>13</v>
      </c>
      <c r="E160" s="1868" t="s">
        <v>267</v>
      </c>
      <c r="F160" s="904" t="s">
        <v>59</v>
      </c>
      <c r="G160" s="116" t="s">
        <v>16</v>
      </c>
      <c r="H160" s="905">
        <v>5</v>
      </c>
      <c r="I160" s="1942" t="s">
        <v>201</v>
      </c>
      <c r="J160" s="113" t="s">
        <v>27</v>
      </c>
      <c r="K160" s="273">
        <f>L160+N160</f>
        <v>482</v>
      </c>
      <c r="L160" s="427"/>
      <c r="M160" s="427"/>
      <c r="N160" s="260">
        <v>482</v>
      </c>
      <c r="O160" s="252">
        <f>P160+R160</f>
        <v>1941.7</v>
      </c>
      <c r="P160" s="427"/>
      <c r="Q160" s="427"/>
      <c r="R160" s="1027">
        <v>1941.7</v>
      </c>
      <c r="S160" s="794">
        <f>T160+V160</f>
        <v>1002.6</v>
      </c>
      <c r="T160" s="769"/>
      <c r="U160" s="769"/>
      <c r="V160" s="795">
        <v>1002.6</v>
      </c>
      <c r="W160" s="1034">
        <v>214.5</v>
      </c>
      <c r="X160" s="115"/>
      <c r="Y160" s="1691" t="s">
        <v>279</v>
      </c>
      <c r="Z160" s="1983">
        <v>95</v>
      </c>
      <c r="AA160" s="1984">
        <v>100</v>
      </c>
      <c r="AB160" s="1985"/>
    </row>
    <row r="161" spans="1:29" s="23" customFormat="1" ht="29.25" customHeight="1" x14ac:dyDescent="0.25">
      <c r="A161" s="129"/>
      <c r="B161" s="130"/>
      <c r="C161" s="610"/>
      <c r="D161" s="1244"/>
      <c r="E161" s="1979"/>
      <c r="F161" s="253"/>
      <c r="G161" s="258"/>
      <c r="H161" s="255"/>
      <c r="I161" s="1981"/>
      <c r="J161" s="274"/>
      <c r="K161" s="273"/>
      <c r="L161" s="427"/>
      <c r="M161" s="427"/>
      <c r="N161" s="260"/>
      <c r="O161" s="252"/>
      <c r="P161" s="427"/>
      <c r="Q161" s="427"/>
      <c r="R161" s="259"/>
      <c r="S161" s="794"/>
      <c r="T161" s="769"/>
      <c r="U161" s="769"/>
      <c r="V161" s="795"/>
      <c r="W161" s="1034"/>
      <c r="X161" s="115"/>
      <c r="Y161" s="1658"/>
      <c r="Z161" s="1661"/>
      <c r="AA161" s="1663"/>
      <c r="AB161" s="1665"/>
    </row>
    <row r="162" spans="1:29" s="23" customFormat="1" ht="29.25" customHeight="1" x14ac:dyDescent="0.25">
      <c r="A162" s="129"/>
      <c r="B162" s="130"/>
      <c r="C162" s="610"/>
      <c r="D162" s="1244"/>
      <c r="E162" s="1979"/>
      <c r="F162" s="253"/>
      <c r="G162" s="258"/>
      <c r="H162" s="255"/>
      <c r="I162" s="1981"/>
      <c r="J162" s="275" t="s">
        <v>41</v>
      </c>
      <c r="K162" s="276">
        <f>L162+N162</f>
        <v>705.2</v>
      </c>
      <c r="L162" s="256"/>
      <c r="M162" s="256"/>
      <c r="N162" s="257">
        <v>705.2</v>
      </c>
      <c r="O162" s="1035">
        <f>P162+R162</f>
        <v>511.3</v>
      </c>
      <c r="P162" s="1036">
        <v>18.8</v>
      </c>
      <c r="Q162" s="1036">
        <v>14.4</v>
      </c>
      <c r="R162" s="1036">
        <v>492.5</v>
      </c>
      <c r="S162" s="821">
        <f t="shared" ref="S162:S168" si="32">T162+V162</f>
        <v>511.3</v>
      </c>
      <c r="T162" s="803">
        <v>18.8</v>
      </c>
      <c r="U162" s="803">
        <v>14.4</v>
      </c>
      <c r="V162" s="804">
        <v>492.5</v>
      </c>
      <c r="W162" s="1034">
        <v>60.7</v>
      </c>
      <c r="X162" s="115"/>
      <c r="Y162" s="1658"/>
      <c r="Z162" s="1661"/>
      <c r="AA162" s="1234"/>
      <c r="AB162" s="366"/>
    </row>
    <row r="163" spans="1:29" s="23" customFormat="1" ht="29.25" customHeight="1" x14ac:dyDescent="0.25">
      <c r="A163" s="129"/>
      <c r="B163" s="130"/>
      <c r="C163" s="610"/>
      <c r="D163" s="1244"/>
      <c r="E163" s="1979"/>
      <c r="F163" s="253"/>
      <c r="G163" s="258"/>
      <c r="H163" s="255"/>
      <c r="I163" s="1981"/>
      <c r="J163" s="275" t="s">
        <v>21</v>
      </c>
      <c r="K163" s="276">
        <f>L163+N163</f>
        <v>124.5</v>
      </c>
      <c r="L163" s="256"/>
      <c r="M163" s="256"/>
      <c r="N163" s="257">
        <v>124.5</v>
      </c>
      <c r="O163" s="1035">
        <f>P163+R163</f>
        <v>90.2</v>
      </c>
      <c r="P163" s="1036">
        <v>3.3</v>
      </c>
      <c r="Q163" s="1036">
        <v>2.5</v>
      </c>
      <c r="R163" s="1036">
        <v>86.9</v>
      </c>
      <c r="S163" s="821">
        <f t="shared" si="32"/>
        <v>90.2</v>
      </c>
      <c r="T163" s="803">
        <v>3.3</v>
      </c>
      <c r="U163" s="803">
        <v>2.5</v>
      </c>
      <c r="V163" s="804">
        <v>86.9</v>
      </c>
      <c r="W163" s="1037">
        <v>10.7</v>
      </c>
      <c r="X163" s="11"/>
      <c r="Y163" s="1658"/>
      <c r="Z163" s="365"/>
      <c r="AA163" s="1234"/>
      <c r="AB163" s="366"/>
    </row>
    <row r="164" spans="1:29" s="23" customFormat="1" x14ac:dyDescent="0.25">
      <c r="A164" s="129"/>
      <c r="B164" s="130"/>
      <c r="C164" s="610"/>
      <c r="D164" s="1244"/>
      <c r="E164" s="1980"/>
      <c r="F164" s="253"/>
      <c r="G164" s="258"/>
      <c r="H164" s="255"/>
      <c r="I164" s="1982"/>
      <c r="J164" s="865" t="s">
        <v>18</v>
      </c>
      <c r="K164" s="820">
        <f>L164+N164</f>
        <v>1311.7</v>
      </c>
      <c r="L164" s="800"/>
      <c r="M164" s="800"/>
      <c r="N164" s="801">
        <f>SUM(N160:N163)</f>
        <v>1311.7</v>
      </c>
      <c r="O164" s="799">
        <f>P164+R164</f>
        <v>2543.1999999999998</v>
      </c>
      <c r="P164" s="800">
        <f>SUM(P160:P163)</f>
        <v>22.1</v>
      </c>
      <c r="Q164" s="800">
        <f>SUM(Q160:Q163)</f>
        <v>16.899999999999999</v>
      </c>
      <c r="R164" s="800">
        <f>SUM(R160:R163)</f>
        <v>2521.1</v>
      </c>
      <c r="S164" s="799">
        <f>T164+V164</f>
        <v>1604.1</v>
      </c>
      <c r="T164" s="800">
        <f>SUM(T160:T163)</f>
        <v>22.1</v>
      </c>
      <c r="U164" s="800">
        <f>SUM(U160:U163)</f>
        <v>16.899999999999999</v>
      </c>
      <c r="V164" s="801">
        <f>SUM(V160:V163)</f>
        <v>1582</v>
      </c>
      <c r="W164" s="819">
        <f>SUM(W160:W163)</f>
        <v>285.89999999999998</v>
      </c>
      <c r="X164" s="823"/>
      <c r="Y164" s="1659"/>
      <c r="Z164" s="370"/>
      <c r="AA164" s="376"/>
      <c r="AB164" s="377"/>
    </row>
    <row r="165" spans="1:29" ht="29.25" customHeight="1" x14ac:dyDescent="0.2">
      <c r="A165" s="129"/>
      <c r="B165" s="130"/>
      <c r="C165" s="610"/>
      <c r="D165" s="1247" t="s">
        <v>19</v>
      </c>
      <c r="E165" s="1959" t="s">
        <v>269</v>
      </c>
      <c r="F165" s="631"/>
      <c r="G165" s="917" t="s">
        <v>16</v>
      </c>
      <c r="H165" s="1703" t="s">
        <v>35</v>
      </c>
      <c r="I165" s="1961" t="s">
        <v>202</v>
      </c>
      <c r="J165" s="279" t="s">
        <v>27</v>
      </c>
      <c r="K165" s="280"/>
      <c r="L165" s="209"/>
      <c r="M165" s="212"/>
      <c r="N165" s="218"/>
      <c r="O165" s="179">
        <f>P165+R165</f>
        <v>8</v>
      </c>
      <c r="P165" s="207">
        <v>8</v>
      </c>
      <c r="Q165" s="180"/>
      <c r="R165" s="182"/>
      <c r="S165" s="673">
        <f t="shared" si="32"/>
        <v>8</v>
      </c>
      <c r="T165" s="674">
        <v>8</v>
      </c>
      <c r="U165" s="674"/>
      <c r="V165" s="684"/>
      <c r="W165" s="125"/>
      <c r="X165" s="125"/>
      <c r="Y165" s="1946" t="s">
        <v>188</v>
      </c>
      <c r="Z165" s="1970">
        <v>274.5</v>
      </c>
      <c r="AA165" s="1722"/>
      <c r="AB165" s="1724"/>
    </row>
    <row r="166" spans="1:29" x14ac:dyDescent="0.2">
      <c r="A166" s="129"/>
      <c r="B166" s="130"/>
      <c r="C166" s="610"/>
      <c r="D166" s="1244"/>
      <c r="E166" s="1960"/>
      <c r="F166" s="633"/>
      <c r="G166" s="918"/>
      <c r="H166" s="1969"/>
      <c r="I166" s="1956"/>
      <c r="J166" s="866" t="s">
        <v>18</v>
      </c>
      <c r="K166" s="822"/>
      <c r="L166" s="822"/>
      <c r="M166" s="822"/>
      <c r="N166" s="710"/>
      <c r="O166" s="714">
        <f>SUM(O165:O165)</f>
        <v>8</v>
      </c>
      <c r="P166" s="822">
        <f>SUM(P165:P165)</f>
        <v>8</v>
      </c>
      <c r="Q166" s="822"/>
      <c r="R166" s="710"/>
      <c r="S166" s="714">
        <f t="shared" si="32"/>
        <v>8</v>
      </c>
      <c r="T166" s="822">
        <f>SUM(T165)</f>
        <v>8</v>
      </c>
      <c r="U166" s="822"/>
      <c r="V166" s="745"/>
      <c r="W166" s="744">
        <f>SUM(W165:W165)</f>
        <v>0</v>
      </c>
      <c r="X166" s="744">
        <f>SUM(X165:X165)</f>
        <v>0</v>
      </c>
      <c r="Y166" s="1947"/>
      <c r="Z166" s="1970"/>
      <c r="AA166" s="1722"/>
      <c r="AB166" s="1724"/>
    </row>
    <row r="167" spans="1:29" ht="36" customHeight="1" x14ac:dyDescent="0.2">
      <c r="A167" s="129"/>
      <c r="B167" s="130"/>
      <c r="C167" s="610"/>
      <c r="D167" s="1247" t="s">
        <v>22</v>
      </c>
      <c r="E167" s="1959" t="s">
        <v>170</v>
      </c>
      <c r="F167" s="281"/>
      <c r="G167" s="919" t="s">
        <v>16</v>
      </c>
      <c r="H167" s="1964" t="s">
        <v>35</v>
      </c>
      <c r="I167" s="1961" t="s">
        <v>202</v>
      </c>
      <c r="J167" s="279" t="s">
        <v>27</v>
      </c>
      <c r="K167" s="280"/>
      <c r="L167" s="209"/>
      <c r="M167" s="212"/>
      <c r="N167" s="218"/>
      <c r="O167" s="179">
        <f>P167+R167</f>
        <v>29.3</v>
      </c>
      <c r="P167" s="207">
        <v>29.3</v>
      </c>
      <c r="Q167" s="180"/>
      <c r="R167" s="182"/>
      <c r="S167" s="673">
        <f t="shared" si="32"/>
        <v>29.3</v>
      </c>
      <c r="T167" s="674">
        <v>29.3</v>
      </c>
      <c r="U167" s="674"/>
      <c r="V167" s="684"/>
      <c r="W167" s="125"/>
      <c r="X167" s="125"/>
      <c r="Y167" s="1946" t="s">
        <v>280</v>
      </c>
      <c r="Z167" s="1948">
        <v>5</v>
      </c>
      <c r="AA167" s="1722"/>
      <c r="AB167" s="1724"/>
    </row>
    <row r="168" spans="1:29" ht="13.5" thickBot="1" x14ac:dyDescent="0.25">
      <c r="A168" s="137"/>
      <c r="B168" s="138"/>
      <c r="C168" s="898"/>
      <c r="D168" s="1248"/>
      <c r="E168" s="1963"/>
      <c r="F168" s="1295"/>
      <c r="G168" s="1296"/>
      <c r="H168" s="1965"/>
      <c r="I168" s="1966"/>
      <c r="J168" s="1297" t="s">
        <v>18</v>
      </c>
      <c r="K168" s="694"/>
      <c r="L168" s="694"/>
      <c r="M168" s="694"/>
      <c r="N168" s="692"/>
      <c r="O168" s="691">
        <f>SUM(O167:O167)</f>
        <v>29.3</v>
      </c>
      <c r="P168" s="694">
        <f>SUM(P167:P167)</f>
        <v>29.3</v>
      </c>
      <c r="Q168" s="694"/>
      <c r="R168" s="692"/>
      <c r="S168" s="691">
        <f t="shared" si="32"/>
        <v>29.3</v>
      </c>
      <c r="T168" s="694">
        <f>SUM(T167)</f>
        <v>29.3</v>
      </c>
      <c r="U168" s="694"/>
      <c r="V168" s="789"/>
      <c r="W168" s="713">
        <f>SUM(W167:W167)</f>
        <v>0</v>
      </c>
      <c r="X168" s="713">
        <f>SUM(X167:X167)</f>
        <v>0</v>
      </c>
      <c r="Y168" s="1967"/>
      <c r="Z168" s="1968"/>
      <c r="AA168" s="1723"/>
      <c r="AB168" s="1725"/>
    </row>
    <row r="169" spans="1:29" s="23" customFormat="1" ht="14.25" customHeight="1" x14ac:dyDescent="0.25">
      <c r="A169" s="129"/>
      <c r="B169" s="130"/>
      <c r="C169" s="610"/>
      <c r="D169" s="1244" t="s">
        <v>24</v>
      </c>
      <c r="E169" s="1955" t="s">
        <v>268</v>
      </c>
      <c r="F169" s="253" t="s">
        <v>59</v>
      </c>
      <c r="G169" s="258" t="s">
        <v>16</v>
      </c>
      <c r="H169" s="255">
        <v>5</v>
      </c>
      <c r="I169" s="1956" t="s">
        <v>204</v>
      </c>
      <c r="J169" s="119" t="s">
        <v>27</v>
      </c>
      <c r="K169" s="1024"/>
      <c r="L169" s="233"/>
      <c r="M169" s="233"/>
      <c r="N169" s="581"/>
      <c r="O169" s="562">
        <f>P169+R169</f>
        <v>50</v>
      </c>
      <c r="P169" s="233"/>
      <c r="Q169" s="233"/>
      <c r="R169" s="581">
        <v>50</v>
      </c>
      <c r="S169" s="796">
        <f>T169+V169</f>
        <v>50</v>
      </c>
      <c r="T169" s="811"/>
      <c r="U169" s="811"/>
      <c r="V169" s="798">
        <v>50</v>
      </c>
      <c r="W169" s="10"/>
      <c r="X169" s="11"/>
      <c r="Y169" s="1658" t="s">
        <v>205</v>
      </c>
      <c r="Z169" s="365">
        <v>1</v>
      </c>
      <c r="AA169" s="1234"/>
      <c r="AB169" s="366"/>
    </row>
    <row r="170" spans="1:29" s="23" customFormat="1" ht="14.25" customHeight="1" x14ac:dyDescent="0.25">
      <c r="A170" s="129"/>
      <c r="B170" s="130"/>
      <c r="C170" s="610"/>
      <c r="D170" s="984"/>
      <c r="E170" s="1955"/>
      <c r="F170" s="277"/>
      <c r="H170" s="278"/>
      <c r="I170" s="1957"/>
      <c r="J170" s="1023"/>
      <c r="K170" s="1024"/>
      <c r="L170" s="581"/>
      <c r="M170" s="581"/>
      <c r="N170" s="581"/>
      <c r="O170" s="562"/>
      <c r="P170" s="581"/>
      <c r="Q170" s="581"/>
      <c r="R170" s="581"/>
      <c r="S170" s="796"/>
      <c r="T170" s="797"/>
      <c r="U170" s="797"/>
      <c r="V170" s="798"/>
      <c r="W170" s="121"/>
      <c r="X170" s="122"/>
      <c r="Y170" s="1658"/>
      <c r="Z170" s="365"/>
      <c r="AA170" s="1002"/>
      <c r="AB170" s="366"/>
    </row>
    <row r="171" spans="1:29" s="23" customFormat="1" ht="14.25" customHeight="1" x14ac:dyDescent="0.25">
      <c r="A171" s="129"/>
      <c r="B171" s="130"/>
      <c r="C171" s="610"/>
      <c r="D171" s="984"/>
      <c r="E171" s="1955"/>
      <c r="F171" s="277"/>
      <c r="G171" s="258"/>
      <c r="H171" s="278"/>
      <c r="I171" s="1958"/>
      <c r="J171" s="865" t="s">
        <v>18</v>
      </c>
      <c r="K171" s="820"/>
      <c r="L171" s="800"/>
      <c r="M171" s="800"/>
      <c r="N171" s="800"/>
      <c r="O171" s="799">
        <f>P171+R171</f>
        <v>50</v>
      </c>
      <c r="P171" s="800"/>
      <c r="Q171" s="800"/>
      <c r="R171" s="800">
        <f>SUM(R169:R170)</f>
        <v>50</v>
      </c>
      <c r="S171" s="799">
        <f>T171+V171</f>
        <v>50</v>
      </c>
      <c r="T171" s="800"/>
      <c r="U171" s="800"/>
      <c r="V171" s="801">
        <f>SUM(V169:V170)</f>
        <v>50</v>
      </c>
      <c r="W171" s="819">
        <f>SUM(W169:W170)</f>
        <v>0</v>
      </c>
      <c r="X171" s="823">
        <f>SUM(X169:X170)</f>
        <v>0</v>
      </c>
      <c r="Y171" s="1658"/>
      <c r="Z171" s="370"/>
      <c r="AA171" s="376"/>
      <c r="AB171" s="377"/>
    </row>
    <row r="172" spans="1:29" s="23" customFormat="1" ht="27.75" customHeight="1" x14ac:dyDescent="0.25">
      <c r="A172" s="129"/>
      <c r="B172" s="130"/>
      <c r="C172" s="610"/>
      <c r="D172" s="983" t="s">
        <v>28</v>
      </c>
      <c r="E172" s="2059" t="s">
        <v>257</v>
      </c>
      <c r="F172" s="904" t="s">
        <v>59</v>
      </c>
      <c r="G172" s="116" t="s">
        <v>16</v>
      </c>
      <c r="H172" s="883">
        <v>5</v>
      </c>
      <c r="I172" s="2060" t="s">
        <v>203</v>
      </c>
      <c r="J172" s="274" t="s">
        <v>42</v>
      </c>
      <c r="K172" s="273"/>
      <c r="L172" s="427"/>
      <c r="M172" s="427"/>
      <c r="N172" s="259"/>
      <c r="O172" s="252">
        <f>P172+R172</f>
        <v>100</v>
      </c>
      <c r="P172" s="427"/>
      <c r="Q172" s="427"/>
      <c r="R172" s="259">
        <v>100</v>
      </c>
      <c r="S172" s="794">
        <f>T172+V172</f>
        <v>100</v>
      </c>
      <c r="T172" s="769"/>
      <c r="U172" s="769"/>
      <c r="V172" s="795">
        <v>100</v>
      </c>
      <c r="W172" s="114"/>
      <c r="X172" s="115"/>
      <c r="Y172" s="1691" t="s">
        <v>217</v>
      </c>
      <c r="Z172" s="363">
        <v>1</v>
      </c>
      <c r="AA172" s="1001"/>
      <c r="AB172" s="364"/>
    </row>
    <row r="173" spans="1:29" s="23" customFormat="1" ht="15" customHeight="1" x14ac:dyDescent="0.25">
      <c r="A173" s="129"/>
      <c r="B173" s="130"/>
      <c r="C173" s="610"/>
      <c r="D173" s="984"/>
      <c r="E173" s="1955"/>
      <c r="F173" s="277"/>
      <c r="H173" s="884"/>
      <c r="I173" s="2061"/>
      <c r="J173" s="275" t="s">
        <v>27</v>
      </c>
      <c r="K173" s="276"/>
      <c r="L173" s="256"/>
      <c r="M173" s="256"/>
      <c r="N173" s="256"/>
      <c r="O173" s="262">
        <f>P173+R173</f>
        <v>30</v>
      </c>
      <c r="P173" s="256"/>
      <c r="Q173" s="256"/>
      <c r="R173" s="256">
        <v>30</v>
      </c>
      <c r="S173" s="821"/>
      <c r="T173" s="803"/>
      <c r="U173" s="803"/>
      <c r="V173" s="804"/>
      <c r="W173" s="114"/>
      <c r="X173" s="115"/>
      <c r="Y173" s="1658"/>
      <c r="Z173" s="365"/>
      <c r="AA173" s="1002"/>
      <c r="AB173" s="366"/>
    </row>
    <row r="174" spans="1:29" s="23" customFormat="1" ht="12.75" customHeight="1" x14ac:dyDescent="0.25">
      <c r="A174" s="129"/>
      <c r="B174" s="130"/>
      <c r="C174" s="610"/>
      <c r="D174" s="984"/>
      <c r="E174" s="1955"/>
      <c r="F174" s="277"/>
      <c r="G174" s="258"/>
      <c r="H174" s="884"/>
      <c r="I174" s="2062"/>
      <c r="J174" s="865" t="s">
        <v>18</v>
      </c>
      <c r="K174" s="820"/>
      <c r="L174" s="800"/>
      <c r="M174" s="800"/>
      <c r="N174" s="800"/>
      <c r="O174" s="799">
        <f>P174+R174</f>
        <v>130</v>
      </c>
      <c r="P174" s="800"/>
      <c r="Q174" s="800"/>
      <c r="R174" s="800">
        <f>SUM(R172:R173)</f>
        <v>130</v>
      </c>
      <c r="S174" s="799">
        <f>T174+V174</f>
        <v>100</v>
      </c>
      <c r="T174" s="800"/>
      <c r="U174" s="800"/>
      <c r="V174" s="801">
        <f>SUM(V172:V173)</f>
        <v>100</v>
      </c>
      <c r="W174" s="819">
        <f>SUM(W172:W173)</f>
        <v>0</v>
      </c>
      <c r="X174" s="823">
        <f>SUM(X172:X173)</f>
        <v>0</v>
      </c>
      <c r="Y174" s="1658"/>
      <c r="Z174" s="370"/>
      <c r="AA174" s="376"/>
      <c r="AB174" s="377"/>
    </row>
    <row r="175" spans="1:29" ht="29.25" customHeight="1" x14ac:dyDescent="0.2">
      <c r="A175" s="129"/>
      <c r="B175" s="130"/>
      <c r="C175" s="610"/>
      <c r="D175" s="983" t="s">
        <v>36</v>
      </c>
      <c r="E175" s="1959" t="s">
        <v>259</v>
      </c>
      <c r="F175" s="631"/>
      <c r="G175" s="1008" t="s">
        <v>16</v>
      </c>
      <c r="H175" s="632" t="s">
        <v>26</v>
      </c>
      <c r="I175" s="1944" t="s">
        <v>197</v>
      </c>
      <c r="J175" s="279" t="s">
        <v>27</v>
      </c>
      <c r="K175" s="280"/>
      <c r="L175" s="209"/>
      <c r="M175" s="212"/>
      <c r="N175" s="218"/>
      <c r="O175" s="179"/>
      <c r="P175" s="207"/>
      <c r="Q175" s="180"/>
      <c r="R175" s="182"/>
      <c r="S175" s="673"/>
      <c r="T175" s="674"/>
      <c r="U175" s="674"/>
      <c r="V175" s="684"/>
      <c r="W175" s="438">
        <v>15.5</v>
      </c>
      <c r="X175" s="125">
        <v>9.8000000000000007</v>
      </c>
      <c r="Y175" s="1946" t="s">
        <v>216</v>
      </c>
      <c r="Z175" s="1948"/>
      <c r="AA175" s="1722"/>
      <c r="AB175" s="1724">
        <v>1</v>
      </c>
      <c r="AC175" s="299"/>
    </row>
    <row r="176" spans="1:29" ht="24" customHeight="1" x14ac:dyDescent="0.2">
      <c r="A176" s="129"/>
      <c r="B176" s="130"/>
      <c r="C176" s="610"/>
      <c r="D176" s="984"/>
      <c r="E176" s="1971"/>
      <c r="F176" s="633"/>
      <c r="G176" s="920"/>
      <c r="H176" s="1003"/>
      <c r="I176" s="1945"/>
      <c r="J176" s="866" t="s">
        <v>18</v>
      </c>
      <c r="K176" s="822"/>
      <c r="L176" s="822"/>
      <c r="M176" s="822"/>
      <c r="N176" s="710"/>
      <c r="O176" s="714"/>
      <c r="P176" s="822"/>
      <c r="Q176" s="822"/>
      <c r="R176" s="710"/>
      <c r="S176" s="714"/>
      <c r="T176" s="822"/>
      <c r="U176" s="822"/>
      <c r="V176" s="745"/>
      <c r="W176" s="744">
        <f>SUM(W175:W175)</f>
        <v>15.5</v>
      </c>
      <c r="X176" s="744">
        <f>SUM(X175:X175)</f>
        <v>9.8000000000000007</v>
      </c>
      <c r="Y176" s="1947"/>
      <c r="Z176" s="1948"/>
      <c r="AA176" s="1722"/>
      <c r="AB176" s="1724"/>
    </row>
    <row r="177" spans="1:28" ht="28.5" customHeight="1" x14ac:dyDescent="0.2">
      <c r="A177" s="129"/>
      <c r="B177" s="130"/>
      <c r="C177" s="610"/>
      <c r="D177" s="983" t="s">
        <v>38</v>
      </c>
      <c r="E177" s="1959" t="s">
        <v>100</v>
      </c>
      <c r="F177" s="631"/>
      <c r="G177" s="1008" t="s">
        <v>16</v>
      </c>
      <c r="H177" s="632" t="s">
        <v>35</v>
      </c>
      <c r="I177" s="1961" t="s">
        <v>202</v>
      </c>
      <c r="J177" s="279" t="s">
        <v>27</v>
      </c>
      <c r="K177" s="280">
        <f>L177+N177</f>
        <v>23</v>
      </c>
      <c r="L177" s="209">
        <v>23</v>
      </c>
      <c r="M177" s="212"/>
      <c r="N177" s="218"/>
      <c r="O177" s="179"/>
      <c r="P177" s="207"/>
      <c r="Q177" s="180"/>
      <c r="R177" s="182"/>
      <c r="S177" s="673"/>
      <c r="T177" s="674"/>
      <c r="U177" s="674"/>
      <c r="V177" s="684"/>
      <c r="W177" s="438"/>
      <c r="X177" s="125"/>
      <c r="Y177" s="1946"/>
      <c r="Z177" s="1948"/>
      <c r="AA177" s="1722"/>
      <c r="AB177" s="1724"/>
    </row>
    <row r="178" spans="1:28" x14ac:dyDescent="0.2">
      <c r="A178" s="129"/>
      <c r="B178" s="130"/>
      <c r="C178" s="610"/>
      <c r="D178" s="984"/>
      <c r="E178" s="1960"/>
      <c r="F178" s="633"/>
      <c r="G178" s="920"/>
      <c r="H178" s="1003"/>
      <c r="I178" s="1962"/>
      <c r="J178" s="866" t="s">
        <v>18</v>
      </c>
      <c r="K178" s="822">
        <f>K177</f>
        <v>23</v>
      </c>
      <c r="L178" s="822">
        <f>L177</f>
        <v>23</v>
      </c>
      <c r="M178" s="822"/>
      <c r="N178" s="710"/>
      <c r="O178" s="714"/>
      <c r="P178" s="822"/>
      <c r="Q178" s="822"/>
      <c r="R178" s="710"/>
      <c r="S178" s="714"/>
      <c r="T178" s="822"/>
      <c r="U178" s="822"/>
      <c r="V178" s="745"/>
      <c r="W178" s="824"/>
      <c r="X178" s="824"/>
      <c r="Y178" s="1947"/>
      <c r="Z178" s="1948"/>
      <c r="AA178" s="1722"/>
      <c r="AB178" s="1724"/>
    </row>
    <row r="179" spans="1:28" s="22" customFormat="1" ht="13.5" thickBot="1" x14ac:dyDescent="0.3">
      <c r="A179" s="137"/>
      <c r="B179" s="138"/>
      <c r="C179" s="610"/>
      <c r="D179" s="1949"/>
      <c r="E179" s="1950"/>
      <c r="F179" s="1950"/>
      <c r="G179" s="1950"/>
      <c r="H179" s="1950"/>
      <c r="I179" s="1951"/>
      <c r="J179" s="875" t="s">
        <v>18</v>
      </c>
      <c r="K179" s="328">
        <f t="shared" ref="K179:Q179" si="33">K176+K178+K171+K168+K166+K164</f>
        <v>1334.7</v>
      </c>
      <c r="L179" s="872">
        <f t="shared" si="33"/>
        <v>23</v>
      </c>
      <c r="M179" s="871">
        <f t="shared" si="33"/>
        <v>0</v>
      </c>
      <c r="N179" s="1194">
        <f t="shared" si="33"/>
        <v>1311.7</v>
      </c>
      <c r="O179" s="1192">
        <f>P179+R179</f>
        <v>2760.5</v>
      </c>
      <c r="P179" s="871">
        <f t="shared" si="33"/>
        <v>59.4</v>
      </c>
      <c r="Q179" s="872">
        <f t="shared" si="33"/>
        <v>16.899999999999999</v>
      </c>
      <c r="R179" s="871">
        <f>R176+R178+R171+R168+R166+R164+R174</f>
        <v>2701.1</v>
      </c>
      <c r="S179" s="328">
        <f>T179+V179</f>
        <v>1791.4</v>
      </c>
      <c r="T179" s="872">
        <f>T176+T178+T171+T168+T166+T164</f>
        <v>59.4</v>
      </c>
      <c r="U179" s="872"/>
      <c r="V179" s="871">
        <f>V176+V178+V171+V168+V166+V164+V174</f>
        <v>1732</v>
      </c>
      <c r="W179" s="328">
        <f>W176+W178+W171+W168+W166+W164</f>
        <v>301.39999999999998</v>
      </c>
      <c r="X179" s="328">
        <f>X176+X178+X171+X168+X166+X164</f>
        <v>9.8000000000000007</v>
      </c>
      <c r="Y179" s="1952"/>
      <c r="Z179" s="1953"/>
      <c r="AA179" s="1953"/>
      <c r="AB179" s="1954"/>
    </row>
    <row r="180" spans="1:28" s="22" customFormat="1" ht="13.5" thickBot="1" x14ac:dyDescent="0.3">
      <c r="A180" s="27" t="s">
        <v>13</v>
      </c>
      <c r="B180" s="127" t="s">
        <v>22</v>
      </c>
      <c r="C180" s="1619" t="s">
        <v>30</v>
      </c>
      <c r="D180" s="1608"/>
      <c r="E180" s="1608"/>
      <c r="F180" s="1608"/>
      <c r="G180" s="1608"/>
      <c r="H180" s="1608"/>
      <c r="I180" s="1608"/>
      <c r="J180" s="1620"/>
      <c r="K180" s="874">
        <f t="shared" ref="K180:X180" si="34">K179+K158</f>
        <v>7298.5999999999995</v>
      </c>
      <c r="L180" s="1193">
        <f t="shared" si="34"/>
        <v>66.599999999999994</v>
      </c>
      <c r="M180" s="873">
        <f t="shared" si="34"/>
        <v>27.700000000000003</v>
      </c>
      <c r="N180" s="282">
        <f t="shared" si="34"/>
        <v>7231.9999999999991</v>
      </c>
      <c r="O180" s="282">
        <f t="shared" si="34"/>
        <v>7610.6</v>
      </c>
      <c r="P180" s="874">
        <f t="shared" si="34"/>
        <v>129.1</v>
      </c>
      <c r="Q180" s="1195">
        <f t="shared" si="34"/>
        <v>43.3</v>
      </c>
      <c r="R180" s="282">
        <f t="shared" si="34"/>
        <v>7481.5</v>
      </c>
      <c r="S180" s="874">
        <f t="shared" si="34"/>
        <v>6651.5</v>
      </c>
      <c r="T180" s="140">
        <f t="shared" si="34"/>
        <v>129.1</v>
      </c>
      <c r="U180" s="140">
        <f t="shared" si="34"/>
        <v>26.4</v>
      </c>
      <c r="V180" s="873">
        <f t="shared" si="34"/>
        <v>6522.4</v>
      </c>
      <c r="W180" s="282">
        <f t="shared" si="34"/>
        <v>1441.8000000000002</v>
      </c>
      <c r="X180" s="282">
        <f t="shared" si="34"/>
        <v>9.8000000000000007</v>
      </c>
      <c r="Y180" s="1609"/>
      <c r="Z180" s="1610"/>
      <c r="AA180" s="1610"/>
      <c r="AB180" s="1611"/>
    </row>
    <row r="181" spans="1:28" ht="13.5" thickBot="1" x14ac:dyDescent="0.25">
      <c r="A181" s="27" t="s">
        <v>13</v>
      </c>
      <c r="B181" s="127" t="s">
        <v>24</v>
      </c>
      <c r="C181" s="1706" t="s">
        <v>101</v>
      </c>
      <c r="D181" s="1707"/>
      <c r="E181" s="1707"/>
      <c r="F181" s="1707"/>
      <c r="G181" s="1707"/>
      <c r="H181" s="1707"/>
      <c r="I181" s="1707"/>
      <c r="J181" s="1707"/>
      <c r="K181" s="1707"/>
      <c r="L181" s="1707"/>
      <c r="M181" s="1707"/>
      <c r="N181" s="1707"/>
      <c r="O181" s="1707"/>
      <c r="P181" s="1707"/>
      <c r="Q181" s="1707"/>
      <c r="R181" s="1707"/>
      <c r="S181" s="1707"/>
      <c r="T181" s="1707"/>
      <c r="U181" s="1707"/>
      <c r="V181" s="1707"/>
      <c r="W181" s="1707"/>
      <c r="X181" s="1707"/>
      <c r="Y181" s="1707"/>
      <c r="Z181" s="1707"/>
      <c r="AA181" s="1707"/>
      <c r="AB181" s="1708"/>
    </row>
    <row r="182" spans="1:28" x14ac:dyDescent="0.2">
      <c r="A182" s="1678" t="s">
        <v>13</v>
      </c>
      <c r="B182" s="1681" t="s">
        <v>24</v>
      </c>
      <c r="C182" s="1684" t="s">
        <v>13</v>
      </c>
      <c r="D182" s="197"/>
      <c r="E182" s="1687" t="s">
        <v>179</v>
      </c>
      <c r="F182" s="1688"/>
      <c r="G182" s="1692" t="s">
        <v>36</v>
      </c>
      <c r="H182" s="1693" t="s">
        <v>53</v>
      </c>
      <c r="I182" s="1931" t="s">
        <v>172</v>
      </c>
      <c r="J182" s="111"/>
      <c r="K182" s="562"/>
      <c r="L182" s="233"/>
      <c r="M182" s="233"/>
      <c r="N182" s="538"/>
      <c r="O182" s="562"/>
      <c r="P182" s="233"/>
      <c r="Q182" s="233"/>
      <c r="R182" s="538"/>
      <c r="S182" s="796"/>
      <c r="T182" s="811"/>
      <c r="U182" s="811"/>
      <c r="V182" s="797"/>
      <c r="W182" s="85"/>
      <c r="X182" s="128"/>
      <c r="Y182" s="1657" t="s">
        <v>171</v>
      </c>
      <c r="Z182" s="965">
        <v>12</v>
      </c>
      <c r="AA182" s="966">
        <v>12</v>
      </c>
      <c r="AB182" s="967">
        <v>12</v>
      </c>
    </row>
    <row r="183" spans="1:28" x14ac:dyDescent="0.2">
      <c r="A183" s="1679"/>
      <c r="B183" s="1682"/>
      <c r="C183" s="1685"/>
      <c r="D183" s="1013"/>
      <c r="E183" s="1606"/>
      <c r="F183" s="1689"/>
      <c r="G183" s="1604"/>
      <c r="H183" s="1694"/>
      <c r="I183" s="1932"/>
      <c r="J183" s="113" t="s">
        <v>27</v>
      </c>
      <c r="K183" s="252">
        <f>L183+N183</f>
        <v>280</v>
      </c>
      <c r="L183" s="427"/>
      <c r="M183" s="427"/>
      <c r="N183" s="260">
        <v>280</v>
      </c>
      <c r="O183" s="252">
        <v>300</v>
      </c>
      <c r="P183" s="539"/>
      <c r="Q183" s="427"/>
      <c r="R183" s="115">
        <v>300</v>
      </c>
      <c r="S183" s="794">
        <f>T183+V183</f>
        <v>300</v>
      </c>
      <c r="T183" s="768"/>
      <c r="U183" s="769"/>
      <c r="V183" s="768">
        <v>300</v>
      </c>
      <c r="W183" s="114">
        <v>300</v>
      </c>
      <c r="X183" s="115">
        <v>300</v>
      </c>
      <c r="Y183" s="1658"/>
      <c r="Z183" s="540"/>
      <c r="AA183" s="987"/>
      <c r="AB183" s="340"/>
    </row>
    <row r="184" spans="1:28" x14ac:dyDescent="0.2">
      <c r="A184" s="1679"/>
      <c r="B184" s="1682"/>
      <c r="C184" s="1685"/>
      <c r="D184" s="1013"/>
      <c r="E184" s="1606"/>
      <c r="F184" s="1689"/>
      <c r="G184" s="1604"/>
      <c r="H184" s="1694"/>
      <c r="I184" s="1932"/>
      <c r="J184" s="113" t="s">
        <v>174</v>
      </c>
      <c r="K184" s="252"/>
      <c r="L184" s="539"/>
      <c r="M184" s="427"/>
      <c r="N184" s="115"/>
      <c r="O184" s="252">
        <f>P184+R184</f>
        <v>200</v>
      </c>
      <c r="P184" s="539"/>
      <c r="Q184" s="427"/>
      <c r="R184" s="115">
        <v>200</v>
      </c>
      <c r="S184" s="794"/>
      <c r="T184" s="768"/>
      <c r="U184" s="769"/>
      <c r="V184" s="768"/>
      <c r="W184" s="114"/>
      <c r="X184" s="115"/>
      <c r="Y184" s="1658"/>
      <c r="Z184" s="540"/>
      <c r="AA184" s="987"/>
      <c r="AB184" s="340"/>
    </row>
    <row r="185" spans="1:28" x14ac:dyDescent="0.2">
      <c r="A185" s="1679"/>
      <c r="B185" s="1682"/>
      <c r="C185" s="1685"/>
      <c r="D185" s="1013"/>
      <c r="E185" s="1606"/>
      <c r="F185" s="1689"/>
      <c r="G185" s="1604"/>
      <c r="H185" s="1694"/>
      <c r="I185" s="1932"/>
      <c r="J185" s="113" t="s">
        <v>21</v>
      </c>
      <c r="K185" s="252"/>
      <c r="L185" s="539"/>
      <c r="M185" s="427"/>
      <c r="N185" s="115"/>
      <c r="O185" s="252">
        <f>P185+R185</f>
        <v>1300</v>
      </c>
      <c r="P185" s="539"/>
      <c r="Q185" s="427"/>
      <c r="R185" s="115">
        <v>1300</v>
      </c>
      <c r="S185" s="794">
        <f>T185+V185</f>
        <v>1300</v>
      </c>
      <c r="T185" s="768"/>
      <c r="U185" s="769"/>
      <c r="V185" s="768">
        <v>1300</v>
      </c>
      <c r="W185" s="114">
        <v>1300</v>
      </c>
      <c r="X185" s="115">
        <v>1300</v>
      </c>
      <c r="Y185" s="1658"/>
      <c r="Z185" s="541"/>
      <c r="AA185" s="542"/>
      <c r="AB185" s="543"/>
    </row>
    <row r="186" spans="1:28" ht="13.5" thickBot="1" x14ac:dyDescent="0.25">
      <c r="A186" s="1680"/>
      <c r="B186" s="1683"/>
      <c r="C186" s="1686"/>
      <c r="D186" s="1014"/>
      <c r="E186" s="1607"/>
      <c r="F186" s="1690"/>
      <c r="G186" s="1605"/>
      <c r="H186" s="1695"/>
      <c r="I186" s="1933"/>
      <c r="J186" s="867" t="s">
        <v>18</v>
      </c>
      <c r="K186" s="678">
        <f>SUM(K182:K185)</f>
        <v>280</v>
      </c>
      <c r="L186" s="724"/>
      <c r="M186" s="679"/>
      <c r="N186" s="715">
        <f>SUM(N182:N185)</f>
        <v>280</v>
      </c>
      <c r="O186" s="678">
        <f>R186+P186</f>
        <v>1800</v>
      </c>
      <c r="P186" s="724"/>
      <c r="Q186" s="679"/>
      <c r="R186" s="715">
        <f>SUM(R182:R185)</f>
        <v>1800</v>
      </c>
      <c r="S186" s="678">
        <f>SUM(S182:S185)</f>
        <v>1600</v>
      </c>
      <c r="T186" s="724"/>
      <c r="U186" s="679"/>
      <c r="V186" s="724">
        <f>SUM(V182:V185)</f>
        <v>1600</v>
      </c>
      <c r="W186" s="712">
        <f>SUM(W182:W185)</f>
        <v>1600</v>
      </c>
      <c r="X186" s="716">
        <f>SUM(X182:X185)</f>
        <v>1600</v>
      </c>
      <c r="Y186" s="1697"/>
      <c r="Z186" s="544"/>
      <c r="AA186" s="545"/>
      <c r="AB186" s="546"/>
    </row>
    <row r="187" spans="1:28" ht="51" x14ac:dyDescent="0.2">
      <c r="A187" s="131" t="s">
        <v>13</v>
      </c>
      <c r="B187" s="132" t="s">
        <v>24</v>
      </c>
      <c r="C187" s="1006" t="s">
        <v>19</v>
      </c>
      <c r="D187" s="237"/>
      <c r="E187" s="587" t="s">
        <v>102</v>
      </c>
      <c r="F187" s="283"/>
      <c r="G187" s="284"/>
      <c r="H187" s="197" t="s">
        <v>26</v>
      </c>
      <c r="I187" s="1934" t="s">
        <v>173</v>
      </c>
      <c r="J187" s="45"/>
      <c r="K187" s="285"/>
      <c r="L187" s="286"/>
      <c r="M187" s="286"/>
      <c r="N187" s="287"/>
      <c r="O187" s="288"/>
      <c r="P187" s="289"/>
      <c r="Q187" s="289"/>
      <c r="R187" s="290"/>
      <c r="S187" s="731"/>
      <c r="T187" s="674"/>
      <c r="U187" s="674"/>
      <c r="V187" s="721"/>
      <c r="W187" s="107"/>
      <c r="X187" s="65"/>
      <c r="Y187" s="291"/>
      <c r="Z187" s="378"/>
      <c r="AA187" s="379"/>
      <c r="AB187" s="380"/>
    </row>
    <row r="188" spans="1:28" ht="25.5" x14ac:dyDescent="0.2">
      <c r="A188" s="129"/>
      <c r="B188" s="130"/>
      <c r="C188" s="1007"/>
      <c r="D188" s="239"/>
      <c r="E188" s="588" t="s">
        <v>74</v>
      </c>
      <c r="F188" s="292"/>
      <c r="G188" s="921" t="s">
        <v>13</v>
      </c>
      <c r="H188" s="1013"/>
      <c r="I188" s="1935"/>
      <c r="J188" s="36" t="s">
        <v>32</v>
      </c>
      <c r="K188" s="589">
        <f t="shared" ref="K188:K193" si="35">L188+N188</f>
        <v>160</v>
      </c>
      <c r="L188" s="585">
        <v>160</v>
      </c>
      <c r="M188" s="286"/>
      <c r="N188" s="287"/>
      <c r="O188" s="547">
        <f>P188+R188</f>
        <v>140</v>
      </c>
      <c r="P188" s="286">
        <v>140</v>
      </c>
      <c r="Q188" s="286"/>
      <c r="R188" s="548"/>
      <c r="S188" s="731">
        <f t="shared" ref="S188:S194" si="36">T188+V188</f>
        <v>140</v>
      </c>
      <c r="T188" s="825">
        <v>140</v>
      </c>
      <c r="U188" s="674"/>
      <c r="V188" s="721"/>
      <c r="W188" s="125">
        <v>120</v>
      </c>
      <c r="X188" s="125">
        <v>120</v>
      </c>
      <c r="Y188" s="291" t="s">
        <v>270</v>
      </c>
      <c r="Z188" s="998">
        <v>40</v>
      </c>
      <c r="AA188" s="999">
        <v>30</v>
      </c>
      <c r="AB188" s="1000">
        <v>30</v>
      </c>
    </row>
    <row r="189" spans="1:28" ht="38.25" x14ac:dyDescent="0.2">
      <c r="A189" s="129"/>
      <c r="B189" s="130"/>
      <c r="C189" s="1007"/>
      <c r="D189" s="239"/>
      <c r="E189" s="588" t="s">
        <v>75</v>
      </c>
      <c r="F189" s="292"/>
      <c r="G189" s="921" t="s">
        <v>36</v>
      </c>
      <c r="H189" s="1013"/>
      <c r="I189" s="660"/>
      <c r="J189" s="36" t="s">
        <v>32</v>
      </c>
      <c r="K189" s="589">
        <f t="shared" si="35"/>
        <v>800</v>
      </c>
      <c r="L189" s="585">
        <v>800</v>
      </c>
      <c r="M189" s="286"/>
      <c r="N189" s="287"/>
      <c r="O189" s="547">
        <f>P189+R189</f>
        <v>900</v>
      </c>
      <c r="P189" s="286">
        <v>900</v>
      </c>
      <c r="Q189" s="286"/>
      <c r="R189" s="548"/>
      <c r="S189" s="731">
        <f t="shared" si="36"/>
        <v>900</v>
      </c>
      <c r="T189" s="825">
        <v>900</v>
      </c>
      <c r="U189" s="825"/>
      <c r="V189" s="826"/>
      <c r="W189" s="125">
        <v>800</v>
      </c>
      <c r="X189" s="125">
        <v>800</v>
      </c>
      <c r="Y189" s="291" t="s">
        <v>80</v>
      </c>
      <c r="Z189" s="998">
        <v>40</v>
      </c>
      <c r="AA189" s="999">
        <v>30</v>
      </c>
      <c r="AB189" s="1000">
        <v>30</v>
      </c>
    </row>
    <row r="190" spans="1:28" ht="51" x14ac:dyDescent="0.2">
      <c r="A190" s="129"/>
      <c r="B190" s="130"/>
      <c r="C190" s="1007"/>
      <c r="D190" s="239"/>
      <c r="E190" s="588" t="s">
        <v>76</v>
      </c>
      <c r="F190" s="292"/>
      <c r="G190" s="921" t="s">
        <v>36</v>
      </c>
      <c r="H190" s="1013"/>
      <c r="I190" s="660"/>
      <c r="J190" s="36" t="s">
        <v>32</v>
      </c>
      <c r="K190" s="589">
        <f t="shared" si="35"/>
        <v>300</v>
      </c>
      <c r="L190" s="585">
        <v>300</v>
      </c>
      <c r="M190" s="286"/>
      <c r="N190" s="287"/>
      <c r="O190" s="547">
        <f>P190+R190</f>
        <v>710</v>
      </c>
      <c r="P190" s="286">
        <v>710</v>
      </c>
      <c r="Q190" s="286"/>
      <c r="R190" s="548"/>
      <c r="S190" s="731">
        <f t="shared" si="36"/>
        <v>710</v>
      </c>
      <c r="T190" s="825">
        <v>710</v>
      </c>
      <c r="U190" s="825"/>
      <c r="V190" s="826"/>
      <c r="W190" s="125">
        <v>830</v>
      </c>
      <c r="X190" s="125">
        <v>830</v>
      </c>
      <c r="Y190" s="291" t="s">
        <v>218</v>
      </c>
      <c r="Z190" s="998">
        <v>95</v>
      </c>
      <c r="AA190" s="999">
        <v>100</v>
      </c>
      <c r="AB190" s="1000">
        <v>100</v>
      </c>
    </row>
    <row r="191" spans="1:28" ht="38.25" x14ac:dyDescent="0.2">
      <c r="A191" s="129"/>
      <c r="B191" s="130"/>
      <c r="C191" s="1007"/>
      <c r="D191" s="239"/>
      <c r="E191" s="588" t="s">
        <v>77</v>
      </c>
      <c r="F191" s="292"/>
      <c r="G191" s="921" t="s">
        <v>36</v>
      </c>
      <c r="H191" s="1013"/>
      <c r="I191" s="660"/>
      <c r="J191" s="36" t="s">
        <v>32</v>
      </c>
      <c r="K191" s="589">
        <f t="shared" si="35"/>
        <v>320</v>
      </c>
      <c r="L191" s="585">
        <v>320</v>
      </c>
      <c r="M191" s="286"/>
      <c r="N191" s="287"/>
      <c r="O191" s="547">
        <f>P191+R191</f>
        <v>50</v>
      </c>
      <c r="P191" s="286">
        <v>50</v>
      </c>
      <c r="Q191" s="286"/>
      <c r="R191" s="548"/>
      <c r="S191" s="731">
        <f t="shared" si="36"/>
        <v>50</v>
      </c>
      <c r="T191" s="825">
        <v>50</v>
      </c>
      <c r="U191" s="825"/>
      <c r="V191" s="826"/>
      <c r="W191" s="125">
        <v>50</v>
      </c>
      <c r="X191" s="125">
        <v>50</v>
      </c>
      <c r="Y191" s="291" t="s">
        <v>219</v>
      </c>
      <c r="Z191" s="998">
        <v>60</v>
      </c>
      <c r="AA191" s="999">
        <v>60</v>
      </c>
      <c r="AB191" s="1000">
        <v>60</v>
      </c>
    </row>
    <row r="192" spans="1:28" ht="23.25" customHeight="1" x14ac:dyDescent="0.2">
      <c r="A192" s="129"/>
      <c r="B192" s="130"/>
      <c r="C192" s="1612"/>
      <c r="D192" s="239"/>
      <c r="E192" s="588" t="s">
        <v>78</v>
      </c>
      <c r="F192" s="292"/>
      <c r="G192" s="921" t="s">
        <v>36</v>
      </c>
      <c r="H192" s="1013"/>
      <c r="I192" s="660"/>
      <c r="J192" s="36" t="s">
        <v>32</v>
      </c>
      <c r="K192" s="589">
        <f t="shared" si="35"/>
        <v>700</v>
      </c>
      <c r="L192" s="585">
        <v>700</v>
      </c>
      <c r="M192" s="286"/>
      <c r="N192" s="287"/>
      <c r="O192" s="547">
        <f>P192+R192</f>
        <v>700</v>
      </c>
      <c r="P192" s="286">
        <v>700</v>
      </c>
      <c r="Q192" s="286"/>
      <c r="R192" s="548"/>
      <c r="S192" s="731">
        <f t="shared" si="36"/>
        <v>700</v>
      </c>
      <c r="T192" s="825">
        <v>700</v>
      </c>
      <c r="U192" s="825"/>
      <c r="V192" s="826"/>
      <c r="W192" s="125">
        <v>700</v>
      </c>
      <c r="X192" s="125">
        <v>700</v>
      </c>
      <c r="Y192" s="291" t="s">
        <v>136</v>
      </c>
      <c r="Z192" s="998">
        <v>84</v>
      </c>
      <c r="AA192" s="999">
        <v>85</v>
      </c>
      <c r="AB192" s="1000">
        <v>85</v>
      </c>
    </row>
    <row r="193" spans="1:50" x14ac:dyDescent="0.2">
      <c r="A193" s="129"/>
      <c r="B193" s="130"/>
      <c r="C193" s="1612"/>
      <c r="D193" s="239"/>
      <c r="E193" s="1701" t="s">
        <v>79</v>
      </c>
      <c r="F193" s="292"/>
      <c r="G193" s="1936" t="s">
        <v>36</v>
      </c>
      <c r="H193" s="1937"/>
      <c r="I193" s="660"/>
      <c r="J193" s="108" t="s">
        <v>32</v>
      </c>
      <c r="K193" s="589">
        <f t="shared" si="35"/>
        <v>20</v>
      </c>
      <c r="L193" s="393">
        <v>20</v>
      </c>
      <c r="M193" s="207"/>
      <c r="N193" s="213"/>
      <c r="O193" s="493"/>
      <c r="P193" s="180"/>
      <c r="Q193" s="207"/>
      <c r="R193" s="208"/>
      <c r="S193" s="731">
        <f t="shared" si="36"/>
        <v>0</v>
      </c>
      <c r="T193" s="718">
        <v>0</v>
      </c>
      <c r="U193" s="718"/>
      <c r="V193" s="723"/>
      <c r="W193" s="308"/>
      <c r="X193" s="308"/>
      <c r="Y193" s="1939" t="s">
        <v>175</v>
      </c>
      <c r="Z193" s="453">
        <v>12</v>
      </c>
      <c r="AA193" s="964">
        <v>12</v>
      </c>
      <c r="AB193" s="988">
        <v>12</v>
      </c>
    </row>
    <row r="194" spans="1:50" x14ac:dyDescent="0.2">
      <c r="A194" s="322"/>
      <c r="B194" s="130"/>
      <c r="C194" s="1612"/>
      <c r="D194" s="239"/>
      <c r="E194" s="1613"/>
      <c r="F194" s="292"/>
      <c r="G194" s="1604"/>
      <c r="H194" s="1937"/>
      <c r="I194" s="660"/>
      <c r="J194" s="108" t="s">
        <v>21</v>
      </c>
      <c r="K194" s="211"/>
      <c r="L194" s="211"/>
      <c r="M194" s="211"/>
      <c r="N194" s="323"/>
      <c r="O194" s="493">
        <f>P194+R194</f>
        <v>19</v>
      </c>
      <c r="P194" s="180">
        <v>19</v>
      </c>
      <c r="Q194" s="211"/>
      <c r="R194" s="549"/>
      <c r="S194" s="739">
        <f t="shared" si="36"/>
        <v>19</v>
      </c>
      <c r="T194" s="739">
        <v>19</v>
      </c>
      <c r="U194" s="739"/>
      <c r="V194" s="740"/>
      <c r="W194" s="441">
        <v>19</v>
      </c>
      <c r="X194" s="441">
        <v>19</v>
      </c>
      <c r="Y194" s="1617"/>
      <c r="Z194" s="550"/>
      <c r="AA194" s="551"/>
      <c r="AB194" s="552"/>
    </row>
    <row r="195" spans="1:50" ht="13.5" thickBot="1" x14ac:dyDescent="0.25">
      <c r="A195" s="989"/>
      <c r="B195" s="979"/>
      <c r="C195" s="1612"/>
      <c r="D195" s="239"/>
      <c r="E195" s="1614"/>
      <c r="F195" s="293"/>
      <c r="G195" s="1605"/>
      <c r="H195" s="1938"/>
      <c r="I195" s="655"/>
      <c r="J195" s="833" t="s">
        <v>18</v>
      </c>
      <c r="K195" s="694">
        <f>L195+N195</f>
        <v>2300</v>
      </c>
      <c r="L195" s="694">
        <f>SUM(L188:L194)</f>
        <v>2300</v>
      </c>
      <c r="M195" s="694"/>
      <c r="N195" s="692"/>
      <c r="O195" s="691">
        <f>P195+R195</f>
        <v>2519</v>
      </c>
      <c r="P195" s="694">
        <f>SUM(P188:P194)</f>
        <v>2519</v>
      </c>
      <c r="Q195" s="694"/>
      <c r="R195" s="789"/>
      <c r="S195" s="694">
        <f t="shared" ref="S195" si="37">T195+V195</f>
        <v>2519</v>
      </c>
      <c r="T195" s="694">
        <f>SUM(T188:T194)</f>
        <v>2519</v>
      </c>
      <c r="U195" s="694"/>
      <c r="V195" s="692"/>
      <c r="W195" s="713">
        <f>SUM(W188:W194)</f>
        <v>2519</v>
      </c>
      <c r="X195" s="789">
        <f>SUM(X188:X194)</f>
        <v>2519</v>
      </c>
      <c r="Y195" s="1618"/>
      <c r="Z195" s="553"/>
      <c r="AA195" s="554"/>
      <c r="AB195" s="555"/>
    </row>
    <row r="196" spans="1:50" ht="40.5" customHeight="1" x14ac:dyDescent="0.2">
      <c r="A196" s="131" t="s">
        <v>13</v>
      </c>
      <c r="B196" s="132" t="s">
        <v>24</v>
      </c>
      <c r="C196" s="1940" t="s">
        <v>22</v>
      </c>
      <c r="D196" s="424"/>
      <c r="E196" s="419" t="s">
        <v>81</v>
      </c>
      <c r="F196" s="292"/>
      <c r="G196" s="921" t="s">
        <v>36</v>
      </c>
      <c r="H196" s="17"/>
      <c r="I196" s="985"/>
      <c r="J196" s="36"/>
      <c r="K196" s="285"/>
      <c r="L196" s="286"/>
      <c r="M196" s="286"/>
      <c r="N196" s="287"/>
      <c r="O196" s="547"/>
      <c r="P196" s="286"/>
      <c r="Q196" s="286"/>
      <c r="R196" s="287"/>
      <c r="S196" s="681"/>
      <c r="T196" s="827"/>
      <c r="U196" s="827"/>
      <c r="V196" s="828"/>
      <c r="W196" s="125"/>
      <c r="X196" s="125"/>
      <c r="Y196" s="291"/>
      <c r="Z196" s="998"/>
      <c r="AA196" s="999"/>
      <c r="AB196" s="1000"/>
    </row>
    <row r="197" spans="1:50" ht="78.75" customHeight="1" x14ac:dyDescent="0.2">
      <c r="A197" s="129"/>
      <c r="B197" s="130"/>
      <c r="C197" s="1612"/>
      <c r="D197" s="425"/>
      <c r="E197" s="1038" t="s">
        <v>260</v>
      </c>
      <c r="F197" s="292"/>
      <c r="G197" s="1936" t="s">
        <v>36</v>
      </c>
      <c r="H197" s="16" t="s">
        <v>99</v>
      </c>
      <c r="I197" s="982" t="s">
        <v>186</v>
      </c>
      <c r="J197" s="108" t="s">
        <v>27</v>
      </c>
      <c r="K197" s="211"/>
      <c r="L197" s="180"/>
      <c r="M197" s="207"/>
      <c r="N197" s="213"/>
      <c r="O197" s="493"/>
      <c r="P197" s="180"/>
      <c r="Q197" s="213"/>
      <c r="R197" s="259"/>
      <c r="S197" s="673"/>
      <c r="T197" s="718"/>
      <c r="U197" s="718"/>
      <c r="V197" s="719"/>
      <c r="W197" s="308">
        <v>87.1</v>
      </c>
      <c r="X197" s="308"/>
      <c r="Y197" s="1025" t="s">
        <v>205</v>
      </c>
      <c r="Z197" s="998"/>
      <c r="AA197" s="999">
        <v>1</v>
      </c>
      <c r="AB197" s="1000"/>
    </row>
    <row r="198" spans="1:50" ht="17.25" customHeight="1" x14ac:dyDescent="0.2">
      <c r="A198" s="322"/>
      <c r="B198" s="130"/>
      <c r="C198" s="1612"/>
      <c r="D198" s="425"/>
      <c r="E198" s="1606" t="s">
        <v>82</v>
      </c>
      <c r="F198" s="292"/>
      <c r="G198" s="1604"/>
      <c r="H198" s="617" t="s">
        <v>53</v>
      </c>
      <c r="I198" s="1942" t="s">
        <v>172</v>
      </c>
      <c r="J198" s="108" t="s">
        <v>21</v>
      </c>
      <c r="K198" s="211"/>
      <c r="L198" s="211"/>
      <c r="M198" s="211"/>
      <c r="N198" s="323"/>
      <c r="O198" s="493">
        <f>P198+R198</f>
        <v>619</v>
      </c>
      <c r="P198" s="180">
        <v>19</v>
      </c>
      <c r="Q198" s="323"/>
      <c r="R198" s="261">
        <v>600</v>
      </c>
      <c r="S198" s="717">
        <f>T198+V198</f>
        <v>619</v>
      </c>
      <c r="T198" s="739">
        <v>19</v>
      </c>
      <c r="U198" s="739"/>
      <c r="V198" s="829">
        <v>600</v>
      </c>
      <c r="W198" s="441"/>
      <c r="X198" s="441"/>
      <c r="Y198" s="894" t="s">
        <v>220</v>
      </c>
      <c r="Z198" s="1125">
        <v>3</v>
      </c>
      <c r="AA198" s="1126">
        <v>3</v>
      </c>
      <c r="AB198" s="1127">
        <v>3</v>
      </c>
    </row>
    <row r="199" spans="1:50" ht="14.25" customHeight="1" thickBot="1" x14ac:dyDescent="0.25">
      <c r="A199" s="659"/>
      <c r="B199" s="973"/>
      <c r="C199" s="1941"/>
      <c r="D199" s="426"/>
      <c r="E199" s="1607"/>
      <c r="F199" s="293"/>
      <c r="G199" s="1605"/>
      <c r="H199" s="420"/>
      <c r="I199" s="1943"/>
      <c r="J199" s="833" t="s">
        <v>18</v>
      </c>
      <c r="K199" s="694"/>
      <c r="L199" s="694"/>
      <c r="M199" s="694"/>
      <c r="N199" s="692"/>
      <c r="O199" s="698">
        <f>SUM(O197:O198)</f>
        <v>619</v>
      </c>
      <c r="P199" s="693">
        <f t="shared" ref="P199:X199" si="38">SUM(P197:P198)</f>
        <v>19</v>
      </c>
      <c r="Q199" s="692">
        <f t="shared" si="38"/>
        <v>0</v>
      </c>
      <c r="R199" s="693">
        <f>SUM(R197:R198)</f>
        <v>600</v>
      </c>
      <c r="S199" s="691">
        <f t="shared" si="38"/>
        <v>619</v>
      </c>
      <c r="T199" s="692">
        <f t="shared" si="38"/>
        <v>19</v>
      </c>
      <c r="U199" s="693">
        <f t="shared" si="38"/>
        <v>0</v>
      </c>
      <c r="V199" s="694">
        <f t="shared" si="38"/>
        <v>600</v>
      </c>
      <c r="W199" s="691">
        <f t="shared" si="38"/>
        <v>87.1</v>
      </c>
      <c r="X199" s="691">
        <f t="shared" si="38"/>
        <v>0</v>
      </c>
      <c r="Y199" s="49"/>
      <c r="Z199" s="553"/>
      <c r="AA199" s="554"/>
      <c r="AB199" s="555"/>
    </row>
    <row r="200" spans="1:50" s="22" customFormat="1" ht="13.5" thickBot="1" x14ac:dyDescent="0.3">
      <c r="A200" s="27" t="s">
        <v>13</v>
      </c>
      <c r="B200" s="28" t="s">
        <v>24</v>
      </c>
      <c r="C200" s="1608" t="s">
        <v>30</v>
      </c>
      <c r="D200" s="1608"/>
      <c r="E200" s="1608"/>
      <c r="F200" s="1608"/>
      <c r="G200" s="1608"/>
      <c r="H200" s="1608"/>
      <c r="I200" s="1608"/>
      <c r="J200" s="1608"/>
      <c r="K200" s="421">
        <f>K195+K186+K199</f>
        <v>2580</v>
      </c>
      <c r="L200" s="140">
        <f>L195+L186+L199</f>
        <v>2300</v>
      </c>
      <c r="M200" s="140">
        <f t="shared" ref="M200:X200" si="39">M195+M186+M199</f>
        <v>0</v>
      </c>
      <c r="N200" s="141">
        <f>N195+N186+N199</f>
        <v>280</v>
      </c>
      <c r="O200" s="421">
        <f>O195+O186+O199</f>
        <v>4938</v>
      </c>
      <c r="P200" s="140">
        <f>P195+P186+P199</f>
        <v>2538</v>
      </c>
      <c r="Q200" s="141">
        <f>Q195+Q186+Q199</f>
        <v>0</v>
      </c>
      <c r="R200" s="568">
        <f>R195+R186+R199</f>
        <v>2400</v>
      </c>
      <c r="S200" s="139">
        <f t="shared" si="39"/>
        <v>4738</v>
      </c>
      <c r="T200" s="141">
        <f t="shared" si="39"/>
        <v>2538</v>
      </c>
      <c r="U200" s="140">
        <f t="shared" si="39"/>
        <v>0</v>
      </c>
      <c r="V200" s="141">
        <f>V195+V186+V199</f>
        <v>2200</v>
      </c>
      <c r="W200" s="421">
        <f>W195+W186+W199</f>
        <v>4206.1000000000004</v>
      </c>
      <c r="X200" s="421">
        <f t="shared" si="39"/>
        <v>4119</v>
      </c>
      <c r="Y200" s="1609"/>
      <c r="Z200" s="1610"/>
      <c r="AA200" s="1610"/>
      <c r="AB200" s="1611"/>
    </row>
    <row r="201" spans="1:50" ht="14.25" customHeight="1" thickBot="1" x14ac:dyDescent="0.25">
      <c r="A201" s="971" t="s">
        <v>13</v>
      </c>
      <c r="B201" s="142"/>
      <c r="C201" s="1595" t="s">
        <v>44</v>
      </c>
      <c r="D201" s="1595"/>
      <c r="E201" s="1595"/>
      <c r="F201" s="1595"/>
      <c r="G201" s="1595"/>
      <c r="H201" s="1595"/>
      <c r="I201" s="1595"/>
      <c r="J201" s="1595"/>
      <c r="K201" s="143">
        <f>L201+N201</f>
        <v>95518.049999999988</v>
      </c>
      <c r="L201" s="144">
        <f>L200+L180+L138+L34</f>
        <v>87669.65</v>
      </c>
      <c r="M201" s="144">
        <f>M200+M180+M138+M34</f>
        <v>6896.7999999999993</v>
      </c>
      <c r="N201" s="145">
        <f>N200+N180+N138+N34</f>
        <v>7848.3999999999987</v>
      </c>
      <c r="O201" s="566">
        <f>P201+R201</f>
        <v>113368.2</v>
      </c>
      <c r="P201" s="144">
        <f>P200+P180+P138+P34</f>
        <v>100685.2</v>
      </c>
      <c r="Q201" s="146">
        <f>Q200+Q180+Q138+Q34</f>
        <v>8646.7000000000007</v>
      </c>
      <c r="R201" s="422">
        <f>R200+R180+R138+R34</f>
        <v>12683</v>
      </c>
      <c r="S201" s="143">
        <f>T201+V201</f>
        <v>105300.70000000001</v>
      </c>
      <c r="T201" s="146">
        <f>T200+T180+T138+T34</f>
        <v>93788.1</v>
      </c>
      <c r="U201" s="144">
        <f>U200+U180+U138+U34</f>
        <v>8574.1999999999989</v>
      </c>
      <c r="V201" s="569">
        <f>V200+V180+V138+V34</f>
        <v>11512.6</v>
      </c>
      <c r="W201" s="146">
        <f>W200+W180+W138+W34</f>
        <v>107985.4</v>
      </c>
      <c r="X201" s="147">
        <f>X200+X180+X138+X34</f>
        <v>105432</v>
      </c>
      <c r="Y201" s="1596"/>
      <c r="Z201" s="1597"/>
      <c r="AA201" s="1597"/>
      <c r="AB201" s="1598"/>
    </row>
    <row r="202" spans="1:50" s="22" customFormat="1" ht="13.5" customHeight="1" thickBot="1" x14ac:dyDescent="0.3">
      <c r="A202" s="148" t="s">
        <v>45</v>
      </c>
      <c r="B202" s="1599" t="s">
        <v>46</v>
      </c>
      <c r="C202" s="1600"/>
      <c r="D202" s="1600"/>
      <c r="E202" s="1600"/>
      <c r="F202" s="1600"/>
      <c r="G202" s="1600"/>
      <c r="H202" s="1600"/>
      <c r="I202" s="1600"/>
      <c r="J202" s="1600"/>
      <c r="K202" s="149">
        <f>L202+N202</f>
        <v>95518.049999999988</v>
      </c>
      <c r="L202" s="150">
        <f>L201</f>
        <v>87669.65</v>
      </c>
      <c r="M202" s="150">
        <f>M201</f>
        <v>6896.7999999999993</v>
      </c>
      <c r="N202" s="151">
        <f>N201</f>
        <v>7848.3999999999987</v>
      </c>
      <c r="O202" s="567">
        <f>P202+R202</f>
        <v>113368.2</v>
      </c>
      <c r="P202" s="150">
        <f>P201</f>
        <v>100685.2</v>
      </c>
      <c r="Q202" s="152">
        <f>Q201</f>
        <v>8646.7000000000007</v>
      </c>
      <c r="R202" s="423">
        <f>R201</f>
        <v>12683</v>
      </c>
      <c r="S202" s="149">
        <f>T202+V202</f>
        <v>105300.70000000001</v>
      </c>
      <c r="T202" s="152">
        <f>T201</f>
        <v>93788.1</v>
      </c>
      <c r="U202" s="150">
        <f>U201</f>
        <v>8574.1999999999989</v>
      </c>
      <c r="V202" s="570">
        <f>V201</f>
        <v>11512.6</v>
      </c>
      <c r="W202" s="152">
        <f>W201</f>
        <v>107985.4</v>
      </c>
      <c r="X202" s="153">
        <f>X201</f>
        <v>105432</v>
      </c>
      <c r="Y202" s="1601"/>
      <c r="Z202" s="1602"/>
      <c r="AA202" s="1602"/>
      <c r="AB202" s="1603"/>
      <c r="AC202" s="9"/>
    </row>
    <row r="203" spans="1:50" s="154" customFormat="1" ht="15.75" customHeight="1" x14ac:dyDescent="0.25">
      <c r="A203" s="1929" t="s">
        <v>97</v>
      </c>
      <c r="B203" s="1929"/>
      <c r="C203" s="1929"/>
      <c r="D203" s="1929"/>
      <c r="E203" s="1929"/>
      <c r="F203" s="1929"/>
      <c r="G203" s="1929"/>
      <c r="H203" s="1929"/>
      <c r="I203" s="1929"/>
      <c r="J203" s="1929"/>
      <c r="K203" s="1929"/>
      <c r="L203" s="1929"/>
      <c r="M203" s="1929"/>
      <c r="N203" s="1929"/>
      <c r="O203" s="1929"/>
      <c r="P203" s="1929"/>
      <c r="Q203" s="1929"/>
      <c r="R203" s="1929"/>
      <c r="S203" s="1929"/>
      <c r="T203" s="1929"/>
      <c r="U203" s="1929"/>
      <c r="V203" s="1929"/>
      <c r="W203" s="1929"/>
      <c r="X203" s="1929"/>
      <c r="Y203" s="1929"/>
      <c r="Z203" s="1929"/>
      <c r="AA203" s="1929"/>
      <c r="AB203" s="1929"/>
      <c r="AC203" s="294"/>
      <c r="AD203" s="295"/>
      <c r="AE203" s="295"/>
      <c r="AF203" s="295"/>
      <c r="AG203" s="295"/>
      <c r="AH203" s="295"/>
      <c r="AI203" s="295"/>
      <c r="AJ203" s="295"/>
      <c r="AK203" s="295"/>
      <c r="AL203" s="295"/>
      <c r="AM203" s="295"/>
      <c r="AN203" s="295"/>
      <c r="AO203" s="295"/>
      <c r="AP203" s="295"/>
      <c r="AQ203" s="295"/>
      <c r="AR203" s="295"/>
      <c r="AS203" s="295"/>
      <c r="AT203" s="295"/>
      <c r="AU203" s="295"/>
      <c r="AV203" s="295"/>
      <c r="AW203" s="295"/>
      <c r="AX203" s="295"/>
    </row>
    <row r="204" spans="1:50" s="154" customFormat="1" ht="14.25" customHeight="1" x14ac:dyDescent="0.25">
      <c r="A204" s="1930" t="s">
        <v>189</v>
      </c>
      <c r="B204" s="1930"/>
      <c r="C204" s="1930"/>
      <c r="D204" s="1930"/>
      <c r="E204" s="1930"/>
      <c r="F204" s="1930"/>
      <c r="G204" s="1930"/>
      <c r="H204" s="1930"/>
      <c r="I204" s="1930"/>
      <c r="J204" s="1930"/>
      <c r="K204" s="1930"/>
      <c r="L204" s="1930"/>
      <c r="M204" s="1930"/>
      <c r="N204" s="1930"/>
      <c r="O204" s="1930"/>
      <c r="P204" s="1930"/>
      <c r="Q204" s="1930"/>
      <c r="R204" s="1930"/>
      <c r="S204" s="1930"/>
      <c r="T204" s="1930"/>
      <c r="U204" s="1930"/>
      <c r="V204" s="1930"/>
      <c r="W204" s="1930"/>
      <c r="X204" s="1930"/>
      <c r="Y204" s="1930"/>
      <c r="Z204" s="1930"/>
      <c r="AA204" s="1930"/>
      <c r="AB204" s="1930"/>
      <c r="AC204" s="1930"/>
      <c r="AD204" s="295"/>
      <c r="AE204" s="295"/>
      <c r="AF204" s="295"/>
      <c r="AG204" s="295"/>
      <c r="AH204" s="295"/>
      <c r="AI204" s="295"/>
      <c r="AJ204" s="295"/>
      <c r="AK204" s="295"/>
      <c r="AL204" s="295"/>
      <c r="AM204" s="295"/>
      <c r="AN204" s="295"/>
      <c r="AO204" s="295"/>
      <c r="AP204" s="295"/>
      <c r="AQ204" s="295"/>
      <c r="AR204" s="295"/>
      <c r="AS204" s="295"/>
      <c r="AT204" s="295"/>
      <c r="AU204" s="295"/>
      <c r="AV204" s="295"/>
      <c r="AW204" s="295"/>
      <c r="AX204" s="295"/>
    </row>
    <row r="205" spans="1:50" s="124" customFormat="1" ht="18" customHeight="1" thickBot="1" x14ac:dyDescent="0.25">
      <c r="B205" s="155"/>
      <c r="C205" s="155"/>
      <c r="D205" s="155"/>
      <c r="E205" s="1650" t="s">
        <v>47</v>
      </c>
      <c r="F205" s="1650"/>
      <c r="G205" s="1650"/>
      <c r="H205" s="1650"/>
      <c r="I205" s="1650"/>
      <c r="J205" s="1650"/>
      <c r="K205" s="1650"/>
      <c r="L205" s="1650"/>
      <c r="M205" s="1650"/>
      <c r="N205" s="1650"/>
      <c r="O205" s="1650"/>
      <c r="P205" s="1650"/>
      <c r="Q205" s="1650"/>
      <c r="R205" s="1650"/>
      <c r="S205" s="1650"/>
      <c r="T205" s="1650"/>
      <c r="U205" s="1650"/>
      <c r="V205" s="1650"/>
      <c r="W205" s="1650"/>
      <c r="X205" s="1650"/>
      <c r="Y205" s="381"/>
      <c r="Z205" s="381"/>
      <c r="AA205" s="381"/>
      <c r="AB205" s="381"/>
    </row>
    <row r="206" spans="1:50" s="22" customFormat="1" ht="33.75" customHeight="1" thickBot="1" x14ac:dyDescent="0.3">
      <c r="A206" s="156"/>
      <c r="B206" s="296"/>
      <c r="C206" s="1926" t="s">
        <v>48</v>
      </c>
      <c r="D206" s="1927"/>
      <c r="E206" s="1927"/>
      <c r="F206" s="1927"/>
      <c r="G206" s="1927"/>
      <c r="H206" s="1927"/>
      <c r="I206" s="1927"/>
      <c r="J206" s="1928"/>
      <c r="K206" s="1591" t="s">
        <v>176</v>
      </c>
      <c r="L206" s="1592"/>
      <c r="M206" s="1592"/>
      <c r="N206" s="1593"/>
      <c r="O206" s="1591" t="s">
        <v>140</v>
      </c>
      <c r="P206" s="1592"/>
      <c r="Q206" s="1592"/>
      <c r="R206" s="1593"/>
      <c r="S206" s="1591" t="s">
        <v>141</v>
      </c>
      <c r="T206" s="1592"/>
      <c r="U206" s="1592"/>
      <c r="V206" s="1593"/>
      <c r="W206" s="157" t="s">
        <v>87</v>
      </c>
      <c r="X206" s="157" t="s">
        <v>177</v>
      </c>
      <c r="Y206" s="1015"/>
      <c r="Z206" s="1594"/>
      <c r="AA206" s="1594"/>
      <c r="AB206" s="1594"/>
    </row>
    <row r="207" spans="1:50" s="22" customFormat="1" ht="13.5" customHeight="1" thickBot="1" x14ac:dyDescent="0.3">
      <c r="A207" s="156"/>
      <c r="B207" s="297"/>
      <c r="C207" s="1902" t="s">
        <v>49</v>
      </c>
      <c r="D207" s="1903"/>
      <c r="E207" s="1903"/>
      <c r="F207" s="1903"/>
      <c r="G207" s="1903"/>
      <c r="H207" s="1903"/>
      <c r="I207" s="1903"/>
      <c r="J207" s="1904"/>
      <c r="K207" s="1905">
        <f>SUM(K208:N211)</f>
        <v>47441.599999999999</v>
      </c>
      <c r="L207" s="1646"/>
      <c r="M207" s="1646"/>
      <c r="N207" s="1647"/>
      <c r="O207" s="1905">
        <f>SUM(O208:R212)</f>
        <v>58413.9</v>
      </c>
      <c r="P207" s="1646"/>
      <c r="Q207" s="1646"/>
      <c r="R207" s="1647"/>
      <c r="S207" s="1905">
        <f>SUM(S208:V211)</f>
        <v>50571.799999999996</v>
      </c>
      <c r="T207" s="1646"/>
      <c r="U207" s="1646"/>
      <c r="V207" s="1647"/>
      <c r="W207" s="1016">
        <f>SUM(W208:W211)</f>
        <v>59930.299999999996</v>
      </c>
      <c r="X207" s="158">
        <f>SUM(X208:X211)</f>
        <v>58760.7</v>
      </c>
      <c r="Y207" s="1017"/>
      <c r="Z207" s="1638"/>
      <c r="AA207" s="1638"/>
      <c r="AB207" s="1638"/>
    </row>
    <row r="208" spans="1:50" s="22" customFormat="1" ht="12.75" customHeight="1" x14ac:dyDescent="0.25">
      <c r="A208" s="156"/>
      <c r="B208" s="298"/>
      <c r="C208" s="1898" t="s">
        <v>106</v>
      </c>
      <c r="D208" s="1899"/>
      <c r="E208" s="1899"/>
      <c r="F208" s="1899"/>
      <c r="G208" s="1899"/>
      <c r="H208" s="1899"/>
      <c r="I208" s="1899"/>
      <c r="J208" s="1900"/>
      <c r="K208" s="1925">
        <f>SUMIF(J12:J198,J30,K12:K198)</f>
        <v>10758.7</v>
      </c>
      <c r="L208" s="1648"/>
      <c r="M208" s="1648"/>
      <c r="N208" s="1649"/>
      <c r="O208" s="1925">
        <f>SUMIF(J12:J198,"sb",O12:O198)</f>
        <v>29977.899999999998</v>
      </c>
      <c r="P208" s="1648"/>
      <c r="Q208" s="1648"/>
      <c r="R208" s="1649"/>
      <c r="S208" s="1925">
        <f>SUMIF(J12:J200,"SB",S12:S200)</f>
        <v>28751.499999999996</v>
      </c>
      <c r="T208" s="1648"/>
      <c r="U208" s="1648"/>
      <c r="V208" s="1649"/>
      <c r="W208" s="1018">
        <f>SUMIF(J12:J198,J30,W12:W198)</f>
        <v>30686.1</v>
      </c>
      <c r="X208" s="324">
        <f>SUMIF(J12:J198,"sb",X12:X198)</f>
        <v>30409.7</v>
      </c>
      <c r="Y208" s="1019"/>
      <c r="Z208" s="1641"/>
      <c r="AA208" s="1641"/>
      <c r="AB208" s="1641"/>
    </row>
    <row r="209" spans="1:28" s="22" customFormat="1" ht="15.75" customHeight="1" x14ac:dyDescent="0.25">
      <c r="A209" s="156"/>
      <c r="B209" s="298"/>
      <c r="C209" s="1919" t="s">
        <v>107</v>
      </c>
      <c r="D209" s="1920"/>
      <c r="E209" s="1920"/>
      <c r="F209" s="1920"/>
      <c r="G209" s="1920"/>
      <c r="H209" s="1920"/>
      <c r="I209" s="1920"/>
      <c r="J209" s="1921"/>
      <c r="K209" s="1922">
        <f>SUMIF(J12:J195,J193,K12:K195)</f>
        <v>3876.4</v>
      </c>
      <c r="L209" s="1923"/>
      <c r="M209" s="1923"/>
      <c r="N209" s="1924"/>
      <c r="O209" s="1922">
        <f>SUMIF(J12:J195,J193,O12:O195)</f>
        <v>4001.2</v>
      </c>
      <c r="P209" s="1923"/>
      <c r="Q209" s="1923"/>
      <c r="R209" s="1924"/>
      <c r="S209" s="1922">
        <f>SUMIF(J12:J200,"SB(sP)",S12:S200)</f>
        <v>4001.2</v>
      </c>
      <c r="T209" s="1923"/>
      <c r="U209" s="1923"/>
      <c r="V209" s="1924"/>
      <c r="W209" s="159">
        <f>SUMIF(J12:J195,J193,W12:W195)</f>
        <v>4333.1000000000004</v>
      </c>
      <c r="X209" s="160">
        <f>SUMIF(J12:J198,J193,X12:X198)</f>
        <v>4333.1000000000004</v>
      </c>
      <c r="Y209" s="1019"/>
      <c r="Z209" s="1641"/>
      <c r="AA209" s="1641"/>
      <c r="AB209" s="1641"/>
    </row>
    <row r="210" spans="1:28" s="22" customFormat="1" ht="15.75" customHeight="1" x14ac:dyDescent="0.25">
      <c r="A210" s="156"/>
      <c r="B210" s="298"/>
      <c r="C210" s="1895" t="s">
        <v>108</v>
      </c>
      <c r="D210" s="1896"/>
      <c r="E210" s="1896"/>
      <c r="F210" s="1896"/>
      <c r="G210" s="1896"/>
      <c r="H210" s="1896"/>
      <c r="I210" s="1896"/>
      <c r="J210" s="1897"/>
      <c r="K210" s="1645">
        <f>SUMIF(J12:J195,J12,K12:K195)</f>
        <v>31798.3</v>
      </c>
      <c r="L210" s="1627"/>
      <c r="M210" s="1627"/>
      <c r="N210" s="1628"/>
      <c r="O210" s="1645">
        <f>SUMIF(J12:J198,J12,O12:O198)</f>
        <v>23521.399999999998</v>
      </c>
      <c r="P210" s="1627"/>
      <c r="Q210" s="1627"/>
      <c r="R210" s="1628"/>
      <c r="S210" s="1645">
        <f>SUMIF(J12:J200,"sb(vb)",S12:S200)</f>
        <v>17095.699999999997</v>
      </c>
      <c r="T210" s="1627"/>
      <c r="U210" s="1627"/>
      <c r="V210" s="1628"/>
      <c r="W210" s="1020">
        <f>SUMIF(J12:J198,J12,W12:W198)</f>
        <v>24747.499999999996</v>
      </c>
      <c r="X210" s="161">
        <f>SUMIF(J12:J198,J12,X12:X198)</f>
        <v>24017.899999999998</v>
      </c>
      <c r="Y210" s="1019"/>
      <c r="Z210" s="1641"/>
      <c r="AA210" s="1641"/>
      <c r="AB210" s="1641"/>
    </row>
    <row r="211" spans="1:28" s="22" customFormat="1" x14ac:dyDescent="0.25">
      <c r="A211" s="156"/>
      <c r="B211" s="298"/>
      <c r="C211" s="1910" t="s">
        <v>109</v>
      </c>
      <c r="D211" s="1583"/>
      <c r="E211" s="1583"/>
      <c r="F211" s="1583"/>
      <c r="G211" s="1583"/>
      <c r="H211" s="1583"/>
      <c r="I211" s="1583"/>
      <c r="J211" s="1911"/>
      <c r="K211" s="1912">
        <f>SUMIF(J12:J195,J153,K12:K195)</f>
        <v>1008.1999999999999</v>
      </c>
      <c r="L211" s="1639"/>
      <c r="M211" s="1639"/>
      <c r="N211" s="1640"/>
      <c r="O211" s="1912">
        <f>SUMIF(J12:J198,J153,O12:O198)</f>
        <v>713.4</v>
      </c>
      <c r="P211" s="1639"/>
      <c r="Q211" s="1639"/>
      <c r="R211" s="1640"/>
      <c r="S211" s="1912">
        <f>SUMIF(J12:J200,"sb(p)",S12:S200)</f>
        <v>723.4</v>
      </c>
      <c r="T211" s="1639"/>
      <c r="U211" s="1639"/>
      <c r="V211" s="1640"/>
      <c r="W211" s="162">
        <f>SUMIF(J12:J195,J141,W12:W195)</f>
        <v>163.6</v>
      </c>
      <c r="X211" s="163">
        <f>SUMIF(J12:J198,J153,X12:X198)</f>
        <v>0</v>
      </c>
      <c r="Y211" s="1019"/>
      <c r="Z211" s="1641"/>
      <c r="AA211" s="1641"/>
      <c r="AB211" s="1641"/>
    </row>
    <row r="212" spans="1:28" s="22" customFormat="1" ht="13.5" thickBot="1" x14ac:dyDescent="0.3">
      <c r="A212" s="156"/>
      <c r="B212" s="298"/>
      <c r="C212" s="1913" t="s">
        <v>190</v>
      </c>
      <c r="D212" s="1914"/>
      <c r="E212" s="1914"/>
      <c r="F212" s="1914"/>
      <c r="G212" s="1914"/>
      <c r="H212" s="1914"/>
      <c r="I212" s="1914"/>
      <c r="J212" s="1915"/>
      <c r="K212" s="1916"/>
      <c r="L212" s="1917"/>
      <c r="M212" s="1917"/>
      <c r="N212" s="1918"/>
      <c r="O212" s="1916">
        <f>SUMIF(J12:J198,"sb(l)",O12:O198)</f>
        <v>200</v>
      </c>
      <c r="P212" s="1917"/>
      <c r="Q212" s="1917"/>
      <c r="R212" s="1918"/>
      <c r="S212" s="1916"/>
      <c r="T212" s="1917"/>
      <c r="U212" s="1917"/>
      <c r="V212" s="1918"/>
      <c r="W212" s="1021"/>
      <c r="X212" s="611"/>
      <c r="Y212" s="1019"/>
      <c r="Z212" s="1019"/>
      <c r="AA212" s="1019"/>
      <c r="AB212" s="1019"/>
    </row>
    <row r="213" spans="1:28" s="22" customFormat="1" ht="13.5" thickBot="1" x14ac:dyDescent="0.3">
      <c r="A213" s="156"/>
      <c r="B213" s="297"/>
      <c r="C213" s="1902" t="s">
        <v>50</v>
      </c>
      <c r="D213" s="1903"/>
      <c r="E213" s="1903"/>
      <c r="F213" s="1903"/>
      <c r="G213" s="1903"/>
      <c r="H213" s="1903"/>
      <c r="I213" s="1903"/>
      <c r="J213" s="1904"/>
      <c r="K213" s="1905">
        <f>SUM(K214:N216)</f>
        <v>48076.45</v>
      </c>
      <c r="L213" s="1646"/>
      <c r="M213" s="1646"/>
      <c r="N213" s="1647"/>
      <c r="O213" s="1905">
        <f>SUM(O214:R216)</f>
        <v>54954.299999999996</v>
      </c>
      <c r="P213" s="1646"/>
      <c r="Q213" s="1646"/>
      <c r="R213" s="1647"/>
      <c r="S213" s="1905">
        <f>SUM(S214:V216)</f>
        <v>54728.899999999994</v>
      </c>
      <c r="T213" s="1646"/>
      <c r="U213" s="1646"/>
      <c r="V213" s="1647"/>
      <c r="W213" s="1016">
        <f>SUM(W214:W216)</f>
        <v>48055.099999999991</v>
      </c>
      <c r="X213" s="158">
        <f>X214+X215+X216</f>
        <v>46671.299999999996</v>
      </c>
      <c r="Y213" s="1017"/>
      <c r="Z213" s="1638"/>
      <c r="AA213" s="1638"/>
      <c r="AB213" s="1638"/>
    </row>
    <row r="214" spans="1:28" s="22" customFormat="1" x14ac:dyDescent="0.25">
      <c r="A214" s="156"/>
      <c r="B214" s="298"/>
      <c r="C214" s="1906" t="s">
        <v>110</v>
      </c>
      <c r="D214" s="1907"/>
      <c r="E214" s="1907"/>
      <c r="F214" s="1907"/>
      <c r="G214" s="1907"/>
      <c r="H214" s="1907"/>
      <c r="I214" s="1907"/>
      <c r="J214" s="1908"/>
      <c r="K214" s="1909">
        <f>SUMIF(J12:J195,J154,K12:K195)</f>
        <v>6152.0999999999995</v>
      </c>
      <c r="L214" s="1653"/>
      <c r="M214" s="1653"/>
      <c r="N214" s="1654"/>
      <c r="O214" s="1909">
        <f>SUMIF(J12:J198,J154,O12:O198)</f>
        <v>7129.5000000000009</v>
      </c>
      <c r="P214" s="1653"/>
      <c r="Q214" s="1653"/>
      <c r="R214" s="1654"/>
      <c r="S214" s="1909">
        <f>SUMIF(J35:J200,"es",S35:S200)</f>
        <v>7129.5000000000009</v>
      </c>
      <c r="T214" s="1653"/>
      <c r="U214" s="1653"/>
      <c r="V214" s="1654"/>
      <c r="W214" s="159">
        <f>SUMIF(J12:J195,"es",W12:W195)</f>
        <v>1373.1000000000001</v>
      </c>
      <c r="X214" s="160">
        <f>SUMIF(J12:J195,"es",X12:X195)</f>
        <v>0</v>
      </c>
      <c r="Y214" s="1019"/>
      <c r="Z214" s="1641"/>
      <c r="AA214" s="1641"/>
      <c r="AB214" s="1641"/>
    </row>
    <row r="215" spans="1:28" s="22" customFormat="1" x14ac:dyDescent="0.25">
      <c r="A215" s="156"/>
      <c r="B215" s="298"/>
      <c r="C215" s="1895" t="s">
        <v>111</v>
      </c>
      <c r="D215" s="1896"/>
      <c r="E215" s="1896"/>
      <c r="F215" s="1896"/>
      <c r="G215" s="1896"/>
      <c r="H215" s="1896"/>
      <c r="I215" s="1896"/>
      <c r="J215" s="1897"/>
      <c r="K215" s="1645">
        <f>SUMIF(J12:J195,J26,K12:K195)</f>
        <v>41924.35</v>
      </c>
      <c r="L215" s="1627"/>
      <c r="M215" s="1627"/>
      <c r="N215" s="1628"/>
      <c r="O215" s="1645">
        <f>SUMIF(J12:J198,J185,O12:O198)</f>
        <v>47515.1</v>
      </c>
      <c r="P215" s="1627"/>
      <c r="Q215" s="1627"/>
      <c r="R215" s="1628"/>
      <c r="S215" s="1645">
        <f>SUMIF(J12:J200,"lrvb",S12:S200)</f>
        <v>47289.7</v>
      </c>
      <c r="T215" s="1627"/>
      <c r="U215" s="1627"/>
      <c r="V215" s="1628"/>
      <c r="W215" s="1020">
        <f>SUMIF(J12:J195,"lrvb",W12:W195)</f>
        <v>46472.299999999996</v>
      </c>
      <c r="X215" s="161">
        <f>SUMIF(J12:J195,J185,X12:X195)</f>
        <v>46461.599999999999</v>
      </c>
      <c r="Y215" s="64"/>
      <c r="Z215" s="1641"/>
      <c r="AA215" s="1641"/>
      <c r="AB215" s="1641"/>
    </row>
    <row r="216" spans="1:28" s="22" customFormat="1" ht="13.5" thickBot="1" x14ac:dyDescent="0.3">
      <c r="A216" s="156"/>
      <c r="B216" s="298"/>
      <c r="C216" s="1898" t="s">
        <v>137</v>
      </c>
      <c r="D216" s="1899"/>
      <c r="E216" s="1899"/>
      <c r="F216" s="1899"/>
      <c r="G216" s="1899"/>
      <c r="H216" s="1899"/>
      <c r="I216" s="1899"/>
      <c r="J216" s="1900"/>
      <c r="K216" s="1901">
        <f>SUMIF(J12:J195,J156,K12:K195)</f>
        <v>0</v>
      </c>
      <c r="L216" s="1651"/>
      <c r="M216" s="1651"/>
      <c r="N216" s="1652"/>
      <c r="O216" s="1901">
        <f>SUMIF(J12:J198,J156,O12:O198)</f>
        <v>309.7</v>
      </c>
      <c r="P216" s="1651"/>
      <c r="Q216" s="1651"/>
      <c r="R216" s="1652"/>
      <c r="S216" s="1901">
        <f>SUMIF(J35:J200,"kt",S35:S200)</f>
        <v>309.7</v>
      </c>
      <c r="T216" s="1651"/>
      <c r="U216" s="1651"/>
      <c r="V216" s="1652"/>
      <c r="W216" s="159">
        <f>SUMIF(J12:J195,"kt",W12:W195)</f>
        <v>209.7</v>
      </c>
      <c r="X216" s="160">
        <f>SUMIF(J12:J195,"kt",X12:X195)</f>
        <v>209.7</v>
      </c>
      <c r="Y216" s="64"/>
      <c r="Z216" s="1641"/>
      <c r="AA216" s="1641"/>
      <c r="AB216" s="1641"/>
    </row>
    <row r="217" spans="1:28" s="22" customFormat="1" ht="13.5" thickBot="1" x14ac:dyDescent="0.3">
      <c r="A217" s="156"/>
      <c r="B217" s="297"/>
      <c r="C217" s="1624" t="s">
        <v>51</v>
      </c>
      <c r="D217" s="1625"/>
      <c r="E217" s="1625"/>
      <c r="F217" s="1625"/>
      <c r="G217" s="1625"/>
      <c r="H217" s="1625"/>
      <c r="I217" s="1625"/>
      <c r="J217" s="1626"/>
      <c r="K217" s="1894">
        <f>K213+K207</f>
        <v>95518.049999999988</v>
      </c>
      <c r="L217" s="1636"/>
      <c r="M217" s="1636"/>
      <c r="N217" s="1637"/>
      <c r="O217" s="1894">
        <f>O213+O207</f>
        <v>113368.2</v>
      </c>
      <c r="P217" s="1636"/>
      <c r="Q217" s="1636"/>
      <c r="R217" s="1637"/>
      <c r="S217" s="1894">
        <f>S213+S207</f>
        <v>105300.69999999998</v>
      </c>
      <c r="T217" s="1636"/>
      <c r="U217" s="1636"/>
      <c r="V217" s="1637"/>
      <c r="W217" s="1022">
        <f>W207+W213</f>
        <v>107985.4</v>
      </c>
      <c r="X217" s="830">
        <f>X207+X213</f>
        <v>105432</v>
      </c>
      <c r="Y217" s="386"/>
      <c r="Z217" s="1638"/>
      <c r="AA217" s="1638"/>
      <c r="AB217" s="1638"/>
    </row>
    <row r="218" spans="1:28" x14ac:dyDescent="0.2">
      <c r="B218" s="164"/>
      <c r="C218" s="164"/>
      <c r="D218" s="164"/>
      <c r="E218" s="164"/>
      <c r="F218" s="164"/>
      <c r="G218" s="164"/>
      <c r="L218" s="299"/>
      <c r="P218" s="299"/>
      <c r="T218" s="1623"/>
      <c r="U218" s="1623"/>
      <c r="W218" s="299"/>
      <c r="X218" s="299"/>
    </row>
    <row r="219" spans="1:28" x14ac:dyDescent="0.2">
      <c r="L219" s="299"/>
      <c r="O219" s="299"/>
      <c r="P219" s="299"/>
      <c r="S219" s="299"/>
      <c r="T219" s="669"/>
      <c r="U219" s="299"/>
      <c r="W219" s="299"/>
      <c r="X219" s="299"/>
    </row>
    <row r="223" spans="1:28" x14ac:dyDescent="0.2">
      <c r="F223" s="21"/>
      <c r="G223" s="21"/>
      <c r="H223" s="165"/>
      <c r="I223" s="301"/>
      <c r="Q223" s="124"/>
      <c r="Y223" s="166"/>
      <c r="Z223" s="166"/>
      <c r="AA223" s="166"/>
      <c r="AB223" s="166"/>
    </row>
  </sheetData>
  <mergeCells count="344">
    <mergeCell ref="E172:E174"/>
    <mergeCell ref="I172:I174"/>
    <mergeCell ref="Y172:Y174"/>
    <mergeCell ref="A1:AB1"/>
    <mergeCell ref="A2:AB2"/>
    <mergeCell ref="A3:AB3"/>
    <mergeCell ref="A4:AB4"/>
    <mergeCell ref="A5:A7"/>
    <mergeCell ref="B5:B7"/>
    <mergeCell ref="C5:C7"/>
    <mergeCell ref="E5:E7"/>
    <mergeCell ref="F5:F7"/>
    <mergeCell ref="G5:G7"/>
    <mergeCell ref="Y6:Y7"/>
    <mergeCell ref="Z6:AB6"/>
    <mergeCell ref="A8:AB8"/>
    <mergeCell ref="A9:AB9"/>
    <mergeCell ref="B10:AB10"/>
    <mergeCell ref="C11:AB11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V6:V7"/>
    <mergeCell ref="AB15:AB16"/>
    <mergeCell ref="E17:E19"/>
    <mergeCell ref="I17:I21"/>
    <mergeCell ref="Y20:Y21"/>
    <mergeCell ref="Z20:Z21"/>
    <mergeCell ref="AA20:AA21"/>
    <mergeCell ref="AB20:AB21"/>
    <mergeCell ref="E12:E15"/>
    <mergeCell ref="I12:I16"/>
    <mergeCell ref="Y13:Y14"/>
    <mergeCell ref="Y15:Y16"/>
    <mergeCell ref="Z15:Z16"/>
    <mergeCell ref="AA15:AA16"/>
    <mergeCell ref="E24:E25"/>
    <mergeCell ref="I24:I25"/>
    <mergeCell ref="Y24:Y25"/>
    <mergeCell ref="Z24:Z25"/>
    <mergeCell ref="AA24:AA25"/>
    <mergeCell ref="AB24:AB25"/>
    <mergeCell ref="E22:E23"/>
    <mergeCell ref="I22:I23"/>
    <mergeCell ref="Y22:Y23"/>
    <mergeCell ref="Z22:Z23"/>
    <mergeCell ref="AA22:AA23"/>
    <mergeCell ref="AB22:AB23"/>
    <mergeCell ref="H26:H27"/>
    <mergeCell ref="I26:I27"/>
    <mergeCell ref="E28:E29"/>
    <mergeCell ref="I28:I29"/>
    <mergeCell ref="Y28:Y29"/>
    <mergeCell ref="Z28:Z29"/>
    <mergeCell ref="A26:A27"/>
    <mergeCell ref="B26:B27"/>
    <mergeCell ref="C26:C27"/>
    <mergeCell ref="E26:E27"/>
    <mergeCell ref="F26:F27"/>
    <mergeCell ref="G26:G27"/>
    <mergeCell ref="AA28:AA29"/>
    <mergeCell ref="AB28:AB29"/>
    <mergeCell ref="A30:A31"/>
    <mergeCell ref="B30:B31"/>
    <mergeCell ref="C30:C31"/>
    <mergeCell ref="I30:I31"/>
    <mergeCell ref="Y30:Y31"/>
    <mergeCell ref="Z30:Z31"/>
    <mergeCell ref="AA30:AA31"/>
    <mergeCell ref="AB30:AB31"/>
    <mergeCell ref="C35:AB35"/>
    <mergeCell ref="D37:D42"/>
    <mergeCell ref="Y40:Y41"/>
    <mergeCell ref="E43:E49"/>
    <mergeCell ref="I43:I49"/>
    <mergeCell ref="A32:A33"/>
    <mergeCell ref="B32:B33"/>
    <mergeCell ref="E32:E33"/>
    <mergeCell ref="I32:I33"/>
    <mergeCell ref="C34:J34"/>
    <mergeCell ref="Y34:AB34"/>
    <mergeCell ref="Z63:Z64"/>
    <mergeCell ref="AA63:AA64"/>
    <mergeCell ref="AB63:AB64"/>
    <mergeCell ref="D68:D72"/>
    <mergeCell ref="E68:E69"/>
    <mergeCell ref="Y69:Y72"/>
    <mergeCell ref="E70:E72"/>
    <mergeCell ref="E50:E52"/>
    <mergeCell ref="D51:D52"/>
    <mergeCell ref="Y56:Y57"/>
    <mergeCell ref="Y63:Y64"/>
    <mergeCell ref="E83:E85"/>
    <mergeCell ref="Y83:Y86"/>
    <mergeCell ref="Z83:Z86"/>
    <mergeCell ref="AA83:AA86"/>
    <mergeCell ref="AB83:AB86"/>
    <mergeCell ref="A85:A86"/>
    <mergeCell ref="B85:B86"/>
    <mergeCell ref="D73:D77"/>
    <mergeCell ref="E73:E77"/>
    <mergeCell ref="Y74:Y77"/>
    <mergeCell ref="E78:E79"/>
    <mergeCell ref="E80:E82"/>
    <mergeCell ref="Y80:Y82"/>
    <mergeCell ref="E91:E93"/>
    <mergeCell ref="Y91:Y94"/>
    <mergeCell ref="Z91:Z94"/>
    <mergeCell ref="AA91:AA94"/>
    <mergeCell ref="AB91:AB94"/>
    <mergeCell ref="Y96:Y98"/>
    <mergeCell ref="D87:D90"/>
    <mergeCell ref="E87:E89"/>
    <mergeCell ref="Y87:Y90"/>
    <mergeCell ref="Z87:Z90"/>
    <mergeCell ref="AA87:AA90"/>
    <mergeCell ref="AB87:AB90"/>
    <mergeCell ref="D99:J99"/>
    <mergeCell ref="D100:J100"/>
    <mergeCell ref="E103:J103"/>
    <mergeCell ref="E105:J105"/>
    <mergeCell ref="A107:A108"/>
    <mergeCell ref="B107:B108"/>
    <mergeCell ref="C107:C108"/>
    <mergeCell ref="E107:E108"/>
    <mergeCell ref="F107:F108"/>
    <mergeCell ref="G107:G108"/>
    <mergeCell ref="H107:H108"/>
    <mergeCell ref="I107:I108"/>
    <mergeCell ref="Y107:Y108"/>
    <mergeCell ref="I109:I110"/>
    <mergeCell ref="E114:E115"/>
    <mergeCell ref="A116:A117"/>
    <mergeCell ref="B116:B117"/>
    <mergeCell ref="C116:C117"/>
    <mergeCell ref="E116:E117"/>
    <mergeCell ref="F116:F117"/>
    <mergeCell ref="AB116:AB117"/>
    <mergeCell ref="Z116:Z117"/>
    <mergeCell ref="AA116:AA117"/>
    <mergeCell ref="A118:A119"/>
    <mergeCell ref="B118:B119"/>
    <mergeCell ref="E118:E120"/>
    <mergeCell ref="I118:I120"/>
    <mergeCell ref="Y118:Y119"/>
    <mergeCell ref="G116:G117"/>
    <mergeCell ref="H116:H117"/>
    <mergeCell ref="I116:I117"/>
    <mergeCell ref="Y116:Y117"/>
    <mergeCell ref="A121:A122"/>
    <mergeCell ref="B121:B122"/>
    <mergeCell ref="E121:E124"/>
    <mergeCell ref="I121:I124"/>
    <mergeCell ref="Y121:Y122"/>
    <mergeCell ref="A125:A126"/>
    <mergeCell ref="B125:B126"/>
    <mergeCell ref="E125:E127"/>
    <mergeCell ref="I125:I127"/>
    <mergeCell ref="Y125:Y126"/>
    <mergeCell ref="I128:I132"/>
    <mergeCell ref="Y128:Y129"/>
    <mergeCell ref="Y131:Y132"/>
    <mergeCell ref="E133:E135"/>
    <mergeCell ref="F133:F135"/>
    <mergeCell ref="G133:G135"/>
    <mergeCell ref="H133:H135"/>
    <mergeCell ref="A128:A129"/>
    <mergeCell ref="B128:B129"/>
    <mergeCell ref="E128:E132"/>
    <mergeCell ref="F128:F132"/>
    <mergeCell ref="G128:G132"/>
    <mergeCell ref="H128:H132"/>
    <mergeCell ref="I133:I135"/>
    <mergeCell ref="E136:E137"/>
    <mergeCell ref="F136:F137"/>
    <mergeCell ref="G136:G137"/>
    <mergeCell ref="H136:H137"/>
    <mergeCell ref="Y136:Y137"/>
    <mergeCell ref="Z136:Z137"/>
    <mergeCell ref="AA136:AA137"/>
    <mergeCell ref="AB136:AB137"/>
    <mergeCell ref="Y134:Y135"/>
    <mergeCell ref="Z134:Z135"/>
    <mergeCell ref="AA134:AA135"/>
    <mergeCell ref="AB134:AB135"/>
    <mergeCell ref="C138:J138"/>
    <mergeCell ref="Y138:AB138"/>
    <mergeCell ref="C139:AB139"/>
    <mergeCell ref="E141:E144"/>
    <mergeCell ref="Y141:Y144"/>
    <mergeCell ref="E145:E148"/>
    <mergeCell ref="D158:E158"/>
    <mergeCell ref="Y158:AB158"/>
    <mergeCell ref="E160:E164"/>
    <mergeCell ref="I160:I164"/>
    <mergeCell ref="Y160:Y164"/>
    <mergeCell ref="Z160:Z162"/>
    <mergeCell ref="AA160:AA161"/>
    <mergeCell ref="AB160:AB161"/>
    <mergeCell ref="Y145:Y148"/>
    <mergeCell ref="E149:E152"/>
    <mergeCell ref="Y149:Y152"/>
    <mergeCell ref="E153:E157"/>
    <mergeCell ref="Y153:Y157"/>
    <mergeCell ref="Z153:Z156"/>
    <mergeCell ref="I149:I150"/>
    <mergeCell ref="I141:I142"/>
    <mergeCell ref="E169:E171"/>
    <mergeCell ref="I169:I171"/>
    <mergeCell ref="Y169:Y171"/>
    <mergeCell ref="E177:E178"/>
    <mergeCell ref="I177:I178"/>
    <mergeCell ref="Y177:Y178"/>
    <mergeCell ref="AB165:AB166"/>
    <mergeCell ref="E167:E168"/>
    <mergeCell ref="H167:H168"/>
    <mergeCell ref="I167:I168"/>
    <mergeCell ref="Y167:Y168"/>
    <mergeCell ref="Z167:Z168"/>
    <mergeCell ref="AA167:AA168"/>
    <mergeCell ref="AB167:AB168"/>
    <mergeCell ref="E165:E166"/>
    <mergeCell ref="H165:H166"/>
    <mergeCell ref="I165:I166"/>
    <mergeCell ref="Y165:Y166"/>
    <mergeCell ref="Z165:Z166"/>
    <mergeCell ref="AA165:AA166"/>
    <mergeCell ref="Z177:Z178"/>
    <mergeCell ref="AA177:AA178"/>
    <mergeCell ref="AB177:AB178"/>
    <mergeCell ref="E175:E176"/>
    <mergeCell ref="I175:I176"/>
    <mergeCell ref="Y175:Y176"/>
    <mergeCell ref="Z175:Z176"/>
    <mergeCell ref="AA175:AA176"/>
    <mergeCell ref="AB175:AB176"/>
    <mergeCell ref="D179:I179"/>
    <mergeCell ref="Y179:AB179"/>
    <mergeCell ref="C180:J180"/>
    <mergeCell ref="Y180:AB180"/>
    <mergeCell ref="C181:AB181"/>
    <mergeCell ref="A182:A186"/>
    <mergeCell ref="B182:B186"/>
    <mergeCell ref="C182:C186"/>
    <mergeCell ref="E182:E186"/>
    <mergeCell ref="F182:F186"/>
    <mergeCell ref="C196:C199"/>
    <mergeCell ref="G197:G199"/>
    <mergeCell ref="E198:E199"/>
    <mergeCell ref="I198:I199"/>
    <mergeCell ref="C200:J200"/>
    <mergeCell ref="Y200:AB200"/>
    <mergeCell ref="G182:G186"/>
    <mergeCell ref="H182:H186"/>
    <mergeCell ref="I182:I186"/>
    <mergeCell ref="Y182:Y186"/>
    <mergeCell ref="I187:I188"/>
    <mergeCell ref="C192:C195"/>
    <mergeCell ref="E193:E195"/>
    <mergeCell ref="G193:G195"/>
    <mergeCell ref="H193:H195"/>
    <mergeCell ref="Y193:Y195"/>
    <mergeCell ref="E205:X205"/>
    <mergeCell ref="C206:J206"/>
    <mergeCell ref="K206:N206"/>
    <mergeCell ref="O206:R206"/>
    <mergeCell ref="S206:V206"/>
    <mergeCell ref="Z206:AB206"/>
    <mergeCell ref="C201:J201"/>
    <mergeCell ref="Y201:AB201"/>
    <mergeCell ref="B202:J202"/>
    <mergeCell ref="Y202:AB202"/>
    <mergeCell ref="A203:AB203"/>
    <mergeCell ref="A204:AC204"/>
    <mergeCell ref="C207:J207"/>
    <mergeCell ref="K207:N207"/>
    <mergeCell ref="O207:R207"/>
    <mergeCell ref="S207:V207"/>
    <mergeCell ref="Z207:AB207"/>
    <mergeCell ref="C208:J208"/>
    <mergeCell ref="K208:N208"/>
    <mergeCell ref="O208:R208"/>
    <mergeCell ref="S208:V208"/>
    <mergeCell ref="Z208:AB208"/>
    <mergeCell ref="Z209:AB209"/>
    <mergeCell ref="C210:J210"/>
    <mergeCell ref="K210:N210"/>
    <mergeCell ref="O210:R210"/>
    <mergeCell ref="S210:V210"/>
    <mergeCell ref="Z210:AB210"/>
    <mergeCell ref="C209:J209"/>
    <mergeCell ref="K209:N209"/>
    <mergeCell ref="O209:R209"/>
    <mergeCell ref="S209:V209"/>
    <mergeCell ref="O214:R214"/>
    <mergeCell ref="S214:V214"/>
    <mergeCell ref="Z214:AB214"/>
    <mergeCell ref="C211:J211"/>
    <mergeCell ref="K211:N211"/>
    <mergeCell ref="O211:R211"/>
    <mergeCell ref="S211:V211"/>
    <mergeCell ref="Z211:AB211"/>
    <mergeCell ref="C212:J212"/>
    <mergeCell ref="K212:N212"/>
    <mergeCell ref="O212:R212"/>
    <mergeCell ref="S212:V212"/>
    <mergeCell ref="Y99:AB100"/>
    <mergeCell ref="C217:J217"/>
    <mergeCell ref="K217:N217"/>
    <mergeCell ref="O217:R217"/>
    <mergeCell ref="S217:V217"/>
    <mergeCell ref="Z217:AB217"/>
    <mergeCell ref="T218:U218"/>
    <mergeCell ref="C215:J215"/>
    <mergeCell ref="K215:N215"/>
    <mergeCell ref="O215:R215"/>
    <mergeCell ref="S215:V215"/>
    <mergeCell ref="Z215:AB215"/>
    <mergeCell ref="C216:J216"/>
    <mergeCell ref="K216:N216"/>
    <mergeCell ref="O216:R216"/>
    <mergeCell ref="S216:V216"/>
    <mergeCell ref="Z216:AB216"/>
    <mergeCell ref="C213:J213"/>
    <mergeCell ref="K213:N213"/>
    <mergeCell ref="O213:R213"/>
    <mergeCell ref="S213:V213"/>
    <mergeCell ref="Z213:AB213"/>
    <mergeCell ref="C214:J214"/>
    <mergeCell ref="K214:N214"/>
  </mergeCells>
  <pageMargins left="0" right="0" top="0.19685039370078741" bottom="0.19685039370078741" header="0.31496062992125984" footer="0.31496062992125984"/>
  <pageSetup paperSize="9" scale="67" orientation="landscape" r:id="rId1"/>
  <rowBreaks count="4" manualBreakCount="4">
    <brk id="36" max="27" man="1"/>
    <brk id="62" max="27" man="1"/>
    <brk id="106" max="27" man="1"/>
    <brk id="132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2063" t="s">
        <v>88</v>
      </c>
      <c r="B1" s="2063"/>
    </row>
    <row r="2" spans="1:2" ht="31.5" x14ac:dyDescent="0.25">
      <c r="A2" s="2" t="s">
        <v>6</v>
      </c>
      <c r="B2" s="3" t="s">
        <v>89</v>
      </c>
    </row>
    <row r="3" spans="1:2" x14ac:dyDescent="0.25">
      <c r="A3" s="2">
        <v>1</v>
      </c>
      <c r="B3" s="3" t="s">
        <v>90</v>
      </c>
    </row>
    <row r="4" spans="1:2" x14ac:dyDescent="0.25">
      <c r="A4" s="2">
        <v>2</v>
      </c>
      <c r="B4" s="3" t="s">
        <v>91</v>
      </c>
    </row>
    <row r="5" spans="1:2" x14ac:dyDescent="0.25">
      <c r="A5" s="2">
        <v>3</v>
      </c>
      <c r="B5" s="3" t="s">
        <v>92</v>
      </c>
    </row>
    <row r="6" spans="1:2" x14ac:dyDescent="0.25">
      <c r="A6" s="2">
        <v>4</v>
      </c>
      <c r="B6" s="3" t="s">
        <v>93</v>
      </c>
    </row>
    <row r="7" spans="1:2" x14ac:dyDescent="0.25">
      <c r="A7" s="2">
        <v>5</v>
      </c>
      <c r="B7" s="3" t="s">
        <v>94</v>
      </c>
    </row>
    <row r="8" spans="1:2" x14ac:dyDescent="0.25">
      <c r="A8" s="2">
        <v>6</v>
      </c>
      <c r="B8" s="3" t="s">
        <v>95</v>
      </c>
    </row>
    <row r="9" spans="1:2" ht="15.75" customHeight="1" x14ac:dyDescent="0.25"/>
    <row r="10" spans="1:2" ht="15.75" customHeight="1" x14ac:dyDescent="0.25">
      <c r="A10" s="2064" t="s">
        <v>96</v>
      </c>
      <c r="B10" s="2064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2014-2016</vt:lpstr>
      <vt:lpstr>Aiškinamoji lentelė</vt:lpstr>
      <vt:lpstr>Asignavimų valdytojai</vt:lpstr>
      <vt:lpstr>'Aiškinamoji lentelė'!Print_Area</vt:lpstr>
      <vt:lpstr>'SVP 2014-2016'!Print_Area</vt:lpstr>
      <vt:lpstr>'Aiškinamoji lentelė'!Print_Titles</vt:lpstr>
      <vt:lpstr>'SVP 2014-2016'!Print_Titles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2014-01-30T13:33:21Z</cp:lastPrinted>
  <dcterms:created xsi:type="dcterms:W3CDTF">2011-12-01T09:04:40Z</dcterms:created>
  <dcterms:modified xsi:type="dcterms:W3CDTF">2014-02-04T07:13:56Z</dcterms:modified>
</cp:coreProperties>
</file>